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9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0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49.xml" ContentType="application/vnd.openxmlformats-officedocument.drawingml.chart+xml"/>
  <Override PartName="/xl/drawings/drawing28.xml" ContentType="application/vnd.openxmlformats-officedocument.drawingml.chartshapes+xml"/>
  <Override PartName="/xl/charts/chart50.xml" ContentType="application/vnd.openxmlformats-officedocument.drawingml.chart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WorkingFutures\data\Results\Workbooks\UK\"/>
    </mc:Choice>
  </mc:AlternateContent>
  <bookViews>
    <workbookView xWindow="0" yWindow="0" windowWidth="25200" windowHeight="11196" tabRatio="880" firstSheet="1" activeTab="1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3" sheetId="97" r:id="rId8"/>
    <sheet name="Ind T4" sheetId="15" r:id="rId9"/>
    <sheet name="Ind T5" sheetId="104" r:id="rId10"/>
    <sheet name="Ind T6" sheetId="102" r:id="rId11"/>
    <sheet name="Ind F1" sheetId="19" r:id="rId12"/>
    <sheet name="Ind F2" sheetId="21" r:id="rId13"/>
    <sheet name="Ind Occ T1" sheetId="101" r:id="rId14"/>
    <sheet name="Ind Occ T2" sheetId="103" r:id="rId15"/>
    <sheet name="Occ T1" sheetId="16" r:id="rId16"/>
    <sheet name="Occ T2" sheetId="71" r:id="rId17"/>
    <sheet name="Occ T3" sheetId="18" r:id="rId18"/>
    <sheet name="Occ T4" sheetId="105" r:id="rId19"/>
    <sheet name="Occ T5" sheetId="109" r:id="rId20"/>
    <sheet name="Occ F1" sheetId="75" r:id="rId21"/>
    <sheet name="Occ F2" sheetId="76" r:id="rId22"/>
    <sheet name="Occ F3" sheetId="106" r:id="rId23"/>
    <sheet name="Occ F4" sheetId="107" r:id="rId24"/>
    <sheet name="Occ F5" sheetId="108" r:id="rId25"/>
    <sheet name="Qual T1" sheetId="44" r:id="rId26"/>
    <sheet name="Qual F1" sheetId="51" r:id="rId27"/>
    <sheet name="SummaryTable12" sheetId="62" state="veryHidden" r:id="rId28"/>
    <sheet name="ShiftShare T1" sheetId="80" r:id="rId29"/>
    <sheet name="RD T1" sheetId="49" r:id="rId30"/>
    <sheet name="RD F1" sheetId="31" r:id="rId31"/>
    <sheet name="Basic T1" sheetId="52" r:id="rId32"/>
    <sheet name="Basic T2" sheetId="78" r:id="rId33"/>
    <sheet name="Basic T3" sheetId="79" r:id="rId34"/>
    <sheet name="BasicTable5" sheetId="60" state="veryHidden" r:id="rId35"/>
    <sheet name="ShiftShare2" sheetId="83" state="veryHidden" r:id="rId36"/>
    <sheet name="SupplyBasicTable2" sheetId="93" state="veryHidden" r:id="rId37"/>
    <sheet name="name" sheetId="2" r:id="rId38"/>
    <sheet name="aggregation" sheetId="5" r:id="rId39"/>
    <sheet name="AggregationTables" sheetId="46" r:id="rId40"/>
  </sheets>
  <externalReferences>
    <externalReference r:id="rId41"/>
  </externalReferences>
  <definedNames>
    <definedName name="_Fill" localSheetId="34">#REF!</definedName>
    <definedName name="_Fill" localSheetId="14" hidden="1">#REF!</definedName>
    <definedName name="_Fill" localSheetId="35">#REF!</definedName>
    <definedName name="_Fill" localSheetId="27">#REF!</definedName>
    <definedName name="chart22" localSheetId="35">'[1]Chapter 2 - Charts'!$D$71:$N$108</definedName>
    <definedName name="chart31" localSheetId="35">'[1]Chapter 3 - Charts'!$D$27:$O$60</definedName>
    <definedName name="chart32" localSheetId="35">'[1]Chapter 3 - Charts'!$D$74:$O$106</definedName>
    <definedName name="chart33" localSheetId="35">'[1]Chapter 3 - Charts'!$D$117:$Z$153</definedName>
    <definedName name="chart34" localSheetId="35">'[1]Chapter 3 - Charts'!$D$598:$Y$629</definedName>
    <definedName name="Chart42" localSheetId="35">'[1]Chapter 4 - Charts'!$D$25:$N$62</definedName>
    <definedName name="Chart43" localSheetId="35">'[1]Chapter 4 - Charts'!$D$71:$N$108</definedName>
    <definedName name="Chart43_b" localSheetId="35">'[1]Chapter 4 - Charts'!$D$216:$N$260</definedName>
    <definedName name="Chart44" localSheetId="35">'[1]Chapter 4 - Charts'!$D$118:$N$155</definedName>
    <definedName name="Chart44_b" localSheetId="35">'[1]Chapter 4 - Charts'!$D$165:$N$209</definedName>
    <definedName name="Chart44_b_a" localSheetId="35">'[1]Chapter 4 - Charts'!$D$267:$N$311</definedName>
    <definedName name="Chart51" localSheetId="35">'[1]Chapter 5 - Charts'!$D$25:$N$62</definedName>
    <definedName name="Chart52" localSheetId="35">'[1]Chapter 5 - Charts'!$D$71:$N$108</definedName>
    <definedName name="Chart52_b" localSheetId="35">'[1]Chapter 5 - Charts'!$D$118:$N$153</definedName>
    <definedName name="Chart53" localSheetId="35">'[1]Chapter 5 - Charts'!$D$530:$N$567</definedName>
    <definedName name="Chart71" localSheetId="35">'[1]Chapter 7 - Charts'!$D$25:$N$60</definedName>
    <definedName name="Chart710" localSheetId="35">'[1]Chapter 7 - Charts'!$D$843:$N$878</definedName>
    <definedName name="Chart710_b" localSheetId="35">'[1]Chapter 7 - Charts'!$D$886:$N$921</definedName>
    <definedName name="Chart711" localSheetId="35">'[1]Chapter 7 - Charts'!$D$931:$N$966</definedName>
    <definedName name="Chart711_b" localSheetId="35">'[1]Chapter 7 - Charts'!$D$976:$N$1011</definedName>
    <definedName name="Chart712" localSheetId="35">'[1]Chapter 7 - Charts'!$D$1021:$N$1056</definedName>
    <definedName name="Chart712_b" localSheetId="35">'[1]Chapter 7 - Charts'!$D$1065:$N$1100</definedName>
    <definedName name="Chart712_c" localSheetId="35">'[1]Chapter 7 - Charts'!$D$1110:$N$1145</definedName>
    <definedName name="Chart72" localSheetId="35">'[1]Chapter 7 - Charts'!$D$67:$N$102</definedName>
    <definedName name="Chart75" localSheetId="35">'[1]Chapter 7 - Charts'!$D$454:$N$489</definedName>
    <definedName name="Chart76" localSheetId="35">'[1]Chapter 7 - Charts'!$D$366:$N$401</definedName>
    <definedName name="Chart76_b" localSheetId="35">'[1]Chapter 7 - Charts'!$D$499:$N$534</definedName>
    <definedName name="Chart77" localSheetId="35">'[1]Chapter 7 - Charts'!$D$410:$N$445</definedName>
    <definedName name="Chart77_b" localSheetId="35">'[1]Chapter 7 - Charts'!$D$543:$N$578</definedName>
    <definedName name="colourboard" localSheetId="35">[1]Contents!$I$6:$M$30</definedName>
    <definedName name="_xlnm.Print_Area" localSheetId="31">'Basic T1'!$A$1:$AN$101</definedName>
    <definedName name="_xlnm.Print_Area" localSheetId="32">'Basic T2'!$A$1:$CT$142</definedName>
    <definedName name="_xlnm.Print_Area" localSheetId="33">'Basic T3'!$A$1:$AG$34</definedName>
    <definedName name="_xlnm.Print_Area" localSheetId="34">BasicTable5!$1:$96</definedName>
    <definedName name="_xlnm.Print_Area" localSheetId="11">'Ind F1'!$A:$J</definedName>
    <definedName name="_xlnm.Print_Area" localSheetId="12">'Ind F2'!$A:$J</definedName>
    <definedName name="_xlnm.Print_Area" localSheetId="13">'Ind Occ T1'!$A$1:$L$1294</definedName>
    <definedName name="_xlnm.Print_Area" localSheetId="14">'Ind Occ T2'!$A$1:$O$1294</definedName>
    <definedName name="_xlnm.Print_Area" localSheetId="5">'Ind T1'!$A$1:$S$52</definedName>
    <definedName name="_xlnm.Print_Area" localSheetId="6">'Ind T2'!$A$1:$G$113</definedName>
    <definedName name="_xlnm.Print_Area" localSheetId="7">'Ind T3'!$A$1:$F$333</definedName>
    <definedName name="_xlnm.Print_Area" localSheetId="8">'Ind T4'!$A$1:$L$83</definedName>
    <definedName name="_xlnm.Print_Area" localSheetId="9">'Ind T5'!$A$1:$N$508</definedName>
    <definedName name="_xlnm.Print_Area" localSheetId="10">'Ind T6'!$A$1:$Y$566</definedName>
    <definedName name="_xlnm.Print_Area" localSheetId="3">Manager!$A$1:$O$18</definedName>
    <definedName name="_xlnm.Print_Area" localSheetId="20">'Occ F1'!$A$1:$J$148</definedName>
    <definedName name="_xlnm.Print_Area" localSheetId="21">'Occ F2'!$A:$J</definedName>
    <definedName name="_xlnm.Print_Area" localSheetId="22">'Occ F3'!$A$1:$S$29</definedName>
    <definedName name="_xlnm.Print_Area" localSheetId="23">'Occ F4'!$A$1:$J$38</definedName>
    <definedName name="_xlnm.Print_Area" localSheetId="24">'Occ F5'!$A$1:$J$116</definedName>
    <definedName name="_xlnm.Print_Area" localSheetId="15">'Occ T1'!$A$1:$AF$90</definedName>
    <definedName name="_xlnm.Print_Area" localSheetId="16">'Occ T2'!$A$1:$AF$142</definedName>
    <definedName name="_xlnm.Print_Area" localSheetId="17">'Occ T3'!$A$1:$L$101</definedName>
    <definedName name="_xlnm.Print_Area" localSheetId="18">'Occ T4'!$A$1:$U$50</definedName>
    <definedName name="_xlnm.Print_Area" localSheetId="19">'Occ T5'!$A$1:$AU$54</definedName>
    <definedName name="_xlnm.Print_Area" localSheetId="26">'Qual F1'!$A:$J</definedName>
    <definedName name="_xlnm.Print_Area" localSheetId="25">'Qual T1'!$A$1:$F$57</definedName>
    <definedName name="_xlnm.Print_Area" localSheetId="30">'RD F1'!$A:$N</definedName>
    <definedName name="_xlnm.Print_Area" localSheetId="29">'RD T1'!$A$1:$G$284,'RD T1'!$I$1:$N$117,'RD T1'!$P$1:$V$60,'RD T1'!$X$1:$AD$82</definedName>
    <definedName name="_xlnm.Print_Area" localSheetId="28">'ShiftShare T1'!$A$1:$R$69</definedName>
    <definedName name="_xlnm.Print_Titles" localSheetId="33">'Basic T3'!$A:$A</definedName>
    <definedName name="_xlnm.Print_Titles" localSheetId="27">SummaryTable12!$1:$6</definedName>
    <definedName name="thecontents" localSheetId="35">[1]Contents!$A$1:$N$1</definedName>
    <definedName name="Total79" localSheetId="35">'[1]Chapter 5 - Charts'!$AJ$75:$AJ$85</definedName>
    <definedName name="Total98" localSheetId="35">'[1]Chapter 5 - Charts'!$AK$75:$AK$85</definedName>
    <definedName name="wshNames">RIGHT(GET.WORKBOOK(1),LEN(GET.WORKBOOK(1))-FIND("]",GET.WORKBOOK(1)))</definedName>
  </definedNames>
  <calcPr calcId="162913"/>
</workbook>
</file>

<file path=xl/calcChain.xml><?xml version="1.0" encoding="utf-8"?>
<calcChain xmlns="http://schemas.openxmlformats.org/spreadsheetml/2006/main">
  <c r="A1" i="78" l="1"/>
  <c r="A1" i="52"/>
  <c r="A1" i="51"/>
  <c r="I7" i="11" l="1" a="1"/>
  <c r="I8" i="11" s="1"/>
  <c r="I7" i="11" l="1"/>
  <c r="I12" i="11"/>
  <c r="I11" i="11"/>
  <c r="I10" i="11"/>
  <c r="I9" i="11"/>
  <c r="AD7" i="49"/>
  <c r="AB82" i="49"/>
  <c r="Z82" i="49"/>
  <c r="Y82" i="49"/>
  <c r="AD82" i="49" s="1"/>
  <c r="Q60" i="49"/>
  <c r="AD8" i="49"/>
  <c r="AD9" i="49"/>
  <c r="AD10" i="49"/>
  <c r="AD11" i="49"/>
  <c r="AD12" i="49"/>
  <c r="AD13" i="49"/>
  <c r="AD14" i="49"/>
  <c r="AD15" i="49"/>
  <c r="AD16" i="49"/>
  <c r="AD17" i="49"/>
  <c r="AD18" i="49"/>
  <c r="AC19" i="49"/>
  <c r="AD19" i="49"/>
  <c r="AD20" i="49"/>
  <c r="AD21" i="49"/>
  <c r="AD22" i="49"/>
  <c r="AD23" i="49"/>
  <c r="AD24" i="49"/>
  <c r="AD25" i="49"/>
  <c r="AD26" i="49"/>
  <c r="AD27" i="49"/>
  <c r="AD28" i="49"/>
  <c r="AD29" i="49"/>
  <c r="AC30" i="49"/>
  <c r="AD30" i="49"/>
  <c r="AD31" i="49"/>
  <c r="AD32" i="49"/>
  <c r="AD33" i="49"/>
  <c r="AD34" i="49"/>
  <c r="AD35" i="49"/>
  <c r="AD36" i="49"/>
  <c r="AD37" i="49"/>
  <c r="AD38" i="49"/>
  <c r="AD39" i="49"/>
  <c r="AD40" i="49"/>
  <c r="AD41" i="49"/>
  <c r="AD42" i="49"/>
  <c r="AC43" i="49"/>
  <c r="AD43" i="49"/>
  <c r="AD44" i="49"/>
  <c r="AD45" i="49"/>
  <c r="AD46" i="49"/>
  <c r="AD47" i="49"/>
  <c r="AD48" i="49"/>
  <c r="AD49" i="49"/>
  <c r="AD50" i="49"/>
  <c r="AD51" i="49"/>
  <c r="AD52" i="49"/>
  <c r="AD53" i="49"/>
  <c r="AC54" i="49"/>
  <c r="AD54" i="49"/>
  <c r="AD55" i="49"/>
  <c r="AD56" i="49"/>
  <c r="AD57" i="49"/>
  <c r="AD58" i="49"/>
  <c r="AD59" i="49"/>
  <c r="AD60" i="49"/>
  <c r="AD61" i="49"/>
  <c r="AD62" i="49"/>
  <c r="AD63" i="49"/>
  <c r="AD64" i="49"/>
  <c r="AD65" i="49"/>
  <c r="AD66" i="49"/>
  <c r="AC67" i="49"/>
  <c r="AD67" i="49"/>
  <c r="AD68" i="49"/>
  <c r="AD69" i="49"/>
  <c r="AD70" i="49"/>
  <c r="AD71" i="49"/>
  <c r="AD72" i="49"/>
  <c r="AD73" i="49"/>
  <c r="AD74" i="49"/>
  <c r="AD75" i="49"/>
  <c r="AD76" i="49"/>
  <c r="AD77" i="49"/>
  <c r="AC78" i="49"/>
  <c r="AD78" i="49"/>
  <c r="AD79" i="49"/>
  <c r="AD80" i="49"/>
  <c r="AD81" i="49"/>
  <c r="AA8" i="49"/>
  <c r="AC8" i="49" s="1"/>
  <c r="AA9" i="49"/>
  <c r="AC9" i="49" s="1"/>
  <c r="AA10" i="49"/>
  <c r="AC10" i="49" s="1"/>
  <c r="AA11" i="49"/>
  <c r="AC11" i="49" s="1"/>
  <c r="AA12" i="49"/>
  <c r="AC12" i="49" s="1"/>
  <c r="AA13" i="49"/>
  <c r="AC13" i="49" s="1"/>
  <c r="AA14" i="49"/>
  <c r="AC14" i="49" s="1"/>
  <c r="AA15" i="49"/>
  <c r="AC15" i="49" s="1"/>
  <c r="AA16" i="49"/>
  <c r="AC16" i="49" s="1"/>
  <c r="AA17" i="49"/>
  <c r="AC17" i="49" s="1"/>
  <c r="AA18" i="49"/>
  <c r="AC18" i="49" s="1"/>
  <c r="AA19" i="49"/>
  <c r="AA20" i="49"/>
  <c r="AC20" i="49" s="1"/>
  <c r="AA21" i="49"/>
  <c r="AC21" i="49" s="1"/>
  <c r="AA22" i="49"/>
  <c r="AC22" i="49" s="1"/>
  <c r="AA23" i="49"/>
  <c r="AC23" i="49" s="1"/>
  <c r="AA24" i="49"/>
  <c r="AC24" i="49" s="1"/>
  <c r="AA25" i="49"/>
  <c r="AC25" i="49" s="1"/>
  <c r="AA26" i="49"/>
  <c r="AC26" i="49" s="1"/>
  <c r="AA27" i="49"/>
  <c r="AC27" i="49" s="1"/>
  <c r="AA28" i="49"/>
  <c r="AC28" i="49" s="1"/>
  <c r="AA29" i="49"/>
  <c r="AC29" i="49" s="1"/>
  <c r="AA30" i="49"/>
  <c r="AA31" i="49"/>
  <c r="AC31" i="49" s="1"/>
  <c r="AA32" i="49"/>
  <c r="AC32" i="49" s="1"/>
  <c r="AA33" i="49"/>
  <c r="AC33" i="49" s="1"/>
  <c r="AA34" i="49"/>
  <c r="AC34" i="49" s="1"/>
  <c r="AA35" i="49"/>
  <c r="AC35" i="49" s="1"/>
  <c r="AA36" i="49"/>
  <c r="AC36" i="49" s="1"/>
  <c r="AA37" i="49"/>
  <c r="AC37" i="49" s="1"/>
  <c r="AA38" i="49"/>
  <c r="AC38" i="49" s="1"/>
  <c r="AA39" i="49"/>
  <c r="AC39" i="49" s="1"/>
  <c r="AA40" i="49"/>
  <c r="AC40" i="49" s="1"/>
  <c r="AA41" i="49"/>
  <c r="AC41" i="49" s="1"/>
  <c r="AA42" i="49"/>
  <c r="AC42" i="49" s="1"/>
  <c r="AA43" i="49"/>
  <c r="AA44" i="49"/>
  <c r="AC44" i="49" s="1"/>
  <c r="AA45" i="49"/>
  <c r="AC45" i="49" s="1"/>
  <c r="AA46" i="49"/>
  <c r="AC46" i="49" s="1"/>
  <c r="AA47" i="49"/>
  <c r="AC47" i="49" s="1"/>
  <c r="AA48" i="49"/>
  <c r="AC48" i="49" s="1"/>
  <c r="AA49" i="49"/>
  <c r="AC49" i="49" s="1"/>
  <c r="AA50" i="49"/>
  <c r="AC50" i="49" s="1"/>
  <c r="AA51" i="49"/>
  <c r="AC51" i="49" s="1"/>
  <c r="AA52" i="49"/>
  <c r="AC52" i="49" s="1"/>
  <c r="AA53" i="49"/>
  <c r="AC53" i="49" s="1"/>
  <c r="AA54" i="49"/>
  <c r="AA55" i="49"/>
  <c r="AC55" i="49" s="1"/>
  <c r="AA56" i="49"/>
  <c r="AC56" i="49" s="1"/>
  <c r="AA57" i="49"/>
  <c r="AC57" i="49" s="1"/>
  <c r="AA58" i="49"/>
  <c r="AC58" i="49" s="1"/>
  <c r="AA59" i="49"/>
  <c r="AC59" i="49" s="1"/>
  <c r="AA60" i="49"/>
  <c r="AC60" i="49" s="1"/>
  <c r="AA61" i="49"/>
  <c r="AC61" i="49" s="1"/>
  <c r="AA62" i="49"/>
  <c r="AC62" i="49" s="1"/>
  <c r="AA63" i="49"/>
  <c r="AC63" i="49" s="1"/>
  <c r="AA64" i="49"/>
  <c r="AC64" i="49" s="1"/>
  <c r="AA65" i="49"/>
  <c r="AC65" i="49" s="1"/>
  <c r="AA66" i="49"/>
  <c r="AC66" i="49" s="1"/>
  <c r="AA67" i="49"/>
  <c r="AA68" i="49"/>
  <c r="AC68" i="49" s="1"/>
  <c r="AA69" i="49"/>
  <c r="AC69" i="49" s="1"/>
  <c r="AA70" i="49"/>
  <c r="AC70" i="49" s="1"/>
  <c r="AA71" i="49"/>
  <c r="AC71" i="49" s="1"/>
  <c r="AA72" i="49"/>
  <c r="AC72" i="49" s="1"/>
  <c r="AA73" i="49"/>
  <c r="AC73" i="49" s="1"/>
  <c r="AA74" i="49"/>
  <c r="AC74" i="49" s="1"/>
  <c r="AA75" i="49"/>
  <c r="AC75" i="49" s="1"/>
  <c r="AA76" i="49"/>
  <c r="AC76" i="49" s="1"/>
  <c r="AA77" i="49"/>
  <c r="AC77" i="49" s="1"/>
  <c r="AA78" i="49"/>
  <c r="AA79" i="49"/>
  <c r="AC79" i="49" s="1"/>
  <c r="AA80" i="49"/>
  <c r="AC80" i="49" s="1"/>
  <c r="AA81" i="49"/>
  <c r="AC81" i="49" s="1"/>
  <c r="AA7" i="49"/>
  <c r="AC7" i="49" s="1"/>
  <c r="AD6" i="49"/>
  <c r="X82" i="49"/>
  <c r="X75" i="49"/>
  <c r="X76" i="49"/>
  <c r="X77" i="49"/>
  <c r="X78" i="49"/>
  <c r="X79" i="49"/>
  <c r="X80" i="49"/>
  <c r="X81" i="49"/>
  <c r="X63" i="49"/>
  <c r="X64" i="49"/>
  <c r="X65" i="49"/>
  <c r="X66" i="49"/>
  <c r="X67" i="49"/>
  <c r="X68" i="49"/>
  <c r="X69" i="49"/>
  <c r="X70" i="49"/>
  <c r="X71" i="49"/>
  <c r="X72" i="49"/>
  <c r="X73" i="49"/>
  <c r="X74" i="49"/>
  <c r="X55" i="49"/>
  <c r="X56" i="49"/>
  <c r="X57" i="49"/>
  <c r="X58" i="49"/>
  <c r="X59" i="49"/>
  <c r="X60" i="49"/>
  <c r="X61" i="49"/>
  <c r="X62" i="49"/>
  <c r="X42" i="49"/>
  <c r="X43" i="49"/>
  <c r="X44" i="49"/>
  <c r="X45" i="49"/>
  <c r="X46" i="49"/>
  <c r="X47" i="49"/>
  <c r="X48" i="49"/>
  <c r="X49" i="49"/>
  <c r="X50" i="49"/>
  <c r="X51" i="49"/>
  <c r="X52" i="49"/>
  <c r="X53" i="49"/>
  <c r="X54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29" i="49"/>
  <c r="X30" i="49"/>
  <c r="X31" i="49"/>
  <c r="X32" i="49"/>
  <c r="X33" i="49"/>
  <c r="X34" i="49"/>
  <c r="X35" i="49"/>
  <c r="X36" i="49"/>
  <c r="X37" i="49"/>
  <c r="X38" i="49"/>
  <c r="X39" i="49"/>
  <c r="X40" i="49"/>
  <c r="X41" i="49"/>
  <c r="X7" i="49"/>
  <c r="AC6" i="49"/>
  <c r="AB6" i="49"/>
  <c r="AA6" i="49"/>
  <c r="X1" i="49"/>
  <c r="I14" i="11" l="1"/>
  <c r="AA82" i="49"/>
  <c r="AC82" i="49" s="1"/>
  <c r="L161" i="75"/>
  <c r="L152" i="75"/>
  <c r="L153" i="75"/>
  <c r="L154" i="75"/>
  <c r="L155" i="75"/>
  <c r="L156" i="75"/>
  <c r="L157" i="75"/>
  <c r="L158" i="75"/>
  <c r="L159" i="75"/>
  <c r="L151" i="75"/>
  <c r="A120" i="15" l="1"/>
  <c r="A119" i="15"/>
  <c r="A118" i="15"/>
  <c r="A115" i="15"/>
  <c r="A114" i="15"/>
  <c r="A113" i="15"/>
  <c r="A112" i="15"/>
  <c r="A111" i="15"/>
  <c r="A110" i="15"/>
  <c r="A109" i="15"/>
  <c r="A108" i="15"/>
  <c r="A105" i="15"/>
  <c r="A104" i="15"/>
  <c r="A103" i="15"/>
  <c r="A98" i="15"/>
  <c r="A97" i="15"/>
  <c r="A96" i="15"/>
  <c r="A93" i="15"/>
  <c r="A92" i="15"/>
  <c r="A91" i="15"/>
  <c r="A90" i="15"/>
  <c r="T60" i="49" l="1"/>
  <c r="T32" i="49"/>
  <c r="AE9" i="7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I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P42" i="49"/>
  <c r="P41" i="49"/>
  <c r="P40" i="49"/>
  <c r="P39" i="49"/>
  <c r="P38" i="49"/>
  <c r="P37" i="49"/>
  <c r="P36" i="49"/>
  <c r="P35" i="49"/>
  <c r="P32" i="49"/>
  <c r="P31" i="49"/>
  <c r="P30" i="49"/>
  <c r="P29" i="49"/>
  <c r="P28" i="49"/>
  <c r="P27" i="49"/>
  <c r="P26" i="49"/>
  <c r="P25" i="49"/>
  <c r="P24" i="49"/>
  <c r="P23" i="49"/>
  <c r="P22" i="49"/>
  <c r="P21" i="49"/>
  <c r="P20" i="49"/>
  <c r="P19" i="49"/>
  <c r="P18" i="49"/>
  <c r="P17" i="49"/>
  <c r="P16" i="49"/>
  <c r="P15" i="49"/>
  <c r="P14" i="49"/>
  <c r="P13" i="49"/>
  <c r="P12" i="49"/>
  <c r="P11" i="49"/>
  <c r="P10" i="49"/>
  <c r="P9" i="49"/>
  <c r="P8" i="49"/>
  <c r="P7" i="49"/>
  <c r="R60" i="49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V35" i="49"/>
  <c r="S35" i="49"/>
  <c r="U35" i="49" s="1"/>
  <c r="V34" i="49"/>
  <c r="U34" i="49"/>
  <c r="T34" i="49"/>
  <c r="S34" i="49"/>
  <c r="R32" i="49"/>
  <c r="Q32" i="49"/>
  <c r="V31" i="49"/>
  <c r="S31" i="49"/>
  <c r="U31" i="49" s="1"/>
  <c r="V30" i="49"/>
  <c r="S30" i="49"/>
  <c r="U30" i="49" s="1"/>
  <c r="V29" i="49"/>
  <c r="S29" i="49"/>
  <c r="U29" i="49" s="1"/>
  <c r="V28" i="49"/>
  <c r="S28" i="49"/>
  <c r="U28" i="49" s="1"/>
  <c r="V27" i="49"/>
  <c r="S27" i="49"/>
  <c r="U27" i="49" s="1"/>
  <c r="V26" i="49"/>
  <c r="S26" i="49"/>
  <c r="U26" i="49" s="1"/>
  <c r="V25" i="49"/>
  <c r="S25" i="49"/>
  <c r="U25" i="49" s="1"/>
  <c r="V24" i="49"/>
  <c r="S24" i="49"/>
  <c r="U24" i="49" s="1"/>
  <c r="V23" i="49"/>
  <c r="S23" i="49"/>
  <c r="U23" i="49" s="1"/>
  <c r="V22" i="49"/>
  <c r="S22" i="49"/>
  <c r="U22" i="49" s="1"/>
  <c r="V21" i="49"/>
  <c r="S21" i="49"/>
  <c r="U21" i="49" s="1"/>
  <c r="V20" i="49"/>
  <c r="S20" i="49"/>
  <c r="U20" i="49" s="1"/>
  <c r="V19" i="49"/>
  <c r="S19" i="49"/>
  <c r="U19" i="49" s="1"/>
  <c r="V18" i="49"/>
  <c r="S18" i="49"/>
  <c r="U18" i="49" s="1"/>
  <c r="V17" i="49"/>
  <c r="S17" i="49"/>
  <c r="U17" i="49" s="1"/>
  <c r="V16" i="49"/>
  <c r="S16" i="49"/>
  <c r="U16" i="49" s="1"/>
  <c r="V15" i="49"/>
  <c r="S15" i="49"/>
  <c r="U15" i="49" s="1"/>
  <c r="V14" i="49"/>
  <c r="S14" i="49"/>
  <c r="U14" i="49" s="1"/>
  <c r="V13" i="49"/>
  <c r="S13" i="49"/>
  <c r="U13" i="49" s="1"/>
  <c r="V12" i="49"/>
  <c r="S12" i="49"/>
  <c r="U12" i="49" s="1"/>
  <c r="V11" i="49"/>
  <c r="S11" i="49"/>
  <c r="U11" i="49" s="1"/>
  <c r="V10" i="49"/>
  <c r="S10" i="49"/>
  <c r="U10" i="49" s="1"/>
  <c r="V9" i="49"/>
  <c r="S9" i="49"/>
  <c r="U9" i="49" s="1"/>
  <c r="V8" i="49"/>
  <c r="S8" i="49"/>
  <c r="U8" i="49" s="1"/>
  <c r="V7" i="49"/>
  <c r="S7" i="49"/>
  <c r="U7" i="49" s="1"/>
  <c r="V6" i="49"/>
  <c r="U6" i="49"/>
  <c r="T6" i="49"/>
  <c r="S6" i="49"/>
  <c r="R6" i="49"/>
  <c r="Q6" i="49"/>
  <c r="P1" i="49"/>
  <c r="V32" i="49" l="1"/>
  <c r="V60" i="49"/>
  <c r="S60" i="49"/>
  <c r="U60" i="49" s="1"/>
  <c r="S32" i="49"/>
  <c r="U32" i="49" s="1"/>
  <c r="M82" i="7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81" i="75"/>
  <c r="L107" i="75"/>
  <c r="L82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81" i="75"/>
  <c r="AB34" i="71" l="1"/>
  <c r="Y34" i="71"/>
  <c r="Z34" i="71"/>
  <c r="AA34" i="71"/>
  <c r="X34" i="71"/>
  <c r="N34" i="71"/>
  <c r="O34" i="71"/>
  <c r="P34" i="71"/>
  <c r="Q34" i="71"/>
  <c r="M34" i="71"/>
  <c r="AB175" i="71" l="1"/>
  <c r="AA175" i="71"/>
  <c r="Z175" i="71"/>
  <c r="Y175" i="71"/>
  <c r="X175" i="71"/>
  <c r="W175" i="71"/>
  <c r="AB173" i="71"/>
  <c r="AA173" i="71"/>
  <c r="Z173" i="71"/>
  <c r="Y173" i="71"/>
  <c r="X173" i="71"/>
  <c r="W173" i="71"/>
  <c r="AB172" i="71"/>
  <c r="AA172" i="71"/>
  <c r="Z172" i="71"/>
  <c r="Y172" i="71"/>
  <c r="X172" i="71"/>
  <c r="W172" i="71"/>
  <c r="AB171" i="71"/>
  <c r="AA171" i="71"/>
  <c r="Z171" i="71"/>
  <c r="Y171" i="71"/>
  <c r="X171" i="71"/>
  <c r="W171" i="71"/>
  <c r="AB170" i="71"/>
  <c r="AA170" i="71"/>
  <c r="Z170" i="71"/>
  <c r="Y170" i="71"/>
  <c r="X170" i="71"/>
  <c r="W170" i="71"/>
  <c r="AB169" i="71"/>
  <c r="AA169" i="71"/>
  <c r="Z169" i="71"/>
  <c r="Y169" i="71"/>
  <c r="X169" i="71"/>
  <c r="W169" i="71"/>
  <c r="AB168" i="71"/>
  <c r="AA168" i="71"/>
  <c r="Z168" i="71"/>
  <c r="Y168" i="71"/>
  <c r="X168" i="71"/>
  <c r="W168" i="71"/>
  <c r="AB167" i="71"/>
  <c r="AA167" i="71"/>
  <c r="Z167" i="71"/>
  <c r="Y167" i="71"/>
  <c r="X167" i="71"/>
  <c r="W167" i="71"/>
  <c r="AB166" i="71"/>
  <c r="AA166" i="71"/>
  <c r="Z166" i="71"/>
  <c r="Y166" i="71"/>
  <c r="X166" i="71"/>
  <c r="W166" i="71"/>
  <c r="AB165" i="71"/>
  <c r="AA165" i="71"/>
  <c r="Z165" i="71"/>
  <c r="Y165" i="71"/>
  <c r="X165" i="71"/>
  <c r="W165" i="71"/>
  <c r="AB164" i="71"/>
  <c r="AA164" i="71"/>
  <c r="Z164" i="71"/>
  <c r="Y164" i="71"/>
  <c r="X164" i="71"/>
  <c r="W164" i="71"/>
  <c r="AB163" i="71"/>
  <c r="AA163" i="71"/>
  <c r="Z163" i="71"/>
  <c r="Y163" i="71"/>
  <c r="X163" i="71"/>
  <c r="W163" i="71"/>
  <c r="AB162" i="71"/>
  <c r="AA162" i="71"/>
  <c r="Z162" i="71"/>
  <c r="Y162" i="71"/>
  <c r="X162" i="71"/>
  <c r="W162" i="71"/>
  <c r="AB161" i="71"/>
  <c r="AA161" i="71"/>
  <c r="Z161" i="71"/>
  <c r="Y161" i="71"/>
  <c r="X161" i="71"/>
  <c r="W161" i="71"/>
  <c r="AB160" i="71"/>
  <c r="AA160" i="71"/>
  <c r="Z160" i="71"/>
  <c r="Y160" i="71"/>
  <c r="X160" i="71"/>
  <c r="W160" i="71"/>
  <c r="AB159" i="71"/>
  <c r="AA159" i="71"/>
  <c r="Z159" i="71"/>
  <c r="Y159" i="71"/>
  <c r="X159" i="71"/>
  <c r="W159" i="71"/>
  <c r="AB158" i="71"/>
  <c r="AA158" i="71"/>
  <c r="Z158" i="71"/>
  <c r="Y158" i="71"/>
  <c r="X158" i="71"/>
  <c r="W158" i="71"/>
  <c r="AB157" i="71"/>
  <c r="AA157" i="71"/>
  <c r="Z157" i="71"/>
  <c r="Y157" i="71"/>
  <c r="X157" i="71"/>
  <c r="W157" i="71"/>
  <c r="AB156" i="71"/>
  <c r="AA156" i="71"/>
  <c r="Z156" i="71"/>
  <c r="Y156" i="71"/>
  <c r="X156" i="71"/>
  <c r="W156" i="71"/>
  <c r="AB155" i="71"/>
  <c r="AA155" i="71"/>
  <c r="Z155" i="71"/>
  <c r="Y155" i="71"/>
  <c r="X155" i="71"/>
  <c r="W155" i="71"/>
  <c r="AB154" i="71"/>
  <c r="AA154" i="71"/>
  <c r="Z154" i="71"/>
  <c r="Y154" i="71"/>
  <c r="X154" i="71"/>
  <c r="W154" i="71"/>
  <c r="AB153" i="71"/>
  <c r="AA153" i="71"/>
  <c r="Z153" i="71"/>
  <c r="Y153" i="71"/>
  <c r="X153" i="71"/>
  <c r="W153" i="71"/>
  <c r="AB152" i="71"/>
  <c r="AA152" i="71"/>
  <c r="Z152" i="71"/>
  <c r="Y152" i="71"/>
  <c r="X152" i="71"/>
  <c r="W152" i="71"/>
  <c r="AB151" i="71"/>
  <c r="AA151" i="71"/>
  <c r="Z151" i="71"/>
  <c r="Y151" i="71"/>
  <c r="X151" i="71"/>
  <c r="W151" i="71"/>
  <c r="AB150" i="71"/>
  <c r="AA150" i="71"/>
  <c r="Z150" i="71"/>
  <c r="Y150" i="71"/>
  <c r="X150" i="71"/>
  <c r="W150" i="71"/>
  <c r="AB149" i="71"/>
  <c r="AA149" i="71"/>
  <c r="Z149" i="71"/>
  <c r="Y149" i="71"/>
  <c r="X149" i="71"/>
  <c r="W149" i="71"/>
  <c r="AE147" i="71"/>
  <c r="AD147" i="71"/>
  <c r="AB147" i="71"/>
  <c r="AA147" i="71"/>
  <c r="Z147" i="71"/>
  <c r="Y147" i="71"/>
  <c r="X147" i="71"/>
  <c r="Q175" i="71"/>
  <c r="P175" i="71"/>
  <c r="O175" i="71"/>
  <c r="N175" i="71"/>
  <c r="M175" i="71"/>
  <c r="L175" i="71"/>
  <c r="Q173" i="71"/>
  <c r="P173" i="71"/>
  <c r="O173" i="71"/>
  <c r="N173" i="71"/>
  <c r="M173" i="71"/>
  <c r="L173" i="71"/>
  <c r="Q172" i="71"/>
  <c r="P172" i="71"/>
  <c r="O172" i="71"/>
  <c r="N172" i="71"/>
  <c r="M172" i="71"/>
  <c r="L172" i="71"/>
  <c r="Q171" i="71"/>
  <c r="P171" i="71"/>
  <c r="O171" i="71"/>
  <c r="N171" i="71"/>
  <c r="M171" i="71"/>
  <c r="L171" i="71"/>
  <c r="Q170" i="71"/>
  <c r="P170" i="71"/>
  <c r="O170" i="71"/>
  <c r="N170" i="71"/>
  <c r="M170" i="71"/>
  <c r="L170" i="71"/>
  <c r="Q169" i="71"/>
  <c r="P169" i="71"/>
  <c r="O169" i="71"/>
  <c r="N169" i="71"/>
  <c r="M169" i="71"/>
  <c r="L169" i="71"/>
  <c r="Q168" i="71"/>
  <c r="P168" i="71"/>
  <c r="O168" i="71"/>
  <c r="N168" i="71"/>
  <c r="M168" i="71"/>
  <c r="L168" i="71"/>
  <c r="Q167" i="71"/>
  <c r="P167" i="71"/>
  <c r="O167" i="71"/>
  <c r="N167" i="71"/>
  <c r="M167" i="71"/>
  <c r="S167" i="71" s="1"/>
  <c r="L167" i="71"/>
  <c r="Q166" i="71"/>
  <c r="P166" i="71"/>
  <c r="O166" i="71"/>
  <c r="N166" i="71"/>
  <c r="M166" i="71"/>
  <c r="L166" i="71"/>
  <c r="Q165" i="71"/>
  <c r="P165" i="71"/>
  <c r="O165" i="71"/>
  <c r="N165" i="71"/>
  <c r="M165" i="71"/>
  <c r="L165" i="71"/>
  <c r="Q164" i="71"/>
  <c r="P164" i="71"/>
  <c r="O164" i="71"/>
  <c r="N164" i="71"/>
  <c r="M164" i="71"/>
  <c r="L164" i="71"/>
  <c r="Q163" i="71"/>
  <c r="P163" i="71"/>
  <c r="O163" i="71"/>
  <c r="N163" i="71"/>
  <c r="M163" i="71"/>
  <c r="L163" i="71"/>
  <c r="Q162" i="71"/>
  <c r="P162" i="71"/>
  <c r="O162" i="71"/>
  <c r="N162" i="71"/>
  <c r="M162" i="71"/>
  <c r="L162" i="71"/>
  <c r="Q161" i="71"/>
  <c r="P161" i="71"/>
  <c r="O161" i="71"/>
  <c r="N161" i="71"/>
  <c r="M161" i="71"/>
  <c r="L161" i="71"/>
  <c r="Q160" i="71"/>
  <c r="P160" i="71"/>
  <c r="O160" i="71"/>
  <c r="N160" i="71"/>
  <c r="M160" i="71"/>
  <c r="L160" i="71"/>
  <c r="Q159" i="71"/>
  <c r="P159" i="71"/>
  <c r="O159" i="71"/>
  <c r="N159" i="71"/>
  <c r="M159" i="71"/>
  <c r="L159" i="71"/>
  <c r="Q158" i="71"/>
  <c r="P158" i="71"/>
  <c r="O158" i="71"/>
  <c r="N158" i="71"/>
  <c r="M158" i="71"/>
  <c r="L158" i="71"/>
  <c r="Q157" i="71"/>
  <c r="P157" i="71"/>
  <c r="O157" i="71"/>
  <c r="N157" i="71"/>
  <c r="M157" i="71"/>
  <c r="L157" i="71"/>
  <c r="Q156" i="71"/>
  <c r="P156" i="71"/>
  <c r="O156" i="71"/>
  <c r="N156" i="71"/>
  <c r="M156" i="71"/>
  <c r="L156" i="71"/>
  <c r="Q155" i="71"/>
  <c r="P155" i="71"/>
  <c r="O155" i="71"/>
  <c r="N155" i="71"/>
  <c r="M155" i="71"/>
  <c r="L155" i="71"/>
  <c r="Q154" i="71"/>
  <c r="P154" i="71"/>
  <c r="O154" i="71"/>
  <c r="N154" i="71"/>
  <c r="M154" i="71"/>
  <c r="L154" i="71"/>
  <c r="Q153" i="71"/>
  <c r="P153" i="71"/>
  <c r="O153" i="71"/>
  <c r="N153" i="71"/>
  <c r="M153" i="71"/>
  <c r="S153" i="71" s="1"/>
  <c r="L153" i="71"/>
  <c r="Q152" i="71"/>
  <c r="P152" i="71"/>
  <c r="O152" i="71"/>
  <c r="N152" i="71"/>
  <c r="M152" i="71"/>
  <c r="L152" i="71"/>
  <c r="Q151" i="71"/>
  <c r="P151" i="71"/>
  <c r="O151" i="71"/>
  <c r="N151" i="71"/>
  <c r="M151" i="71"/>
  <c r="L151" i="71"/>
  <c r="Q150" i="71"/>
  <c r="P150" i="71"/>
  <c r="O150" i="71"/>
  <c r="N150" i="71"/>
  <c r="M150" i="71"/>
  <c r="L150" i="71"/>
  <c r="Q149" i="71"/>
  <c r="P149" i="71"/>
  <c r="O149" i="71"/>
  <c r="N149" i="71"/>
  <c r="M149" i="71"/>
  <c r="L149" i="71"/>
  <c r="T147" i="71"/>
  <c r="S147" i="71"/>
  <c r="Q147" i="71"/>
  <c r="P147" i="71"/>
  <c r="O147" i="71"/>
  <c r="N147" i="71"/>
  <c r="M147" i="71"/>
  <c r="B150" i="71"/>
  <c r="C150" i="71"/>
  <c r="D150" i="71"/>
  <c r="E150" i="71"/>
  <c r="F150" i="71"/>
  <c r="B151" i="71"/>
  <c r="C151" i="71"/>
  <c r="D151" i="71"/>
  <c r="E151" i="71"/>
  <c r="F151" i="71"/>
  <c r="B152" i="71"/>
  <c r="C152" i="71"/>
  <c r="D152" i="71"/>
  <c r="E152" i="71"/>
  <c r="F152" i="71"/>
  <c r="B153" i="71"/>
  <c r="C153" i="71"/>
  <c r="D153" i="71"/>
  <c r="E153" i="71"/>
  <c r="F153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C149" i="71"/>
  <c r="D149" i="71"/>
  <c r="E149" i="71"/>
  <c r="F149" i="71"/>
  <c r="B149" i="71"/>
  <c r="I147" i="71"/>
  <c r="N6" i="75" s="1"/>
  <c r="N80" i="75" s="1"/>
  <c r="H147" i="71"/>
  <c r="M6" i="75" s="1"/>
  <c r="M80" i="75" s="1"/>
  <c r="A80" i="75" s="1"/>
  <c r="C147" i="71"/>
  <c r="D147" i="71"/>
  <c r="E147" i="71"/>
  <c r="F147" i="71"/>
  <c r="B147" i="71"/>
  <c r="A150" i="71"/>
  <c r="A151" i="71"/>
  <c r="A152" i="71"/>
  <c r="A153" i="71"/>
  <c r="A154" i="71"/>
  <c r="A155" i="71"/>
  <c r="A156" i="71"/>
  <c r="A157" i="71"/>
  <c r="A158" i="71"/>
  <c r="A159" i="71"/>
  <c r="A160" i="71"/>
  <c r="A161" i="71"/>
  <c r="A162" i="71"/>
  <c r="A163" i="71"/>
  <c r="A164" i="71"/>
  <c r="A165" i="71"/>
  <c r="A166" i="71"/>
  <c r="A167" i="71"/>
  <c r="A168" i="71"/>
  <c r="A169" i="71"/>
  <c r="A170" i="71"/>
  <c r="A171" i="71"/>
  <c r="A172" i="71"/>
  <c r="A173" i="71"/>
  <c r="A175" i="71"/>
  <c r="A149" i="71"/>
  <c r="P36" i="31"/>
  <c r="O63" i="31"/>
  <c r="O53" i="31"/>
  <c r="O54" i="31"/>
  <c r="O55" i="31"/>
  <c r="O56" i="31"/>
  <c r="O57" i="31"/>
  <c r="O58" i="31"/>
  <c r="O59" i="31"/>
  <c r="O60" i="31"/>
  <c r="O61" i="31"/>
  <c r="O64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S152" i="71" l="1"/>
  <c r="I164" i="71"/>
  <c r="N26" i="75" s="1"/>
  <c r="AD161" i="71"/>
  <c r="AD173" i="71"/>
  <c r="I163" i="71"/>
  <c r="N27" i="75" s="1"/>
  <c r="S158" i="71"/>
  <c r="S170" i="71"/>
  <c r="AD155" i="71"/>
  <c r="AD167" i="71"/>
  <c r="AD164" i="71"/>
  <c r="H150" i="71"/>
  <c r="M48" i="75" s="1"/>
  <c r="I171" i="71"/>
  <c r="N13" i="75" s="1"/>
  <c r="I159" i="71"/>
  <c r="N35" i="75" s="1"/>
  <c r="I152" i="71"/>
  <c r="N44" i="75" s="1"/>
  <c r="S149" i="71"/>
  <c r="I151" i="71"/>
  <c r="N45" i="75" s="1"/>
  <c r="S155" i="71"/>
  <c r="S161" i="71"/>
  <c r="AD152" i="71"/>
  <c r="AD158" i="71"/>
  <c r="T175" i="71"/>
  <c r="AD170" i="71"/>
  <c r="H154" i="71"/>
  <c r="M42" i="75" s="1"/>
  <c r="H172" i="71"/>
  <c r="M10" i="75" s="1"/>
  <c r="S164" i="71"/>
  <c r="I153" i="71"/>
  <c r="N43" i="75" s="1"/>
  <c r="H160" i="71"/>
  <c r="M32" i="75" s="1"/>
  <c r="T172" i="71"/>
  <c r="S150" i="71"/>
  <c r="H173" i="71"/>
  <c r="M9" i="75" s="1"/>
  <c r="H161" i="71"/>
  <c r="M31" i="75" s="1"/>
  <c r="I149" i="71"/>
  <c r="N49" i="75" s="1"/>
  <c r="AD149" i="71"/>
  <c r="H171" i="71"/>
  <c r="M13" i="75" s="1"/>
  <c r="H159" i="71"/>
  <c r="M35" i="75" s="1"/>
  <c r="I162" i="71"/>
  <c r="N28" i="75" s="1"/>
  <c r="I150" i="71"/>
  <c r="N48" i="75" s="1"/>
  <c r="H170" i="71"/>
  <c r="M14" i="75" s="1"/>
  <c r="H158" i="71"/>
  <c r="M36" i="75" s="1"/>
  <c r="I173" i="71"/>
  <c r="N9" i="75" s="1"/>
  <c r="I161" i="71"/>
  <c r="N31" i="75" s="1"/>
  <c r="H169" i="71"/>
  <c r="M17" i="75" s="1"/>
  <c r="H157" i="71"/>
  <c r="M37" i="75" s="1"/>
  <c r="I172" i="71"/>
  <c r="N10" i="75" s="1"/>
  <c r="I160" i="71"/>
  <c r="N32" i="75" s="1"/>
  <c r="H168" i="71"/>
  <c r="M18" i="75" s="1"/>
  <c r="H156" i="71"/>
  <c r="M38" i="75" s="1"/>
  <c r="H167" i="71"/>
  <c r="M21" i="75" s="1"/>
  <c r="H155" i="71"/>
  <c r="M39" i="75" s="1"/>
  <c r="I170" i="71"/>
  <c r="N14" i="75" s="1"/>
  <c r="I158" i="71"/>
  <c r="N36" i="75" s="1"/>
  <c r="H166" i="71"/>
  <c r="M22" i="75" s="1"/>
  <c r="I169" i="71"/>
  <c r="N17" i="75" s="1"/>
  <c r="I157" i="71"/>
  <c r="N37" i="75" s="1"/>
  <c r="H165" i="71"/>
  <c r="M25" i="75" s="1"/>
  <c r="H153" i="71"/>
  <c r="M43" i="75" s="1"/>
  <c r="I168" i="71"/>
  <c r="N18" i="75" s="1"/>
  <c r="I156" i="71"/>
  <c r="N38" i="75" s="1"/>
  <c r="H164" i="71"/>
  <c r="M26" i="75" s="1"/>
  <c r="H152" i="71"/>
  <c r="M44" i="75" s="1"/>
  <c r="I167" i="71"/>
  <c r="N21" i="75" s="1"/>
  <c r="I155" i="71"/>
  <c r="N39" i="75" s="1"/>
  <c r="H149" i="71"/>
  <c r="M49" i="75" s="1"/>
  <c r="H163" i="71"/>
  <c r="M27" i="75" s="1"/>
  <c r="H151" i="71"/>
  <c r="M45" i="75" s="1"/>
  <c r="I166" i="71"/>
  <c r="N22" i="75" s="1"/>
  <c r="I154" i="71"/>
  <c r="N42" i="75" s="1"/>
  <c r="H162" i="71"/>
  <c r="M28" i="75" s="1"/>
  <c r="I165" i="71"/>
  <c r="N25" i="75" s="1"/>
  <c r="AD175" i="71"/>
  <c r="AE175" i="71"/>
  <c r="AE170" i="71"/>
  <c r="AE152" i="71"/>
  <c r="AE155" i="71"/>
  <c r="AE158" i="71"/>
  <c r="AE161" i="71"/>
  <c r="AE164" i="71"/>
  <c r="AE167" i="71"/>
  <c r="AE149" i="71"/>
  <c r="AE173" i="71"/>
  <c r="AD151" i="71"/>
  <c r="AD154" i="71"/>
  <c r="AD157" i="71"/>
  <c r="AD160" i="71"/>
  <c r="AD163" i="71"/>
  <c r="AD166" i="71"/>
  <c r="AD169" i="71"/>
  <c r="AD172" i="71"/>
  <c r="AE151" i="71"/>
  <c r="AE154" i="71"/>
  <c r="AE157" i="71"/>
  <c r="AE160" i="71"/>
  <c r="AE163" i="71"/>
  <c r="AE166" i="71"/>
  <c r="AE169" i="71"/>
  <c r="AE172" i="71"/>
  <c r="AD150" i="71"/>
  <c r="AD153" i="71"/>
  <c r="AD156" i="71"/>
  <c r="AD159" i="71"/>
  <c r="AD162" i="71"/>
  <c r="AD165" i="71"/>
  <c r="AD168" i="71"/>
  <c r="AD171" i="71"/>
  <c r="AE150" i="71"/>
  <c r="AE153" i="71"/>
  <c r="AE156" i="71"/>
  <c r="AE159" i="71"/>
  <c r="AE162" i="71"/>
  <c r="AE165" i="71"/>
  <c r="AE168" i="71"/>
  <c r="AE171" i="71"/>
  <c r="S171" i="71"/>
  <c r="S175" i="71"/>
  <c r="T153" i="71"/>
  <c r="T168" i="71"/>
  <c r="S173" i="71"/>
  <c r="T152" i="71"/>
  <c r="T158" i="71"/>
  <c r="T167" i="71"/>
  <c r="T149" i="71"/>
  <c r="T164" i="71"/>
  <c r="T170" i="71"/>
  <c r="T161" i="71"/>
  <c r="S151" i="71"/>
  <c r="S154" i="71"/>
  <c r="S157" i="71"/>
  <c r="S160" i="71"/>
  <c r="S163" i="71"/>
  <c r="S166" i="71"/>
  <c r="S169" i="71"/>
  <c r="S172" i="71"/>
  <c r="T155" i="71"/>
  <c r="T173" i="71"/>
  <c r="T151" i="71"/>
  <c r="T154" i="71"/>
  <c r="T157" i="71"/>
  <c r="T160" i="71"/>
  <c r="T163" i="71"/>
  <c r="T166" i="71"/>
  <c r="T169" i="71"/>
  <c r="S168" i="71"/>
  <c r="S156" i="71"/>
  <c r="S159" i="71"/>
  <c r="S162" i="71"/>
  <c r="S165" i="71"/>
  <c r="T150" i="71"/>
  <c r="T156" i="71"/>
  <c r="T159" i="71"/>
  <c r="T162" i="71"/>
  <c r="T165" i="71"/>
  <c r="T171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9" i="103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U18" i="109" s="1"/>
  <c r="AO18" i="109"/>
  <c r="AN18" i="109"/>
  <c r="AM18" i="109"/>
  <c r="AJ18" i="109"/>
  <c r="AI18" i="109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K18" i="109"/>
  <c r="AK33" i="109" s="1"/>
  <c r="O18" i="109"/>
  <c r="O33" i="109" s="1"/>
  <c r="O34" i="109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O54" i="109" s="1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P54" i="109"/>
  <c r="AO54" i="109"/>
  <c r="N28" i="108" s="1"/>
  <c r="AN54" i="109"/>
  <c r="O28" i="108" s="1"/>
  <c r="AM54" i="109"/>
  <c r="P28" i="108" s="1"/>
  <c r="AJ54" i="109"/>
  <c r="AI54" i="109"/>
  <c r="AH54" i="109"/>
  <c r="AG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G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G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G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G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G48" i="109"/>
  <c r="AU47" i="109"/>
  <c r="AT47" i="109"/>
  <c r="AS47" i="109"/>
  <c r="AR47" i="109"/>
  <c r="AP47" i="109"/>
  <c r="AO47" i="109"/>
  <c r="N21" i="108" s="1"/>
  <c r="AN47" i="109"/>
  <c r="O21" i="108" s="1"/>
  <c r="AM47" i="109"/>
  <c r="P21" i="108" s="1"/>
  <c r="AK47" i="109"/>
  <c r="AJ47" i="109"/>
  <c r="AI47" i="109"/>
  <c r="AH47" i="109"/>
  <c r="AG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G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G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G44" i="109"/>
  <c r="AR41" i="109"/>
  <c r="AM41" i="109"/>
  <c r="AH41" i="109"/>
  <c r="AU36" i="109"/>
  <c r="AT36" i="109"/>
  <c r="AS36" i="109"/>
  <c r="AR36" i="109"/>
  <c r="AP36" i="109"/>
  <c r="AO36" i="109"/>
  <c r="AN36" i="109"/>
  <c r="AM36" i="109"/>
  <c r="AJ36" i="109"/>
  <c r="AI36" i="109"/>
  <c r="AH36" i="109"/>
  <c r="AG36" i="109"/>
  <c r="AU34" i="109"/>
  <c r="AT34" i="109"/>
  <c r="AS34" i="109"/>
  <c r="AR34" i="109"/>
  <c r="AP34" i="109"/>
  <c r="AO34" i="109"/>
  <c r="AN34" i="109"/>
  <c r="AM34" i="109"/>
  <c r="AJ34" i="109"/>
  <c r="AI34" i="109"/>
  <c r="AH34" i="109"/>
  <c r="AG34" i="109"/>
  <c r="AU33" i="109"/>
  <c r="AT33" i="109"/>
  <c r="AS33" i="109"/>
  <c r="AR33" i="109"/>
  <c r="AP33" i="109"/>
  <c r="AO33" i="109"/>
  <c r="AN33" i="109"/>
  <c r="AM33" i="109"/>
  <c r="AJ33" i="109"/>
  <c r="AI33" i="109"/>
  <c r="AH33" i="109"/>
  <c r="AG33" i="109"/>
  <c r="AU32" i="109"/>
  <c r="AT32" i="109"/>
  <c r="AS32" i="109"/>
  <c r="AR32" i="109"/>
  <c r="AP32" i="109"/>
  <c r="AO32" i="109"/>
  <c r="AN32" i="109"/>
  <c r="AM32" i="109"/>
  <c r="AJ32" i="109"/>
  <c r="AI32" i="109"/>
  <c r="AH32" i="109"/>
  <c r="AG32" i="109"/>
  <c r="AU31" i="109"/>
  <c r="AT31" i="109"/>
  <c r="AS31" i="109"/>
  <c r="AR31" i="109"/>
  <c r="AP31" i="109"/>
  <c r="AO31" i="109"/>
  <c r="AN31" i="109"/>
  <c r="AM31" i="109"/>
  <c r="AJ31" i="109"/>
  <c r="AI31" i="109"/>
  <c r="AH31" i="109"/>
  <c r="AG31" i="109"/>
  <c r="AU30" i="109"/>
  <c r="AT30" i="109"/>
  <c r="AS30" i="109"/>
  <c r="AR30" i="109"/>
  <c r="AP30" i="109"/>
  <c r="AO30" i="109"/>
  <c r="AN30" i="109"/>
  <c r="AM30" i="109"/>
  <c r="AJ30" i="109"/>
  <c r="AI30" i="109"/>
  <c r="AH30" i="109"/>
  <c r="AG30" i="109"/>
  <c r="AU29" i="109"/>
  <c r="AT29" i="109"/>
  <c r="AS29" i="109"/>
  <c r="AR29" i="109"/>
  <c r="AP29" i="109"/>
  <c r="AO29" i="109"/>
  <c r="AN29" i="109"/>
  <c r="AM29" i="109"/>
  <c r="AJ29" i="109"/>
  <c r="AI29" i="109"/>
  <c r="AH29" i="109"/>
  <c r="AG29" i="109"/>
  <c r="AU28" i="109"/>
  <c r="AT28" i="109"/>
  <c r="AS28" i="109"/>
  <c r="AR28" i="109"/>
  <c r="AP28" i="109"/>
  <c r="AO28" i="109"/>
  <c r="AN28" i="109"/>
  <c r="AM28" i="109"/>
  <c r="AJ28" i="109"/>
  <c r="AI28" i="109"/>
  <c r="AH28" i="109"/>
  <c r="AG28" i="109"/>
  <c r="AU27" i="109"/>
  <c r="AT27" i="109"/>
  <c r="AS27" i="109"/>
  <c r="AR27" i="109"/>
  <c r="AP27" i="109"/>
  <c r="AO27" i="109"/>
  <c r="AN27" i="109"/>
  <c r="AM27" i="109"/>
  <c r="AJ27" i="109"/>
  <c r="AI27" i="109"/>
  <c r="AH27" i="109"/>
  <c r="AG27" i="109"/>
  <c r="AU26" i="109"/>
  <c r="AT26" i="109"/>
  <c r="AS26" i="109"/>
  <c r="AR26" i="109"/>
  <c r="AP26" i="109"/>
  <c r="AO26" i="109"/>
  <c r="AN26" i="109"/>
  <c r="AM26" i="109"/>
  <c r="AJ26" i="109"/>
  <c r="AI26" i="109"/>
  <c r="AH26" i="109"/>
  <c r="AG26" i="109"/>
  <c r="AR23" i="109"/>
  <c r="AM23" i="109"/>
  <c r="AH23" i="109"/>
  <c r="AG1" i="109"/>
  <c r="Q1" i="109"/>
  <c r="W54" i="109"/>
  <c r="P43" i="108" s="1"/>
  <c r="U54" i="109"/>
  <c r="T54" i="109"/>
  <c r="Q54" i="109"/>
  <c r="W52" i="109"/>
  <c r="P41" i="108" s="1"/>
  <c r="U52" i="109"/>
  <c r="T52" i="109"/>
  <c r="Q52" i="109"/>
  <c r="W51" i="109"/>
  <c r="P40" i="108" s="1"/>
  <c r="U51" i="109"/>
  <c r="T51" i="109"/>
  <c r="Q51" i="109"/>
  <c r="W50" i="109"/>
  <c r="P39" i="108" s="1"/>
  <c r="U50" i="109"/>
  <c r="T50" i="109"/>
  <c r="Q50" i="109"/>
  <c r="W49" i="109"/>
  <c r="P38" i="108" s="1"/>
  <c r="U49" i="109"/>
  <c r="T49" i="109"/>
  <c r="Q49" i="109"/>
  <c r="W48" i="109"/>
  <c r="P37" i="108" s="1"/>
  <c r="U48" i="109"/>
  <c r="T48" i="109"/>
  <c r="Q48" i="109"/>
  <c r="W47" i="109"/>
  <c r="P36" i="108" s="1"/>
  <c r="U47" i="109"/>
  <c r="T47" i="109"/>
  <c r="Q47" i="109"/>
  <c r="W46" i="109"/>
  <c r="P35" i="108" s="1"/>
  <c r="U46" i="109"/>
  <c r="T46" i="109"/>
  <c r="Q46" i="109"/>
  <c r="W45" i="109"/>
  <c r="P34" i="108" s="1"/>
  <c r="U45" i="109"/>
  <c r="T45" i="109"/>
  <c r="Q45" i="109"/>
  <c r="W44" i="109"/>
  <c r="P33" i="108" s="1"/>
  <c r="U44" i="109"/>
  <c r="T44" i="109"/>
  <c r="Q44" i="109"/>
  <c r="AB41" i="109"/>
  <c r="W41" i="109"/>
  <c r="R41" i="109"/>
  <c r="AB36" i="109"/>
  <c r="Z36" i="109"/>
  <c r="Y36" i="109"/>
  <c r="X36" i="109"/>
  <c r="W36" i="109"/>
  <c r="U36" i="109"/>
  <c r="T36" i="109"/>
  <c r="Q36" i="109"/>
  <c r="AB34" i="109"/>
  <c r="Z34" i="109"/>
  <c r="Y34" i="109"/>
  <c r="X34" i="109"/>
  <c r="W34" i="109"/>
  <c r="U34" i="109"/>
  <c r="T34" i="109"/>
  <c r="Q34" i="109"/>
  <c r="AB33" i="109"/>
  <c r="Z33" i="109"/>
  <c r="Y33" i="109"/>
  <c r="X33" i="109"/>
  <c r="W33" i="109"/>
  <c r="U33" i="109"/>
  <c r="T33" i="109"/>
  <c r="Q33" i="109"/>
  <c r="AB32" i="109"/>
  <c r="Z32" i="109"/>
  <c r="Y32" i="109"/>
  <c r="X32" i="109"/>
  <c r="W32" i="109"/>
  <c r="U32" i="109"/>
  <c r="T32" i="109"/>
  <c r="Q32" i="109"/>
  <c r="AB31" i="109"/>
  <c r="Z31" i="109"/>
  <c r="Y31" i="109"/>
  <c r="X31" i="109"/>
  <c r="W31" i="109"/>
  <c r="U31" i="109"/>
  <c r="T31" i="109"/>
  <c r="Q31" i="109"/>
  <c r="AB30" i="109"/>
  <c r="Z30" i="109"/>
  <c r="Y30" i="109"/>
  <c r="X30" i="109"/>
  <c r="W30" i="109"/>
  <c r="U30" i="109"/>
  <c r="T30" i="109"/>
  <c r="Q30" i="109"/>
  <c r="AB29" i="109"/>
  <c r="Z29" i="109"/>
  <c r="Y29" i="109"/>
  <c r="X29" i="109"/>
  <c r="W29" i="109"/>
  <c r="U29" i="109"/>
  <c r="T29" i="109"/>
  <c r="Q29" i="109"/>
  <c r="AB28" i="109"/>
  <c r="Z28" i="109"/>
  <c r="Y28" i="109"/>
  <c r="X28" i="109"/>
  <c r="W28" i="109"/>
  <c r="U28" i="109"/>
  <c r="T28" i="109"/>
  <c r="Q28" i="109"/>
  <c r="AB27" i="109"/>
  <c r="Z27" i="109"/>
  <c r="Y27" i="109"/>
  <c r="X27" i="109"/>
  <c r="W27" i="109"/>
  <c r="U27" i="109"/>
  <c r="T27" i="109"/>
  <c r="Q27" i="109"/>
  <c r="AB26" i="109"/>
  <c r="Z26" i="109"/>
  <c r="Y26" i="109"/>
  <c r="X26" i="109"/>
  <c r="W26" i="109"/>
  <c r="U26" i="109"/>
  <c r="T26" i="109"/>
  <c r="Q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O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E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1" i="109"/>
  <c r="A8" i="109"/>
  <c r="A9" i="109"/>
  <c r="A10" i="109"/>
  <c r="A11" i="109"/>
  <c r="A12" i="109"/>
  <c r="A13" i="109"/>
  <c r="A14" i="109"/>
  <c r="A15" i="109"/>
  <c r="A16" i="109"/>
  <c r="A18" i="109"/>
  <c r="N1" i="108"/>
  <c r="M34" i="108"/>
  <c r="M35" i="108"/>
  <c r="M36" i="108"/>
  <c r="M37" i="108"/>
  <c r="M38" i="108"/>
  <c r="M39" i="108"/>
  <c r="M40" i="108"/>
  <c r="M41" i="108"/>
  <c r="M43" i="108"/>
  <c r="M33" i="108"/>
  <c r="M19" i="108"/>
  <c r="M20" i="108"/>
  <c r="M21" i="108"/>
  <c r="M22" i="108"/>
  <c r="M23" i="108"/>
  <c r="M24" i="108"/>
  <c r="M25" i="108"/>
  <c r="M26" i="108"/>
  <c r="M28" i="108"/>
  <c r="M18" i="108"/>
  <c r="M13" i="108"/>
  <c r="M11" i="108"/>
  <c r="M10" i="108"/>
  <c r="M9" i="108"/>
  <c r="M8" i="108"/>
  <c r="M7" i="108"/>
  <c r="M6" i="108"/>
  <c r="M5" i="108"/>
  <c r="M4" i="108"/>
  <c r="M3" i="108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L52" i="76"/>
  <c r="L53" i="76"/>
  <c r="L55" i="76"/>
  <c r="L56" i="76"/>
  <c r="L57" i="76"/>
  <c r="L58" i="76"/>
  <c r="L59" i="76"/>
  <c r="L61" i="76"/>
  <c r="L62" i="76"/>
  <c r="L63" i="76"/>
  <c r="L64" i="76"/>
  <c r="L65" i="76"/>
  <c r="L66" i="76"/>
  <c r="L68" i="76"/>
  <c r="L69" i="76"/>
  <c r="L70" i="76"/>
  <c r="L72" i="76"/>
  <c r="L73" i="76"/>
  <c r="L74" i="76"/>
  <c r="L75" i="76"/>
  <c r="L76" i="76"/>
  <c r="L78" i="76"/>
  <c r="L79" i="76"/>
  <c r="L80" i="76"/>
  <c r="L82" i="76"/>
  <c r="L83" i="76"/>
  <c r="L84" i="76"/>
  <c r="L86" i="76"/>
  <c r="L87" i="76"/>
  <c r="L88" i="76"/>
  <c r="L90" i="76"/>
  <c r="L91" i="76"/>
  <c r="L92" i="76"/>
  <c r="L94" i="76"/>
  <c r="L51" i="76"/>
  <c r="W1" i="71"/>
  <c r="W109" i="71"/>
  <c r="W34" i="71"/>
  <c r="W106" i="71" s="1"/>
  <c r="W9" i="71"/>
  <c r="W10" i="71"/>
  <c r="W118" i="71" s="1"/>
  <c r="W11" i="71"/>
  <c r="W119" i="71" s="1"/>
  <c r="W12" i="71"/>
  <c r="W48" i="71" s="1"/>
  <c r="W13" i="71"/>
  <c r="W14" i="71"/>
  <c r="W15" i="71"/>
  <c r="W16" i="71"/>
  <c r="W17" i="71"/>
  <c r="W18" i="71"/>
  <c r="W54" i="71" s="1"/>
  <c r="W19" i="71"/>
  <c r="W55" i="71" s="1"/>
  <c r="W20" i="71"/>
  <c r="W56" i="71" s="1"/>
  <c r="W21" i="71"/>
  <c r="W22" i="71"/>
  <c r="W130" i="71" s="1"/>
  <c r="W23" i="71"/>
  <c r="W131" i="71" s="1"/>
  <c r="W24" i="71"/>
  <c r="W96" i="71" s="1"/>
  <c r="W25" i="71"/>
  <c r="W26" i="71"/>
  <c r="W27" i="71"/>
  <c r="W28" i="71"/>
  <c r="W29" i="71"/>
  <c r="W101" i="71" s="1"/>
  <c r="W30" i="71"/>
  <c r="W138" i="71" s="1"/>
  <c r="W31" i="71"/>
  <c r="W67" i="71" s="1"/>
  <c r="W32" i="71"/>
  <c r="W104" i="71" s="1"/>
  <c r="W8" i="71"/>
  <c r="W116" i="71" s="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W134" i="71"/>
  <c r="AB133" i="71"/>
  <c r="AA133" i="71"/>
  <c r="Z133" i="71"/>
  <c r="Y133" i="71"/>
  <c r="X133" i="71"/>
  <c r="AB132" i="71"/>
  <c r="AA132" i="71"/>
  <c r="Z132" i="71"/>
  <c r="Y132" i="71"/>
  <c r="X132" i="71"/>
  <c r="W132" i="71"/>
  <c r="AB131" i="71"/>
  <c r="AA131" i="71"/>
  <c r="Z131" i="71"/>
  <c r="Y131" i="71"/>
  <c r="X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W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W124" i="71"/>
  <c r="AB123" i="71"/>
  <c r="AA123" i="71"/>
  <c r="Z123" i="71"/>
  <c r="Y123" i="71"/>
  <c r="X123" i="71"/>
  <c r="AB122" i="71"/>
  <c r="AA122" i="71"/>
  <c r="Z122" i="71"/>
  <c r="Y122" i="71"/>
  <c r="X122" i="71"/>
  <c r="W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8" i="71"/>
  <c r="AA118" i="71"/>
  <c r="Z118" i="71"/>
  <c r="Y118" i="71"/>
  <c r="X118" i="71"/>
  <c r="AB117" i="71"/>
  <c r="AA117" i="71"/>
  <c r="Z117" i="71"/>
  <c r="Y117" i="71"/>
  <c r="X117" i="71"/>
  <c r="AB116" i="71"/>
  <c r="AA116" i="71"/>
  <c r="Z116" i="71"/>
  <c r="Y116" i="71"/>
  <c r="X116" i="71"/>
  <c r="AB114" i="71"/>
  <c r="AA114" i="71"/>
  <c r="Z114" i="71"/>
  <c r="Y114" i="71"/>
  <c r="X114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W100" i="71"/>
  <c r="AE99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Z91" i="71"/>
  <c r="Y91" i="71"/>
  <c r="X91" i="71"/>
  <c r="AB90" i="71"/>
  <c r="AA90" i="71"/>
  <c r="Z90" i="71"/>
  <c r="Y90" i="71"/>
  <c r="X90" i="71"/>
  <c r="AB89" i="71"/>
  <c r="AA89" i="71"/>
  <c r="Z89" i="71"/>
  <c r="Y89" i="71"/>
  <c r="X89" i="71"/>
  <c r="AB88" i="71"/>
  <c r="AA88" i="71"/>
  <c r="Z88" i="71"/>
  <c r="Y88" i="71"/>
  <c r="X88" i="71"/>
  <c r="W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1" i="71"/>
  <c r="AA81" i="71"/>
  <c r="Z81" i="71"/>
  <c r="Y81" i="71"/>
  <c r="X81" i="71"/>
  <c r="AB80" i="71"/>
  <c r="AA80" i="71"/>
  <c r="Z80" i="71"/>
  <c r="Y80" i="71"/>
  <c r="X80" i="71"/>
  <c r="AF78" i="71"/>
  <c r="AE78" i="71"/>
  <c r="AB78" i="71"/>
  <c r="AA78" i="71"/>
  <c r="Z78" i="71"/>
  <c r="Y78" i="71"/>
  <c r="X78" i="71"/>
  <c r="AA67" i="71"/>
  <c r="Y67" i="71"/>
  <c r="AB64" i="71"/>
  <c r="AA63" i="71"/>
  <c r="Y63" i="71"/>
  <c r="W63" i="71"/>
  <c r="W62" i="71"/>
  <c r="AB60" i="71"/>
  <c r="W60" i="71"/>
  <c r="AA59" i="71"/>
  <c r="Y59" i="71"/>
  <c r="W59" i="71"/>
  <c r="Y57" i="71"/>
  <c r="AB56" i="71"/>
  <c r="AA55" i="71"/>
  <c r="Y55" i="71"/>
  <c r="Y53" i="71"/>
  <c r="AB52" i="71"/>
  <c r="Y52" i="71"/>
  <c r="AA51" i="71"/>
  <c r="Y51" i="71"/>
  <c r="W51" i="71"/>
  <c r="W50" i="71"/>
  <c r="Y49" i="71"/>
  <c r="AB48" i="71"/>
  <c r="Y48" i="71"/>
  <c r="AA47" i="71"/>
  <c r="Y47" i="71"/>
  <c r="W47" i="71"/>
  <c r="Y45" i="71"/>
  <c r="AB44" i="71"/>
  <c r="Y44" i="71"/>
  <c r="AF42" i="71"/>
  <c r="AE42" i="71"/>
  <c r="AD42" i="71"/>
  <c r="AD78" i="71" s="1"/>
  <c r="AB42" i="71"/>
  <c r="AA42" i="71"/>
  <c r="Z42" i="71"/>
  <c r="Y42" i="71"/>
  <c r="X42" i="71"/>
  <c r="AF41" i="71"/>
  <c r="AF77" i="71" s="1"/>
  <c r="AE41" i="71"/>
  <c r="AE77" i="71" s="1"/>
  <c r="AD41" i="71"/>
  <c r="AD77" i="71" s="1"/>
  <c r="AB142" i="71"/>
  <c r="Z142" i="71"/>
  <c r="Y106" i="71"/>
  <c r="X142" i="71"/>
  <c r="X106" i="71"/>
  <c r="AE104" i="71"/>
  <c r="AD32" i="71"/>
  <c r="AD68" i="71" s="1"/>
  <c r="AD104" i="71" s="1"/>
  <c r="AE67" i="71"/>
  <c r="AD31" i="71"/>
  <c r="AD67" i="71" s="1"/>
  <c r="AD103" i="71" s="1"/>
  <c r="AE66" i="71"/>
  <c r="AD30" i="71"/>
  <c r="AD66" i="71" s="1"/>
  <c r="AD102" i="71" s="1"/>
  <c r="AE65" i="71"/>
  <c r="AD29" i="71"/>
  <c r="AE100" i="71"/>
  <c r="AD28" i="71"/>
  <c r="AD64" i="71" s="1"/>
  <c r="AD100" i="71" s="1"/>
  <c r="W64" i="71"/>
  <c r="AE63" i="71"/>
  <c r="AD27" i="71"/>
  <c r="W135" i="71"/>
  <c r="AE62" i="71"/>
  <c r="AD26" i="71"/>
  <c r="AF26" i="71" s="1"/>
  <c r="AF62" i="71" s="1"/>
  <c r="AF98" i="71" s="1"/>
  <c r="W98" i="71"/>
  <c r="AE61" i="71"/>
  <c r="AD25" i="71"/>
  <c r="AF25" i="71" s="1"/>
  <c r="AF61" i="71" s="1"/>
  <c r="AF97" i="71" s="1"/>
  <c r="W97" i="71"/>
  <c r="AE96" i="71"/>
  <c r="AD24" i="71"/>
  <c r="AD60" i="71" s="1"/>
  <c r="AD96" i="71" s="1"/>
  <c r="AE59" i="71"/>
  <c r="AD23" i="71"/>
  <c r="AE58" i="71"/>
  <c r="AD22" i="71"/>
  <c r="AD58" i="71" s="1"/>
  <c r="AD94" i="71" s="1"/>
  <c r="AE57" i="71"/>
  <c r="AD21" i="71"/>
  <c r="AD57" i="71" s="1"/>
  <c r="AD93" i="71" s="1"/>
  <c r="W93" i="71"/>
  <c r="AE92" i="71"/>
  <c r="AD20" i="71"/>
  <c r="AE55" i="71"/>
  <c r="AD19" i="71"/>
  <c r="AD55" i="71" s="1"/>
  <c r="AD91" i="71" s="1"/>
  <c r="AE54" i="71"/>
  <c r="AD18" i="71"/>
  <c r="AE53" i="71"/>
  <c r="AD17" i="71"/>
  <c r="AF17" i="71" s="1"/>
  <c r="AF53" i="71" s="1"/>
  <c r="AF89" i="71" s="1"/>
  <c r="W89" i="71"/>
  <c r="AE88" i="71"/>
  <c r="AD16" i="71"/>
  <c r="AD52" i="71" s="1"/>
  <c r="AD88" i="71" s="1"/>
  <c r="W52" i="71"/>
  <c r="AE51" i="71"/>
  <c r="AD15" i="71"/>
  <c r="W123" i="71"/>
  <c r="AE50" i="71"/>
  <c r="AD14" i="71"/>
  <c r="AF14" i="71" s="1"/>
  <c r="AF50" i="71" s="1"/>
  <c r="AF86" i="71" s="1"/>
  <c r="W86" i="71"/>
  <c r="AE49" i="71"/>
  <c r="AD13" i="71"/>
  <c r="AF13" i="71" s="1"/>
  <c r="AF49" i="71" s="1"/>
  <c r="AF85" i="71" s="1"/>
  <c r="W85" i="71"/>
  <c r="AE84" i="71"/>
  <c r="AD12" i="71"/>
  <c r="AD48" i="71" s="1"/>
  <c r="AD84" i="71" s="1"/>
  <c r="AE47" i="71"/>
  <c r="AD11" i="71"/>
  <c r="AE46" i="71"/>
  <c r="AD10" i="71"/>
  <c r="AD46" i="71" s="1"/>
  <c r="AD82" i="71" s="1"/>
  <c r="AE45" i="71"/>
  <c r="AD9" i="71"/>
  <c r="W81" i="71"/>
  <c r="AE80" i="71"/>
  <c r="AD8" i="71"/>
  <c r="AD4" i="71"/>
  <c r="L1" i="71"/>
  <c r="L109" i="71"/>
  <c r="L34" i="71"/>
  <c r="L106" i="71" s="1"/>
  <c r="L9" i="71"/>
  <c r="L81" i="71" s="1"/>
  <c r="L10" i="71"/>
  <c r="L82" i="71" s="1"/>
  <c r="L11" i="71"/>
  <c r="L47" i="71" s="1"/>
  <c r="L12" i="71"/>
  <c r="L120" i="71" s="1"/>
  <c r="L13" i="71"/>
  <c r="L14" i="71"/>
  <c r="L15" i="71"/>
  <c r="L16" i="71"/>
  <c r="L52" i="71" s="1"/>
  <c r="L17" i="71"/>
  <c r="L53" i="71" s="1"/>
  <c r="L18" i="71"/>
  <c r="L54" i="71" s="1"/>
  <c r="L19" i="71"/>
  <c r="L20" i="71"/>
  <c r="L21" i="71"/>
  <c r="L22" i="71"/>
  <c r="L94" i="71" s="1"/>
  <c r="L23" i="71"/>
  <c r="L131" i="71" s="1"/>
  <c r="L24" i="71"/>
  <c r="L132" i="71" s="1"/>
  <c r="L25" i="71"/>
  <c r="L26" i="71"/>
  <c r="L98" i="71" s="1"/>
  <c r="L27" i="71"/>
  <c r="L28" i="71"/>
  <c r="L29" i="71"/>
  <c r="L65" i="71" s="1"/>
  <c r="L30" i="71"/>
  <c r="L66" i="71" s="1"/>
  <c r="L31" i="71"/>
  <c r="L32" i="71"/>
  <c r="L140" i="71" s="1"/>
  <c r="L8" i="71"/>
  <c r="L44" i="71" s="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8" i="71"/>
  <c r="P118" i="71"/>
  <c r="O118" i="71"/>
  <c r="N118" i="71"/>
  <c r="M118" i="71"/>
  <c r="Q117" i="71"/>
  <c r="P117" i="71"/>
  <c r="O117" i="71"/>
  <c r="N117" i="71"/>
  <c r="M117" i="71"/>
  <c r="Q116" i="71"/>
  <c r="P116" i="71"/>
  <c r="O116" i="71"/>
  <c r="N116" i="71"/>
  <c r="M116" i="71"/>
  <c r="Q114" i="71"/>
  <c r="P114" i="71"/>
  <c r="O114" i="71"/>
  <c r="N114" i="71"/>
  <c r="M114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Q89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1" i="71"/>
  <c r="P81" i="71"/>
  <c r="O81" i="71"/>
  <c r="N81" i="71"/>
  <c r="M81" i="71"/>
  <c r="Q80" i="71"/>
  <c r="P80" i="71"/>
  <c r="O80" i="71"/>
  <c r="N80" i="71"/>
  <c r="M80" i="71"/>
  <c r="U78" i="71"/>
  <c r="T78" i="71"/>
  <c r="Q78" i="71"/>
  <c r="P78" i="71"/>
  <c r="O78" i="71"/>
  <c r="N78" i="71"/>
  <c r="M78" i="71"/>
  <c r="L68" i="71"/>
  <c r="L63" i="71"/>
  <c r="L62" i="71"/>
  <c r="L56" i="71"/>
  <c r="L51" i="71"/>
  <c r="L50" i="71"/>
  <c r="U42" i="71"/>
  <c r="T42" i="71"/>
  <c r="S42" i="71"/>
  <c r="S78" i="71" s="1"/>
  <c r="Q42" i="71"/>
  <c r="P42" i="71"/>
  <c r="O42" i="71"/>
  <c r="N42" i="71"/>
  <c r="M42" i="71"/>
  <c r="U41" i="71"/>
  <c r="U77" i="71" s="1"/>
  <c r="T41" i="71"/>
  <c r="T77" i="71" s="1"/>
  <c r="S41" i="71"/>
  <c r="S77" i="71" s="1"/>
  <c r="Q70" i="71"/>
  <c r="M67" i="71"/>
  <c r="T104" i="71"/>
  <c r="S32" i="71"/>
  <c r="S68" i="71" s="1"/>
  <c r="S104" i="71" s="1"/>
  <c r="T67" i="71"/>
  <c r="S31" i="71"/>
  <c r="L67" i="71"/>
  <c r="T66" i="71"/>
  <c r="S30" i="71"/>
  <c r="S66" i="71" s="1"/>
  <c r="S102" i="71" s="1"/>
  <c r="T65" i="71"/>
  <c r="S29" i="71"/>
  <c r="S65" i="71" s="1"/>
  <c r="S101" i="71" s="1"/>
  <c r="L101" i="71"/>
  <c r="T100" i="71"/>
  <c r="S28" i="71"/>
  <c r="S64" i="71" s="1"/>
  <c r="S100" i="71" s="1"/>
  <c r="L64" i="71"/>
  <c r="T63" i="71"/>
  <c r="S27" i="71"/>
  <c r="S63" i="71" s="1"/>
  <c r="S99" i="71" s="1"/>
  <c r="L135" i="71"/>
  <c r="T62" i="71"/>
  <c r="S26" i="71"/>
  <c r="S62" i="71" s="1"/>
  <c r="S98" i="71" s="1"/>
  <c r="T61" i="71"/>
  <c r="S25" i="71"/>
  <c r="S61" i="71" s="1"/>
  <c r="S97" i="71" s="1"/>
  <c r="L97" i="71"/>
  <c r="T96" i="71"/>
  <c r="S24" i="71"/>
  <c r="T95" i="71"/>
  <c r="S23" i="71"/>
  <c r="S59" i="71" s="1"/>
  <c r="S95" i="71" s="1"/>
  <c r="T58" i="71"/>
  <c r="S22" i="71"/>
  <c r="S58" i="71" s="1"/>
  <c r="S94" i="71" s="1"/>
  <c r="T57" i="71"/>
  <c r="S21" i="71"/>
  <c r="S57" i="71" s="1"/>
  <c r="S93" i="71" s="1"/>
  <c r="L93" i="71"/>
  <c r="T92" i="71"/>
  <c r="S20" i="71"/>
  <c r="S56" i="71" s="1"/>
  <c r="S92" i="71" s="1"/>
  <c r="L128" i="71"/>
  <c r="T55" i="71"/>
  <c r="S19" i="71"/>
  <c r="S55" i="71" s="1"/>
  <c r="S91" i="71" s="1"/>
  <c r="L55" i="71"/>
  <c r="T54" i="71"/>
  <c r="S18" i="71"/>
  <c r="S54" i="71" s="1"/>
  <c r="S90" i="71" s="1"/>
  <c r="T53" i="71"/>
  <c r="S17" i="71"/>
  <c r="S53" i="71" s="1"/>
  <c r="S89" i="71" s="1"/>
  <c r="L89" i="71"/>
  <c r="T88" i="71"/>
  <c r="S16" i="71"/>
  <c r="S52" i="71" s="1"/>
  <c r="S88" i="71" s="1"/>
  <c r="T51" i="71"/>
  <c r="S15" i="71"/>
  <c r="S51" i="71" s="1"/>
  <c r="S87" i="71" s="1"/>
  <c r="L123" i="71"/>
  <c r="T50" i="71"/>
  <c r="S14" i="71"/>
  <c r="S50" i="71" s="1"/>
  <c r="S86" i="71" s="1"/>
  <c r="L86" i="71"/>
  <c r="T49" i="71"/>
  <c r="S13" i="71"/>
  <c r="S49" i="71" s="1"/>
  <c r="S85" i="71" s="1"/>
  <c r="L85" i="71"/>
  <c r="T84" i="71"/>
  <c r="S12" i="71"/>
  <c r="S48" i="71" s="1"/>
  <c r="S84" i="71" s="1"/>
  <c r="T83" i="71"/>
  <c r="S11" i="71"/>
  <c r="S47" i="71" s="1"/>
  <c r="S83" i="71" s="1"/>
  <c r="L119" i="71"/>
  <c r="T46" i="71"/>
  <c r="S10" i="71"/>
  <c r="S46" i="71" s="1"/>
  <c r="S82" i="71" s="1"/>
  <c r="T45" i="71"/>
  <c r="S9" i="71"/>
  <c r="S45" i="71" s="1"/>
  <c r="S81" i="71" s="1"/>
  <c r="T80" i="71"/>
  <c r="S8" i="71"/>
  <c r="S44" i="71" s="1"/>
  <c r="S80" i="71" s="1"/>
  <c r="S4" i="71"/>
  <c r="Y6" i="16"/>
  <c r="Z6" i="16"/>
  <c r="Z79" i="16" s="1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14" i="16"/>
  <c r="W86" i="16" s="1"/>
  <c r="W15" i="16"/>
  <c r="W87" i="16" s="1"/>
  <c r="W16" i="16"/>
  <c r="W8" i="16"/>
  <c r="W80" i="16" s="1"/>
  <c r="W85" i="16"/>
  <c r="W74" i="16"/>
  <c r="W72" i="16"/>
  <c r="W71" i="16"/>
  <c r="W70" i="16"/>
  <c r="W69" i="16"/>
  <c r="W68" i="16"/>
  <c r="W67" i="16"/>
  <c r="W66" i="16"/>
  <c r="W65" i="16"/>
  <c r="W64" i="16"/>
  <c r="W56" i="16"/>
  <c r="W54" i="16"/>
  <c r="W53" i="16"/>
  <c r="W52" i="16"/>
  <c r="W51" i="16"/>
  <c r="W50" i="16"/>
  <c r="W49" i="16"/>
  <c r="W48" i="16"/>
  <c r="W47" i="16"/>
  <c r="W46" i="16"/>
  <c r="AF44" i="16"/>
  <c r="AE44" i="16"/>
  <c r="AD44" i="16"/>
  <c r="AF43" i="16"/>
  <c r="AE43" i="16"/>
  <c r="AD43" i="16"/>
  <c r="W36" i="16"/>
  <c r="W34" i="16"/>
  <c r="W33" i="16"/>
  <c r="W32" i="16"/>
  <c r="W31" i="16"/>
  <c r="W30" i="16"/>
  <c r="W29" i="16"/>
  <c r="W28" i="16"/>
  <c r="W27" i="16"/>
  <c r="W26" i="16"/>
  <c r="AF24" i="16"/>
  <c r="AE24" i="16"/>
  <c r="AD24" i="16"/>
  <c r="AF23" i="16"/>
  <c r="AE23" i="16"/>
  <c r="AD23" i="16"/>
  <c r="W88" i="16"/>
  <c r="AB8" i="16" a="1"/>
  <c r="AB10" i="16" s="1"/>
  <c r="AA8" i="16" a="1"/>
  <c r="AA15" i="16" s="1"/>
  <c r="Z8" i="16" a="1"/>
  <c r="Z16" i="16" s="1"/>
  <c r="Y8" i="16" a="1"/>
  <c r="Y15" i="16" s="1"/>
  <c r="X8" i="16" a="1"/>
  <c r="X9" i="16" s="1"/>
  <c r="N6" i="16"/>
  <c r="O6" i="16"/>
  <c r="P6" i="16"/>
  <c r="P24" i="16" s="1"/>
  <c r="Q6" i="16"/>
  <c r="M6" i="16"/>
  <c r="M79" i="16" s="1"/>
  <c r="L18" i="16"/>
  <c r="L90" i="16" s="1"/>
  <c r="L9" i="16"/>
  <c r="L10" i="16"/>
  <c r="L11" i="16"/>
  <c r="L83" i="16" s="1"/>
  <c r="L12" i="16"/>
  <c r="L84" i="16" s="1"/>
  <c r="L13" i="16"/>
  <c r="L14" i="16"/>
  <c r="L15" i="16"/>
  <c r="L87" i="16" s="1"/>
  <c r="L16" i="16"/>
  <c r="L8" i="16"/>
  <c r="L80" i="16" s="1"/>
  <c r="L74" i="16"/>
  <c r="L72" i="16"/>
  <c r="L71" i="16"/>
  <c r="L70" i="16"/>
  <c r="L69" i="16"/>
  <c r="L68" i="16"/>
  <c r="L67" i="16"/>
  <c r="L66" i="16"/>
  <c r="L65" i="16"/>
  <c r="L64" i="16"/>
  <c r="L56" i="16"/>
  <c r="L54" i="16"/>
  <c r="L53" i="16"/>
  <c r="L52" i="16"/>
  <c r="L51" i="16"/>
  <c r="L50" i="16"/>
  <c r="L49" i="16"/>
  <c r="L48" i="16"/>
  <c r="L47" i="16"/>
  <c r="L46" i="16"/>
  <c r="U44" i="16"/>
  <c r="T44" i="16"/>
  <c r="S44" i="16"/>
  <c r="U43" i="16"/>
  <c r="T43" i="16"/>
  <c r="S43" i="16"/>
  <c r="L36" i="16"/>
  <c r="L34" i="16"/>
  <c r="L33" i="16"/>
  <c r="L32" i="16"/>
  <c r="L31" i="16"/>
  <c r="L30" i="16"/>
  <c r="L29" i="16"/>
  <c r="L28" i="16"/>
  <c r="L27" i="16"/>
  <c r="L26" i="16"/>
  <c r="U24" i="16"/>
  <c r="T24" i="16"/>
  <c r="S24" i="16"/>
  <c r="U23" i="16"/>
  <c r="T23" i="16"/>
  <c r="S23" i="16"/>
  <c r="L88" i="16"/>
  <c r="L86" i="16"/>
  <c r="L85" i="16"/>
  <c r="L82" i="16"/>
  <c r="L81" i="16"/>
  <c r="Q8" i="16" a="1"/>
  <c r="Q10" i="16" s="1"/>
  <c r="P8" i="16" a="1"/>
  <c r="P8" i="16" s="1"/>
  <c r="O8" i="16" a="1"/>
  <c r="O14" i="16" s="1"/>
  <c r="N8" i="16" a="1"/>
  <c r="N16" i="16" s="1"/>
  <c r="M8" i="16" a="1"/>
  <c r="M14" i="16" s="1"/>
  <c r="O31" i="109" l="1"/>
  <c r="AK26" i="109"/>
  <c r="AK31" i="109"/>
  <c r="AK32" i="109"/>
  <c r="AK34" i="109"/>
  <c r="AK27" i="109"/>
  <c r="AU54" i="109"/>
  <c r="AK29" i="109"/>
  <c r="AF12" i="71"/>
  <c r="AF48" i="71" s="1"/>
  <c r="AF84" i="71" s="1"/>
  <c r="AK36" i="109"/>
  <c r="AK54" i="109"/>
  <c r="AK28" i="109"/>
  <c r="AK30" i="109"/>
  <c r="AF9" i="71"/>
  <c r="AF45" i="71" s="1"/>
  <c r="AF81" i="71" s="1"/>
  <c r="AF18" i="71"/>
  <c r="AF54" i="71" s="1"/>
  <c r="AF90" i="71" s="1"/>
  <c r="AF23" i="71"/>
  <c r="AF59" i="71" s="1"/>
  <c r="AF95" i="71" s="1"/>
  <c r="AE83" i="71"/>
  <c r="AE48" i="71"/>
  <c r="AE56" i="71"/>
  <c r="AF11" i="71"/>
  <c r="AF47" i="71" s="1"/>
  <c r="AF83" i="71" s="1"/>
  <c r="AF15" i="71"/>
  <c r="AF51" i="71" s="1"/>
  <c r="AF87" i="71" s="1"/>
  <c r="AF20" i="71"/>
  <c r="AF56" i="71" s="1"/>
  <c r="AF92" i="71" s="1"/>
  <c r="AF29" i="71"/>
  <c r="AF65" i="71" s="1"/>
  <c r="AF101" i="71" s="1"/>
  <c r="AE64" i="71"/>
  <c r="AE95" i="71"/>
  <c r="AE44" i="71"/>
  <c r="AE91" i="71"/>
  <c r="AF30" i="71"/>
  <c r="AF66" i="71" s="1"/>
  <c r="AF102" i="71" s="1"/>
  <c r="AE68" i="71"/>
  <c r="AF8" i="71"/>
  <c r="AF44" i="71" s="1"/>
  <c r="AF80" i="71" s="1"/>
  <c r="AF21" i="71"/>
  <c r="AF57" i="71" s="1"/>
  <c r="AF93" i="71" s="1"/>
  <c r="AE87" i="71"/>
  <c r="AE52" i="71"/>
  <c r="AE60" i="71"/>
  <c r="U24" i="71"/>
  <c r="U60" i="71" s="1"/>
  <c r="U96" i="71" s="1"/>
  <c r="AF27" i="71"/>
  <c r="AF63" i="71" s="1"/>
  <c r="AF99" i="71" s="1"/>
  <c r="AF32" i="71"/>
  <c r="AF68" i="71" s="1"/>
  <c r="AF104" i="71" s="1"/>
  <c r="AE103" i="71"/>
  <c r="T91" i="71"/>
  <c r="U31" i="71"/>
  <c r="U67" i="71" s="1"/>
  <c r="U103" i="71" s="1"/>
  <c r="T87" i="71"/>
  <c r="T103" i="71"/>
  <c r="T99" i="71"/>
  <c r="T8" i="16" a="1"/>
  <c r="T11" i="16" s="1"/>
  <c r="E30" i="109"/>
  <c r="J34" i="109"/>
  <c r="E29" i="109"/>
  <c r="A1" i="108"/>
  <c r="A40" i="108"/>
  <c r="A79" i="108"/>
  <c r="AD65" i="71"/>
  <c r="AD101" i="71" s="1"/>
  <c r="P79" i="16"/>
  <c r="AD53" i="71"/>
  <c r="AD89" i="71" s="1"/>
  <c r="AD61" i="71"/>
  <c r="AD97" i="71" s="1"/>
  <c r="AD49" i="71"/>
  <c r="AD85" i="71" s="1"/>
  <c r="AD62" i="71"/>
  <c r="AD98" i="71" s="1"/>
  <c r="X15" i="16"/>
  <c r="X87" i="16" s="1"/>
  <c r="S60" i="71"/>
  <c r="S96" i="71" s="1"/>
  <c r="AD44" i="71"/>
  <c r="AD80" i="71" s="1"/>
  <c r="AD50" i="71"/>
  <c r="AD86" i="71" s="1"/>
  <c r="AD56" i="71"/>
  <c r="AD92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4" i="71"/>
  <c r="Q45" i="71"/>
  <c r="Q47" i="71"/>
  <c r="Q48" i="71"/>
  <c r="Q63" i="71"/>
  <c r="Q64" i="71"/>
  <c r="U18" i="71"/>
  <c r="U54" i="71" s="1"/>
  <c r="U90" i="71" s="1"/>
  <c r="Q52" i="71"/>
  <c r="Q67" i="71"/>
  <c r="M142" i="71"/>
  <c r="Q55" i="71"/>
  <c r="Q59" i="71"/>
  <c r="U12" i="71"/>
  <c r="U48" i="71" s="1"/>
  <c r="U84" i="71" s="1"/>
  <c r="N31" i="108"/>
  <c r="N48" i="71"/>
  <c r="U9" i="71"/>
  <c r="U45" i="71" s="1"/>
  <c r="U81" i="71" s="1"/>
  <c r="U21" i="71"/>
  <c r="U57" i="71" s="1"/>
  <c r="U93" i="71" s="1"/>
  <c r="N54" i="71"/>
  <c r="S4" i="16"/>
  <c r="S42" i="16" s="1"/>
  <c r="O79" i="16"/>
  <c r="U30" i="71"/>
  <c r="U66" i="71" s="1"/>
  <c r="U102" i="71" s="1"/>
  <c r="N44" i="71"/>
  <c r="N55" i="71"/>
  <c r="Q60" i="71"/>
  <c r="N66" i="71"/>
  <c r="N67" i="71"/>
  <c r="P142" i="71"/>
  <c r="N50" i="71"/>
  <c r="M106" i="71"/>
  <c r="U27" i="71"/>
  <c r="U63" i="71" s="1"/>
  <c r="U99" i="71" s="1"/>
  <c r="S67" i="71"/>
  <c r="S103" i="71" s="1"/>
  <c r="U11" i="71"/>
  <c r="U47" i="71" s="1"/>
  <c r="U83" i="71" s="1"/>
  <c r="N46" i="71"/>
  <c r="N56" i="71"/>
  <c r="N62" i="71"/>
  <c r="W1" i="16"/>
  <c r="W39" i="16" s="1"/>
  <c r="U15" i="71"/>
  <c r="U51" i="71" s="1"/>
  <c r="U87" i="71" s="1"/>
  <c r="N51" i="71"/>
  <c r="Q56" i="71"/>
  <c r="Q68" i="71"/>
  <c r="U23" i="71"/>
  <c r="U59" i="71" s="1"/>
  <c r="U95" i="71" s="1"/>
  <c r="N47" i="71"/>
  <c r="Q51" i="71"/>
  <c r="N52" i="71"/>
  <c r="N58" i="71"/>
  <c r="N63" i="71"/>
  <c r="N59" i="71"/>
  <c r="O142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3" i="71"/>
  <c r="W102" i="71"/>
  <c r="W46" i="71"/>
  <c r="W90" i="71"/>
  <c r="W58" i="71"/>
  <c r="W92" i="71"/>
  <c r="W126" i="71"/>
  <c r="W127" i="71"/>
  <c r="W139" i="71"/>
  <c r="W84" i="71"/>
  <c r="W120" i="71"/>
  <c r="W66" i="71"/>
  <c r="W140" i="71"/>
  <c r="W68" i="71"/>
  <c r="W44" i="71"/>
  <c r="W80" i="71"/>
  <c r="X46" i="71"/>
  <c r="X54" i="71"/>
  <c r="Z106" i="71"/>
  <c r="AA9" i="16"/>
  <c r="AD34" i="71"/>
  <c r="AD70" i="71" s="1"/>
  <c r="AD106" i="71" s="1"/>
  <c r="Y46" i="71"/>
  <c r="AB47" i="71"/>
  <c r="Y50" i="71"/>
  <c r="AB51" i="71"/>
  <c r="Y54" i="71"/>
  <c r="AB55" i="71"/>
  <c r="Y58" i="71"/>
  <c r="AB59" i="71"/>
  <c r="Y62" i="71"/>
  <c r="AB63" i="71"/>
  <c r="Y66" i="71"/>
  <c r="AB67" i="71"/>
  <c r="AE82" i="71"/>
  <c r="AE86" i="71"/>
  <c r="AE90" i="71"/>
  <c r="AE94" i="71"/>
  <c r="AE98" i="71"/>
  <c r="AE102" i="71"/>
  <c r="AA106" i="71"/>
  <c r="AA11" i="16"/>
  <c r="AF10" i="71"/>
  <c r="AF46" i="71" s="1"/>
  <c r="AF82" i="71" s="1"/>
  <c r="AF16" i="71"/>
  <c r="AF52" i="71" s="1"/>
  <c r="AF88" i="71" s="1"/>
  <c r="AF19" i="71"/>
  <c r="AF55" i="71" s="1"/>
  <c r="AF91" i="71" s="1"/>
  <c r="AF22" i="71"/>
  <c r="AF58" i="71" s="1"/>
  <c r="AF94" i="71" s="1"/>
  <c r="AF28" i="71"/>
  <c r="AF64" i="71" s="1"/>
  <c r="AF100" i="71" s="1"/>
  <c r="AF31" i="71"/>
  <c r="AF67" i="71" s="1"/>
  <c r="AF103" i="71" s="1"/>
  <c r="AE34" i="71"/>
  <c r="AE70" i="71" s="1"/>
  <c r="W45" i="71"/>
  <c r="Z46" i="71"/>
  <c r="AD47" i="71"/>
  <c r="AD83" i="71" s="1"/>
  <c r="W49" i="71"/>
  <c r="Z50" i="71"/>
  <c r="AD51" i="71"/>
  <c r="AD87" i="71" s="1"/>
  <c r="W53" i="71"/>
  <c r="Z54" i="71"/>
  <c r="W57" i="71"/>
  <c r="Z58" i="71"/>
  <c r="AD59" i="71"/>
  <c r="AD95" i="71" s="1"/>
  <c r="W61" i="71"/>
  <c r="Z62" i="71"/>
  <c r="AD63" i="71"/>
  <c r="AD99" i="71" s="1"/>
  <c r="W65" i="71"/>
  <c r="Z66" i="71"/>
  <c r="W70" i="71"/>
  <c r="AB106" i="71"/>
  <c r="X62" i="71"/>
  <c r="X10" i="16"/>
  <c r="AA12" i="16"/>
  <c r="AA84" i="16" s="1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70" i="71"/>
  <c r="W83" i="71"/>
  <c r="W87" i="71"/>
  <c r="W91" i="71"/>
  <c r="W95" i="71"/>
  <c r="W99" i="71"/>
  <c r="W103" i="71"/>
  <c r="X50" i="71"/>
  <c r="X58" i="71"/>
  <c r="X66" i="71"/>
  <c r="W136" i="71"/>
  <c r="X11" i="16"/>
  <c r="X83" i="16" s="1"/>
  <c r="AA16" i="16"/>
  <c r="Z72" i="16" s="1"/>
  <c r="W37" i="71"/>
  <c r="AB46" i="71"/>
  <c r="AB50" i="71"/>
  <c r="AB54" i="71"/>
  <c r="AB58" i="71"/>
  <c r="Y61" i="71"/>
  <c r="AB62" i="71"/>
  <c r="Y65" i="71"/>
  <c r="AB66" i="71"/>
  <c r="Y70" i="71"/>
  <c r="AE81" i="71"/>
  <c r="AE85" i="71"/>
  <c r="AE89" i="71"/>
  <c r="AE93" i="71"/>
  <c r="AE97" i="71"/>
  <c r="AE101" i="71"/>
  <c r="AA8" i="16"/>
  <c r="Z45" i="71"/>
  <c r="Z49" i="71"/>
  <c r="Z53" i="71"/>
  <c r="AD54" i="71"/>
  <c r="AD90" i="71" s="1"/>
  <c r="Z57" i="71"/>
  <c r="Z61" i="71"/>
  <c r="Z65" i="71"/>
  <c r="Z70" i="71"/>
  <c r="X12" i="16"/>
  <c r="X84" i="16" s="1"/>
  <c r="AE8" i="16" a="1"/>
  <c r="AE16" i="16" s="1"/>
  <c r="AE34" i="16" s="1"/>
  <c r="X44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70" i="71"/>
  <c r="W82" i="71"/>
  <c r="W94" i="71"/>
  <c r="W117" i="71"/>
  <c r="W121" i="71"/>
  <c r="W125" i="71"/>
  <c r="W129" i="71"/>
  <c r="W133" i="71"/>
  <c r="W137" i="71"/>
  <c r="W142" i="71"/>
  <c r="X13" i="16"/>
  <c r="X85" i="16" s="1"/>
  <c r="X14" i="16"/>
  <c r="X86" i="16" s="1"/>
  <c r="AB45" i="71"/>
  <c r="AB49" i="71"/>
  <c r="AB53" i="71"/>
  <c r="Y56" i="71"/>
  <c r="AB57" i="71"/>
  <c r="Y60" i="71"/>
  <c r="AB61" i="71"/>
  <c r="Y64" i="71"/>
  <c r="AB65" i="71"/>
  <c r="Y68" i="71"/>
  <c r="AB70" i="71"/>
  <c r="AD45" i="71"/>
  <c r="AD81" i="71" s="1"/>
  <c r="Z52" i="71"/>
  <c r="Z56" i="71"/>
  <c r="Z60" i="71"/>
  <c r="Z68" i="71"/>
  <c r="Y142" i="71"/>
  <c r="Z44" i="71"/>
  <c r="Z48" i="71"/>
  <c r="Z64" i="71"/>
  <c r="AA44" i="71"/>
  <c r="X47" i="71"/>
  <c r="AA48" i="71"/>
  <c r="X51" i="71"/>
  <c r="AA52" i="71"/>
  <c r="X55" i="71"/>
  <c r="AA56" i="71"/>
  <c r="X59" i="71"/>
  <c r="AA60" i="71"/>
  <c r="X63" i="71"/>
  <c r="AA64" i="71"/>
  <c r="X67" i="71"/>
  <c r="AA68" i="71"/>
  <c r="AF24" i="71"/>
  <c r="AF60" i="71" s="1"/>
  <c r="AF96" i="71" s="1"/>
  <c r="AB68" i="71"/>
  <c r="AA142" i="71"/>
  <c r="Z47" i="71"/>
  <c r="Z51" i="71"/>
  <c r="Z55" i="71"/>
  <c r="Z59" i="71"/>
  <c r="Z63" i="71"/>
  <c r="Z67" i="71"/>
  <c r="L73" i="71"/>
  <c r="L59" i="71"/>
  <c r="L90" i="71"/>
  <c r="L45" i="71"/>
  <c r="L48" i="71"/>
  <c r="L60" i="71"/>
  <c r="L102" i="71"/>
  <c r="L116" i="71"/>
  <c r="O51" i="71"/>
  <c r="O59" i="71"/>
  <c r="Q142" i="71"/>
  <c r="T44" i="71"/>
  <c r="M46" i="71"/>
  <c r="P47" i="71"/>
  <c r="T48" i="71"/>
  <c r="M50" i="71"/>
  <c r="P51" i="71"/>
  <c r="T52" i="71"/>
  <c r="M54" i="71"/>
  <c r="P55" i="71"/>
  <c r="T56" i="71"/>
  <c r="M58" i="71"/>
  <c r="P59" i="71"/>
  <c r="T60" i="71"/>
  <c r="M62" i="71"/>
  <c r="P63" i="71"/>
  <c r="T64" i="71"/>
  <c r="M66" i="71"/>
  <c r="P67" i="71"/>
  <c r="T68" i="71"/>
  <c r="L80" i="71"/>
  <c r="L84" i="71"/>
  <c r="L88" i="71"/>
  <c r="L92" i="71"/>
  <c r="L96" i="71"/>
  <c r="L100" i="71"/>
  <c r="L104" i="71"/>
  <c r="O106" i="71"/>
  <c r="L118" i="71"/>
  <c r="L122" i="71"/>
  <c r="L124" i="71"/>
  <c r="L126" i="71"/>
  <c r="L130" i="71"/>
  <c r="L134" i="71"/>
  <c r="L136" i="71"/>
  <c r="L138" i="71"/>
  <c r="L46" i="71"/>
  <c r="S34" i="71"/>
  <c r="S70" i="71" s="1"/>
  <c r="S106" i="71" s="1"/>
  <c r="T82" i="71"/>
  <c r="T86" i="71"/>
  <c r="T90" i="71"/>
  <c r="T94" i="71"/>
  <c r="T98" i="71"/>
  <c r="T102" i="71"/>
  <c r="P106" i="71"/>
  <c r="M10" i="16"/>
  <c r="M82" i="16" s="1"/>
  <c r="U10" i="71"/>
  <c r="U46" i="71" s="1"/>
  <c r="U82" i="71" s="1"/>
  <c r="U13" i="71"/>
  <c r="U49" i="71" s="1"/>
  <c r="U85" i="71" s="1"/>
  <c r="U16" i="71"/>
  <c r="U52" i="71" s="1"/>
  <c r="U88" i="71" s="1"/>
  <c r="U19" i="71"/>
  <c r="U55" i="71" s="1"/>
  <c r="U91" i="71" s="1"/>
  <c r="U22" i="71"/>
  <c r="U58" i="71" s="1"/>
  <c r="U94" i="71" s="1"/>
  <c r="U25" i="71"/>
  <c r="U61" i="71" s="1"/>
  <c r="U97" i="71" s="1"/>
  <c r="U28" i="71"/>
  <c r="U64" i="71" s="1"/>
  <c r="U100" i="71" s="1"/>
  <c r="T34" i="71"/>
  <c r="T70" i="71" s="1"/>
  <c r="O46" i="71"/>
  <c r="L49" i="71"/>
  <c r="O50" i="71"/>
  <c r="O54" i="71"/>
  <c r="L57" i="71"/>
  <c r="O58" i="71"/>
  <c r="L61" i="71"/>
  <c r="O62" i="71"/>
  <c r="O66" i="71"/>
  <c r="L70" i="71"/>
  <c r="Q106" i="71"/>
  <c r="M45" i="71"/>
  <c r="P46" i="71"/>
  <c r="T47" i="71"/>
  <c r="M49" i="71"/>
  <c r="P50" i="71"/>
  <c r="M53" i="71"/>
  <c r="P54" i="71"/>
  <c r="M57" i="71"/>
  <c r="P58" i="71"/>
  <c r="T59" i="71"/>
  <c r="M61" i="71"/>
  <c r="P62" i="71"/>
  <c r="M65" i="71"/>
  <c r="P66" i="71"/>
  <c r="M70" i="71"/>
  <c r="L83" i="71"/>
  <c r="L87" i="71"/>
  <c r="L91" i="71"/>
  <c r="L95" i="71"/>
  <c r="L99" i="71"/>
  <c r="L103" i="71"/>
  <c r="L37" i="71"/>
  <c r="N45" i="71"/>
  <c r="Q46" i="71"/>
  <c r="N49" i="71"/>
  <c r="Q50" i="71"/>
  <c r="N53" i="71"/>
  <c r="Q54" i="71"/>
  <c r="N57" i="71"/>
  <c r="Q58" i="71"/>
  <c r="N61" i="71"/>
  <c r="Q62" i="71"/>
  <c r="N65" i="71"/>
  <c r="Q66" i="71"/>
  <c r="N70" i="71"/>
  <c r="T81" i="71"/>
  <c r="T85" i="71"/>
  <c r="T89" i="71"/>
  <c r="T93" i="71"/>
  <c r="T97" i="71"/>
  <c r="T101" i="71"/>
  <c r="L58" i="71"/>
  <c r="O45" i="71"/>
  <c r="O49" i="71"/>
  <c r="O53" i="71"/>
  <c r="O57" i="71"/>
  <c r="O61" i="71"/>
  <c r="O65" i="71"/>
  <c r="O70" i="71"/>
  <c r="U8" i="71"/>
  <c r="U14" i="71"/>
  <c r="U50" i="71" s="1"/>
  <c r="U86" i="71" s="1"/>
  <c r="U17" i="71"/>
  <c r="U53" i="71" s="1"/>
  <c r="U89" i="71" s="1"/>
  <c r="U20" i="71"/>
  <c r="U56" i="71" s="1"/>
  <c r="U92" i="71" s="1"/>
  <c r="U26" i="71"/>
  <c r="U62" i="71" s="1"/>
  <c r="U98" i="71" s="1"/>
  <c r="U29" i="71"/>
  <c r="U65" i="71" s="1"/>
  <c r="U101" i="71" s="1"/>
  <c r="U32" i="71"/>
  <c r="U68" i="71" s="1"/>
  <c r="U104" i="71" s="1"/>
  <c r="M44" i="71"/>
  <c r="P45" i="71"/>
  <c r="M48" i="71"/>
  <c r="P49" i="71"/>
  <c r="M52" i="71"/>
  <c r="P53" i="71"/>
  <c r="M56" i="71"/>
  <c r="P57" i="71"/>
  <c r="M60" i="71"/>
  <c r="P61" i="71"/>
  <c r="M64" i="71"/>
  <c r="P65" i="71"/>
  <c r="M68" i="71"/>
  <c r="P70" i="71"/>
  <c r="L117" i="71"/>
  <c r="L121" i="71"/>
  <c r="L125" i="71"/>
  <c r="L127" i="71"/>
  <c r="L129" i="71"/>
  <c r="L133" i="71"/>
  <c r="L137" i="71"/>
  <c r="L139" i="71"/>
  <c r="L142" i="71"/>
  <c r="Q49" i="71"/>
  <c r="Q53" i="71"/>
  <c r="Q57" i="71"/>
  <c r="N60" i="71"/>
  <c r="Q61" i="71"/>
  <c r="N64" i="71"/>
  <c r="Q65" i="71"/>
  <c r="N68" i="71"/>
  <c r="O47" i="71"/>
  <c r="O55" i="71"/>
  <c r="O63" i="71"/>
  <c r="O67" i="71"/>
  <c r="N106" i="71"/>
  <c r="O44" i="71"/>
  <c r="O48" i="71"/>
  <c r="O52" i="71"/>
  <c r="O56" i="71"/>
  <c r="O60" i="71"/>
  <c r="O64" i="71"/>
  <c r="O68" i="71"/>
  <c r="N142" i="71"/>
  <c r="P44" i="71"/>
  <c r="M47" i="71"/>
  <c r="P48" i="71"/>
  <c r="M51" i="71"/>
  <c r="P52" i="71"/>
  <c r="M55" i="71"/>
  <c r="P56" i="71"/>
  <c r="M59" i="71"/>
  <c r="P60" i="71"/>
  <c r="M63" i="71"/>
  <c r="P64" i="71"/>
  <c r="P68" i="71"/>
  <c r="AB24" i="16"/>
  <c r="X71" i="16"/>
  <c r="Y87" i="16"/>
  <c r="Z88" i="16"/>
  <c r="AA87" i="16"/>
  <c r="X81" i="16"/>
  <c r="AB82" i="16"/>
  <c r="AB11" i="16"/>
  <c r="X16" i="16"/>
  <c r="Z8" i="16"/>
  <c r="AA10" i="16"/>
  <c r="AA48" i="16" s="1"/>
  <c r="AB12" i="16"/>
  <c r="AB79" i="16"/>
  <c r="Z10" i="16"/>
  <c r="Y44" i="16"/>
  <c r="AB13" i="16"/>
  <c r="X44" i="16"/>
  <c r="AD79" i="16"/>
  <c r="Y9" i="16"/>
  <c r="X47" i="16" s="1"/>
  <c r="Z11" i="16"/>
  <c r="AD83" i="16" s="1"/>
  <c r="AA13" i="16"/>
  <c r="AB15" i="16"/>
  <c r="AA53" i="16" s="1"/>
  <c r="Z44" i="16"/>
  <c r="X62" i="16"/>
  <c r="AA81" i="16"/>
  <c r="Z9" i="16"/>
  <c r="Z47" i="16" s="1"/>
  <c r="AB14" i="16"/>
  <c r="X8" i="16"/>
  <c r="AB16" i="16"/>
  <c r="AB54" i="16" s="1"/>
  <c r="AE88" i="16" s="1"/>
  <c r="Y62" i="16"/>
  <c r="Y8" i="16"/>
  <c r="Y10" i="16"/>
  <c r="X48" i="16" s="1"/>
  <c r="Z12" i="16"/>
  <c r="AA14" i="16"/>
  <c r="AA44" i="16"/>
  <c r="Y11" i="16"/>
  <c r="Z13" i="16"/>
  <c r="AB44" i="16"/>
  <c r="AE79" i="16" s="1"/>
  <c r="Z62" i="16"/>
  <c r="Y16" i="16"/>
  <c r="Y72" i="16" s="1"/>
  <c r="Y12" i="16"/>
  <c r="Z14" i="16"/>
  <c r="X24" i="16"/>
  <c r="AA62" i="16"/>
  <c r="Y13" i="16"/>
  <c r="Z15" i="16"/>
  <c r="Z71" i="16" s="1"/>
  <c r="Y24" i="16"/>
  <c r="Z24" i="16"/>
  <c r="X82" i="16"/>
  <c r="AB62" i="16"/>
  <c r="AD4" i="16"/>
  <c r="Y14" i="16"/>
  <c r="AB8" i="16"/>
  <c r="AB9" i="16"/>
  <c r="AA47" i="16" s="1"/>
  <c r="AA24" i="16"/>
  <c r="Y79" i="16"/>
  <c r="P62" i="16"/>
  <c r="N88" i="16"/>
  <c r="O86" i="16"/>
  <c r="M86" i="16"/>
  <c r="P80" i="16"/>
  <c r="Q82" i="16"/>
  <c r="P9" i="16"/>
  <c r="Q11" i="16"/>
  <c r="M16" i="16"/>
  <c r="M72" i="16" s="1"/>
  <c r="O8" i="16"/>
  <c r="O64" i="16" s="1"/>
  <c r="P10" i="16"/>
  <c r="P66" i="16" s="1"/>
  <c r="Q12" i="16"/>
  <c r="Q79" i="16"/>
  <c r="O9" i="16"/>
  <c r="P11" i="16"/>
  <c r="Q13" i="16"/>
  <c r="M44" i="16"/>
  <c r="S79" i="16"/>
  <c r="M15" i="16"/>
  <c r="Q14" i="16"/>
  <c r="Q52" i="16" s="1"/>
  <c r="T86" i="16" s="1"/>
  <c r="N44" i="16"/>
  <c r="N9" i="16"/>
  <c r="O11" i="16"/>
  <c r="P13" i="16"/>
  <c r="Q15" i="16"/>
  <c r="O44" i="16"/>
  <c r="M62" i="16"/>
  <c r="N13" i="16"/>
  <c r="O16" i="16"/>
  <c r="M8" i="16"/>
  <c r="N10" i="16"/>
  <c r="O12" i="16"/>
  <c r="P14" i="16"/>
  <c r="O52" i="16" s="1"/>
  <c r="Q16" i="16"/>
  <c r="P44" i="16"/>
  <c r="N62" i="16"/>
  <c r="M11" i="16"/>
  <c r="O15" i="16"/>
  <c r="M12" i="16"/>
  <c r="Q8" i="16"/>
  <c r="P46" i="16" s="1"/>
  <c r="N8" i="16"/>
  <c r="O10" i="16"/>
  <c r="P12" i="16"/>
  <c r="M9" i="16"/>
  <c r="N11" i="16"/>
  <c r="O13" i="16"/>
  <c r="P15" i="16"/>
  <c r="Q44" i="16"/>
  <c r="T79" i="16" s="1"/>
  <c r="O62" i="16"/>
  <c r="P16" i="16"/>
  <c r="M24" i="16"/>
  <c r="N24" i="16"/>
  <c r="Q62" i="16"/>
  <c r="N12" i="16"/>
  <c r="N14" i="16"/>
  <c r="N70" i="16" s="1"/>
  <c r="O24" i="16"/>
  <c r="Q9" i="16"/>
  <c r="N79" i="16"/>
  <c r="S86" i="16"/>
  <c r="M13" i="16"/>
  <c r="N15" i="16"/>
  <c r="Q24" i="16"/>
  <c r="A51" i="51"/>
  <c r="X49" i="16" l="1"/>
  <c r="Z67" i="16"/>
  <c r="X53" i="16"/>
  <c r="AA49" i="16"/>
  <c r="AB52" i="16"/>
  <c r="AE86" i="16" s="1"/>
  <c r="Z54" i="16"/>
  <c r="Z52" i="16"/>
  <c r="X46" i="16"/>
  <c r="AA88" i="16"/>
  <c r="X54" i="16"/>
  <c r="Y54" i="16"/>
  <c r="AA52" i="16"/>
  <c r="AD84" i="16"/>
  <c r="P51" i="16"/>
  <c r="AA50" i="16"/>
  <c r="X50" i="16"/>
  <c r="Y49" i="16"/>
  <c r="M48" i="16"/>
  <c r="Y51" i="16"/>
  <c r="S82" i="16"/>
  <c r="AB46" i="16"/>
  <c r="AE80" i="16" s="1"/>
  <c r="Z48" i="16"/>
  <c r="N47" i="16"/>
  <c r="Y53" i="16"/>
  <c r="Z46" i="16"/>
  <c r="AE106" i="71"/>
  <c r="AF34" i="71"/>
  <c r="AF70" i="71" s="1"/>
  <c r="AF106" i="71" s="1"/>
  <c r="T9" i="16"/>
  <c r="T27" i="16" s="1"/>
  <c r="T10" i="16"/>
  <c r="T28" i="16" s="1"/>
  <c r="T16" i="16"/>
  <c r="T34" i="16" s="1"/>
  <c r="T13" i="16"/>
  <c r="T15" i="16"/>
  <c r="T33" i="16" s="1"/>
  <c r="T8" i="16"/>
  <c r="T12" i="16"/>
  <c r="T30" i="16" s="1"/>
  <c r="T14" i="16"/>
  <c r="T32" i="16" s="1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AD85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10" i="16"/>
  <c r="AE28" i="16" s="1"/>
  <c r="AE14" i="16"/>
  <c r="AE32" i="16" s="1"/>
  <c r="AE11" i="16"/>
  <c r="AE29" i="16" s="1"/>
  <c r="AE8" i="16"/>
  <c r="AE26" i="16" s="1"/>
  <c r="AE9" i="16"/>
  <c r="AE27" i="16" s="1"/>
  <c r="AE12" i="16"/>
  <c r="AE30" i="16" s="1"/>
  <c r="AE15" i="16"/>
  <c r="AE33" i="16" s="1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13" i="16"/>
  <c r="AE31" i="16" s="1"/>
  <c r="AA18" i="16"/>
  <c r="AA32" i="16" s="1"/>
  <c r="P47" i="16"/>
  <c r="P48" i="16"/>
  <c r="S88" i="16"/>
  <c r="N54" i="16"/>
  <c r="P18" i="16"/>
  <c r="P90" i="16" s="1"/>
  <c r="U34" i="71"/>
  <c r="U70" i="71" s="1"/>
  <c r="U106" i="71" s="1"/>
  <c r="U44" i="71"/>
  <c r="U80" i="71" s="1"/>
  <c r="N52" i="16"/>
  <c r="S85" i="16"/>
  <c r="M52" i="16"/>
  <c r="Q48" i="16"/>
  <c r="T82" i="16" s="1"/>
  <c r="O51" i="16"/>
  <c r="Q49" i="16"/>
  <c r="T83" i="16" s="1"/>
  <c r="M49" i="16"/>
  <c r="T106" i="71"/>
  <c r="AA86" i="16"/>
  <c r="Z70" i="16"/>
  <c r="Y68" i="16"/>
  <c r="Z84" i="16"/>
  <c r="AB65" i="16"/>
  <c r="O4" i="107" s="1"/>
  <c r="AA65" i="16"/>
  <c r="AD9" i="16"/>
  <c r="AD27" i="16" s="1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0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Z33" i="16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A1" i="49"/>
  <c r="AK1" i="80"/>
  <c r="W1" i="80"/>
  <c r="Z27" i="16" l="1"/>
  <c r="Z29" i="16"/>
  <c r="AB32" i="16"/>
  <c r="U16" i="16"/>
  <c r="U34" i="16" s="1"/>
  <c r="AF12" i="16"/>
  <c r="AF30" i="16" s="1"/>
  <c r="AB29" i="16"/>
  <c r="AB31" i="16"/>
  <c r="Z31" i="16"/>
  <c r="AA28" i="16"/>
  <c r="AB33" i="16"/>
  <c r="Z28" i="16"/>
  <c r="AF15" i="16"/>
  <c r="AF33" i="16" s="1"/>
  <c r="AF14" i="16"/>
  <c r="AF32" i="16" s="1"/>
  <c r="U13" i="16"/>
  <c r="U31" i="16" s="1"/>
  <c r="T18" i="16"/>
  <c r="T36" i="16" s="1"/>
  <c r="U12" i="16"/>
  <c r="U30" i="16" s="1"/>
  <c r="U9" i="16"/>
  <c r="U27" i="16" s="1"/>
  <c r="U10" i="16"/>
  <c r="U28" i="16" s="1"/>
  <c r="T26" i="16"/>
  <c r="AF9" i="16"/>
  <c r="AF27" i="16" s="1"/>
  <c r="U15" i="16"/>
  <c r="U33" i="16" s="1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A1" i="71"/>
  <c r="A1" i="103"/>
  <c r="A1" i="105"/>
  <c r="A1" i="101"/>
  <c r="A1" i="102"/>
  <c r="A1" i="97"/>
  <c r="U18" i="16" l="1"/>
  <c r="U36" i="16" s="1"/>
  <c r="S36" i="16"/>
  <c r="AF18" i="16"/>
  <c r="AF36" i="16" s="1"/>
  <c r="AD36" i="16"/>
  <c r="F35" i="105"/>
  <c r="G35" i="105"/>
  <c r="J35" i="105"/>
  <c r="K35" i="105"/>
  <c r="B35" i="105"/>
  <c r="C35" i="105"/>
  <c r="O7" i="105"/>
  <c r="N7" i="105"/>
  <c r="A35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R9" i="105"/>
  <c r="Q9" i="105"/>
  <c r="O9" i="105"/>
  <c r="N9" i="105"/>
  <c r="L28" i="105"/>
  <c r="R33" i="105" l="1"/>
  <c r="Q33" i="105"/>
  <c r="O33" i="105"/>
  <c r="N33" i="105"/>
  <c r="L33" i="105"/>
  <c r="H33" i="105"/>
  <c r="D33" i="105"/>
  <c r="R32" i="105"/>
  <c r="Q32" i="105"/>
  <c r="O32" i="105"/>
  <c r="N32" i="105"/>
  <c r="L32" i="105"/>
  <c r="H32" i="105"/>
  <c r="D32" i="105"/>
  <c r="R31" i="105"/>
  <c r="Q31" i="105"/>
  <c r="O31" i="105"/>
  <c r="N31" i="105"/>
  <c r="L31" i="105"/>
  <c r="H31" i="105"/>
  <c r="D31" i="105"/>
  <c r="R30" i="105"/>
  <c r="Q30" i="105"/>
  <c r="O30" i="105"/>
  <c r="N30" i="105"/>
  <c r="L30" i="105"/>
  <c r="H30" i="105"/>
  <c r="D30" i="105"/>
  <c r="R29" i="105"/>
  <c r="Q29" i="105"/>
  <c r="O29" i="105"/>
  <c r="N29" i="105"/>
  <c r="L29" i="105"/>
  <c r="H29" i="105"/>
  <c r="D29" i="105"/>
  <c r="R28" i="105"/>
  <c r="Q28" i="105"/>
  <c r="O28" i="105"/>
  <c r="N28" i="105"/>
  <c r="H28" i="105"/>
  <c r="D28" i="105"/>
  <c r="R27" i="105"/>
  <c r="Q27" i="105"/>
  <c r="O27" i="105"/>
  <c r="N27" i="105"/>
  <c r="L27" i="105"/>
  <c r="H27" i="105"/>
  <c r="D27" i="105"/>
  <c r="R26" i="105"/>
  <c r="Q26" i="105"/>
  <c r="O26" i="105"/>
  <c r="N26" i="105"/>
  <c r="L26" i="105"/>
  <c r="H26" i="105"/>
  <c r="D26" i="105"/>
  <c r="R25" i="105"/>
  <c r="Q25" i="105"/>
  <c r="O25" i="105"/>
  <c r="N25" i="105"/>
  <c r="L25" i="105"/>
  <c r="H25" i="105"/>
  <c r="D25" i="105"/>
  <c r="R24" i="105"/>
  <c r="Q24" i="105"/>
  <c r="O24" i="105"/>
  <c r="N24" i="105"/>
  <c r="L24" i="105"/>
  <c r="H24" i="105"/>
  <c r="D24" i="105"/>
  <c r="R23" i="105"/>
  <c r="Q23" i="105"/>
  <c r="O23" i="105"/>
  <c r="N23" i="105"/>
  <c r="L23" i="105"/>
  <c r="H23" i="105"/>
  <c r="D23" i="105"/>
  <c r="R22" i="105"/>
  <c r="Q22" i="105"/>
  <c r="O22" i="105"/>
  <c r="N22" i="105"/>
  <c r="L22" i="105"/>
  <c r="H22" i="105"/>
  <c r="D22" i="105"/>
  <c r="R21" i="105"/>
  <c r="Q21" i="105"/>
  <c r="O21" i="105"/>
  <c r="N21" i="105"/>
  <c r="L21" i="105"/>
  <c r="H21" i="105"/>
  <c r="D21" i="105"/>
  <c r="R20" i="105"/>
  <c r="Q20" i="105"/>
  <c r="O20" i="105"/>
  <c r="N20" i="105"/>
  <c r="L20" i="105"/>
  <c r="H20" i="105"/>
  <c r="D20" i="105"/>
  <c r="R19" i="105"/>
  <c r="Q19" i="105"/>
  <c r="O19" i="105"/>
  <c r="N19" i="105"/>
  <c r="L19" i="105"/>
  <c r="H19" i="105"/>
  <c r="D19" i="105"/>
  <c r="R18" i="105"/>
  <c r="Q18" i="105"/>
  <c r="O18" i="105"/>
  <c r="N18" i="105"/>
  <c r="L18" i="105"/>
  <c r="H18" i="105"/>
  <c r="D18" i="105"/>
  <c r="R17" i="105"/>
  <c r="Q17" i="105"/>
  <c r="O17" i="105"/>
  <c r="N17" i="105"/>
  <c r="L17" i="105"/>
  <c r="H17" i="105"/>
  <c r="D17" i="105"/>
  <c r="R16" i="105"/>
  <c r="Q16" i="105"/>
  <c r="O16" i="105"/>
  <c r="N16" i="105"/>
  <c r="L16" i="105"/>
  <c r="H16" i="105"/>
  <c r="D16" i="105"/>
  <c r="R15" i="105"/>
  <c r="Q15" i="105"/>
  <c r="O15" i="105"/>
  <c r="N15" i="105"/>
  <c r="L15" i="105"/>
  <c r="H15" i="105"/>
  <c r="D15" i="105"/>
  <c r="R14" i="105"/>
  <c r="Q14" i="105"/>
  <c r="O14" i="105"/>
  <c r="N14" i="105"/>
  <c r="L14" i="105"/>
  <c r="H14" i="105"/>
  <c r="D14" i="105"/>
  <c r="R13" i="105"/>
  <c r="Q13" i="105"/>
  <c r="O13" i="105"/>
  <c r="N13" i="105"/>
  <c r="L13" i="105"/>
  <c r="H13" i="105"/>
  <c r="D13" i="105"/>
  <c r="R12" i="105"/>
  <c r="Q12" i="105"/>
  <c r="O12" i="105"/>
  <c r="N12" i="105"/>
  <c r="L12" i="105"/>
  <c r="H12" i="105"/>
  <c r="D12" i="105"/>
  <c r="R11" i="105"/>
  <c r="Q11" i="105"/>
  <c r="O11" i="105"/>
  <c r="N11" i="105"/>
  <c r="L11" i="105"/>
  <c r="H11" i="105"/>
  <c r="D11" i="105"/>
  <c r="R10" i="105"/>
  <c r="Q10" i="105"/>
  <c r="O10" i="105"/>
  <c r="N10" i="105"/>
  <c r="L10" i="105"/>
  <c r="H10" i="105"/>
  <c r="D10" i="105"/>
  <c r="L9" i="105"/>
  <c r="H9" i="105"/>
  <c r="D9" i="105"/>
  <c r="U7" i="105"/>
  <c r="T7" i="105"/>
  <c r="R7" i="105"/>
  <c r="Q7" i="105"/>
  <c r="L35" i="105" l="1"/>
  <c r="D35" i="105"/>
  <c r="H35" i="105"/>
  <c r="T9" i="105"/>
  <c r="O35" i="105"/>
  <c r="R35" i="105"/>
  <c r="Q35" i="105"/>
  <c r="N35" i="105"/>
  <c r="U10" i="105"/>
  <c r="U11" i="105"/>
  <c r="U12" i="105"/>
  <c r="U13" i="105"/>
  <c r="U14" i="105"/>
  <c r="U15" i="105"/>
  <c r="U16" i="105"/>
  <c r="U17" i="105"/>
  <c r="U18" i="105"/>
  <c r="U19" i="105"/>
  <c r="U20" i="105"/>
  <c r="U21" i="105"/>
  <c r="U22" i="105"/>
  <c r="U23" i="105"/>
  <c r="U24" i="105"/>
  <c r="U25" i="105"/>
  <c r="U26" i="105"/>
  <c r="U27" i="105"/>
  <c r="U28" i="105"/>
  <c r="U29" i="105"/>
  <c r="U30" i="105"/>
  <c r="U31" i="105"/>
  <c r="U32" i="105"/>
  <c r="U33" i="105"/>
  <c r="T11" i="105"/>
  <c r="T12" i="105"/>
  <c r="T13" i="105"/>
  <c r="T14" i="105"/>
  <c r="T15" i="105"/>
  <c r="T16" i="105"/>
  <c r="T17" i="105"/>
  <c r="T18" i="105"/>
  <c r="T19" i="105"/>
  <c r="T20" i="105"/>
  <c r="T21" i="105"/>
  <c r="T22" i="105"/>
  <c r="T23" i="105"/>
  <c r="T24" i="105"/>
  <c r="T25" i="105"/>
  <c r="T26" i="105"/>
  <c r="T27" i="105"/>
  <c r="T28" i="105"/>
  <c r="T29" i="105"/>
  <c r="T30" i="105"/>
  <c r="T31" i="105"/>
  <c r="T32" i="105"/>
  <c r="T33" i="105"/>
  <c r="U9" i="105"/>
  <c r="T10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C31" i="49"/>
  <c r="E31" i="49"/>
  <c r="E7" i="49"/>
  <c r="C7" i="49"/>
  <c r="B7" i="49"/>
  <c r="G7" i="49" s="1"/>
  <c r="U35" i="105" l="1"/>
  <c r="T35" i="105"/>
  <c r="F330" i="104"/>
  <c r="F329" i="104"/>
  <c r="D330" i="104"/>
  <c r="D329" i="104"/>
  <c r="B330" i="104"/>
  <c r="B329" i="104"/>
  <c r="B35" i="104"/>
  <c r="B30" i="104" l="1"/>
  <c r="O554" i="102" l="1"/>
  <c r="N564" i="102"/>
  <c r="X540" i="102"/>
  <c r="W540" i="102"/>
  <c r="V540" i="102"/>
  <c r="X539" i="102"/>
  <c r="W539" i="102"/>
  <c r="V539" i="102"/>
  <c r="S540" i="102"/>
  <c r="R540" i="102"/>
  <c r="Q540" i="102"/>
  <c r="S539" i="102"/>
  <c r="R539" i="102"/>
  <c r="Q539" i="102"/>
  <c r="N540" i="102"/>
  <c r="M540" i="102"/>
  <c r="L540" i="102"/>
  <c r="N539" i="102"/>
  <c r="M539" i="102"/>
  <c r="L539" i="102"/>
  <c r="I540" i="102"/>
  <c r="H540" i="102"/>
  <c r="G540" i="102"/>
  <c r="I539" i="102"/>
  <c r="H539" i="102"/>
  <c r="G539" i="102"/>
  <c r="B540" i="102"/>
  <c r="C540" i="102"/>
  <c r="D540" i="102"/>
  <c r="C539" i="102"/>
  <c r="D539" i="102"/>
  <c r="B539" i="102"/>
  <c r="X536" i="102"/>
  <c r="W536" i="102"/>
  <c r="V536" i="102"/>
  <c r="S536" i="102"/>
  <c r="R536" i="102"/>
  <c r="Q536" i="102"/>
  <c r="N536" i="102"/>
  <c r="M536" i="102"/>
  <c r="L536" i="102"/>
  <c r="I536" i="102"/>
  <c r="H536" i="102"/>
  <c r="G536" i="102"/>
  <c r="D536" i="102"/>
  <c r="C536" i="102"/>
  <c r="B536" i="102"/>
  <c r="Y535" i="102"/>
  <c r="T535" i="102"/>
  <c r="O535" i="102"/>
  <c r="J535" i="102"/>
  <c r="E535" i="102"/>
  <c r="Y534" i="102"/>
  <c r="T534" i="102"/>
  <c r="O534" i="102"/>
  <c r="J534" i="102"/>
  <c r="E534" i="102"/>
  <c r="X531" i="102"/>
  <c r="W531" i="102"/>
  <c r="V531" i="102"/>
  <c r="S531" i="102"/>
  <c r="R531" i="102"/>
  <c r="Q531" i="102"/>
  <c r="N531" i="102"/>
  <c r="M531" i="102"/>
  <c r="L531" i="102"/>
  <c r="I531" i="102"/>
  <c r="H531" i="102"/>
  <c r="G531" i="102"/>
  <c r="D531" i="102"/>
  <c r="C531" i="102"/>
  <c r="B531" i="102"/>
  <c r="Y530" i="102"/>
  <c r="T530" i="102"/>
  <c r="O530" i="102"/>
  <c r="J530" i="102"/>
  <c r="E530" i="102"/>
  <c r="Y529" i="102"/>
  <c r="T529" i="102"/>
  <c r="O529" i="102"/>
  <c r="J529" i="102"/>
  <c r="E529" i="102"/>
  <c r="X526" i="102"/>
  <c r="W526" i="102"/>
  <c r="V526" i="102"/>
  <c r="S526" i="102"/>
  <c r="R526" i="102"/>
  <c r="Q526" i="102"/>
  <c r="N526" i="102"/>
  <c r="M526" i="102"/>
  <c r="L526" i="102"/>
  <c r="I526" i="102"/>
  <c r="H526" i="102"/>
  <c r="G526" i="102"/>
  <c r="D526" i="102"/>
  <c r="C526" i="102"/>
  <c r="B526" i="102"/>
  <c r="Y525" i="102"/>
  <c r="T525" i="102"/>
  <c r="O525" i="102"/>
  <c r="J525" i="102"/>
  <c r="E525" i="102"/>
  <c r="Y524" i="102"/>
  <c r="T524" i="102"/>
  <c r="O524" i="102"/>
  <c r="J524" i="102"/>
  <c r="E524" i="102"/>
  <c r="X521" i="102"/>
  <c r="W521" i="102"/>
  <c r="V521" i="102"/>
  <c r="S521" i="102"/>
  <c r="R521" i="102"/>
  <c r="Q521" i="102"/>
  <c r="N521" i="102"/>
  <c r="M521" i="102"/>
  <c r="L521" i="102"/>
  <c r="I521" i="102"/>
  <c r="H521" i="102"/>
  <c r="G521" i="102"/>
  <c r="D521" i="102"/>
  <c r="C521" i="102"/>
  <c r="B521" i="102"/>
  <c r="Y520" i="102"/>
  <c r="T520" i="102"/>
  <c r="O520" i="102"/>
  <c r="J520" i="102"/>
  <c r="E520" i="102"/>
  <c r="Y519" i="102"/>
  <c r="T519" i="102"/>
  <c r="O519" i="102"/>
  <c r="J519" i="102"/>
  <c r="E519" i="102"/>
  <c r="X486" i="102"/>
  <c r="W486" i="102"/>
  <c r="V486" i="102"/>
  <c r="S486" i="102"/>
  <c r="R486" i="102"/>
  <c r="Q486" i="102"/>
  <c r="N486" i="102"/>
  <c r="M486" i="102"/>
  <c r="L486" i="102"/>
  <c r="I486" i="102"/>
  <c r="H486" i="102"/>
  <c r="G486" i="102"/>
  <c r="D486" i="102"/>
  <c r="C486" i="102"/>
  <c r="B486" i="102"/>
  <c r="Y485" i="102"/>
  <c r="T485" i="102"/>
  <c r="O485" i="102"/>
  <c r="J485" i="102"/>
  <c r="E485" i="102"/>
  <c r="Y484" i="102"/>
  <c r="T484" i="102"/>
  <c r="O484" i="102"/>
  <c r="J484" i="102"/>
  <c r="E484" i="102"/>
  <c r="X476" i="102"/>
  <c r="W476" i="102"/>
  <c r="V476" i="102"/>
  <c r="S476" i="102"/>
  <c r="R476" i="102"/>
  <c r="Q476" i="102"/>
  <c r="N476" i="102"/>
  <c r="M476" i="102"/>
  <c r="L476" i="102"/>
  <c r="I476" i="102"/>
  <c r="H476" i="102"/>
  <c r="G476" i="102"/>
  <c r="D476" i="102"/>
  <c r="C476" i="102"/>
  <c r="B476" i="102"/>
  <c r="Y475" i="102"/>
  <c r="T475" i="102"/>
  <c r="O475" i="102"/>
  <c r="J475" i="102"/>
  <c r="E475" i="102"/>
  <c r="Y474" i="102"/>
  <c r="T474" i="102"/>
  <c r="O474" i="102"/>
  <c r="J474" i="102"/>
  <c r="E474" i="102"/>
  <c r="X465" i="102"/>
  <c r="W465" i="102"/>
  <c r="V465" i="102"/>
  <c r="X464" i="102"/>
  <c r="W464" i="102"/>
  <c r="V464" i="102"/>
  <c r="S465" i="102"/>
  <c r="R465" i="102"/>
  <c r="Q465" i="102"/>
  <c r="S464" i="102"/>
  <c r="R464" i="102"/>
  <c r="Q464" i="102"/>
  <c r="N465" i="102"/>
  <c r="M465" i="102"/>
  <c r="L465" i="102"/>
  <c r="N464" i="102"/>
  <c r="M464" i="102"/>
  <c r="L464" i="102"/>
  <c r="I465" i="102"/>
  <c r="H465" i="102"/>
  <c r="G465" i="102"/>
  <c r="I464" i="102"/>
  <c r="H464" i="102"/>
  <c r="G464" i="102"/>
  <c r="B465" i="102"/>
  <c r="C465" i="102"/>
  <c r="D465" i="102"/>
  <c r="C464" i="102"/>
  <c r="D464" i="102"/>
  <c r="B464" i="102"/>
  <c r="X461" i="102"/>
  <c r="W461" i="102"/>
  <c r="V461" i="102"/>
  <c r="S461" i="102"/>
  <c r="R461" i="102"/>
  <c r="Q461" i="102"/>
  <c r="N461" i="102"/>
  <c r="M461" i="102"/>
  <c r="L461" i="102"/>
  <c r="I461" i="102"/>
  <c r="H461" i="102"/>
  <c r="G461" i="102"/>
  <c r="D461" i="102"/>
  <c r="C461" i="102"/>
  <c r="B461" i="102"/>
  <c r="Y460" i="102"/>
  <c r="T460" i="102"/>
  <c r="O460" i="102"/>
  <c r="J460" i="102"/>
  <c r="E460" i="102"/>
  <c r="Y459" i="102"/>
  <c r="T459" i="102"/>
  <c r="O459" i="102"/>
  <c r="J459" i="102"/>
  <c r="E459" i="102"/>
  <c r="X456" i="102"/>
  <c r="W456" i="102"/>
  <c r="V456" i="102"/>
  <c r="S456" i="102"/>
  <c r="R456" i="102"/>
  <c r="Q456" i="102"/>
  <c r="N456" i="102"/>
  <c r="M456" i="102"/>
  <c r="L456" i="102"/>
  <c r="I456" i="102"/>
  <c r="H456" i="102"/>
  <c r="G456" i="102"/>
  <c r="D456" i="102"/>
  <c r="C456" i="102"/>
  <c r="B456" i="102"/>
  <c r="Y455" i="102"/>
  <c r="T455" i="102"/>
  <c r="O455" i="102"/>
  <c r="J455" i="102"/>
  <c r="E455" i="102"/>
  <c r="Y454" i="102"/>
  <c r="T454" i="102"/>
  <c r="O454" i="102"/>
  <c r="J454" i="102"/>
  <c r="E454" i="102"/>
  <c r="X451" i="102"/>
  <c r="W451" i="102"/>
  <c r="V451" i="102"/>
  <c r="S451" i="102"/>
  <c r="R451" i="102"/>
  <c r="Q451" i="102"/>
  <c r="N451" i="102"/>
  <c r="M451" i="102"/>
  <c r="L451" i="102"/>
  <c r="I451" i="102"/>
  <c r="H451" i="102"/>
  <c r="G451" i="102"/>
  <c r="D451" i="102"/>
  <c r="C451" i="102"/>
  <c r="B451" i="102"/>
  <c r="Y450" i="102"/>
  <c r="T450" i="102"/>
  <c r="O450" i="102"/>
  <c r="J450" i="102"/>
  <c r="E450" i="102"/>
  <c r="Y449" i="102"/>
  <c r="T449" i="102"/>
  <c r="O449" i="102"/>
  <c r="J449" i="102"/>
  <c r="E449" i="102"/>
  <c r="X446" i="102"/>
  <c r="W446" i="102"/>
  <c r="V446" i="102"/>
  <c r="S446" i="102"/>
  <c r="R446" i="102"/>
  <c r="Q446" i="102"/>
  <c r="N446" i="102"/>
  <c r="M446" i="102"/>
  <c r="L446" i="102"/>
  <c r="I446" i="102"/>
  <c r="H446" i="102"/>
  <c r="G446" i="102"/>
  <c r="D446" i="102"/>
  <c r="C446" i="102"/>
  <c r="B446" i="102"/>
  <c r="Y445" i="102"/>
  <c r="T445" i="102"/>
  <c r="O445" i="102"/>
  <c r="J445" i="102"/>
  <c r="E445" i="102"/>
  <c r="Y444" i="102"/>
  <c r="T444" i="102"/>
  <c r="O444" i="102"/>
  <c r="J444" i="102"/>
  <c r="E444" i="102"/>
  <c r="X441" i="102"/>
  <c r="W441" i="102"/>
  <c r="V441" i="102"/>
  <c r="S441" i="102"/>
  <c r="R441" i="102"/>
  <c r="Q441" i="102"/>
  <c r="N441" i="102"/>
  <c r="M441" i="102"/>
  <c r="L441" i="102"/>
  <c r="I441" i="102"/>
  <c r="H441" i="102"/>
  <c r="G441" i="102"/>
  <c r="D441" i="102"/>
  <c r="C441" i="102"/>
  <c r="B441" i="102"/>
  <c r="Y440" i="102"/>
  <c r="T440" i="102"/>
  <c r="O440" i="102"/>
  <c r="J440" i="102"/>
  <c r="E440" i="102"/>
  <c r="Y439" i="102"/>
  <c r="T439" i="102"/>
  <c r="O439" i="102"/>
  <c r="J439" i="102"/>
  <c r="E439" i="102"/>
  <c r="X436" i="102"/>
  <c r="W436" i="102"/>
  <c r="V436" i="102"/>
  <c r="S436" i="102"/>
  <c r="R436" i="102"/>
  <c r="Q436" i="102"/>
  <c r="N436" i="102"/>
  <c r="M436" i="102"/>
  <c r="L436" i="102"/>
  <c r="I436" i="102"/>
  <c r="H436" i="102"/>
  <c r="G436" i="102"/>
  <c r="D436" i="102"/>
  <c r="C436" i="102"/>
  <c r="B436" i="102"/>
  <c r="Y435" i="102"/>
  <c r="T435" i="102"/>
  <c r="O435" i="102"/>
  <c r="J435" i="102"/>
  <c r="E435" i="102"/>
  <c r="Y434" i="102"/>
  <c r="T434" i="102"/>
  <c r="O434" i="102"/>
  <c r="J434" i="102"/>
  <c r="E434" i="102"/>
  <c r="X425" i="102"/>
  <c r="W425" i="102"/>
  <c r="V425" i="102"/>
  <c r="X424" i="102"/>
  <c r="W424" i="102"/>
  <c r="V424" i="102"/>
  <c r="S425" i="102"/>
  <c r="R425" i="102"/>
  <c r="Q425" i="102"/>
  <c r="S424" i="102"/>
  <c r="R424" i="102"/>
  <c r="Q424" i="102"/>
  <c r="N425" i="102"/>
  <c r="M425" i="102"/>
  <c r="L425" i="102"/>
  <c r="N424" i="102"/>
  <c r="M424" i="102"/>
  <c r="L424" i="102"/>
  <c r="I425" i="102"/>
  <c r="H425" i="102"/>
  <c r="G425" i="102"/>
  <c r="I424" i="102"/>
  <c r="H424" i="102"/>
  <c r="G424" i="102"/>
  <c r="B425" i="102"/>
  <c r="C425" i="102"/>
  <c r="D425" i="102"/>
  <c r="C424" i="102"/>
  <c r="D424" i="102"/>
  <c r="B424" i="102"/>
  <c r="X421" i="102"/>
  <c r="W421" i="102"/>
  <c r="V421" i="102"/>
  <c r="S421" i="102"/>
  <c r="R421" i="102"/>
  <c r="Q421" i="102"/>
  <c r="N421" i="102"/>
  <c r="M421" i="102"/>
  <c r="L421" i="102"/>
  <c r="I421" i="102"/>
  <c r="H421" i="102"/>
  <c r="G421" i="102"/>
  <c r="D421" i="102"/>
  <c r="C421" i="102"/>
  <c r="B421" i="102"/>
  <c r="Y420" i="102"/>
  <c r="T420" i="102"/>
  <c r="O420" i="102"/>
  <c r="J420" i="102"/>
  <c r="E420" i="102"/>
  <c r="Y419" i="102"/>
  <c r="T419" i="102"/>
  <c r="O419" i="102"/>
  <c r="J419" i="102"/>
  <c r="E419" i="102"/>
  <c r="X416" i="102"/>
  <c r="W416" i="102"/>
  <c r="V416" i="102"/>
  <c r="S416" i="102"/>
  <c r="R416" i="102"/>
  <c r="Q416" i="102"/>
  <c r="N416" i="102"/>
  <c r="M416" i="102"/>
  <c r="L416" i="102"/>
  <c r="I416" i="102"/>
  <c r="H416" i="102"/>
  <c r="G416" i="102"/>
  <c r="D416" i="102"/>
  <c r="C416" i="102"/>
  <c r="B416" i="102"/>
  <c r="Y415" i="102"/>
  <c r="T415" i="102"/>
  <c r="O415" i="102"/>
  <c r="J415" i="102"/>
  <c r="E415" i="102"/>
  <c r="Y414" i="102"/>
  <c r="T414" i="102"/>
  <c r="O414" i="102"/>
  <c r="J414" i="102"/>
  <c r="E414" i="102"/>
  <c r="X411" i="102"/>
  <c r="W411" i="102"/>
  <c r="V411" i="102"/>
  <c r="S411" i="102"/>
  <c r="R411" i="102"/>
  <c r="Q411" i="102"/>
  <c r="N411" i="102"/>
  <c r="M411" i="102"/>
  <c r="L411" i="102"/>
  <c r="I411" i="102"/>
  <c r="H411" i="102"/>
  <c r="G411" i="102"/>
  <c r="D411" i="102"/>
  <c r="C411" i="102"/>
  <c r="B411" i="102"/>
  <c r="Y410" i="102"/>
  <c r="T410" i="102"/>
  <c r="O410" i="102"/>
  <c r="J410" i="102"/>
  <c r="E410" i="102"/>
  <c r="Y409" i="102"/>
  <c r="T409" i="102"/>
  <c r="O409" i="102"/>
  <c r="J409" i="102"/>
  <c r="E409" i="102"/>
  <c r="X406" i="102"/>
  <c r="W406" i="102"/>
  <c r="V406" i="102"/>
  <c r="S406" i="102"/>
  <c r="R406" i="102"/>
  <c r="Q406" i="102"/>
  <c r="N406" i="102"/>
  <c r="M406" i="102"/>
  <c r="L406" i="102"/>
  <c r="I406" i="102"/>
  <c r="H406" i="102"/>
  <c r="G406" i="102"/>
  <c r="D406" i="102"/>
  <c r="C406" i="102"/>
  <c r="B406" i="102"/>
  <c r="Y405" i="102"/>
  <c r="T405" i="102"/>
  <c r="O405" i="102"/>
  <c r="J405" i="102"/>
  <c r="E405" i="102"/>
  <c r="Y404" i="102"/>
  <c r="T404" i="102"/>
  <c r="O404" i="102"/>
  <c r="J404" i="102"/>
  <c r="E404" i="102"/>
  <c r="X401" i="102"/>
  <c r="W401" i="102"/>
  <c r="V401" i="102"/>
  <c r="S401" i="102"/>
  <c r="R401" i="102"/>
  <c r="Q401" i="102"/>
  <c r="N401" i="102"/>
  <c r="M401" i="102"/>
  <c r="L401" i="102"/>
  <c r="I401" i="102"/>
  <c r="H401" i="102"/>
  <c r="G401" i="102"/>
  <c r="D401" i="102"/>
  <c r="C401" i="102"/>
  <c r="B401" i="102"/>
  <c r="Y400" i="102"/>
  <c r="T400" i="102"/>
  <c r="O400" i="102"/>
  <c r="J400" i="102"/>
  <c r="E400" i="102"/>
  <c r="Y399" i="102"/>
  <c r="T399" i="102"/>
  <c r="O399" i="102"/>
  <c r="J399" i="102"/>
  <c r="E399" i="102"/>
  <c r="X396" i="102"/>
  <c r="W396" i="102"/>
  <c r="V396" i="102"/>
  <c r="S396" i="102"/>
  <c r="R396" i="102"/>
  <c r="Q396" i="102"/>
  <c r="N396" i="102"/>
  <c r="M396" i="102"/>
  <c r="L396" i="102"/>
  <c r="I396" i="102"/>
  <c r="H396" i="102"/>
  <c r="G396" i="102"/>
  <c r="D396" i="102"/>
  <c r="C396" i="102"/>
  <c r="B396" i="102"/>
  <c r="Y395" i="102"/>
  <c r="T395" i="102"/>
  <c r="O395" i="102"/>
  <c r="J395" i="102"/>
  <c r="E395" i="102"/>
  <c r="Y394" i="102"/>
  <c r="T394" i="102"/>
  <c r="O394" i="102"/>
  <c r="J394" i="102"/>
  <c r="E394" i="102"/>
  <c r="X391" i="102"/>
  <c r="W391" i="102"/>
  <c r="V391" i="102"/>
  <c r="S391" i="102"/>
  <c r="R391" i="102"/>
  <c r="Q391" i="102"/>
  <c r="N391" i="102"/>
  <c r="M391" i="102"/>
  <c r="L391" i="102"/>
  <c r="I391" i="102"/>
  <c r="H391" i="102"/>
  <c r="G391" i="102"/>
  <c r="D391" i="102"/>
  <c r="C391" i="102"/>
  <c r="B391" i="102"/>
  <c r="Y390" i="102"/>
  <c r="T390" i="102"/>
  <c r="O390" i="102"/>
  <c r="J390" i="102"/>
  <c r="E390" i="102"/>
  <c r="Y389" i="102"/>
  <c r="T389" i="102"/>
  <c r="O389" i="102"/>
  <c r="J389" i="102"/>
  <c r="E389" i="102"/>
  <c r="E379" i="102"/>
  <c r="X381" i="102"/>
  <c r="W381" i="102"/>
  <c r="V381" i="102"/>
  <c r="S381" i="102"/>
  <c r="R381" i="102"/>
  <c r="Q381" i="102"/>
  <c r="N381" i="102"/>
  <c r="M381" i="102"/>
  <c r="L381" i="102"/>
  <c r="I381" i="102"/>
  <c r="H381" i="102"/>
  <c r="G381" i="102"/>
  <c r="D381" i="102"/>
  <c r="C381" i="102"/>
  <c r="B381" i="102"/>
  <c r="Y380" i="102"/>
  <c r="T380" i="102"/>
  <c r="O380" i="102"/>
  <c r="J380" i="102"/>
  <c r="E380" i="102"/>
  <c r="Y379" i="102"/>
  <c r="T379" i="102"/>
  <c r="O379" i="102"/>
  <c r="J379" i="102"/>
  <c r="X565" i="102"/>
  <c r="W565" i="102"/>
  <c r="V565" i="102"/>
  <c r="S565" i="102"/>
  <c r="R565" i="102"/>
  <c r="Q565" i="102"/>
  <c r="N565" i="102"/>
  <c r="M565" i="102"/>
  <c r="L565" i="102"/>
  <c r="I565" i="102"/>
  <c r="H565" i="102"/>
  <c r="G565" i="102"/>
  <c r="D565" i="102"/>
  <c r="C565" i="102"/>
  <c r="B565" i="102"/>
  <c r="X564" i="102"/>
  <c r="W564" i="102"/>
  <c r="V564" i="102"/>
  <c r="S564" i="102"/>
  <c r="R564" i="102"/>
  <c r="Q564" i="102"/>
  <c r="M564" i="102"/>
  <c r="L564" i="102"/>
  <c r="I564" i="102"/>
  <c r="H564" i="102"/>
  <c r="G564" i="102"/>
  <c r="D564" i="102"/>
  <c r="C564" i="102"/>
  <c r="B564" i="102"/>
  <c r="X561" i="102"/>
  <c r="W561" i="102"/>
  <c r="V561" i="102"/>
  <c r="S561" i="102"/>
  <c r="R561" i="102"/>
  <c r="Q561" i="102"/>
  <c r="N561" i="102"/>
  <c r="M561" i="102"/>
  <c r="L561" i="102"/>
  <c r="I561" i="102"/>
  <c r="H561" i="102"/>
  <c r="G561" i="102"/>
  <c r="D561" i="102"/>
  <c r="C561" i="102"/>
  <c r="B561" i="102"/>
  <c r="Y560" i="102"/>
  <c r="T560" i="102"/>
  <c r="O560" i="102"/>
  <c r="J560" i="102"/>
  <c r="E560" i="102"/>
  <c r="Y559" i="102"/>
  <c r="T559" i="102"/>
  <c r="O559" i="102"/>
  <c r="J559" i="102"/>
  <c r="E559" i="102"/>
  <c r="X556" i="102"/>
  <c r="W556" i="102"/>
  <c r="V556" i="102"/>
  <c r="S556" i="102"/>
  <c r="R556" i="102"/>
  <c r="Q556" i="102"/>
  <c r="N556" i="102"/>
  <c r="M556" i="102"/>
  <c r="L556" i="102"/>
  <c r="I556" i="102"/>
  <c r="H556" i="102"/>
  <c r="G556" i="102"/>
  <c r="D556" i="102"/>
  <c r="C556" i="102"/>
  <c r="B556" i="102"/>
  <c r="Y555" i="102"/>
  <c r="T555" i="102"/>
  <c r="O555" i="102"/>
  <c r="J555" i="102"/>
  <c r="E555" i="102"/>
  <c r="Y554" i="102"/>
  <c r="T554" i="102"/>
  <c r="J554" i="102"/>
  <c r="E554" i="102"/>
  <c r="X551" i="102"/>
  <c r="W551" i="102"/>
  <c r="V551" i="102"/>
  <c r="S551" i="102"/>
  <c r="R551" i="102"/>
  <c r="Q551" i="102"/>
  <c r="N551" i="102"/>
  <c r="M551" i="102"/>
  <c r="L551" i="102"/>
  <c r="I551" i="102"/>
  <c r="H551" i="102"/>
  <c r="G551" i="102"/>
  <c r="D551" i="102"/>
  <c r="C551" i="102"/>
  <c r="B551" i="102"/>
  <c r="Y550" i="102"/>
  <c r="T550" i="102"/>
  <c r="O550" i="102"/>
  <c r="J550" i="102"/>
  <c r="E550" i="102"/>
  <c r="Y549" i="102"/>
  <c r="T549" i="102"/>
  <c r="O549" i="102"/>
  <c r="J549" i="102"/>
  <c r="E549" i="102"/>
  <c r="X510" i="102"/>
  <c r="W510" i="102"/>
  <c r="V510" i="102"/>
  <c r="S510" i="102"/>
  <c r="R510" i="102"/>
  <c r="Q510" i="102"/>
  <c r="N510" i="102"/>
  <c r="M510" i="102"/>
  <c r="L510" i="102"/>
  <c r="I510" i="102"/>
  <c r="H510" i="102"/>
  <c r="G510" i="102"/>
  <c r="D510" i="102"/>
  <c r="C510" i="102"/>
  <c r="B510" i="102"/>
  <c r="X509" i="102"/>
  <c r="W509" i="102"/>
  <c r="V509" i="102"/>
  <c r="S509" i="102"/>
  <c r="R509" i="102"/>
  <c r="Q509" i="102"/>
  <c r="N509" i="102"/>
  <c r="M509" i="102"/>
  <c r="L509" i="102"/>
  <c r="I509" i="102"/>
  <c r="H509" i="102"/>
  <c r="G509" i="102"/>
  <c r="D509" i="102"/>
  <c r="C509" i="102"/>
  <c r="B509" i="102"/>
  <c r="X506" i="102"/>
  <c r="W506" i="102"/>
  <c r="V506" i="102"/>
  <c r="S506" i="102"/>
  <c r="R506" i="102"/>
  <c r="Q506" i="102"/>
  <c r="N506" i="102"/>
  <c r="M506" i="102"/>
  <c r="L506" i="102"/>
  <c r="I506" i="102"/>
  <c r="H506" i="102"/>
  <c r="G506" i="102"/>
  <c r="D506" i="102"/>
  <c r="C506" i="102"/>
  <c r="B506" i="102"/>
  <c r="Y505" i="102"/>
  <c r="T505" i="102"/>
  <c r="O505" i="102"/>
  <c r="J505" i="102"/>
  <c r="E505" i="102"/>
  <c r="Y504" i="102"/>
  <c r="T504" i="102"/>
  <c r="O504" i="102"/>
  <c r="J504" i="102"/>
  <c r="E504" i="102"/>
  <c r="X501" i="102"/>
  <c r="W501" i="102"/>
  <c r="V501" i="102"/>
  <c r="S501" i="102"/>
  <c r="R501" i="102"/>
  <c r="Q501" i="102"/>
  <c r="N501" i="102"/>
  <c r="M501" i="102"/>
  <c r="L501" i="102"/>
  <c r="I501" i="102"/>
  <c r="H501" i="102"/>
  <c r="G501" i="102"/>
  <c r="D501" i="102"/>
  <c r="C501" i="102"/>
  <c r="B501" i="102"/>
  <c r="Y500" i="102"/>
  <c r="T500" i="102"/>
  <c r="O500" i="102"/>
  <c r="J500" i="102"/>
  <c r="E500" i="102"/>
  <c r="Y499" i="102"/>
  <c r="T499" i="102"/>
  <c r="O499" i="102"/>
  <c r="J499" i="102"/>
  <c r="E499" i="102"/>
  <c r="X496" i="102"/>
  <c r="W496" i="102"/>
  <c r="V496" i="102"/>
  <c r="S496" i="102"/>
  <c r="R496" i="102"/>
  <c r="Q496" i="102"/>
  <c r="N496" i="102"/>
  <c r="M496" i="102"/>
  <c r="L496" i="102"/>
  <c r="I496" i="102"/>
  <c r="H496" i="102"/>
  <c r="G496" i="102"/>
  <c r="D496" i="102"/>
  <c r="C496" i="102"/>
  <c r="B496" i="102"/>
  <c r="Y495" i="102"/>
  <c r="T495" i="102"/>
  <c r="O495" i="102"/>
  <c r="J495" i="102"/>
  <c r="E495" i="102"/>
  <c r="Y494" i="102"/>
  <c r="T494" i="102"/>
  <c r="O494" i="102"/>
  <c r="J494" i="102"/>
  <c r="E494" i="102"/>
  <c r="X370" i="102"/>
  <c r="W370" i="102"/>
  <c r="V370" i="102"/>
  <c r="B313" i="104" s="1"/>
  <c r="S370" i="102"/>
  <c r="R370" i="102"/>
  <c r="Q370" i="102"/>
  <c r="N370" i="102"/>
  <c r="M370" i="102"/>
  <c r="L370" i="102"/>
  <c r="I370" i="102"/>
  <c r="H370" i="102"/>
  <c r="G370" i="102"/>
  <c r="D370" i="102"/>
  <c r="C370" i="102"/>
  <c r="B370" i="102"/>
  <c r="X369" i="102"/>
  <c r="W369" i="102"/>
  <c r="V369" i="102"/>
  <c r="S369" i="102"/>
  <c r="R369" i="102"/>
  <c r="Q369" i="102"/>
  <c r="N369" i="102"/>
  <c r="M369" i="102"/>
  <c r="L369" i="102"/>
  <c r="I369" i="102"/>
  <c r="H369" i="102"/>
  <c r="G369" i="102"/>
  <c r="D369" i="102"/>
  <c r="C369" i="102"/>
  <c r="B369" i="102"/>
  <c r="X366" i="102"/>
  <c r="W366" i="102"/>
  <c r="V366" i="102"/>
  <c r="S366" i="102"/>
  <c r="R366" i="102"/>
  <c r="Q366" i="102"/>
  <c r="N366" i="102"/>
  <c r="M366" i="102"/>
  <c r="L366" i="102"/>
  <c r="I366" i="102"/>
  <c r="H366" i="102"/>
  <c r="G366" i="102"/>
  <c r="D366" i="102"/>
  <c r="C366" i="102"/>
  <c r="B366" i="102"/>
  <c r="Y365" i="102"/>
  <c r="T365" i="102"/>
  <c r="O365" i="102"/>
  <c r="J365" i="102"/>
  <c r="E365" i="102"/>
  <c r="Y364" i="102"/>
  <c r="T364" i="102"/>
  <c r="O364" i="102"/>
  <c r="J364" i="102"/>
  <c r="E364" i="102"/>
  <c r="X361" i="102"/>
  <c r="W361" i="102"/>
  <c r="V361" i="102"/>
  <c r="S361" i="102"/>
  <c r="R361" i="102"/>
  <c r="Q361" i="102"/>
  <c r="N361" i="102"/>
  <c r="M361" i="102"/>
  <c r="L361" i="102"/>
  <c r="I361" i="102"/>
  <c r="H361" i="102"/>
  <c r="G361" i="102"/>
  <c r="D361" i="102"/>
  <c r="C361" i="102"/>
  <c r="B361" i="102"/>
  <c r="Y360" i="102"/>
  <c r="T360" i="102"/>
  <c r="O360" i="102"/>
  <c r="J360" i="102"/>
  <c r="E360" i="102"/>
  <c r="Y359" i="102"/>
  <c r="T359" i="102"/>
  <c r="O359" i="102"/>
  <c r="J359" i="102"/>
  <c r="E359" i="102"/>
  <c r="X356" i="102"/>
  <c r="W356" i="102"/>
  <c r="V356" i="102"/>
  <c r="S356" i="102"/>
  <c r="R356" i="102"/>
  <c r="Q356" i="102"/>
  <c r="N356" i="102"/>
  <c r="M356" i="102"/>
  <c r="L356" i="102"/>
  <c r="I356" i="102"/>
  <c r="H356" i="102"/>
  <c r="G356" i="102"/>
  <c r="D356" i="102"/>
  <c r="C356" i="102"/>
  <c r="B356" i="102"/>
  <c r="Y355" i="102"/>
  <c r="T355" i="102"/>
  <c r="O355" i="102"/>
  <c r="J355" i="102"/>
  <c r="E355" i="102"/>
  <c r="Y354" i="102"/>
  <c r="T354" i="102"/>
  <c r="O354" i="102"/>
  <c r="J354" i="102"/>
  <c r="E354" i="102"/>
  <c r="X345" i="102"/>
  <c r="W345" i="102"/>
  <c r="V345" i="102"/>
  <c r="S345" i="102"/>
  <c r="R345" i="102"/>
  <c r="Q345" i="102"/>
  <c r="N345" i="102"/>
  <c r="M345" i="102"/>
  <c r="L345" i="102"/>
  <c r="I345" i="102"/>
  <c r="H345" i="102"/>
  <c r="G345" i="102"/>
  <c r="D345" i="102"/>
  <c r="C345" i="102"/>
  <c r="B345" i="102"/>
  <c r="X344" i="102"/>
  <c r="W344" i="102"/>
  <c r="V344" i="102"/>
  <c r="S344" i="102"/>
  <c r="R344" i="102"/>
  <c r="Q344" i="102"/>
  <c r="N344" i="102"/>
  <c r="M344" i="102"/>
  <c r="L344" i="102"/>
  <c r="I344" i="102"/>
  <c r="H344" i="102"/>
  <c r="G344" i="102"/>
  <c r="D344" i="102"/>
  <c r="C344" i="102"/>
  <c r="B344" i="102"/>
  <c r="X341" i="102"/>
  <c r="W341" i="102"/>
  <c r="V341" i="102"/>
  <c r="S341" i="102"/>
  <c r="R341" i="102"/>
  <c r="Q341" i="102"/>
  <c r="N341" i="102"/>
  <c r="M341" i="102"/>
  <c r="L341" i="102"/>
  <c r="I341" i="102"/>
  <c r="H341" i="102"/>
  <c r="G341" i="102"/>
  <c r="D341" i="102"/>
  <c r="C341" i="102"/>
  <c r="B341" i="102"/>
  <c r="Y340" i="102"/>
  <c r="T340" i="102"/>
  <c r="O340" i="102"/>
  <c r="J340" i="102"/>
  <c r="E340" i="102"/>
  <c r="Y339" i="102"/>
  <c r="T339" i="102"/>
  <c r="O339" i="102"/>
  <c r="J339" i="102"/>
  <c r="E339" i="102"/>
  <c r="X336" i="102"/>
  <c r="W336" i="102"/>
  <c r="V336" i="102"/>
  <c r="S336" i="102"/>
  <c r="R336" i="102"/>
  <c r="Q336" i="102"/>
  <c r="N336" i="102"/>
  <c r="M336" i="102"/>
  <c r="L336" i="102"/>
  <c r="I336" i="102"/>
  <c r="H336" i="102"/>
  <c r="G336" i="102"/>
  <c r="D336" i="102"/>
  <c r="C336" i="102"/>
  <c r="B336" i="102"/>
  <c r="Y335" i="102"/>
  <c r="T335" i="102"/>
  <c r="O335" i="102"/>
  <c r="J335" i="102"/>
  <c r="E335" i="102"/>
  <c r="Y334" i="102"/>
  <c r="T334" i="102"/>
  <c r="O334" i="102"/>
  <c r="J334" i="102"/>
  <c r="E334" i="102"/>
  <c r="X331" i="102"/>
  <c r="W331" i="102"/>
  <c r="V331" i="102"/>
  <c r="S331" i="102"/>
  <c r="R331" i="102"/>
  <c r="Q331" i="102"/>
  <c r="N331" i="102"/>
  <c r="M331" i="102"/>
  <c r="L331" i="102"/>
  <c r="I331" i="102"/>
  <c r="H331" i="102"/>
  <c r="G331" i="102"/>
  <c r="D331" i="102"/>
  <c r="C331" i="102"/>
  <c r="B331" i="102"/>
  <c r="Y330" i="102"/>
  <c r="T330" i="102"/>
  <c r="O330" i="102"/>
  <c r="J330" i="102"/>
  <c r="E330" i="102"/>
  <c r="Y329" i="102"/>
  <c r="T329" i="102"/>
  <c r="O329" i="102"/>
  <c r="J329" i="102"/>
  <c r="E329" i="102"/>
  <c r="X320" i="102"/>
  <c r="W320" i="102"/>
  <c r="V320" i="102"/>
  <c r="S320" i="102"/>
  <c r="R320" i="102"/>
  <c r="Q320" i="102"/>
  <c r="N320" i="102"/>
  <c r="M320" i="102"/>
  <c r="L320" i="102"/>
  <c r="I320" i="102"/>
  <c r="H320" i="102"/>
  <c r="G320" i="102"/>
  <c r="D320" i="102"/>
  <c r="C320" i="102"/>
  <c r="B320" i="102"/>
  <c r="X319" i="102"/>
  <c r="W319" i="102"/>
  <c r="V319" i="102"/>
  <c r="S319" i="102"/>
  <c r="R319" i="102"/>
  <c r="Q319" i="102"/>
  <c r="N319" i="102"/>
  <c r="M319" i="102"/>
  <c r="L319" i="102"/>
  <c r="I319" i="102"/>
  <c r="H319" i="102"/>
  <c r="G319" i="102"/>
  <c r="D319" i="102"/>
  <c r="C319" i="102"/>
  <c r="B319" i="102"/>
  <c r="X316" i="102"/>
  <c r="W316" i="102"/>
  <c r="V316" i="102"/>
  <c r="S316" i="102"/>
  <c r="R316" i="102"/>
  <c r="Q316" i="102"/>
  <c r="N316" i="102"/>
  <c r="M316" i="102"/>
  <c r="L316" i="102"/>
  <c r="I316" i="102"/>
  <c r="H316" i="102"/>
  <c r="G316" i="102"/>
  <c r="D316" i="102"/>
  <c r="C316" i="102"/>
  <c r="B316" i="102"/>
  <c r="Y315" i="102"/>
  <c r="T315" i="102"/>
  <c r="O315" i="102"/>
  <c r="J315" i="102"/>
  <c r="E315" i="102"/>
  <c r="Y314" i="102"/>
  <c r="T314" i="102"/>
  <c r="O314" i="102"/>
  <c r="J314" i="102"/>
  <c r="E314" i="102"/>
  <c r="X311" i="102"/>
  <c r="W311" i="102"/>
  <c r="V311" i="102"/>
  <c r="S311" i="102"/>
  <c r="R311" i="102"/>
  <c r="Q311" i="102"/>
  <c r="N311" i="102"/>
  <c r="M311" i="102"/>
  <c r="L311" i="102"/>
  <c r="I311" i="102"/>
  <c r="H311" i="102"/>
  <c r="G311" i="102"/>
  <c r="D311" i="102"/>
  <c r="C311" i="102"/>
  <c r="B311" i="102"/>
  <c r="Y310" i="102"/>
  <c r="T310" i="102"/>
  <c r="O310" i="102"/>
  <c r="J310" i="102"/>
  <c r="E310" i="102"/>
  <c r="Y309" i="102"/>
  <c r="T309" i="102"/>
  <c r="O309" i="102"/>
  <c r="J309" i="102"/>
  <c r="E309" i="102"/>
  <c r="X306" i="102"/>
  <c r="W306" i="102"/>
  <c r="V306" i="102"/>
  <c r="S306" i="102"/>
  <c r="R306" i="102"/>
  <c r="Q306" i="102"/>
  <c r="N306" i="102"/>
  <c r="M306" i="102"/>
  <c r="L306" i="102"/>
  <c r="I306" i="102"/>
  <c r="H306" i="102"/>
  <c r="G306" i="102"/>
  <c r="D306" i="102"/>
  <c r="C306" i="102"/>
  <c r="B306" i="102"/>
  <c r="Y305" i="102"/>
  <c r="T305" i="102"/>
  <c r="O305" i="102"/>
  <c r="J305" i="102"/>
  <c r="E305" i="102"/>
  <c r="Y304" i="102"/>
  <c r="T304" i="102"/>
  <c r="O304" i="102"/>
  <c r="J304" i="102"/>
  <c r="E304" i="102"/>
  <c r="X295" i="102"/>
  <c r="W295" i="102"/>
  <c r="V295" i="102"/>
  <c r="X294" i="102"/>
  <c r="W294" i="102"/>
  <c r="V294" i="102"/>
  <c r="S295" i="102"/>
  <c r="R295" i="102"/>
  <c r="Q295" i="102"/>
  <c r="S294" i="102"/>
  <c r="R294" i="102"/>
  <c r="Q294" i="102"/>
  <c r="N295" i="102"/>
  <c r="M295" i="102"/>
  <c r="L295" i="102"/>
  <c r="N294" i="102"/>
  <c r="M294" i="102"/>
  <c r="L294" i="102"/>
  <c r="I295" i="102"/>
  <c r="H295" i="102"/>
  <c r="G295" i="102"/>
  <c r="I294" i="102"/>
  <c r="H294" i="102"/>
  <c r="G294" i="102"/>
  <c r="B295" i="102"/>
  <c r="C295" i="102"/>
  <c r="D295" i="102"/>
  <c r="C294" i="102"/>
  <c r="D294" i="102"/>
  <c r="B294" i="102"/>
  <c r="X291" i="102"/>
  <c r="W291" i="102"/>
  <c r="V291" i="102"/>
  <c r="S291" i="102"/>
  <c r="R291" i="102"/>
  <c r="Q291" i="102"/>
  <c r="N291" i="102"/>
  <c r="M291" i="102"/>
  <c r="L291" i="102"/>
  <c r="I291" i="102"/>
  <c r="H291" i="102"/>
  <c r="G291" i="102"/>
  <c r="D291" i="102"/>
  <c r="C291" i="102"/>
  <c r="B291" i="102"/>
  <c r="Y290" i="102"/>
  <c r="T290" i="102"/>
  <c r="O290" i="102"/>
  <c r="J290" i="102"/>
  <c r="E290" i="102"/>
  <c r="Y289" i="102"/>
  <c r="T289" i="102"/>
  <c r="O289" i="102"/>
  <c r="J289" i="102"/>
  <c r="E289" i="102"/>
  <c r="X286" i="102"/>
  <c r="W286" i="102"/>
  <c r="V286" i="102"/>
  <c r="S286" i="102"/>
  <c r="R286" i="102"/>
  <c r="Q286" i="102"/>
  <c r="N286" i="102"/>
  <c r="M286" i="102"/>
  <c r="L286" i="102"/>
  <c r="I286" i="102"/>
  <c r="H286" i="102"/>
  <c r="G286" i="102"/>
  <c r="D286" i="102"/>
  <c r="C286" i="102"/>
  <c r="B286" i="102"/>
  <c r="Y285" i="102"/>
  <c r="T285" i="102"/>
  <c r="O285" i="102"/>
  <c r="J285" i="102"/>
  <c r="E285" i="102"/>
  <c r="Y284" i="102"/>
  <c r="T284" i="102"/>
  <c r="O284" i="102"/>
  <c r="J284" i="102"/>
  <c r="E284" i="102"/>
  <c r="X275" i="102"/>
  <c r="W275" i="102"/>
  <c r="V275" i="102"/>
  <c r="X274" i="102"/>
  <c r="W274" i="102"/>
  <c r="V274" i="102"/>
  <c r="S275" i="102"/>
  <c r="R275" i="102"/>
  <c r="Q275" i="102"/>
  <c r="S274" i="102"/>
  <c r="R274" i="102"/>
  <c r="Q274" i="102"/>
  <c r="N275" i="102"/>
  <c r="M275" i="102"/>
  <c r="L275" i="102"/>
  <c r="N274" i="102"/>
  <c r="M274" i="102"/>
  <c r="L274" i="102"/>
  <c r="I275" i="102"/>
  <c r="H275" i="102"/>
  <c r="G275" i="102"/>
  <c r="I274" i="102"/>
  <c r="H274" i="102"/>
  <c r="G274" i="102"/>
  <c r="B275" i="102"/>
  <c r="C275" i="102"/>
  <c r="D275" i="102"/>
  <c r="C274" i="102"/>
  <c r="D274" i="102"/>
  <c r="B274" i="102"/>
  <c r="X271" i="102"/>
  <c r="W271" i="102"/>
  <c r="V271" i="102"/>
  <c r="S271" i="102"/>
  <c r="R271" i="102"/>
  <c r="Q271" i="102"/>
  <c r="N271" i="102"/>
  <c r="M271" i="102"/>
  <c r="L271" i="102"/>
  <c r="I271" i="102"/>
  <c r="H271" i="102"/>
  <c r="G271" i="102"/>
  <c r="D271" i="102"/>
  <c r="C271" i="102"/>
  <c r="B271" i="102"/>
  <c r="Y270" i="102"/>
  <c r="T270" i="102"/>
  <c r="O270" i="102"/>
  <c r="J270" i="102"/>
  <c r="E270" i="102"/>
  <c r="Y269" i="102"/>
  <c r="T269" i="102"/>
  <c r="O269" i="102"/>
  <c r="J269" i="102"/>
  <c r="E269" i="102"/>
  <c r="X266" i="102"/>
  <c r="W266" i="102"/>
  <c r="V266" i="102"/>
  <c r="S266" i="102"/>
  <c r="R266" i="102"/>
  <c r="Q266" i="102"/>
  <c r="N266" i="102"/>
  <c r="M266" i="102"/>
  <c r="L266" i="102"/>
  <c r="I266" i="102"/>
  <c r="H266" i="102"/>
  <c r="G266" i="102"/>
  <c r="D266" i="102"/>
  <c r="C266" i="102"/>
  <c r="B266" i="102"/>
  <c r="Y265" i="102"/>
  <c r="T265" i="102"/>
  <c r="O265" i="102"/>
  <c r="J265" i="102"/>
  <c r="E265" i="102"/>
  <c r="Y264" i="102"/>
  <c r="T264" i="102"/>
  <c r="O264" i="102"/>
  <c r="J264" i="102"/>
  <c r="E264" i="102"/>
  <c r="X261" i="102"/>
  <c r="W261" i="102"/>
  <c r="V261" i="102"/>
  <c r="S261" i="102"/>
  <c r="R261" i="102"/>
  <c r="Q261" i="102"/>
  <c r="N261" i="102"/>
  <c r="M261" i="102"/>
  <c r="L261" i="102"/>
  <c r="I261" i="102"/>
  <c r="H261" i="102"/>
  <c r="G261" i="102"/>
  <c r="D261" i="102"/>
  <c r="C261" i="102"/>
  <c r="B261" i="102"/>
  <c r="Y260" i="102"/>
  <c r="T260" i="102"/>
  <c r="O260" i="102"/>
  <c r="J260" i="102"/>
  <c r="E260" i="102"/>
  <c r="Y259" i="102"/>
  <c r="T259" i="102"/>
  <c r="O259" i="102"/>
  <c r="J259" i="102"/>
  <c r="E259" i="102"/>
  <c r="X256" i="102"/>
  <c r="W256" i="102"/>
  <c r="V256" i="102"/>
  <c r="S256" i="102"/>
  <c r="R256" i="102"/>
  <c r="Q256" i="102"/>
  <c r="N256" i="102"/>
  <c r="M256" i="102"/>
  <c r="L256" i="102"/>
  <c r="I256" i="102"/>
  <c r="H256" i="102"/>
  <c r="G256" i="102"/>
  <c r="D256" i="102"/>
  <c r="C256" i="102"/>
  <c r="B256" i="102"/>
  <c r="Y255" i="102"/>
  <c r="T255" i="102"/>
  <c r="O255" i="102"/>
  <c r="J255" i="102"/>
  <c r="E255" i="102"/>
  <c r="Y254" i="102"/>
  <c r="T254" i="102"/>
  <c r="O254" i="102"/>
  <c r="J254" i="102"/>
  <c r="E254" i="102"/>
  <c r="X251" i="102"/>
  <c r="W251" i="102"/>
  <c r="V251" i="102"/>
  <c r="S251" i="102"/>
  <c r="R251" i="102"/>
  <c r="Q251" i="102"/>
  <c r="N251" i="102"/>
  <c r="M251" i="102"/>
  <c r="L251" i="102"/>
  <c r="I251" i="102"/>
  <c r="H251" i="102"/>
  <c r="G251" i="102"/>
  <c r="D251" i="102"/>
  <c r="C251" i="102"/>
  <c r="B251" i="102"/>
  <c r="Y250" i="102"/>
  <c r="T250" i="102"/>
  <c r="O250" i="102"/>
  <c r="J250" i="102"/>
  <c r="E250" i="102"/>
  <c r="Y249" i="102"/>
  <c r="T249" i="102"/>
  <c r="O249" i="102"/>
  <c r="J249" i="102"/>
  <c r="E249" i="102"/>
  <c r="B239" i="102"/>
  <c r="B236" i="102"/>
  <c r="E234" i="102"/>
  <c r="X240" i="102"/>
  <c r="W240" i="102"/>
  <c r="V240" i="102"/>
  <c r="S240" i="102"/>
  <c r="R240" i="102"/>
  <c r="Q240" i="102"/>
  <c r="N240" i="102"/>
  <c r="M240" i="102"/>
  <c r="L240" i="102"/>
  <c r="I240" i="102"/>
  <c r="H240" i="102"/>
  <c r="G240" i="102"/>
  <c r="D240" i="102"/>
  <c r="C240" i="102"/>
  <c r="B240" i="102"/>
  <c r="X239" i="102"/>
  <c r="W239" i="102"/>
  <c r="V239" i="102"/>
  <c r="S239" i="102"/>
  <c r="R239" i="102"/>
  <c r="Q239" i="102"/>
  <c r="N239" i="102"/>
  <c r="M239" i="102"/>
  <c r="L239" i="102"/>
  <c r="I239" i="102"/>
  <c r="H239" i="102"/>
  <c r="G239" i="102"/>
  <c r="D239" i="102"/>
  <c r="C239" i="102"/>
  <c r="X236" i="102"/>
  <c r="W236" i="102"/>
  <c r="V236" i="102"/>
  <c r="S236" i="102"/>
  <c r="R236" i="102"/>
  <c r="Q236" i="102"/>
  <c r="N236" i="102"/>
  <c r="M236" i="102"/>
  <c r="L236" i="102"/>
  <c r="I236" i="102"/>
  <c r="H236" i="102"/>
  <c r="G236" i="102"/>
  <c r="D236" i="102"/>
  <c r="C236" i="102"/>
  <c r="Y235" i="102"/>
  <c r="T235" i="102"/>
  <c r="O235" i="102"/>
  <c r="J235" i="102"/>
  <c r="E235" i="102"/>
  <c r="Y234" i="102"/>
  <c r="T234" i="102"/>
  <c r="O234" i="102"/>
  <c r="J234" i="102"/>
  <c r="X231" i="102"/>
  <c r="W231" i="102"/>
  <c r="V231" i="102"/>
  <c r="S231" i="102"/>
  <c r="R231" i="102"/>
  <c r="Q231" i="102"/>
  <c r="N231" i="102"/>
  <c r="M231" i="102"/>
  <c r="L231" i="102"/>
  <c r="I231" i="102"/>
  <c r="H231" i="102"/>
  <c r="G231" i="102"/>
  <c r="D231" i="102"/>
  <c r="C231" i="102"/>
  <c r="B231" i="102"/>
  <c r="Y230" i="102"/>
  <c r="T230" i="102"/>
  <c r="O230" i="102"/>
  <c r="J230" i="102"/>
  <c r="E230" i="102"/>
  <c r="Y229" i="102"/>
  <c r="T229" i="102"/>
  <c r="O229" i="102"/>
  <c r="J229" i="102"/>
  <c r="E229" i="102"/>
  <c r="X226" i="102"/>
  <c r="W226" i="102"/>
  <c r="V226" i="102"/>
  <c r="S226" i="102"/>
  <c r="R226" i="102"/>
  <c r="Q226" i="102"/>
  <c r="N226" i="102"/>
  <c r="M226" i="102"/>
  <c r="L226" i="102"/>
  <c r="I226" i="102"/>
  <c r="H226" i="102"/>
  <c r="G226" i="102"/>
  <c r="D226" i="102"/>
  <c r="C226" i="102"/>
  <c r="B226" i="102"/>
  <c r="Y225" i="102"/>
  <c r="T225" i="102"/>
  <c r="O225" i="102"/>
  <c r="J225" i="102"/>
  <c r="E225" i="102"/>
  <c r="Y224" i="102"/>
  <c r="T224" i="102"/>
  <c r="O224" i="102"/>
  <c r="J224" i="102"/>
  <c r="E224" i="102"/>
  <c r="X215" i="102"/>
  <c r="W215" i="102"/>
  <c r="V215" i="102"/>
  <c r="S215" i="102"/>
  <c r="R215" i="102"/>
  <c r="Q215" i="102"/>
  <c r="N215" i="102"/>
  <c r="M215" i="102"/>
  <c r="L215" i="102"/>
  <c r="I215" i="102"/>
  <c r="H215" i="102"/>
  <c r="G215" i="102"/>
  <c r="D215" i="102"/>
  <c r="C215" i="102"/>
  <c r="B215" i="102"/>
  <c r="X214" i="102"/>
  <c r="W214" i="102"/>
  <c r="V214" i="102"/>
  <c r="S214" i="102"/>
  <c r="R214" i="102"/>
  <c r="Q214" i="102"/>
  <c r="N214" i="102"/>
  <c r="M214" i="102"/>
  <c r="L214" i="102"/>
  <c r="I214" i="102"/>
  <c r="H214" i="102"/>
  <c r="G214" i="102"/>
  <c r="D214" i="102"/>
  <c r="C214" i="102"/>
  <c r="B214" i="102"/>
  <c r="X211" i="102"/>
  <c r="W211" i="102"/>
  <c r="V211" i="102"/>
  <c r="S211" i="102"/>
  <c r="R211" i="102"/>
  <c r="Q211" i="102"/>
  <c r="N211" i="102"/>
  <c r="M211" i="102"/>
  <c r="L211" i="102"/>
  <c r="I211" i="102"/>
  <c r="H211" i="102"/>
  <c r="G211" i="102"/>
  <c r="D211" i="102"/>
  <c r="C211" i="102"/>
  <c r="B211" i="102"/>
  <c r="Y210" i="102"/>
  <c r="T210" i="102"/>
  <c r="O210" i="102"/>
  <c r="J210" i="102"/>
  <c r="E210" i="102"/>
  <c r="Y209" i="102"/>
  <c r="T209" i="102"/>
  <c r="O209" i="102"/>
  <c r="J209" i="102"/>
  <c r="E209" i="102"/>
  <c r="X206" i="102"/>
  <c r="W206" i="102"/>
  <c r="V206" i="102"/>
  <c r="S206" i="102"/>
  <c r="R206" i="102"/>
  <c r="Q206" i="102"/>
  <c r="N206" i="102"/>
  <c r="M206" i="102"/>
  <c r="L206" i="102"/>
  <c r="I206" i="102"/>
  <c r="H206" i="102"/>
  <c r="G206" i="102"/>
  <c r="D206" i="102"/>
  <c r="C206" i="102"/>
  <c r="B206" i="102"/>
  <c r="Y205" i="102"/>
  <c r="T205" i="102"/>
  <c r="O205" i="102"/>
  <c r="J205" i="102"/>
  <c r="E205" i="102"/>
  <c r="Y204" i="102"/>
  <c r="T204" i="102"/>
  <c r="O204" i="102"/>
  <c r="J204" i="102"/>
  <c r="E204" i="102"/>
  <c r="X201" i="102"/>
  <c r="W201" i="102"/>
  <c r="V201" i="102"/>
  <c r="S201" i="102"/>
  <c r="R201" i="102"/>
  <c r="Q201" i="102"/>
  <c r="N201" i="102"/>
  <c r="M201" i="102"/>
  <c r="L201" i="102"/>
  <c r="I201" i="102"/>
  <c r="H201" i="102"/>
  <c r="G201" i="102"/>
  <c r="D201" i="102"/>
  <c r="C201" i="102"/>
  <c r="B201" i="102"/>
  <c r="Y200" i="102"/>
  <c r="T200" i="102"/>
  <c r="O200" i="102"/>
  <c r="J200" i="102"/>
  <c r="E200" i="102"/>
  <c r="Y199" i="102"/>
  <c r="T199" i="102"/>
  <c r="O199" i="102"/>
  <c r="J199" i="102"/>
  <c r="E199" i="102"/>
  <c r="B189" i="102"/>
  <c r="X190" i="102"/>
  <c r="W190" i="102"/>
  <c r="V190" i="102"/>
  <c r="S190" i="102"/>
  <c r="R190" i="102"/>
  <c r="Q190" i="102"/>
  <c r="N190" i="102"/>
  <c r="M190" i="102"/>
  <c r="L190" i="102"/>
  <c r="I190" i="102"/>
  <c r="H190" i="102"/>
  <c r="G190" i="102"/>
  <c r="D190" i="102"/>
  <c r="C190" i="102"/>
  <c r="B190" i="102"/>
  <c r="X189" i="102"/>
  <c r="W189" i="102"/>
  <c r="V189" i="102"/>
  <c r="S189" i="102"/>
  <c r="R189" i="102"/>
  <c r="Q189" i="102"/>
  <c r="N189" i="102"/>
  <c r="M189" i="102"/>
  <c r="L189" i="102"/>
  <c r="I189" i="102"/>
  <c r="H189" i="102"/>
  <c r="G189" i="102"/>
  <c r="D189" i="102"/>
  <c r="C189" i="102"/>
  <c r="X186" i="102"/>
  <c r="W186" i="102"/>
  <c r="V186" i="102"/>
  <c r="S186" i="102"/>
  <c r="R186" i="102"/>
  <c r="Q186" i="102"/>
  <c r="N186" i="102"/>
  <c r="M186" i="102"/>
  <c r="L186" i="102"/>
  <c r="I186" i="102"/>
  <c r="H186" i="102"/>
  <c r="G186" i="102"/>
  <c r="D186" i="102"/>
  <c r="C186" i="102"/>
  <c r="B186" i="102"/>
  <c r="Y185" i="102"/>
  <c r="T185" i="102"/>
  <c r="O185" i="102"/>
  <c r="J185" i="102"/>
  <c r="E185" i="102"/>
  <c r="Y184" i="102"/>
  <c r="T184" i="102"/>
  <c r="O184" i="102"/>
  <c r="J184" i="102"/>
  <c r="E184" i="102"/>
  <c r="X181" i="102"/>
  <c r="W181" i="102"/>
  <c r="V181" i="102"/>
  <c r="S181" i="102"/>
  <c r="R181" i="102"/>
  <c r="Q181" i="102"/>
  <c r="N181" i="102"/>
  <c r="M181" i="102"/>
  <c r="L181" i="102"/>
  <c r="I181" i="102"/>
  <c r="H181" i="102"/>
  <c r="G181" i="102"/>
  <c r="D181" i="102"/>
  <c r="C181" i="102"/>
  <c r="B181" i="102"/>
  <c r="Y180" i="102"/>
  <c r="T180" i="102"/>
  <c r="O180" i="102"/>
  <c r="J180" i="102"/>
  <c r="E180" i="102"/>
  <c r="Y179" i="102"/>
  <c r="T179" i="102"/>
  <c r="O179" i="102"/>
  <c r="J179" i="102"/>
  <c r="E179" i="102"/>
  <c r="X176" i="102"/>
  <c r="W176" i="102"/>
  <c r="V176" i="102"/>
  <c r="S176" i="102"/>
  <c r="R176" i="102"/>
  <c r="Q176" i="102"/>
  <c r="N176" i="102"/>
  <c r="M176" i="102"/>
  <c r="L176" i="102"/>
  <c r="I176" i="102"/>
  <c r="H176" i="102"/>
  <c r="G176" i="102"/>
  <c r="D176" i="102"/>
  <c r="C176" i="102"/>
  <c r="B176" i="102"/>
  <c r="Y175" i="102"/>
  <c r="T175" i="102"/>
  <c r="O175" i="102"/>
  <c r="J175" i="102"/>
  <c r="E175" i="102"/>
  <c r="Y174" i="102"/>
  <c r="T174" i="102"/>
  <c r="O174" i="102"/>
  <c r="J174" i="102"/>
  <c r="E174" i="102"/>
  <c r="X166" i="102"/>
  <c r="W166" i="102"/>
  <c r="V166" i="102"/>
  <c r="S166" i="102"/>
  <c r="R166" i="102"/>
  <c r="Q166" i="102"/>
  <c r="N166" i="102"/>
  <c r="M166" i="102"/>
  <c r="L166" i="102"/>
  <c r="I166" i="102"/>
  <c r="H166" i="102"/>
  <c r="G166" i="102"/>
  <c r="D166" i="102"/>
  <c r="C166" i="102"/>
  <c r="B166" i="102"/>
  <c r="Y165" i="102"/>
  <c r="T165" i="102"/>
  <c r="O165" i="102"/>
  <c r="J165" i="102"/>
  <c r="E165" i="102"/>
  <c r="Y164" i="102"/>
  <c r="T164" i="102"/>
  <c r="O164" i="102"/>
  <c r="J164" i="102"/>
  <c r="E164" i="102"/>
  <c r="X155" i="102"/>
  <c r="W155" i="102"/>
  <c r="V155" i="102"/>
  <c r="X154" i="102"/>
  <c r="W154" i="102"/>
  <c r="V154" i="102"/>
  <c r="S155" i="102"/>
  <c r="R155" i="102"/>
  <c r="Q155" i="102"/>
  <c r="S154" i="102"/>
  <c r="R154" i="102"/>
  <c r="Q154" i="102"/>
  <c r="N155" i="102"/>
  <c r="M155" i="102"/>
  <c r="L155" i="102"/>
  <c r="N154" i="102"/>
  <c r="M154" i="102"/>
  <c r="L154" i="102"/>
  <c r="I155" i="102"/>
  <c r="H155" i="102"/>
  <c r="G155" i="102"/>
  <c r="I154" i="102"/>
  <c r="H154" i="102"/>
  <c r="G154" i="102"/>
  <c r="B155" i="102"/>
  <c r="C155" i="102"/>
  <c r="D155" i="102"/>
  <c r="C154" i="102"/>
  <c r="D154" i="102"/>
  <c r="B154" i="102"/>
  <c r="B151" i="102"/>
  <c r="X151" i="102"/>
  <c r="W151" i="102"/>
  <c r="V151" i="102"/>
  <c r="S151" i="102"/>
  <c r="R151" i="102"/>
  <c r="Q151" i="102"/>
  <c r="N151" i="102"/>
  <c r="M151" i="102"/>
  <c r="L151" i="102"/>
  <c r="I151" i="102"/>
  <c r="H151" i="102"/>
  <c r="G151" i="102"/>
  <c r="D151" i="102"/>
  <c r="C151" i="102"/>
  <c r="Y150" i="102"/>
  <c r="T150" i="102"/>
  <c r="O150" i="102"/>
  <c r="J150" i="102"/>
  <c r="E150" i="102"/>
  <c r="Y149" i="102"/>
  <c r="T149" i="102"/>
  <c r="O149" i="102"/>
  <c r="J149" i="102"/>
  <c r="E149" i="102"/>
  <c r="X146" i="102"/>
  <c r="W146" i="102"/>
  <c r="V146" i="102"/>
  <c r="S146" i="102"/>
  <c r="R146" i="102"/>
  <c r="Q146" i="102"/>
  <c r="N146" i="102"/>
  <c r="M146" i="102"/>
  <c r="L146" i="102"/>
  <c r="I146" i="102"/>
  <c r="H146" i="102"/>
  <c r="G146" i="102"/>
  <c r="D146" i="102"/>
  <c r="C146" i="102"/>
  <c r="B146" i="102"/>
  <c r="Y145" i="102"/>
  <c r="T145" i="102"/>
  <c r="O145" i="102"/>
  <c r="J145" i="102"/>
  <c r="E145" i="102"/>
  <c r="Y144" i="102"/>
  <c r="T144" i="102"/>
  <c r="O144" i="102"/>
  <c r="J144" i="102"/>
  <c r="E144" i="102"/>
  <c r="X141" i="102"/>
  <c r="W141" i="102"/>
  <c r="V141" i="102"/>
  <c r="S141" i="102"/>
  <c r="R141" i="102"/>
  <c r="Q141" i="102"/>
  <c r="N141" i="102"/>
  <c r="M141" i="102"/>
  <c r="L141" i="102"/>
  <c r="I141" i="102"/>
  <c r="H141" i="102"/>
  <c r="G141" i="102"/>
  <c r="D141" i="102"/>
  <c r="C141" i="102"/>
  <c r="B141" i="102"/>
  <c r="Y140" i="102"/>
  <c r="T140" i="102"/>
  <c r="O140" i="102"/>
  <c r="J140" i="102"/>
  <c r="E140" i="102"/>
  <c r="Y139" i="102"/>
  <c r="T139" i="102"/>
  <c r="O139" i="102"/>
  <c r="J139" i="102"/>
  <c r="E139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E134" i="102"/>
  <c r="X131" i="102"/>
  <c r="W131" i="102"/>
  <c r="V131" i="102"/>
  <c r="S131" i="102"/>
  <c r="R131" i="102"/>
  <c r="Q131" i="102"/>
  <c r="N131" i="102"/>
  <c r="M131" i="102"/>
  <c r="L131" i="102"/>
  <c r="I131" i="102"/>
  <c r="H131" i="102"/>
  <c r="G131" i="102"/>
  <c r="D131" i="102"/>
  <c r="C131" i="102"/>
  <c r="B131" i="102"/>
  <c r="Y130" i="102"/>
  <c r="T130" i="102"/>
  <c r="O130" i="102"/>
  <c r="J130" i="102"/>
  <c r="E130" i="102"/>
  <c r="Y129" i="102"/>
  <c r="T129" i="102"/>
  <c r="O129" i="102"/>
  <c r="J129" i="102"/>
  <c r="E129" i="102"/>
  <c r="X126" i="102"/>
  <c r="W126" i="102"/>
  <c r="V126" i="102"/>
  <c r="S126" i="102"/>
  <c r="R126" i="102"/>
  <c r="Q126" i="102"/>
  <c r="N126" i="102"/>
  <c r="M126" i="102"/>
  <c r="L126" i="102"/>
  <c r="I126" i="102"/>
  <c r="H126" i="102"/>
  <c r="G126" i="102"/>
  <c r="D126" i="102"/>
  <c r="C126" i="102"/>
  <c r="B126" i="102"/>
  <c r="Y125" i="102"/>
  <c r="T125" i="102"/>
  <c r="O125" i="102"/>
  <c r="J125" i="102"/>
  <c r="E125" i="102"/>
  <c r="Y124" i="102"/>
  <c r="T124" i="102"/>
  <c r="O124" i="102"/>
  <c r="J124" i="102"/>
  <c r="E124" i="102"/>
  <c r="X121" i="102"/>
  <c r="W121" i="102"/>
  <c r="V121" i="102"/>
  <c r="S121" i="102"/>
  <c r="R121" i="102"/>
  <c r="Q121" i="102"/>
  <c r="N121" i="102"/>
  <c r="M121" i="102"/>
  <c r="L121" i="102"/>
  <c r="I121" i="102"/>
  <c r="H121" i="102"/>
  <c r="G121" i="102"/>
  <c r="D121" i="102"/>
  <c r="C121" i="102"/>
  <c r="B121" i="102"/>
  <c r="Y120" i="102"/>
  <c r="T120" i="102"/>
  <c r="O120" i="102"/>
  <c r="J120" i="102"/>
  <c r="E120" i="102"/>
  <c r="Y119" i="102"/>
  <c r="T119" i="102"/>
  <c r="O119" i="102"/>
  <c r="J119" i="102"/>
  <c r="E119" i="102"/>
  <c r="X116" i="102"/>
  <c r="W116" i="102"/>
  <c r="V116" i="102"/>
  <c r="S116" i="102"/>
  <c r="R116" i="102"/>
  <c r="Q116" i="102"/>
  <c r="N116" i="102"/>
  <c r="M116" i="102"/>
  <c r="L116" i="102"/>
  <c r="I116" i="102"/>
  <c r="H116" i="102"/>
  <c r="G116" i="102"/>
  <c r="D116" i="102"/>
  <c r="C116" i="102"/>
  <c r="B116" i="102"/>
  <c r="Y115" i="102"/>
  <c r="T115" i="102"/>
  <c r="O115" i="102"/>
  <c r="J115" i="102"/>
  <c r="E115" i="102"/>
  <c r="Y114" i="102"/>
  <c r="T114" i="102"/>
  <c r="O114" i="102"/>
  <c r="J114" i="102"/>
  <c r="E114" i="102"/>
  <c r="X111" i="102"/>
  <c r="W111" i="102"/>
  <c r="V111" i="102"/>
  <c r="S111" i="102"/>
  <c r="R111" i="102"/>
  <c r="Q111" i="102"/>
  <c r="N111" i="102"/>
  <c r="M111" i="102"/>
  <c r="L111" i="102"/>
  <c r="I111" i="102"/>
  <c r="H111" i="102"/>
  <c r="G111" i="102"/>
  <c r="D111" i="102"/>
  <c r="C111" i="102"/>
  <c r="B111" i="102"/>
  <c r="Y110" i="102"/>
  <c r="T110" i="102"/>
  <c r="O110" i="102"/>
  <c r="J110" i="102"/>
  <c r="E110" i="102"/>
  <c r="Y109" i="102"/>
  <c r="T109" i="102"/>
  <c r="O109" i="102"/>
  <c r="J109" i="102"/>
  <c r="E109" i="102"/>
  <c r="X106" i="102"/>
  <c r="W106" i="102"/>
  <c r="V106" i="102"/>
  <c r="S106" i="102"/>
  <c r="R106" i="102"/>
  <c r="Q106" i="102"/>
  <c r="N106" i="102"/>
  <c r="M106" i="102"/>
  <c r="L106" i="102"/>
  <c r="I106" i="102"/>
  <c r="H106" i="102"/>
  <c r="G106" i="102"/>
  <c r="D106" i="102"/>
  <c r="C106" i="102"/>
  <c r="B106" i="102"/>
  <c r="Y105" i="102"/>
  <c r="T105" i="102"/>
  <c r="O105" i="102"/>
  <c r="J105" i="102"/>
  <c r="E105" i="102"/>
  <c r="Y104" i="102"/>
  <c r="T104" i="102"/>
  <c r="O104" i="102"/>
  <c r="J104" i="102"/>
  <c r="E104" i="102"/>
  <c r="X101" i="102"/>
  <c r="W101" i="102"/>
  <c r="V101" i="102"/>
  <c r="S101" i="102"/>
  <c r="R101" i="102"/>
  <c r="Q101" i="102"/>
  <c r="N101" i="102"/>
  <c r="M101" i="102"/>
  <c r="L101" i="102"/>
  <c r="I101" i="102"/>
  <c r="H101" i="102"/>
  <c r="G101" i="102"/>
  <c r="D101" i="102"/>
  <c r="C101" i="102"/>
  <c r="B101" i="102"/>
  <c r="Y100" i="102"/>
  <c r="T100" i="102"/>
  <c r="O100" i="102"/>
  <c r="J100" i="102"/>
  <c r="E100" i="102"/>
  <c r="Y99" i="102"/>
  <c r="T99" i="102"/>
  <c r="O99" i="102"/>
  <c r="J99" i="102"/>
  <c r="E99" i="102"/>
  <c r="X96" i="102"/>
  <c r="W96" i="102"/>
  <c r="V96" i="102"/>
  <c r="S96" i="102"/>
  <c r="R96" i="102"/>
  <c r="Q96" i="102"/>
  <c r="N96" i="102"/>
  <c r="M96" i="102"/>
  <c r="L96" i="102"/>
  <c r="I96" i="102"/>
  <c r="H96" i="102"/>
  <c r="G96" i="102"/>
  <c r="D96" i="102"/>
  <c r="C96" i="102"/>
  <c r="B96" i="102"/>
  <c r="Y95" i="102"/>
  <c r="T95" i="102"/>
  <c r="O95" i="102"/>
  <c r="J95" i="102"/>
  <c r="E95" i="102"/>
  <c r="Y94" i="102"/>
  <c r="T94" i="102"/>
  <c r="O94" i="102"/>
  <c r="J94" i="102"/>
  <c r="E94" i="102"/>
  <c r="X91" i="102"/>
  <c r="W91" i="102"/>
  <c r="V91" i="102"/>
  <c r="S91" i="102"/>
  <c r="R91" i="102"/>
  <c r="Q91" i="102"/>
  <c r="N91" i="102"/>
  <c r="M91" i="102"/>
  <c r="L91" i="102"/>
  <c r="I91" i="102"/>
  <c r="H91" i="102"/>
  <c r="G91" i="102"/>
  <c r="D91" i="102"/>
  <c r="C91" i="102"/>
  <c r="B91" i="102"/>
  <c r="Y90" i="102"/>
  <c r="T90" i="102"/>
  <c r="O90" i="102"/>
  <c r="J90" i="102"/>
  <c r="E90" i="102"/>
  <c r="Y89" i="102"/>
  <c r="T89" i="102"/>
  <c r="O89" i="102"/>
  <c r="J89" i="102"/>
  <c r="E89" i="102"/>
  <c r="X86" i="102"/>
  <c r="W86" i="102"/>
  <c r="V86" i="102"/>
  <c r="S86" i="102"/>
  <c r="R86" i="102"/>
  <c r="Q86" i="102"/>
  <c r="N86" i="102"/>
  <c r="M86" i="102"/>
  <c r="L86" i="102"/>
  <c r="I86" i="102"/>
  <c r="H86" i="102"/>
  <c r="G86" i="102"/>
  <c r="D86" i="102"/>
  <c r="C86" i="102"/>
  <c r="B86" i="102"/>
  <c r="Y85" i="102"/>
  <c r="T85" i="102"/>
  <c r="O85" i="102"/>
  <c r="J85" i="102"/>
  <c r="E85" i="102"/>
  <c r="Y84" i="102"/>
  <c r="T84" i="102"/>
  <c r="O84" i="102"/>
  <c r="J84" i="102"/>
  <c r="E84" i="102"/>
  <c r="X81" i="102"/>
  <c r="W81" i="102"/>
  <c r="V81" i="102"/>
  <c r="S81" i="102"/>
  <c r="R81" i="102"/>
  <c r="Q81" i="102"/>
  <c r="N81" i="102"/>
  <c r="M81" i="102"/>
  <c r="L81" i="102"/>
  <c r="I81" i="102"/>
  <c r="H81" i="102"/>
  <c r="G81" i="102"/>
  <c r="D81" i="102"/>
  <c r="C81" i="102"/>
  <c r="B81" i="102"/>
  <c r="Y80" i="102"/>
  <c r="T80" i="102"/>
  <c r="O80" i="102"/>
  <c r="J80" i="102"/>
  <c r="E80" i="102"/>
  <c r="Y79" i="102"/>
  <c r="T79" i="102"/>
  <c r="O79" i="102"/>
  <c r="J79" i="102"/>
  <c r="E79" i="102"/>
  <c r="X76" i="102"/>
  <c r="W76" i="102"/>
  <c r="V76" i="102"/>
  <c r="S76" i="102"/>
  <c r="R76" i="102"/>
  <c r="Q76" i="102"/>
  <c r="N76" i="102"/>
  <c r="M76" i="102"/>
  <c r="L76" i="102"/>
  <c r="I76" i="102"/>
  <c r="H76" i="102"/>
  <c r="G76" i="102"/>
  <c r="D76" i="102"/>
  <c r="C76" i="102"/>
  <c r="B76" i="102"/>
  <c r="Y75" i="102"/>
  <c r="T75" i="102"/>
  <c r="O75" i="102"/>
  <c r="J75" i="102"/>
  <c r="E75" i="102"/>
  <c r="Y74" i="102"/>
  <c r="T74" i="102"/>
  <c r="O74" i="102"/>
  <c r="J74" i="102"/>
  <c r="E74" i="102"/>
  <c r="X65" i="102"/>
  <c r="W65" i="102"/>
  <c r="V65" i="102"/>
  <c r="X64" i="102"/>
  <c r="W64" i="102"/>
  <c r="V64" i="102"/>
  <c r="S65" i="102"/>
  <c r="R65" i="102"/>
  <c r="Q65" i="102"/>
  <c r="S64" i="102"/>
  <c r="R64" i="102"/>
  <c r="Q64" i="102"/>
  <c r="N65" i="102"/>
  <c r="M65" i="102"/>
  <c r="L65" i="102"/>
  <c r="N64" i="102"/>
  <c r="M64" i="102"/>
  <c r="L64" i="102"/>
  <c r="I65" i="102"/>
  <c r="H65" i="102"/>
  <c r="G65" i="102"/>
  <c r="I64" i="102"/>
  <c r="H64" i="102"/>
  <c r="G64" i="102"/>
  <c r="B65" i="102"/>
  <c r="C65" i="102"/>
  <c r="D65" i="102"/>
  <c r="C64" i="102"/>
  <c r="D64" i="102"/>
  <c r="B64" i="102"/>
  <c r="X61" i="102"/>
  <c r="W61" i="102"/>
  <c r="V61" i="102"/>
  <c r="S61" i="102"/>
  <c r="R61" i="102"/>
  <c r="Q61" i="102"/>
  <c r="N61" i="102"/>
  <c r="M61" i="102"/>
  <c r="L61" i="102"/>
  <c r="I61" i="102"/>
  <c r="H61" i="102"/>
  <c r="G61" i="102"/>
  <c r="D61" i="102"/>
  <c r="C61" i="102"/>
  <c r="B61" i="102"/>
  <c r="Y60" i="102"/>
  <c r="T60" i="102"/>
  <c r="O60" i="102"/>
  <c r="J60" i="102"/>
  <c r="E60" i="102"/>
  <c r="Y59" i="102"/>
  <c r="T59" i="102"/>
  <c r="O59" i="102"/>
  <c r="J59" i="102"/>
  <c r="E59" i="102"/>
  <c r="X56" i="102"/>
  <c r="W56" i="102"/>
  <c r="V56" i="102"/>
  <c r="S56" i="102"/>
  <c r="R56" i="102"/>
  <c r="Q56" i="102"/>
  <c r="N56" i="102"/>
  <c r="M56" i="102"/>
  <c r="L56" i="102"/>
  <c r="I56" i="102"/>
  <c r="H56" i="102"/>
  <c r="G56" i="102"/>
  <c r="D56" i="102"/>
  <c r="C56" i="102"/>
  <c r="B56" i="102"/>
  <c r="Y55" i="102"/>
  <c r="T55" i="102"/>
  <c r="O55" i="102"/>
  <c r="J55" i="102"/>
  <c r="E55" i="102"/>
  <c r="Y54" i="102"/>
  <c r="T54" i="102"/>
  <c r="O54" i="102"/>
  <c r="J54" i="102"/>
  <c r="E54" i="102"/>
  <c r="X51" i="102"/>
  <c r="W51" i="102"/>
  <c r="V51" i="102"/>
  <c r="S51" i="102"/>
  <c r="R51" i="102"/>
  <c r="Q51" i="102"/>
  <c r="N51" i="102"/>
  <c r="M51" i="102"/>
  <c r="L51" i="102"/>
  <c r="I51" i="102"/>
  <c r="H51" i="102"/>
  <c r="G51" i="102"/>
  <c r="D51" i="102"/>
  <c r="C51" i="102"/>
  <c r="B51" i="102"/>
  <c r="Y50" i="102"/>
  <c r="T50" i="102"/>
  <c r="O50" i="102"/>
  <c r="J50" i="102"/>
  <c r="E50" i="102"/>
  <c r="Y49" i="102"/>
  <c r="T49" i="102"/>
  <c r="O49" i="102"/>
  <c r="J49" i="102"/>
  <c r="E49" i="102"/>
  <c r="X40" i="102"/>
  <c r="W40" i="102"/>
  <c r="V40" i="102"/>
  <c r="X39" i="102"/>
  <c r="W39" i="102"/>
  <c r="V39" i="102"/>
  <c r="S40" i="102"/>
  <c r="R40" i="102"/>
  <c r="Q40" i="102"/>
  <c r="S39" i="102"/>
  <c r="R39" i="102"/>
  <c r="Q39" i="102"/>
  <c r="N40" i="102"/>
  <c r="M40" i="102"/>
  <c r="L40" i="102"/>
  <c r="N39" i="102"/>
  <c r="M39" i="102"/>
  <c r="L39" i="102"/>
  <c r="I40" i="102"/>
  <c r="H40" i="102"/>
  <c r="G40" i="102"/>
  <c r="I39" i="102"/>
  <c r="H39" i="102"/>
  <c r="G39" i="102"/>
  <c r="B40" i="102"/>
  <c r="C40" i="102"/>
  <c r="D40" i="102"/>
  <c r="C39" i="102"/>
  <c r="D39" i="102"/>
  <c r="B39" i="102"/>
  <c r="X36" i="102"/>
  <c r="W36" i="102"/>
  <c r="V36" i="102"/>
  <c r="S36" i="102"/>
  <c r="R36" i="102"/>
  <c r="Q36" i="102"/>
  <c r="N36" i="102"/>
  <c r="M36" i="102"/>
  <c r="L36" i="102"/>
  <c r="I36" i="102"/>
  <c r="H36" i="102"/>
  <c r="G36" i="102"/>
  <c r="D36" i="102"/>
  <c r="C36" i="102"/>
  <c r="B36" i="102"/>
  <c r="Y35" i="102"/>
  <c r="T35" i="102"/>
  <c r="O35" i="102"/>
  <c r="J35" i="102"/>
  <c r="E35" i="102"/>
  <c r="Y34" i="102"/>
  <c r="T34" i="102"/>
  <c r="O34" i="102"/>
  <c r="J34" i="102"/>
  <c r="E34" i="102"/>
  <c r="X31" i="102"/>
  <c r="W31" i="102"/>
  <c r="V31" i="102"/>
  <c r="S31" i="102"/>
  <c r="R31" i="102"/>
  <c r="Q31" i="102"/>
  <c r="N31" i="102"/>
  <c r="M31" i="102"/>
  <c r="L31" i="102"/>
  <c r="I31" i="102"/>
  <c r="H31" i="102"/>
  <c r="G31" i="102"/>
  <c r="D31" i="102"/>
  <c r="C31" i="102"/>
  <c r="B31" i="102"/>
  <c r="Y30" i="102"/>
  <c r="T30" i="102"/>
  <c r="O30" i="102"/>
  <c r="J30" i="102"/>
  <c r="E30" i="102"/>
  <c r="Y29" i="102"/>
  <c r="T29" i="102"/>
  <c r="O29" i="102"/>
  <c r="J29" i="102"/>
  <c r="E29" i="102"/>
  <c r="X21" i="102"/>
  <c r="W21" i="102"/>
  <c r="V21" i="102"/>
  <c r="S21" i="102"/>
  <c r="R21" i="102"/>
  <c r="Q21" i="102"/>
  <c r="N21" i="102"/>
  <c r="M21" i="102"/>
  <c r="L21" i="102"/>
  <c r="I21" i="102"/>
  <c r="H21" i="102"/>
  <c r="G21" i="102"/>
  <c r="D21" i="102"/>
  <c r="C21" i="102"/>
  <c r="B21" i="102"/>
  <c r="Y20" i="102"/>
  <c r="T20" i="102"/>
  <c r="O20" i="102"/>
  <c r="J20" i="102"/>
  <c r="E20" i="102"/>
  <c r="Y19" i="102"/>
  <c r="T19" i="102"/>
  <c r="O19" i="102"/>
  <c r="J19" i="102"/>
  <c r="E19" i="102"/>
  <c r="X11" i="102"/>
  <c r="W11" i="102"/>
  <c r="V11" i="102"/>
  <c r="Y10" i="102"/>
  <c r="Y9" i="102"/>
  <c r="S11" i="102"/>
  <c r="R11" i="102"/>
  <c r="Q11" i="102"/>
  <c r="T10" i="102"/>
  <c r="T9" i="102"/>
  <c r="N11" i="102"/>
  <c r="M11" i="102"/>
  <c r="L11" i="102"/>
  <c r="O10" i="102"/>
  <c r="O9" i="102"/>
  <c r="I11" i="102"/>
  <c r="H11" i="102"/>
  <c r="G11" i="102"/>
  <c r="J10" i="102"/>
  <c r="J9" i="102"/>
  <c r="C11" i="102"/>
  <c r="D11" i="102"/>
  <c r="B11" i="102"/>
  <c r="E10" i="102"/>
  <c r="E9" i="102"/>
  <c r="J251" i="102" l="1"/>
  <c r="O425" i="102"/>
  <c r="Y425" i="102"/>
  <c r="O506" i="102"/>
  <c r="X426" i="102"/>
  <c r="T201" i="102"/>
  <c r="H66" i="102"/>
  <c r="G276" i="102"/>
  <c r="S41" i="102"/>
  <c r="E539" i="102"/>
  <c r="T39" i="102"/>
  <c r="O131" i="102"/>
  <c r="V321" i="102"/>
  <c r="T31" i="102"/>
  <c r="X156" i="102"/>
  <c r="Y155" i="102"/>
  <c r="J190" i="102"/>
  <c r="E206" i="102"/>
  <c r="E274" i="102"/>
  <c r="H241" i="102"/>
  <c r="N276" i="102"/>
  <c r="S566" i="102"/>
  <c r="N566" i="102"/>
  <c r="D41" i="102"/>
  <c r="W41" i="102"/>
  <c r="C66" i="102"/>
  <c r="Y76" i="102"/>
  <c r="Q156" i="102"/>
  <c r="J306" i="102"/>
  <c r="E496" i="102"/>
  <c r="T565" i="102"/>
  <c r="T381" i="102"/>
  <c r="O396" i="102"/>
  <c r="C41" i="102"/>
  <c r="X41" i="102"/>
  <c r="E214" i="102"/>
  <c r="T215" i="102"/>
  <c r="C276" i="102"/>
  <c r="Q41" i="102"/>
  <c r="E151" i="102"/>
  <c r="B156" i="102"/>
  <c r="W296" i="102"/>
  <c r="H321" i="102"/>
  <c r="I566" i="102"/>
  <c r="D156" i="102"/>
  <c r="T166" i="102"/>
  <c r="V241" i="102"/>
  <c r="O286" i="102"/>
  <c r="C296" i="102"/>
  <c r="I321" i="102"/>
  <c r="O536" i="102"/>
  <c r="N541" i="102"/>
  <c r="Y295" i="102"/>
  <c r="O56" i="102"/>
  <c r="M276" i="102"/>
  <c r="J401" i="102"/>
  <c r="E416" i="102"/>
  <c r="T11" i="102"/>
  <c r="E176" i="102"/>
  <c r="O236" i="102"/>
  <c r="Q296" i="102"/>
  <c r="T425" i="102"/>
  <c r="L511" i="102"/>
  <c r="M41" i="102"/>
  <c r="E56" i="102"/>
  <c r="S66" i="102"/>
  <c r="J81" i="102"/>
  <c r="J186" i="102"/>
  <c r="H276" i="102"/>
  <c r="O561" i="102"/>
  <c r="O416" i="102"/>
  <c r="N466" i="102"/>
  <c r="J146" i="102"/>
  <c r="J151" i="102"/>
  <c r="Y540" i="102"/>
  <c r="E36" i="102"/>
  <c r="M541" i="102"/>
  <c r="O39" i="102"/>
  <c r="O186" i="102"/>
  <c r="E465" i="102"/>
  <c r="L296" i="102"/>
  <c r="T316" i="102"/>
  <c r="B511" i="102"/>
  <c r="G466" i="102"/>
  <c r="Y451" i="102"/>
  <c r="R541" i="102"/>
  <c r="T261" i="102"/>
  <c r="O291" i="102"/>
  <c r="T465" i="102"/>
  <c r="J11" i="102"/>
  <c r="Y21" i="102"/>
  <c r="E39" i="102"/>
  <c r="I41" i="102"/>
  <c r="V41" i="102"/>
  <c r="E51" i="102"/>
  <c r="T101" i="102"/>
  <c r="E106" i="102"/>
  <c r="O116" i="102"/>
  <c r="M156" i="102"/>
  <c r="M191" i="102"/>
  <c r="E190" i="102"/>
  <c r="O201" i="102"/>
  <c r="I216" i="102"/>
  <c r="W216" i="102"/>
  <c r="O215" i="102"/>
  <c r="E240" i="102"/>
  <c r="E236" i="102"/>
  <c r="J256" i="102"/>
  <c r="T266" i="102"/>
  <c r="E271" i="102"/>
  <c r="E294" i="102"/>
  <c r="Y294" i="102"/>
  <c r="O316" i="102"/>
  <c r="E320" i="102"/>
  <c r="L346" i="102"/>
  <c r="X346" i="102"/>
  <c r="I371" i="102"/>
  <c r="W371" i="102"/>
  <c r="H511" i="102"/>
  <c r="H566" i="102"/>
  <c r="W566" i="102"/>
  <c r="T406" i="102"/>
  <c r="O421" i="102"/>
  <c r="C426" i="102"/>
  <c r="X541" i="102"/>
  <c r="Y186" i="102"/>
  <c r="B466" i="102"/>
  <c r="Y64" i="102"/>
  <c r="E76" i="102"/>
  <c r="T189" i="102"/>
  <c r="E201" i="102"/>
  <c r="E215" i="102"/>
  <c r="O231" i="102"/>
  <c r="T239" i="102"/>
  <c r="T331" i="102"/>
  <c r="E336" i="102"/>
  <c r="E356" i="102"/>
  <c r="O366" i="102"/>
  <c r="B371" i="102"/>
  <c r="E565" i="102"/>
  <c r="E381" i="102"/>
  <c r="O391" i="102"/>
  <c r="Y401" i="102"/>
  <c r="J406" i="102"/>
  <c r="J424" i="102"/>
  <c r="N426" i="102"/>
  <c r="O436" i="102"/>
  <c r="T451" i="102"/>
  <c r="T456" i="102"/>
  <c r="T461" i="102"/>
  <c r="G41" i="102"/>
  <c r="R296" i="102"/>
  <c r="H426" i="102"/>
  <c r="O36" i="102"/>
  <c r="J56" i="102"/>
  <c r="X66" i="102"/>
  <c r="E86" i="102"/>
  <c r="O86" i="102"/>
  <c r="O96" i="102"/>
  <c r="Y106" i="102"/>
  <c r="J111" i="102"/>
  <c r="O136" i="102"/>
  <c r="Y146" i="102"/>
  <c r="Y151" i="102"/>
  <c r="Y166" i="102"/>
  <c r="J176" i="102"/>
  <c r="Y275" i="102"/>
  <c r="I426" i="102"/>
  <c r="Y424" i="102"/>
  <c r="E436" i="102"/>
  <c r="Y456" i="102"/>
  <c r="J461" i="102"/>
  <c r="E65" i="102"/>
  <c r="Y65" i="102"/>
  <c r="J76" i="102"/>
  <c r="Y189" i="102"/>
  <c r="J201" i="102"/>
  <c r="T211" i="102"/>
  <c r="J215" i="102"/>
  <c r="E251" i="102"/>
  <c r="E275" i="102"/>
  <c r="T295" i="102"/>
  <c r="Y306" i="102"/>
  <c r="Y311" i="102"/>
  <c r="J316" i="102"/>
  <c r="Y345" i="102"/>
  <c r="J356" i="102"/>
  <c r="O401" i="102"/>
  <c r="Y416" i="102"/>
  <c r="D426" i="102"/>
  <c r="J425" i="102"/>
  <c r="J231" i="102"/>
  <c r="X371" i="102"/>
  <c r="E11" i="102"/>
  <c r="C191" i="102"/>
  <c r="C321" i="102"/>
  <c r="E155" i="102"/>
  <c r="M566" i="102"/>
  <c r="Y526" i="102"/>
  <c r="Y11" i="102"/>
  <c r="J21" i="102"/>
  <c r="Y39" i="102"/>
  <c r="T61" i="102"/>
  <c r="O101" i="102"/>
  <c r="Y111" i="102"/>
  <c r="Y121" i="102"/>
  <c r="J126" i="102"/>
  <c r="O141" i="102"/>
  <c r="J189" i="102"/>
  <c r="Y190" i="102"/>
  <c r="T206" i="102"/>
  <c r="T226" i="102"/>
  <c r="E231" i="102"/>
  <c r="G241" i="102"/>
  <c r="S241" i="102"/>
  <c r="O256" i="102"/>
  <c r="Y261" i="102"/>
  <c r="Y266" i="102"/>
  <c r="J271" i="102"/>
  <c r="Y274" i="102"/>
  <c r="J331" i="102"/>
  <c r="D346" i="102"/>
  <c r="R346" i="102"/>
  <c r="E366" i="102"/>
  <c r="C371" i="102"/>
  <c r="Q371" i="102"/>
  <c r="T496" i="102"/>
  <c r="E501" i="102"/>
  <c r="E509" i="102"/>
  <c r="T510" i="102"/>
  <c r="E551" i="102"/>
  <c r="E556" i="102"/>
  <c r="E564" i="102"/>
  <c r="E391" i="102"/>
  <c r="J465" i="102"/>
  <c r="X466" i="102"/>
  <c r="E486" i="102"/>
  <c r="T486" i="102"/>
  <c r="E521" i="102"/>
  <c r="O531" i="102"/>
  <c r="Y536" i="102"/>
  <c r="O539" i="102"/>
  <c r="S541" i="102"/>
  <c r="N321" i="102"/>
  <c r="J501" i="102"/>
  <c r="W511" i="102"/>
  <c r="N346" i="102"/>
  <c r="D241" i="102"/>
  <c r="L276" i="102"/>
  <c r="I296" i="102"/>
  <c r="M511" i="102"/>
  <c r="D541" i="102"/>
  <c r="M66" i="102"/>
  <c r="Y81" i="102"/>
  <c r="T91" i="102"/>
  <c r="O151" i="102"/>
  <c r="G156" i="102"/>
  <c r="N156" i="102"/>
  <c r="W276" i="102"/>
  <c r="M296" i="102"/>
  <c r="T366" i="102"/>
  <c r="J370" i="102"/>
  <c r="E506" i="102"/>
  <c r="T509" i="102"/>
  <c r="T551" i="102"/>
  <c r="E561" i="102"/>
  <c r="E441" i="102"/>
  <c r="Y461" i="102"/>
  <c r="D466" i="102"/>
  <c r="R466" i="102"/>
  <c r="Y465" i="102"/>
  <c r="J476" i="102"/>
  <c r="T521" i="102"/>
  <c r="I511" i="102"/>
  <c r="J556" i="102"/>
  <c r="O31" i="102"/>
  <c r="M216" i="102"/>
  <c r="M371" i="102"/>
  <c r="E31" i="102"/>
  <c r="D321" i="102"/>
  <c r="E40" i="102"/>
  <c r="J65" i="102"/>
  <c r="W66" i="102"/>
  <c r="Y91" i="102"/>
  <c r="J96" i="102"/>
  <c r="J136" i="102"/>
  <c r="E141" i="102"/>
  <c r="T146" i="102"/>
  <c r="T151" i="102"/>
  <c r="H156" i="102"/>
  <c r="O155" i="102"/>
  <c r="T155" i="102"/>
  <c r="O176" i="102"/>
  <c r="I191" i="102"/>
  <c r="S216" i="102"/>
  <c r="G296" i="102"/>
  <c r="N296" i="102"/>
  <c r="Y316" i="102"/>
  <c r="O320" i="102"/>
  <c r="Y336" i="102"/>
  <c r="Y356" i="102"/>
  <c r="Y370" i="102"/>
  <c r="T506" i="102"/>
  <c r="T561" i="102"/>
  <c r="E401" i="102"/>
  <c r="J416" i="102"/>
  <c r="T421" i="102"/>
  <c r="W426" i="102"/>
  <c r="J436" i="102"/>
  <c r="O464" i="102"/>
  <c r="S466" i="102"/>
  <c r="Y476" i="102"/>
  <c r="J486" i="102"/>
  <c r="G541" i="102"/>
  <c r="E306" i="102"/>
  <c r="T121" i="102"/>
  <c r="E331" i="102"/>
  <c r="B346" i="102"/>
  <c r="E186" i="102"/>
  <c r="R241" i="102"/>
  <c r="R321" i="102"/>
  <c r="T64" i="102"/>
  <c r="T76" i="102"/>
  <c r="Y126" i="102"/>
  <c r="Y131" i="102"/>
  <c r="Y136" i="102"/>
  <c r="J141" i="102"/>
  <c r="V156" i="102"/>
  <c r="E166" i="102"/>
  <c r="O181" i="102"/>
  <c r="X191" i="102"/>
  <c r="H216" i="102"/>
  <c r="T231" i="102"/>
  <c r="L241" i="102"/>
  <c r="X241" i="102"/>
  <c r="T256" i="102"/>
  <c r="O271" i="102"/>
  <c r="D276" i="102"/>
  <c r="J286" i="102"/>
  <c r="H296" i="102"/>
  <c r="O311" i="102"/>
  <c r="O319" i="102"/>
  <c r="Y341" i="102"/>
  <c r="O345" i="102"/>
  <c r="Y361" i="102"/>
  <c r="J366" i="102"/>
  <c r="G511" i="102"/>
  <c r="S511" i="102"/>
  <c r="E536" i="102"/>
  <c r="T540" i="102"/>
  <c r="I541" i="102"/>
  <c r="E21" i="102"/>
  <c r="Y36" i="102"/>
  <c r="T40" i="102"/>
  <c r="Y56" i="102"/>
  <c r="E64" i="102"/>
  <c r="T136" i="102"/>
  <c r="T275" i="102"/>
  <c r="D296" i="102"/>
  <c r="J295" i="102"/>
  <c r="O424" i="102"/>
  <c r="S426" i="102"/>
  <c r="Y436" i="102"/>
  <c r="J441" i="102"/>
  <c r="E456" i="102"/>
  <c r="N41" i="102"/>
  <c r="R41" i="102"/>
  <c r="O51" i="102"/>
  <c r="Y61" i="102"/>
  <c r="E189" i="102"/>
  <c r="T251" i="102"/>
  <c r="E256" i="102"/>
  <c r="O261" i="102"/>
  <c r="O266" i="102"/>
  <c r="O496" i="102"/>
  <c r="Y506" i="102"/>
  <c r="Y561" i="102"/>
  <c r="O565" i="102"/>
  <c r="O381" i="102"/>
  <c r="Y391" i="102"/>
  <c r="J396" i="102"/>
  <c r="E406" i="102"/>
  <c r="O411" i="102"/>
  <c r="O526" i="102"/>
  <c r="C541" i="102"/>
  <c r="J540" i="102"/>
  <c r="T539" i="102"/>
  <c r="O40" i="102"/>
  <c r="E261" i="102"/>
  <c r="Y446" i="102"/>
  <c r="S156" i="102"/>
  <c r="O226" i="102"/>
  <c r="B241" i="102"/>
  <c r="N241" i="102"/>
  <c r="R276" i="102"/>
  <c r="E295" i="102"/>
  <c r="N511" i="102"/>
  <c r="B426" i="102"/>
  <c r="E424" i="102"/>
  <c r="J451" i="102"/>
  <c r="J456" i="102"/>
  <c r="Y441" i="102"/>
  <c r="E540" i="102"/>
  <c r="O126" i="102"/>
  <c r="O154" i="102"/>
  <c r="L156" i="102"/>
  <c r="J31" i="102"/>
  <c r="T36" i="102"/>
  <c r="T56" i="102"/>
  <c r="O61" i="102"/>
  <c r="G66" i="102"/>
  <c r="N66" i="102"/>
  <c r="J86" i="102"/>
  <c r="E96" i="102"/>
  <c r="O106" i="102"/>
  <c r="Y116" i="102"/>
  <c r="J121" i="102"/>
  <c r="T126" i="102"/>
  <c r="E131" i="102"/>
  <c r="T186" i="102"/>
  <c r="D191" i="102"/>
  <c r="R191" i="102"/>
  <c r="O211" i="102"/>
  <c r="N216" i="102"/>
  <c r="O274" i="102"/>
  <c r="J311" i="102"/>
  <c r="Y319" i="102"/>
  <c r="T336" i="102"/>
  <c r="T341" i="102"/>
  <c r="G346" i="102"/>
  <c r="S346" i="102"/>
  <c r="J345" i="102"/>
  <c r="D371" i="102"/>
  <c r="R371" i="102"/>
  <c r="C511" i="102"/>
  <c r="C566" i="102"/>
  <c r="Q566" i="102"/>
  <c r="E464" i="102"/>
  <c r="I466" i="102"/>
  <c r="Y464" i="102"/>
  <c r="E476" i="102"/>
  <c r="J531" i="102"/>
  <c r="O11" i="102"/>
  <c r="O239" i="102"/>
  <c r="E461" i="102"/>
  <c r="O21" i="102"/>
  <c r="J40" i="102"/>
  <c r="Y40" i="102"/>
  <c r="J51" i="102"/>
  <c r="T96" i="102"/>
  <c r="E126" i="102"/>
  <c r="O166" i="102"/>
  <c r="Y181" i="102"/>
  <c r="S191" i="102"/>
  <c r="C216" i="102"/>
  <c r="Q216" i="102"/>
  <c r="O251" i="102"/>
  <c r="S276" i="102"/>
  <c r="Y291" i="102"/>
  <c r="O306" i="102"/>
  <c r="X321" i="102"/>
  <c r="Y331" i="102"/>
  <c r="H346" i="102"/>
  <c r="V346" i="102"/>
  <c r="T361" i="102"/>
  <c r="G371" i="102"/>
  <c r="S371" i="102"/>
  <c r="Y406" i="102"/>
  <c r="J411" i="102"/>
  <c r="E421" i="102"/>
  <c r="J536" i="102"/>
  <c r="Y539" i="102"/>
  <c r="T21" i="102"/>
  <c r="L41" i="102"/>
  <c r="Y51" i="102"/>
  <c r="O65" i="102"/>
  <c r="O76" i="102"/>
  <c r="T86" i="102"/>
  <c r="E91" i="102"/>
  <c r="Y101" i="102"/>
  <c r="J116" i="102"/>
  <c r="T141" i="102"/>
  <c r="E146" i="102"/>
  <c r="Y176" i="102"/>
  <c r="J181" i="102"/>
  <c r="N191" i="102"/>
  <c r="T190" i="102"/>
  <c r="O206" i="102"/>
  <c r="Y211" i="102"/>
  <c r="O214" i="102"/>
  <c r="X216" i="102"/>
  <c r="Y226" i="102"/>
  <c r="Y231" i="102"/>
  <c r="J236" i="102"/>
  <c r="Y236" i="102"/>
  <c r="I241" i="102"/>
  <c r="Y239" i="102"/>
  <c r="O240" i="102"/>
  <c r="Y271" i="102"/>
  <c r="Y286" i="102"/>
  <c r="J291" i="102"/>
  <c r="S296" i="102"/>
  <c r="T311" i="102"/>
  <c r="G321" i="102"/>
  <c r="S321" i="102"/>
  <c r="J320" i="102"/>
  <c r="Y320" i="102"/>
  <c r="E341" i="102"/>
  <c r="E344" i="102"/>
  <c r="T344" i="102"/>
  <c r="T345" i="102"/>
  <c r="T356" i="102"/>
  <c r="E361" i="102"/>
  <c r="E369" i="102"/>
  <c r="N371" i="102"/>
  <c r="T370" i="102"/>
  <c r="O501" i="102"/>
  <c r="O509" i="102"/>
  <c r="X511" i="102"/>
  <c r="O551" i="102"/>
  <c r="O556" i="102"/>
  <c r="O564" i="102"/>
  <c r="X566" i="102"/>
  <c r="Y396" i="102"/>
  <c r="T401" i="102"/>
  <c r="O406" i="102"/>
  <c r="Y411" i="102"/>
  <c r="T416" i="102"/>
  <c r="M426" i="102"/>
  <c r="J446" i="102"/>
  <c r="O461" i="102"/>
  <c r="T476" i="102"/>
  <c r="O521" i="102"/>
  <c r="Y531" i="102"/>
  <c r="T536" i="102"/>
  <c r="W541" i="102"/>
  <c r="I66" i="102"/>
  <c r="R66" i="102"/>
  <c r="O81" i="102"/>
  <c r="E101" i="102"/>
  <c r="T106" i="102"/>
  <c r="O111" i="102"/>
  <c r="W156" i="102"/>
  <c r="H191" i="102"/>
  <c r="E211" i="102"/>
  <c r="D216" i="102"/>
  <c r="R216" i="102"/>
  <c r="E226" i="102"/>
  <c r="E239" i="102"/>
  <c r="T240" i="102"/>
  <c r="E266" i="102"/>
  <c r="I276" i="102"/>
  <c r="E286" i="102"/>
  <c r="M321" i="102"/>
  <c r="J336" i="102"/>
  <c r="J341" i="102"/>
  <c r="I346" i="102"/>
  <c r="Y344" i="102"/>
  <c r="H371" i="102"/>
  <c r="Y369" i="102"/>
  <c r="J496" i="102"/>
  <c r="D511" i="102"/>
  <c r="R511" i="102"/>
  <c r="J510" i="102"/>
  <c r="D566" i="102"/>
  <c r="R566" i="102"/>
  <c r="J565" i="102"/>
  <c r="J381" i="102"/>
  <c r="T391" i="102"/>
  <c r="E396" i="102"/>
  <c r="E411" i="102"/>
  <c r="J421" i="102"/>
  <c r="O441" i="102"/>
  <c r="O446" i="102"/>
  <c r="O451" i="102"/>
  <c r="Y486" i="102"/>
  <c r="T526" i="102"/>
  <c r="E531" i="102"/>
  <c r="T51" i="102"/>
  <c r="E61" i="102"/>
  <c r="O64" i="102"/>
  <c r="T81" i="102"/>
  <c r="Y86" i="102"/>
  <c r="J91" i="102"/>
  <c r="Y96" i="102"/>
  <c r="J101" i="102"/>
  <c r="T111" i="102"/>
  <c r="E116" i="102"/>
  <c r="O121" i="102"/>
  <c r="T131" i="102"/>
  <c r="Y141" i="102"/>
  <c r="E154" i="102"/>
  <c r="T176" i="102"/>
  <c r="E181" i="102"/>
  <c r="W191" i="102"/>
  <c r="O190" i="102"/>
  <c r="Y201" i="102"/>
  <c r="J206" i="102"/>
  <c r="J214" i="102"/>
  <c r="Y215" i="102"/>
  <c r="Y256" i="102"/>
  <c r="J261" i="102"/>
  <c r="T271" i="102"/>
  <c r="J275" i="102"/>
  <c r="T286" i="102"/>
  <c r="E291" i="102"/>
  <c r="T306" i="102"/>
  <c r="E311" i="102"/>
  <c r="E319" i="102"/>
  <c r="O331" i="102"/>
  <c r="O336" i="102"/>
  <c r="O356" i="102"/>
  <c r="J361" i="102"/>
  <c r="Y366" i="102"/>
  <c r="L371" i="102"/>
  <c r="Y496" i="102"/>
  <c r="T501" i="102"/>
  <c r="Y510" i="102"/>
  <c r="J551" i="102"/>
  <c r="T556" i="102"/>
  <c r="J564" i="102"/>
  <c r="Y565" i="102"/>
  <c r="Y381" i="102"/>
  <c r="T396" i="102"/>
  <c r="T411" i="102"/>
  <c r="Y421" i="102"/>
  <c r="T424" i="102"/>
  <c r="T436" i="102"/>
  <c r="T441" i="102"/>
  <c r="O456" i="102"/>
  <c r="O476" i="102"/>
  <c r="J521" i="102"/>
  <c r="E526" i="102"/>
  <c r="T531" i="102"/>
  <c r="Y31" i="102"/>
  <c r="J36" i="102"/>
  <c r="H41" i="102"/>
  <c r="J61" i="102"/>
  <c r="T65" i="102"/>
  <c r="E81" i="102"/>
  <c r="O91" i="102"/>
  <c r="J106" i="102"/>
  <c r="E111" i="102"/>
  <c r="T116" i="102"/>
  <c r="E121" i="102"/>
  <c r="J131" i="102"/>
  <c r="E136" i="102"/>
  <c r="O146" i="102"/>
  <c r="I156" i="102"/>
  <c r="R156" i="102"/>
  <c r="J166" i="102"/>
  <c r="T181" i="102"/>
  <c r="O189" i="102"/>
  <c r="Y206" i="102"/>
  <c r="J211" i="102"/>
  <c r="Y214" i="102"/>
  <c r="J226" i="102"/>
  <c r="T236" i="102"/>
  <c r="J240" i="102"/>
  <c r="Y240" i="102"/>
  <c r="Y251" i="102"/>
  <c r="J266" i="102"/>
  <c r="Q276" i="102"/>
  <c r="X276" i="102"/>
  <c r="T291" i="102"/>
  <c r="X296" i="102"/>
  <c r="E316" i="102"/>
  <c r="T319" i="102"/>
  <c r="T320" i="102"/>
  <c r="O341" i="102"/>
  <c r="O344" i="102"/>
  <c r="E345" i="102"/>
  <c r="O361" i="102"/>
  <c r="O369" i="102"/>
  <c r="Y501" i="102"/>
  <c r="J506" i="102"/>
  <c r="Y509" i="102"/>
  <c r="Y551" i="102"/>
  <c r="Y556" i="102"/>
  <c r="J561" i="102"/>
  <c r="Y564" i="102"/>
  <c r="J391" i="102"/>
  <c r="R426" i="102"/>
  <c r="E446" i="102"/>
  <c r="T446" i="102"/>
  <c r="E451" i="102"/>
  <c r="H466" i="102"/>
  <c r="O465" i="102"/>
  <c r="O486" i="102"/>
  <c r="Y521" i="102"/>
  <c r="J526" i="102"/>
  <c r="H541" i="102"/>
  <c r="O540" i="102"/>
  <c r="Q541" i="102"/>
  <c r="J539" i="102"/>
  <c r="B541" i="102"/>
  <c r="V541" i="102"/>
  <c r="L541" i="102"/>
  <c r="V466" i="102"/>
  <c r="T464" i="102"/>
  <c r="L466" i="102"/>
  <c r="Q466" i="102"/>
  <c r="J464" i="102"/>
  <c r="C466" i="102"/>
  <c r="M466" i="102"/>
  <c r="W466" i="102"/>
  <c r="G426" i="102"/>
  <c r="E425" i="102"/>
  <c r="V426" i="102"/>
  <c r="Q426" i="102"/>
  <c r="L426" i="102"/>
  <c r="G566" i="102"/>
  <c r="J566" i="102" s="1"/>
  <c r="T564" i="102"/>
  <c r="B566" i="102"/>
  <c r="L566" i="102"/>
  <c r="V566" i="102"/>
  <c r="J509" i="102"/>
  <c r="O510" i="102"/>
  <c r="V511" i="102"/>
  <c r="Q511" i="102"/>
  <c r="E510" i="102"/>
  <c r="J369" i="102"/>
  <c r="T369" i="102"/>
  <c r="E370" i="102"/>
  <c r="O370" i="102"/>
  <c r="V371" i="102"/>
  <c r="Q346" i="102"/>
  <c r="J344" i="102"/>
  <c r="C346" i="102"/>
  <c r="M346" i="102"/>
  <c r="W346" i="102"/>
  <c r="Q321" i="102"/>
  <c r="J319" i="102"/>
  <c r="B321" i="102"/>
  <c r="L321" i="102"/>
  <c r="W321" i="102"/>
  <c r="O294" i="102"/>
  <c r="J294" i="102"/>
  <c r="T294" i="102"/>
  <c r="O295" i="102"/>
  <c r="V296" i="102"/>
  <c r="B296" i="102"/>
  <c r="J274" i="102"/>
  <c r="T274" i="102"/>
  <c r="O275" i="102"/>
  <c r="V276" i="102"/>
  <c r="B276" i="102"/>
  <c r="Q241" i="102"/>
  <c r="J239" i="102"/>
  <c r="M241" i="102"/>
  <c r="C241" i="102"/>
  <c r="W241" i="102"/>
  <c r="G216" i="102"/>
  <c r="T214" i="102"/>
  <c r="B216" i="102"/>
  <c r="L216" i="102"/>
  <c r="V216" i="102"/>
  <c r="G191" i="102"/>
  <c r="B191" i="102"/>
  <c r="L191" i="102"/>
  <c r="Q191" i="102"/>
  <c r="V191" i="102"/>
  <c r="Y154" i="102"/>
  <c r="J155" i="102"/>
  <c r="C156" i="102"/>
  <c r="J154" i="102"/>
  <c r="T154" i="102"/>
  <c r="D66" i="102"/>
  <c r="J64" i="102"/>
  <c r="B66" i="102"/>
  <c r="V66" i="102"/>
  <c r="L66" i="102"/>
  <c r="Q66" i="102"/>
  <c r="J39" i="102"/>
  <c r="B41" i="102"/>
  <c r="N1294" i="103"/>
  <c r="M1294" i="103"/>
  <c r="L1294" i="103"/>
  <c r="I1294" i="103"/>
  <c r="H1294" i="103"/>
  <c r="G1294" i="103"/>
  <c r="D1294" i="103"/>
  <c r="C1294" i="103"/>
  <c r="B1294" i="103"/>
  <c r="O1292" i="103"/>
  <c r="J1292" i="103"/>
  <c r="E1292" i="103"/>
  <c r="O1291" i="103"/>
  <c r="J1291" i="103"/>
  <c r="E1291" i="103"/>
  <c r="O1290" i="103"/>
  <c r="J1290" i="103"/>
  <c r="E1290" i="103"/>
  <c r="O1289" i="103"/>
  <c r="J1289" i="103"/>
  <c r="E1289" i="103"/>
  <c r="O1288" i="103"/>
  <c r="J1288" i="103"/>
  <c r="E1288" i="103"/>
  <c r="O1287" i="103"/>
  <c r="J1287" i="103"/>
  <c r="E1287" i="103"/>
  <c r="O1286" i="103"/>
  <c r="J1286" i="103"/>
  <c r="E1286" i="103"/>
  <c r="O1285" i="103"/>
  <c r="J1285" i="103"/>
  <c r="E1285" i="103"/>
  <c r="O1284" i="103"/>
  <c r="J1284" i="103"/>
  <c r="E1284" i="103"/>
  <c r="O1282" i="103"/>
  <c r="J1282" i="103"/>
  <c r="E1282" i="103"/>
  <c r="L1281" i="103"/>
  <c r="G1281" i="103"/>
  <c r="B1281" i="103"/>
  <c r="N1277" i="103"/>
  <c r="M1277" i="103"/>
  <c r="L1277" i="103"/>
  <c r="I1277" i="103"/>
  <c r="H1277" i="103"/>
  <c r="G1277" i="103"/>
  <c r="D1277" i="103"/>
  <c r="C1277" i="103"/>
  <c r="B1277" i="103"/>
  <c r="O1275" i="103"/>
  <c r="J1275" i="103"/>
  <c r="E1275" i="103"/>
  <c r="O1274" i="103"/>
  <c r="J1274" i="103"/>
  <c r="E1274" i="103"/>
  <c r="O1273" i="103"/>
  <c r="J1273" i="103"/>
  <c r="E1273" i="103"/>
  <c r="O1272" i="103"/>
  <c r="J1272" i="103"/>
  <c r="E1272" i="103"/>
  <c r="O1271" i="103"/>
  <c r="J1271" i="103"/>
  <c r="E1271" i="103"/>
  <c r="O1270" i="103"/>
  <c r="J1270" i="103"/>
  <c r="E1270" i="103"/>
  <c r="O1269" i="103"/>
  <c r="J1269" i="103"/>
  <c r="E1269" i="103"/>
  <c r="O1268" i="103"/>
  <c r="J1268" i="103"/>
  <c r="E1268" i="103"/>
  <c r="O1267" i="103"/>
  <c r="J1267" i="103"/>
  <c r="E1267" i="103"/>
  <c r="O1265" i="103"/>
  <c r="J1265" i="103"/>
  <c r="E1265" i="103"/>
  <c r="L1264" i="103"/>
  <c r="G1264" i="103"/>
  <c r="B1264" i="103"/>
  <c r="N1260" i="103"/>
  <c r="M1260" i="103"/>
  <c r="L1260" i="103"/>
  <c r="I1260" i="103"/>
  <c r="H1260" i="103"/>
  <c r="G1260" i="103"/>
  <c r="D1260" i="103"/>
  <c r="C1260" i="103"/>
  <c r="B1260" i="103"/>
  <c r="O1258" i="103"/>
  <c r="J1258" i="103"/>
  <c r="E1258" i="103"/>
  <c r="O1257" i="103"/>
  <c r="J1257" i="103"/>
  <c r="E1257" i="103"/>
  <c r="O1256" i="103"/>
  <c r="J1256" i="103"/>
  <c r="E1256" i="103"/>
  <c r="O1255" i="103"/>
  <c r="J1255" i="103"/>
  <c r="E1255" i="103"/>
  <c r="O1254" i="103"/>
  <c r="J1254" i="103"/>
  <c r="E1254" i="103"/>
  <c r="O1253" i="103"/>
  <c r="J1253" i="103"/>
  <c r="E1253" i="103"/>
  <c r="O1252" i="103"/>
  <c r="J1252" i="103"/>
  <c r="E1252" i="103"/>
  <c r="O1251" i="103"/>
  <c r="J1251" i="103"/>
  <c r="E1251" i="103"/>
  <c r="O1250" i="103"/>
  <c r="J1250" i="103"/>
  <c r="E1250" i="103"/>
  <c r="O1248" i="103"/>
  <c r="J1248" i="103"/>
  <c r="E1248" i="103"/>
  <c r="L1247" i="103"/>
  <c r="G1247" i="103"/>
  <c r="B1247" i="103"/>
  <c r="N1243" i="103"/>
  <c r="M1243" i="103"/>
  <c r="L1243" i="103"/>
  <c r="I1243" i="103"/>
  <c r="H1243" i="103"/>
  <c r="G1243" i="103"/>
  <c r="D1243" i="103"/>
  <c r="C1243" i="103"/>
  <c r="B1243" i="103"/>
  <c r="O1241" i="103"/>
  <c r="J1241" i="103"/>
  <c r="E1241" i="103"/>
  <c r="O1240" i="103"/>
  <c r="J1240" i="103"/>
  <c r="E1240" i="103"/>
  <c r="O1239" i="103"/>
  <c r="J1239" i="103"/>
  <c r="E1239" i="103"/>
  <c r="O1238" i="103"/>
  <c r="J1238" i="103"/>
  <c r="E1238" i="103"/>
  <c r="O1237" i="103"/>
  <c r="J1237" i="103"/>
  <c r="E1237" i="103"/>
  <c r="O1236" i="103"/>
  <c r="J1236" i="103"/>
  <c r="E1236" i="103"/>
  <c r="O1235" i="103"/>
  <c r="J1235" i="103"/>
  <c r="E1235" i="103"/>
  <c r="O1234" i="103"/>
  <c r="J1234" i="103"/>
  <c r="E1234" i="103"/>
  <c r="O1233" i="103"/>
  <c r="J1233" i="103"/>
  <c r="E1233" i="103"/>
  <c r="O1231" i="103"/>
  <c r="J1231" i="103"/>
  <c r="E1231" i="103"/>
  <c r="L1230" i="103"/>
  <c r="G1230" i="103"/>
  <c r="B1230" i="103"/>
  <c r="N1226" i="103"/>
  <c r="M1226" i="103"/>
  <c r="L1226" i="103"/>
  <c r="I1226" i="103"/>
  <c r="H1226" i="103"/>
  <c r="G1226" i="103"/>
  <c r="D1226" i="103"/>
  <c r="C1226" i="103"/>
  <c r="B1226" i="103"/>
  <c r="O1224" i="103"/>
  <c r="J1224" i="103"/>
  <c r="E1224" i="103"/>
  <c r="O1223" i="103"/>
  <c r="J1223" i="103"/>
  <c r="E1223" i="103"/>
  <c r="O1222" i="103"/>
  <c r="J1222" i="103"/>
  <c r="E1222" i="103"/>
  <c r="O1221" i="103"/>
  <c r="J1221" i="103"/>
  <c r="E1221" i="103"/>
  <c r="O1220" i="103"/>
  <c r="J1220" i="103"/>
  <c r="E1220" i="103"/>
  <c r="O1219" i="103"/>
  <c r="J1219" i="103"/>
  <c r="E1219" i="103"/>
  <c r="O1218" i="103"/>
  <c r="J1218" i="103"/>
  <c r="E1218" i="103"/>
  <c r="O1217" i="103"/>
  <c r="J1217" i="103"/>
  <c r="E1217" i="103"/>
  <c r="O1216" i="103"/>
  <c r="J1216" i="103"/>
  <c r="E1216" i="103"/>
  <c r="O1214" i="103"/>
  <c r="J1214" i="103"/>
  <c r="E1214" i="103"/>
  <c r="L1213" i="103"/>
  <c r="G1213" i="103"/>
  <c r="B1213" i="103"/>
  <c r="N1209" i="103"/>
  <c r="M1209" i="103"/>
  <c r="L1209" i="103"/>
  <c r="I1209" i="103"/>
  <c r="H1209" i="103"/>
  <c r="G1209" i="103"/>
  <c r="D1209" i="103"/>
  <c r="C1209" i="103"/>
  <c r="B1209" i="103"/>
  <c r="O1207" i="103"/>
  <c r="J1207" i="103"/>
  <c r="E1207" i="103"/>
  <c r="O1206" i="103"/>
  <c r="J1206" i="103"/>
  <c r="E1206" i="103"/>
  <c r="O1205" i="103"/>
  <c r="J1205" i="103"/>
  <c r="E1205" i="103"/>
  <c r="O1204" i="103"/>
  <c r="J1204" i="103"/>
  <c r="E1204" i="103"/>
  <c r="O1203" i="103"/>
  <c r="J1203" i="103"/>
  <c r="E1203" i="103"/>
  <c r="O1202" i="103"/>
  <c r="J1202" i="103"/>
  <c r="E1202" i="103"/>
  <c r="O1201" i="103"/>
  <c r="J1201" i="103"/>
  <c r="E1201" i="103"/>
  <c r="O1200" i="103"/>
  <c r="J1200" i="103"/>
  <c r="E1200" i="103"/>
  <c r="O1199" i="103"/>
  <c r="J1199" i="103"/>
  <c r="E1199" i="103"/>
  <c r="O1197" i="103"/>
  <c r="J1197" i="103"/>
  <c r="E1197" i="103"/>
  <c r="L1196" i="103"/>
  <c r="G1196" i="103"/>
  <c r="B1196" i="103"/>
  <c r="N1192" i="103"/>
  <c r="M1192" i="103"/>
  <c r="L1192" i="103"/>
  <c r="I1192" i="103"/>
  <c r="H1192" i="103"/>
  <c r="G1192" i="103"/>
  <c r="D1192" i="103"/>
  <c r="C1192" i="103"/>
  <c r="B1192" i="103"/>
  <c r="O1190" i="103"/>
  <c r="J1190" i="103"/>
  <c r="E1190" i="103"/>
  <c r="O1189" i="103"/>
  <c r="J1189" i="103"/>
  <c r="E1189" i="103"/>
  <c r="O1188" i="103"/>
  <c r="J1188" i="103"/>
  <c r="E1188" i="103"/>
  <c r="O1187" i="103"/>
  <c r="J1187" i="103"/>
  <c r="E1187" i="103"/>
  <c r="O1186" i="103"/>
  <c r="J1186" i="103"/>
  <c r="E1186" i="103"/>
  <c r="O1185" i="103"/>
  <c r="J1185" i="103"/>
  <c r="E1185" i="103"/>
  <c r="O1184" i="103"/>
  <c r="J1184" i="103"/>
  <c r="E1184" i="103"/>
  <c r="O1183" i="103"/>
  <c r="J1183" i="103"/>
  <c r="E1183" i="103"/>
  <c r="O1182" i="103"/>
  <c r="J1182" i="103"/>
  <c r="E1182" i="103"/>
  <c r="O1180" i="103"/>
  <c r="J1180" i="103"/>
  <c r="E1180" i="103"/>
  <c r="L1179" i="103"/>
  <c r="G1179" i="103"/>
  <c r="B1179" i="103"/>
  <c r="N1175" i="103"/>
  <c r="M1175" i="103"/>
  <c r="L1175" i="103"/>
  <c r="I1175" i="103"/>
  <c r="H1175" i="103"/>
  <c r="G1175" i="103"/>
  <c r="D1175" i="103"/>
  <c r="C1175" i="103"/>
  <c r="B1175" i="103"/>
  <c r="O1173" i="103"/>
  <c r="J1173" i="103"/>
  <c r="E1173" i="103"/>
  <c r="O1172" i="103"/>
  <c r="J1172" i="103"/>
  <c r="E1172" i="103"/>
  <c r="O1171" i="103"/>
  <c r="J1171" i="103"/>
  <c r="E1171" i="103"/>
  <c r="O1170" i="103"/>
  <c r="J1170" i="103"/>
  <c r="E1170" i="103"/>
  <c r="O1169" i="103"/>
  <c r="J1169" i="103"/>
  <c r="E1169" i="103"/>
  <c r="O1168" i="103"/>
  <c r="J1168" i="103"/>
  <c r="E1168" i="103"/>
  <c r="O1167" i="103"/>
  <c r="J1167" i="103"/>
  <c r="E1167" i="103"/>
  <c r="O1166" i="103"/>
  <c r="J1166" i="103"/>
  <c r="E1166" i="103"/>
  <c r="O1165" i="103"/>
  <c r="J1165" i="103"/>
  <c r="E1165" i="103"/>
  <c r="O1163" i="103"/>
  <c r="J1163" i="103"/>
  <c r="E1163" i="103"/>
  <c r="L1162" i="103"/>
  <c r="G1162" i="103"/>
  <c r="B1162" i="103"/>
  <c r="N1158" i="103"/>
  <c r="M1158" i="103"/>
  <c r="L1158" i="103"/>
  <c r="I1158" i="103"/>
  <c r="H1158" i="103"/>
  <c r="G1158" i="103"/>
  <c r="D1158" i="103"/>
  <c r="C1158" i="103"/>
  <c r="B1158" i="103"/>
  <c r="O1156" i="103"/>
  <c r="J1156" i="103"/>
  <c r="E1156" i="103"/>
  <c r="O1155" i="103"/>
  <c r="J1155" i="103"/>
  <c r="E1155" i="103"/>
  <c r="O1154" i="103"/>
  <c r="J1154" i="103"/>
  <c r="E1154" i="103"/>
  <c r="O1153" i="103"/>
  <c r="J1153" i="103"/>
  <c r="E1153" i="103"/>
  <c r="O1152" i="103"/>
  <c r="J1152" i="103"/>
  <c r="E1152" i="103"/>
  <c r="O1151" i="103"/>
  <c r="J1151" i="103"/>
  <c r="E1151" i="103"/>
  <c r="O1150" i="103"/>
  <c r="J1150" i="103"/>
  <c r="E1150" i="103"/>
  <c r="O1149" i="103"/>
  <c r="J1149" i="103"/>
  <c r="E1149" i="103"/>
  <c r="O1148" i="103"/>
  <c r="J1148" i="103"/>
  <c r="E1148" i="103"/>
  <c r="O1146" i="103"/>
  <c r="J1146" i="103"/>
  <c r="E1146" i="103"/>
  <c r="L1145" i="103"/>
  <c r="G1145" i="103"/>
  <c r="B1145" i="103"/>
  <c r="N1141" i="103"/>
  <c r="M1141" i="103"/>
  <c r="L1141" i="103"/>
  <c r="I1141" i="103"/>
  <c r="H1141" i="103"/>
  <c r="G1141" i="103"/>
  <c r="D1141" i="103"/>
  <c r="C1141" i="103"/>
  <c r="B1141" i="103"/>
  <c r="O1139" i="103"/>
  <c r="J1139" i="103"/>
  <c r="E1139" i="103"/>
  <c r="O1138" i="103"/>
  <c r="J1138" i="103"/>
  <c r="E1138" i="103"/>
  <c r="O1137" i="103"/>
  <c r="J1137" i="103"/>
  <c r="E1137" i="103"/>
  <c r="O1136" i="103"/>
  <c r="J1136" i="103"/>
  <c r="E1136" i="103"/>
  <c r="O1135" i="103"/>
  <c r="J1135" i="103"/>
  <c r="E1135" i="103"/>
  <c r="O1134" i="103"/>
  <c r="J1134" i="103"/>
  <c r="E1134" i="103"/>
  <c r="O1133" i="103"/>
  <c r="J1133" i="103"/>
  <c r="E1133" i="103"/>
  <c r="O1132" i="103"/>
  <c r="J1132" i="103"/>
  <c r="E1132" i="103"/>
  <c r="O1131" i="103"/>
  <c r="J1131" i="103"/>
  <c r="E1131" i="103"/>
  <c r="O1129" i="103"/>
  <c r="J1129" i="103"/>
  <c r="E1129" i="103"/>
  <c r="L1128" i="103"/>
  <c r="G1128" i="103"/>
  <c r="B1128" i="103"/>
  <c r="N1124" i="103"/>
  <c r="M1124" i="103"/>
  <c r="L1124" i="103"/>
  <c r="I1124" i="103"/>
  <c r="H1124" i="103"/>
  <c r="G1124" i="103"/>
  <c r="D1124" i="103"/>
  <c r="C1124" i="103"/>
  <c r="B1124" i="103"/>
  <c r="O1122" i="103"/>
  <c r="J1122" i="103"/>
  <c r="E1122" i="103"/>
  <c r="O1121" i="103"/>
  <c r="J1121" i="103"/>
  <c r="E1121" i="103"/>
  <c r="O1120" i="103"/>
  <c r="J1120" i="103"/>
  <c r="E1120" i="103"/>
  <c r="O1119" i="103"/>
  <c r="J1119" i="103"/>
  <c r="E1119" i="103"/>
  <c r="O1118" i="103"/>
  <c r="J1118" i="103"/>
  <c r="E1118" i="103"/>
  <c r="O1117" i="103"/>
  <c r="J1117" i="103"/>
  <c r="E1117" i="103"/>
  <c r="O1116" i="103"/>
  <c r="J1116" i="103"/>
  <c r="E1116" i="103"/>
  <c r="O1115" i="103"/>
  <c r="J1115" i="103"/>
  <c r="E1115" i="103"/>
  <c r="O1114" i="103"/>
  <c r="J1114" i="103"/>
  <c r="E1114" i="103"/>
  <c r="O1112" i="103"/>
  <c r="J1112" i="103"/>
  <c r="E1112" i="103"/>
  <c r="L1111" i="103"/>
  <c r="G1111" i="103"/>
  <c r="B1111" i="103"/>
  <c r="N1107" i="103"/>
  <c r="M1107" i="103"/>
  <c r="L1107" i="103"/>
  <c r="I1107" i="103"/>
  <c r="H1107" i="103"/>
  <c r="G1107" i="103"/>
  <c r="D1107" i="103"/>
  <c r="C1107" i="103"/>
  <c r="B1107" i="103"/>
  <c r="O1105" i="103"/>
  <c r="J1105" i="103"/>
  <c r="E1105" i="103"/>
  <c r="O1104" i="103"/>
  <c r="J1104" i="103"/>
  <c r="E1104" i="103"/>
  <c r="O1103" i="103"/>
  <c r="J1103" i="103"/>
  <c r="E1103" i="103"/>
  <c r="O1102" i="103"/>
  <c r="J1102" i="103"/>
  <c r="E1102" i="103"/>
  <c r="O1101" i="103"/>
  <c r="J1101" i="103"/>
  <c r="E1101" i="103"/>
  <c r="O1100" i="103"/>
  <c r="J1100" i="103"/>
  <c r="E1100" i="103"/>
  <c r="O1099" i="103"/>
  <c r="J1099" i="103"/>
  <c r="E1099" i="103"/>
  <c r="O1098" i="103"/>
  <c r="J1098" i="103"/>
  <c r="E1098" i="103"/>
  <c r="O1097" i="103"/>
  <c r="J1097" i="103"/>
  <c r="E1097" i="103"/>
  <c r="O1095" i="103"/>
  <c r="J1095" i="103"/>
  <c r="E1095" i="103"/>
  <c r="L1094" i="103"/>
  <c r="G1094" i="103"/>
  <c r="B1094" i="103"/>
  <c r="N1090" i="103"/>
  <c r="M1090" i="103"/>
  <c r="L1090" i="103"/>
  <c r="I1090" i="103"/>
  <c r="H1090" i="103"/>
  <c r="G1090" i="103"/>
  <c r="D1090" i="103"/>
  <c r="C1090" i="103"/>
  <c r="B1090" i="103"/>
  <c r="O1088" i="103"/>
  <c r="J1088" i="103"/>
  <c r="E1088" i="103"/>
  <c r="O1087" i="103"/>
  <c r="J1087" i="103"/>
  <c r="E1087" i="103"/>
  <c r="O1086" i="103"/>
  <c r="J1086" i="103"/>
  <c r="E1086" i="103"/>
  <c r="O1085" i="103"/>
  <c r="J1085" i="103"/>
  <c r="E1085" i="103"/>
  <c r="O1084" i="103"/>
  <c r="J1084" i="103"/>
  <c r="E1084" i="103"/>
  <c r="O1083" i="103"/>
  <c r="J1083" i="103"/>
  <c r="E1083" i="103"/>
  <c r="O1082" i="103"/>
  <c r="J1082" i="103"/>
  <c r="E1082" i="103"/>
  <c r="O1081" i="103"/>
  <c r="J1081" i="103"/>
  <c r="E1081" i="103"/>
  <c r="O1080" i="103"/>
  <c r="J1080" i="103"/>
  <c r="E1080" i="103"/>
  <c r="O1078" i="103"/>
  <c r="J1078" i="103"/>
  <c r="E1078" i="103"/>
  <c r="L1077" i="103"/>
  <c r="G1077" i="103"/>
  <c r="B1077" i="103"/>
  <c r="N1073" i="103"/>
  <c r="M1073" i="103"/>
  <c r="L1073" i="103"/>
  <c r="I1073" i="103"/>
  <c r="H1073" i="103"/>
  <c r="G1073" i="103"/>
  <c r="D1073" i="103"/>
  <c r="C1073" i="103"/>
  <c r="B1073" i="103"/>
  <c r="O1071" i="103"/>
  <c r="J1071" i="103"/>
  <c r="E1071" i="103"/>
  <c r="O1070" i="103"/>
  <c r="J1070" i="103"/>
  <c r="E1070" i="103"/>
  <c r="O1069" i="103"/>
  <c r="J1069" i="103"/>
  <c r="E1069" i="103"/>
  <c r="O1068" i="103"/>
  <c r="J1068" i="103"/>
  <c r="E1068" i="103"/>
  <c r="O1067" i="103"/>
  <c r="J1067" i="103"/>
  <c r="E1067" i="103"/>
  <c r="O1066" i="103"/>
  <c r="J1066" i="103"/>
  <c r="E1066" i="103"/>
  <c r="O1065" i="103"/>
  <c r="J1065" i="103"/>
  <c r="E1065" i="103"/>
  <c r="O1064" i="103"/>
  <c r="J1064" i="103"/>
  <c r="E1064" i="103"/>
  <c r="O1063" i="103"/>
  <c r="J1063" i="103"/>
  <c r="E1063" i="103"/>
  <c r="O1061" i="103"/>
  <c r="J1061" i="103"/>
  <c r="E1061" i="103"/>
  <c r="L1060" i="103"/>
  <c r="G1060" i="103"/>
  <c r="B1060" i="103"/>
  <c r="N1056" i="103"/>
  <c r="M1056" i="103"/>
  <c r="L1056" i="103"/>
  <c r="I1056" i="103"/>
  <c r="H1056" i="103"/>
  <c r="G1056" i="103"/>
  <c r="D1056" i="103"/>
  <c r="C1056" i="103"/>
  <c r="B1056" i="103"/>
  <c r="O1054" i="103"/>
  <c r="J1054" i="103"/>
  <c r="E1054" i="103"/>
  <c r="O1053" i="103"/>
  <c r="J1053" i="103"/>
  <c r="E1053" i="103"/>
  <c r="O1052" i="103"/>
  <c r="J1052" i="103"/>
  <c r="E1052" i="103"/>
  <c r="O1051" i="103"/>
  <c r="J1051" i="103"/>
  <c r="E1051" i="103"/>
  <c r="O1050" i="103"/>
  <c r="J1050" i="103"/>
  <c r="E1050" i="103"/>
  <c r="O1049" i="103"/>
  <c r="J1049" i="103"/>
  <c r="E1049" i="103"/>
  <c r="O1048" i="103"/>
  <c r="J1048" i="103"/>
  <c r="E1048" i="103"/>
  <c r="O1047" i="103"/>
  <c r="J1047" i="103"/>
  <c r="E1047" i="103"/>
  <c r="O1046" i="103"/>
  <c r="J1046" i="103"/>
  <c r="E1046" i="103"/>
  <c r="O1044" i="103"/>
  <c r="J1044" i="103"/>
  <c r="E1044" i="103"/>
  <c r="L1043" i="103"/>
  <c r="G1043" i="103"/>
  <c r="B1043" i="103"/>
  <c r="N1039" i="103"/>
  <c r="M1039" i="103"/>
  <c r="L1039" i="103"/>
  <c r="I1039" i="103"/>
  <c r="H1039" i="103"/>
  <c r="G1039" i="103"/>
  <c r="D1039" i="103"/>
  <c r="C1039" i="103"/>
  <c r="B1039" i="103"/>
  <c r="O1037" i="103"/>
  <c r="J1037" i="103"/>
  <c r="E1037" i="103"/>
  <c r="O1036" i="103"/>
  <c r="J1036" i="103"/>
  <c r="E1036" i="103"/>
  <c r="O1035" i="103"/>
  <c r="J1035" i="103"/>
  <c r="E1035" i="103"/>
  <c r="O1034" i="103"/>
  <c r="J1034" i="103"/>
  <c r="E1034" i="103"/>
  <c r="O1033" i="103"/>
  <c r="J1033" i="103"/>
  <c r="E1033" i="103"/>
  <c r="O1032" i="103"/>
  <c r="J1032" i="103"/>
  <c r="E1032" i="103"/>
  <c r="O1031" i="103"/>
  <c r="J1031" i="103"/>
  <c r="E1031" i="103"/>
  <c r="O1030" i="103"/>
  <c r="J1030" i="103"/>
  <c r="E1030" i="103"/>
  <c r="O1029" i="103"/>
  <c r="J1029" i="103"/>
  <c r="E1029" i="103"/>
  <c r="O1027" i="103"/>
  <c r="J1027" i="103"/>
  <c r="E1027" i="103"/>
  <c r="L1026" i="103"/>
  <c r="G1026" i="103"/>
  <c r="B1026" i="103"/>
  <c r="N1022" i="103"/>
  <c r="M1022" i="103"/>
  <c r="L1022" i="103"/>
  <c r="I1022" i="103"/>
  <c r="H1022" i="103"/>
  <c r="G1022" i="103"/>
  <c r="D1022" i="103"/>
  <c r="C1022" i="103"/>
  <c r="B1022" i="103"/>
  <c r="O1020" i="103"/>
  <c r="J1020" i="103"/>
  <c r="E1020" i="103"/>
  <c r="O1019" i="103"/>
  <c r="J1019" i="103"/>
  <c r="E1019" i="103"/>
  <c r="O1018" i="103"/>
  <c r="J1018" i="103"/>
  <c r="E1018" i="103"/>
  <c r="O1017" i="103"/>
  <c r="J1017" i="103"/>
  <c r="E1017" i="103"/>
  <c r="O1016" i="103"/>
  <c r="J1016" i="103"/>
  <c r="E1016" i="103"/>
  <c r="O1015" i="103"/>
  <c r="J1015" i="103"/>
  <c r="E1015" i="103"/>
  <c r="O1014" i="103"/>
  <c r="J1014" i="103"/>
  <c r="E1014" i="103"/>
  <c r="O1013" i="103"/>
  <c r="J1013" i="103"/>
  <c r="E1013" i="103"/>
  <c r="O1012" i="103"/>
  <c r="J1012" i="103"/>
  <c r="E1012" i="103"/>
  <c r="O1010" i="103"/>
  <c r="J1010" i="103"/>
  <c r="E1010" i="103"/>
  <c r="L1009" i="103"/>
  <c r="G1009" i="103"/>
  <c r="B1009" i="103"/>
  <c r="N1005" i="103"/>
  <c r="M1005" i="103"/>
  <c r="L1005" i="103"/>
  <c r="I1005" i="103"/>
  <c r="H1005" i="103"/>
  <c r="G1005" i="103"/>
  <c r="D1005" i="103"/>
  <c r="C1005" i="103"/>
  <c r="B1005" i="103"/>
  <c r="O1003" i="103"/>
  <c r="J1003" i="103"/>
  <c r="E1003" i="103"/>
  <c r="O1002" i="103"/>
  <c r="J1002" i="103"/>
  <c r="E1002" i="103"/>
  <c r="O1001" i="103"/>
  <c r="J1001" i="103"/>
  <c r="E1001" i="103"/>
  <c r="O1000" i="103"/>
  <c r="J1000" i="103"/>
  <c r="E1000" i="103"/>
  <c r="O999" i="103"/>
  <c r="J999" i="103"/>
  <c r="E999" i="103"/>
  <c r="O998" i="103"/>
  <c r="J998" i="103"/>
  <c r="E998" i="103"/>
  <c r="O997" i="103"/>
  <c r="J997" i="103"/>
  <c r="E997" i="103"/>
  <c r="O996" i="103"/>
  <c r="J996" i="103"/>
  <c r="E996" i="103"/>
  <c r="O995" i="103"/>
  <c r="J995" i="103"/>
  <c r="E995" i="103"/>
  <c r="O993" i="103"/>
  <c r="J993" i="103"/>
  <c r="E993" i="103"/>
  <c r="L992" i="103"/>
  <c r="G992" i="103"/>
  <c r="B992" i="103"/>
  <c r="N988" i="103"/>
  <c r="M988" i="103"/>
  <c r="L988" i="103"/>
  <c r="I988" i="103"/>
  <c r="H988" i="103"/>
  <c r="G988" i="103"/>
  <c r="D988" i="103"/>
  <c r="C988" i="103"/>
  <c r="B988" i="103"/>
  <c r="O986" i="103"/>
  <c r="J986" i="103"/>
  <c r="E986" i="103"/>
  <c r="O985" i="103"/>
  <c r="J985" i="103"/>
  <c r="E985" i="103"/>
  <c r="O984" i="103"/>
  <c r="J984" i="103"/>
  <c r="E984" i="103"/>
  <c r="O983" i="103"/>
  <c r="J983" i="103"/>
  <c r="E983" i="103"/>
  <c r="O982" i="103"/>
  <c r="J982" i="103"/>
  <c r="E982" i="103"/>
  <c r="O981" i="103"/>
  <c r="J981" i="103"/>
  <c r="E981" i="103"/>
  <c r="O980" i="103"/>
  <c r="J980" i="103"/>
  <c r="E980" i="103"/>
  <c r="O979" i="103"/>
  <c r="J979" i="103"/>
  <c r="E979" i="103"/>
  <c r="O978" i="103"/>
  <c r="J978" i="103"/>
  <c r="E978" i="103"/>
  <c r="O976" i="103"/>
  <c r="J976" i="103"/>
  <c r="E976" i="103"/>
  <c r="L975" i="103"/>
  <c r="G975" i="103"/>
  <c r="B975" i="103"/>
  <c r="N971" i="103"/>
  <c r="M971" i="103"/>
  <c r="L971" i="103"/>
  <c r="I971" i="103"/>
  <c r="H971" i="103"/>
  <c r="G971" i="103"/>
  <c r="D971" i="103"/>
  <c r="C971" i="103"/>
  <c r="B971" i="103"/>
  <c r="O969" i="103"/>
  <c r="J969" i="103"/>
  <c r="E969" i="103"/>
  <c r="O968" i="103"/>
  <c r="J968" i="103"/>
  <c r="E968" i="103"/>
  <c r="O967" i="103"/>
  <c r="J967" i="103"/>
  <c r="E967" i="103"/>
  <c r="O966" i="103"/>
  <c r="J966" i="103"/>
  <c r="E966" i="103"/>
  <c r="O965" i="103"/>
  <c r="J965" i="103"/>
  <c r="E965" i="103"/>
  <c r="O964" i="103"/>
  <c r="J964" i="103"/>
  <c r="E964" i="103"/>
  <c r="O963" i="103"/>
  <c r="J963" i="103"/>
  <c r="E963" i="103"/>
  <c r="O962" i="103"/>
  <c r="J962" i="103"/>
  <c r="E962" i="103"/>
  <c r="O961" i="103"/>
  <c r="J961" i="103"/>
  <c r="E961" i="103"/>
  <c r="O959" i="103"/>
  <c r="J959" i="103"/>
  <c r="E959" i="103"/>
  <c r="L958" i="103"/>
  <c r="G958" i="103"/>
  <c r="B958" i="103"/>
  <c r="N954" i="103"/>
  <c r="M954" i="103"/>
  <c r="L954" i="103"/>
  <c r="I954" i="103"/>
  <c r="H954" i="103"/>
  <c r="G954" i="103"/>
  <c r="D954" i="103"/>
  <c r="C954" i="103"/>
  <c r="B954" i="103"/>
  <c r="O952" i="103"/>
  <c r="J952" i="103"/>
  <c r="E952" i="103"/>
  <c r="O951" i="103"/>
  <c r="J951" i="103"/>
  <c r="E951" i="103"/>
  <c r="O950" i="103"/>
  <c r="J950" i="103"/>
  <c r="E950" i="103"/>
  <c r="O949" i="103"/>
  <c r="J949" i="103"/>
  <c r="E949" i="103"/>
  <c r="O948" i="103"/>
  <c r="J948" i="103"/>
  <c r="E948" i="103"/>
  <c r="O947" i="103"/>
  <c r="J947" i="103"/>
  <c r="E947" i="103"/>
  <c r="O946" i="103"/>
  <c r="J946" i="103"/>
  <c r="E946" i="103"/>
  <c r="O945" i="103"/>
  <c r="J945" i="103"/>
  <c r="E945" i="103"/>
  <c r="O944" i="103"/>
  <c r="J944" i="103"/>
  <c r="E944" i="103"/>
  <c r="O942" i="103"/>
  <c r="J942" i="103"/>
  <c r="E942" i="103"/>
  <c r="L941" i="103"/>
  <c r="G941" i="103"/>
  <c r="B941" i="103"/>
  <c r="N937" i="103"/>
  <c r="M937" i="103"/>
  <c r="L937" i="103"/>
  <c r="I937" i="103"/>
  <c r="H937" i="103"/>
  <c r="G937" i="103"/>
  <c r="D937" i="103"/>
  <c r="C937" i="103"/>
  <c r="B937" i="103"/>
  <c r="O935" i="103"/>
  <c r="J935" i="103"/>
  <c r="E935" i="103"/>
  <c r="O934" i="103"/>
  <c r="J934" i="103"/>
  <c r="E934" i="103"/>
  <c r="O933" i="103"/>
  <c r="J933" i="103"/>
  <c r="E933" i="103"/>
  <c r="O932" i="103"/>
  <c r="J932" i="103"/>
  <c r="E932" i="103"/>
  <c r="O931" i="103"/>
  <c r="J931" i="103"/>
  <c r="E931" i="103"/>
  <c r="O930" i="103"/>
  <c r="J930" i="103"/>
  <c r="E930" i="103"/>
  <c r="O929" i="103"/>
  <c r="J929" i="103"/>
  <c r="E929" i="103"/>
  <c r="O928" i="103"/>
  <c r="J928" i="103"/>
  <c r="E928" i="103"/>
  <c r="O927" i="103"/>
  <c r="J927" i="103"/>
  <c r="E927" i="103"/>
  <c r="O925" i="103"/>
  <c r="J925" i="103"/>
  <c r="E925" i="103"/>
  <c r="L924" i="103"/>
  <c r="G924" i="103"/>
  <c r="B924" i="103"/>
  <c r="N920" i="103"/>
  <c r="M920" i="103"/>
  <c r="L920" i="103"/>
  <c r="I920" i="103"/>
  <c r="H920" i="103"/>
  <c r="G920" i="103"/>
  <c r="D920" i="103"/>
  <c r="C920" i="103"/>
  <c r="B920" i="103"/>
  <c r="O918" i="103"/>
  <c r="J918" i="103"/>
  <c r="E918" i="103"/>
  <c r="O917" i="103"/>
  <c r="J917" i="103"/>
  <c r="E917" i="103"/>
  <c r="O916" i="103"/>
  <c r="J916" i="103"/>
  <c r="E916" i="103"/>
  <c r="O915" i="103"/>
  <c r="J915" i="103"/>
  <c r="E915" i="103"/>
  <c r="O914" i="103"/>
  <c r="J914" i="103"/>
  <c r="E914" i="103"/>
  <c r="O913" i="103"/>
  <c r="J913" i="103"/>
  <c r="E913" i="103"/>
  <c r="O912" i="103"/>
  <c r="J912" i="103"/>
  <c r="E912" i="103"/>
  <c r="O911" i="103"/>
  <c r="J911" i="103"/>
  <c r="E911" i="103"/>
  <c r="O910" i="103"/>
  <c r="J910" i="103"/>
  <c r="E910" i="103"/>
  <c r="O908" i="103"/>
  <c r="J908" i="103"/>
  <c r="E908" i="103"/>
  <c r="L907" i="103"/>
  <c r="G907" i="103"/>
  <c r="B907" i="103"/>
  <c r="N903" i="103"/>
  <c r="M903" i="103"/>
  <c r="L903" i="103"/>
  <c r="I903" i="103"/>
  <c r="H903" i="103"/>
  <c r="G903" i="103"/>
  <c r="D903" i="103"/>
  <c r="C903" i="103"/>
  <c r="B903" i="103"/>
  <c r="O901" i="103"/>
  <c r="J901" i="103"/>
  <c r="E901" i="103"/>
  <c r="O900" i="103"/>
  <c r="J900" i="103"/>
  <c r="E900" i="103"/>
  <c r="O899" i="103"/>
  <c r="J899" i="103"/>
  <c r="E899" i="103"/>
  <c r="O898" i="103"/>
  <c r="J898" i="103"/>
  <c r="E898" i="103"/>
  <c r="O897" i="103"/>
  <c r="J897" i="103"/>
  <c r="E897" i="103"/>
  <c r="O896" i="103"/>
  <c r="J896" i="103"/>
  <c r="E896" i="103"/>
  <c r="O895" i="103"/>
  <c r="J895" i="103"/>
  <c r="E895" i="103"/>
  <c r="O894" i="103"/>
  <c r="J894" i="103"/>
  <c r="E894" i="103"/>
  <c r="O893" i="103"/>
  <c r="J893" i="103"/>
  <c r="E893" i="103"/>
  <c r="O891" i="103"/>
  <c r="J891" i="103"/>
  <c r="E891" i="103"/>
  <c r="L890" i="103"/>
  <c r="G890" i="103"/>
  <c r="B890" i="103"/>
  <c r="N886" i="103"/>
  <c r="M886" i="103"/>
  <c r="L886" i="103"/>
  <c r="I886" i="103"/>
  <c r="H886" i="103"/>
  <c r="G886" i="103"/>
  <c r="D886" i="103"/>
  <c r="C886" i="103"/>
  <c r="B886" i="103"/>
  <c r="O884" i="103"/>
  <c r="J884" i="103"/>
  <c r="E884" i="103"/>
  <c r="O883" i="103"/>
  <c r="J883" i="103"/>
  <c r="E883" i="103"/>
  <c r="O882" i="103"/>
  <c r="J882" i="103"/>
  <c r="E882" i="103"/>
  <c r="O881" i="103"/>
  <c r="J881" i="103"/>
  <c r="E881" i="103"/>
  <c r="O880" i="103"/>
  <c r="J880" i="103"/>
  <c r="E880" i="103"/>
  <c r="O879" i="103"/>
  <c r="J879" i="103"/>
  <c r="E879" i="103"/>
  <c r="O878" i="103"/>
  <c r="J878" i="103"/>
  <c r="E878" i="103"/>
  <c r="O877" i="103"/>
  <c r="J877" i="103"/>
  <c r="E877" i="103"/>
  <c r="O876" i="103"/>
  <c r="J876" i="103"/>
  <c r="E876" i="103"/>
  <c r="O874" i="103"/>
  <c r="J874" i="103"/>
  <c r="E874" i="103"/>
  <c r="L873" i="103"/>
  <c r="G873" i="103"/>
  <c r="B873" i="103"/>
  <c r="N869" i="103"/>
  <c r="M869" i="103"/>
  <c r="L869" i="103"/>
  <c r="I869" i="103"/>
  <c r="H869" i="103"/>
  <c r="G869" i="103"/>
  <c r="D869" i="103"/>
  <c r="C869" i="103"/>
  <c r="B869" i="103"/>
  <c r="O867" i="103"/>
  <c r="J867" i="103"/>
  <c r="E867" i="103"/>
  <c r="O866" i="103"/>
  <c r="J866" i="103"/>
  <c r="E866" i="103"/>
  <c r="O865" i="103"/>
  <c r="J865" i="103"/>
  <c r="E865" i="103"/>
  <c r="O864" i="103"/>
  <c r="J864" i="103"/>
  <c r="E864" i="103"/>
  <c r="O863" i="103"/>
  <c r="J863" i="103"/>
  <c r="E863" i="103"/>
  <c r="O862" i="103"/>
  <c r="J862" i="103"/>
  <c r="E862" i="103"/>
  <c r="O861" i="103"/>
  <c r="J861" i="103"/>
  <c r="E861" i="103"/>
  <c r="O860" i="103"/>
  <c r="J860" i="103"/>
  <c r="E860" i="103"/>
  <c r="O859" i="103"/>
  <c r="J859" i="103"/>
  <c r="E859" i="103"/>
  <c r="O857" i="103"/>
  <c r="J857" i="103"/>
  <c r="E857" i="103"/>
  <c r="L856" i="103"/>
  <c r="G856" i="103"/>
  <c r="B856" i="103"/>
  <c r="N852" i="103"/>
  <c r="M852" i="103"/>
  <c r="L852" i="103"/>
  <c r="I852" i="103"/>
  <c r="H852" i="103"/>
  <c r="G852" i="103"/>
  <c r="D852" i="103"/>
  <c r="C852" i="103"/>
  <c r="B852" i="103"/>
  <c r="O850" i="103"/>
  <c r="J850" i="103"/>
  <c r="E850" i="103"/>
  <c r="O849" i="103"/>
  <c r="J849" i="103"/>
  <c r="E849" i="103"/>
  <c r="O848" i="103"/>
  <c r="J848" i="103"/>
  <c r="E848" i="103"/>
  <c r="O847" i="103"/>
  <c r="J847" i="103"/>
  <c r="E847" i="103"/>
  <c r="O846" i="103"/>
  <c r="J846" i="103"/>
  <c r="E846" i="103"/>
  <c r="O845" i="103"/>
  <c r="J845" i="103"/>
  <c r="E845" i="103"/>
  <c r="O844" i="103"/>
  <c r="J844" i="103"/>
  <c r="E844" i="103"/>
  <c r="O843" i="103"/>
  <c r="J843" i="103"/>
  <c r="E843" i="103"/>
  <c r="O842" i="103"/>
  <c r="J842" i="103"/>
  <c r="E842" i="103"/>
  <c r="O840" i="103"/>
  <c r="J840" i="103"/>
  <c r="E840" i="103"/>
  <c r="L839" i="103"/>
  <c r="G839" i="103"/>
  <c r="B839" i="103"/>
  <c r="N835" i="103"/>
  <c r="M835" i="103"/>
  <c r="L835" i="103"/>
  <c r="I835" i="103"/>
  <c r="H835" i="103"/>
  <c r="G835" i="103"/>
  <c r="D835" i="103"/>
  <c r="C835" i="103"/>
  <c r="B835" i="103"/>
  <c r="O833" i="103"/>
  <c r="J833" i="103"/>
  <c r="E833" i="103"/>
  <c r="O832" i="103"/>
  <c r="J832" i="103"/>
  <c r="E832" i="103"/>
  <c r="O831" i="103"/>
  <c r="J831" i="103"/>
  <c r="E831" i="103"/>
  <c r="O830" i="103"/>
  <c r="J830" i="103"/>
  <c r="E830" i="103"/>
  <c r="O829" i="103"/>
  <c r="J829" i="103"/>
  <c r="E829" i="103"/>
  <c r="O828" i="103"/>
  <c r="J828" i="103"/>
  <c r="E828" i="103"/>
  <c r="O827" i="103"/>
  <c r="J827" i="103"/>
  <c r="E827" i="103"/>
  <c r="O826" i="103"/>
  <c r="J826" i="103"/>
  <c r="E826" i="103"/>
  <c r="O825" i="103"/>
  <c r="J825" i="103"/>
  <c r="E825" i="103"/>
  <c r="O823" i="103"/>
  <c r="J823" i="103"/>
  <c r="E823" i="103"/>
  <c r="L822" i="103"/>
  <c r="G822" i="103"/>
  <c r="B822" i="103"/>
  <c r="N818" i="103"/>
  <c r="M818" i="103"/>
  <c r="L818" i="103"/>
  <c r="I818" i="103"/>
  <c r="H818" i="103"/>
  <c r="G818" i="103"/>
  <c r="D818" i="103"/>
  <c r="C818" i="103"/>
  <c r="B818" i="103"/>
  <c r="O816" i="103"/>
  <c r="J816" i="103"/>
  <c r="E816" i="103"/>
  <c r="O815" i="103"/>
  <c r="J815" i="103"/>
  <c r="E815" i="103"/>
  <c r="O814" i="103"/>
  <c r="J814" i="103"/>
  <c r="E814" i="103"/>
  <c r="O813" i="103"/>
  <c r="J813" i="103"/>
  <c r="E813" i="103"/>
  <c r="O812" i="103"/>
  <c r="J812" i="103"/>
  <c r="E812" i="103"/>
  <c r="O811" i="103"/>
  <c r="J811" i="103"/>
  <c r="E811" i="103"/>
  <c r="O810" i="103"/>
  <c r="J810" i="103"/>
  <c r="E810" i="103"/>
  <c r="O809" i="103"/>
  <c r="J809" i="103"/>
  <c r="E809" i="103"/>
  <c r="O808" i="103"/>
  <c r="J808" i="103"/>
  <c r="E808" i="103"/>
  <c r="O806" i="103"/>
  <c r="J806" i="103"/>
  <c r="E806" i="103"/>
  <c r="L805" i="103"/>
  <c r="G805" i="103"/>
  <c r="B805" i="103"/>
  <c r="N801" i="103"/>
  <c r="M801" i="103"/>
  <c r="L801" i="103"/>
  <c r="I801" i="103"/>
  <c r="H801" i="103"/>
  <c r="G801" i="103"/>
  <c r="D801" i="103"/>
  <c r="C801" i="103"/>
  <c r="B801" i="103"/>
  <c r="O799" i="103"/>
  <c r="J799" i="103"/>
  <c r="E799" i="103"/>
  <c r="O798" i="103"/>
  <c r="J798" i="103"/>
  <c r="E798" i="103"/>
  <c r="O797" i="103"/>
  <c r="J797" i="103"/>
  <c r="E797" i="103"/>
  <c r="O796" i="103"/>
  <c r="J796" i="103"/>
  <c r="E796" i="103"/>
  <c r="O795" i="103"/>
  <c r="J795" i="103"/>
  <c r="E795" i="103"/>
  <c r="O794" i="103"/>
  <c r="J794" i="103"/>
  <c r="E794" i="103"/>
  <c r="O793" i="103"/>
  <c r="J793" i="103"/>
  <c r="E793" i="103"/>
  <c r="O792" i="103"/>
  <c r="J792" i="103"/>
  <c r="E792" i="103"/>
  <c r="O791" i="103"/>
  <c r="J791" i="103"/>
  <c r="E791" i="103"/>
  <c r="O789" i="103"/>
  <c r="J789" i="103"/>
  <c r="E789" i="103"/>
  <c r="L788" i="103"/>
  <c r="G788" i="103"/>
  <c r="B788" i="103"/>
  <c r="N784" i="103"/>
  <c r="M784" i="103"/>
  <c r="L784" i="103"/>
  <c r="I784" i="103"/>
  <c r="H784" i="103"/>
  <c r="G784" i="103"/>
  <c r="D784" i="103"/>
  <c r="C784" i="103"/>
  <c r="B784" i="103"/>
  <c r="O782" i="103"/>
  <c r="J782" i="103"/>
  <c r="E782" i="103"/>
  <c r="O781" i="103"/>
  <c r="J781" i="103"/>
  <c r="E781" i="103"/>
  <c r="O780" i="103"/>
  <c r="J780" i="103"/>
  <c r="E780" i="103"/>
  <c r="O779" i="103"/>
  <c r="J779" i="103"/>
  <c r="E779" i="103"/>
  <c r="O778" i="103"/>
  <c r="J778" i="103"/>
  <c r="E778" i="103"/>
  <c r="O777" i="103"/>
  <c r="J777" i="103"/>
  <c r="E777" i="103"/>
  <c r="O776" i="103"/>
  <c r="J776" i="103"/>
  <c r="E776" i="103"/>
  <c r="O775" i="103"/>
  <c r="J775" i="103"/>
  <c r="E775" i="103"/>
  <c r="O774" i="103"/>
  <c r="J774" i="103"/>
  <c r="E774" i="103"/>
  <c r="O772" i="103"/>
  <c r="J772" i="103"/>
  <c r="E772" i="103"/>
  <c r="L771" i="103"/>
  <c r="G771" i="103"/>
  <c r="B771" i="103"/>
  <c r="N767" i="103"/>
  <c r="M767" i="103"/>
  <c r="L767" i="103"/>
  <c r="I767" i="103"/>
  <c r="H767" i="103"/>
  <c r="G767" i="103"/>
  <c r="D767" i="103"/>
  <c r="C767" i="103"/>
  <c r="B767" i="103"/>
  <c r="O765" i="103"/>
  <c r="J765" i="103"/>
  <c r="E765" i="103"/>
  <c r="O764" i="103"/>
  <c r="J764" i="103"/>
  <c r="E764" i="103"/>
  <c r="O763" i="103"/>
  <c r="J763" i="103"/>
  <c r="E763" i="103"/>
  <c r="O762" i="103"/>
  <c r="J762" i="103"/>
  <c r="E762" i="103"/>
  <c r="O761" i="103"/>
  <c r="J761" i="103"/>
  <c r="E761" i="103"/>
  <c r="O760" i="103"/>
  <c r="J760" i="103"/>
  <c r="E760" i="103"/>
  <c r="O759" i="103"/>
  <c r="J759" i="103"/>
  <c r="E759" i="103"/>
  <c r="O758" i="103"/>
  <c r="J758" i="103"/>
  <c r="E758" i="103"/>
  <c r="O757" i="103"/>
  <c r="J757" i="103"/>
  <c r="E757" i="103"/>
  <c r="O755" i="103"/>
  <c r="J755" i="103"/>
  <c r="E755" i="103"/>
  <c r="L754" i="103"/>
  <c r="G754" i="103"/>
  <c r="B754" i="103"/>
  <c r="N750" i="103"/>
  <c r="M750" i="103"/>
  <c r="L750" i="103"/>
  <c r="I750" i="103"/>
  <c r="H750" i="103"/>
  <c r="G750" i="103"/>
  <c r="D750" i="103"/>
  <c r="C750" i="103"/>
  <c r="B750" i="103"/>
  <c r="O748" i="103"/>
  <c r="J748" i="103"/>
  <c r="E748" i="103"/>
  <c r="O747" i="103"/>
  <c r="J747" i="103"/>
  <c r="E747" i="103"/>
  <c r="O746" i="103"/>
  <c r="J746" i="103"/>
  <c r="E746" i="103"/>
  <c r="O745" i="103"/>
  <c r="J745" i="103"/>
  <c r="E745" i="103"/>
  <c r="O744" i="103"/>
  <c r="J744" i="103"/>
  <c r="E744" i="103"/>
  <c r="O743" i="103"/>
  <c r="J743" i="103"/>
  <c r="E743" i="103"/>
  <c r="O742" i="103"/>
  <c r="J742" i="103"/>
  <c r="E742" i="103"/>
  <c r="O741" i="103"/>
  <c r="J741" i="103"/>
  <c r="E741" i="103"/>
  <c r="O740" i="103"/>
  <c r="J740" i="103"/>
  <c r="E740" i="103"/>
  <c r="O738" i="103"/>
  <c r="J738" i="103"/>
  <c r="E738" i="103"/>
  <c r="L737" i="103"/>
  <c r="G737" i="103"/>
  <c r="B737" i="103"/>
  <c r="N733" i="103"/>
  <c r="M733" i="103"/>
  <c r="L733" i="103"/>
  <c r="I733" i="103"/>
  <c r="H733" i="103"/>
  <c r="G733" i="103"/>
  <c r="D733" i="103"/>
  <c r="C733" i="103"/>
  <c r="B733" i="103"/>
  <c r="O731" i="103"/>
  <c r="J731" i="103"/>
  <c r="E731" i="103"/>
  <c r="O730" i="103"/>
  <c r="J730" i="103"/>
  <c r="E730" i="103"/>
  <c r="O729" i="103"/>
  <c r="J729" i="103"/>
  <c r="E729" i="103"/>
  <c r="O728" i="103"/>
  <c r="J728" i="103"/>
  <c r="E728" i="103"/>
  <c r="O727" i="103"/>
  <c r="J727" i="103"/>
  <c r="E727" i="103"/>
  <c r="O726" i="103"/>
  <c r="J726" i="103"/>
  <c r="E726" i="103"/>
  <c r="O725" i="103"/>
  <c r="J725" i="103"/>
  <c r="E725" i="103"/>
  <c r="O724" i="103"/>
  <c r="J724" i="103"/>
  <c r="E724" i="103"/>
  <c r="O723" i="103"/>
  <c r="J723" i="103"/>
  <c r="E723" i="103"/>
  <c r="O721" i="103"/>
  <c r="J721" i="103"/>
  <c r="E721" i="103"/>
  <c r="L720" i="103"/>
  <c r="G720" i="103"/>
  <c r="B720" i="103"/>
  <c r="N716" i="103"/>
  <c r="M716" i="103"/>
  <c r="L716" i="103"/>
  <c r="I716" i="103"/>
  <c r="H716" i="103"/>
  <c r="G716" i="103"/>
  <c r="D716" i="103"/>
  <c r="C716" i="103"/>
  <c r="B716" i="103"/>
  <c r="O714" i="103"/>
  <c r="J714" i="103"/>
  <c r="E714" i="103"/>
  <c r="O713" i="103"/>
  <c r="J713" i="103"/>
  <c r="E713" i="103"/>
  <c r="O712" i="103"/>
  <c r="J712" i="103"/>
  <c r="E712" i="103"/>
  <c r="O711" i="103"/>
  <c r="J711" i="103"/>
  <c r="E711" i="103"/>
  <c r="O710" i="103"/>
  <c r="J710" i="103"/>
  <c r="E710" i="103"/>
  <c r="O709" i="103"/>
  <c r="J709" i="103"/>
  <c r="E709" i="103"/>
  <c r="O708" i="103"/>
  <c r="J708" i="103"/>
  <c r="E708" i="103"/>
  <c r="O707" i="103"/>
  <c r="J707" i="103"/>
  <c r="E707" i="103"/>
  <c r="O706" i="103"/>
  <c r="J706" i="103"/>
  <c r="E706" i="103"/>
  <c r="O704" i="103"/>
  <c r="J704" i="103"/>
  <c r="E704" i="103"/>
  <c r="L703" i="103"/>
  <c r="G703" i="103"/>
  <c r="B703" i="103"/>
  <c r="N699" i="103"/>
  <c r="M699" i="103"/>
  <c r="L699" i="103"/>
  <c r="I699" i="103"/>
  <c r="H699" i="103"/>
  <c r="G699" i="103"/>
  <c r="D699" i="103"/>
  <c r="C699" i="103"/>
  <c r="B699" i="103"/>
  <c r="O697" i="103"/>
  <c r="J697" i="103"/>
  <c r="E697" i="103"/>
  <c r="O696" i="103"/>
  <c r="J696" i="103"/>
  <c r="E696" i="103"/>
  <c r="O695" i="103"/>
  <c r="J695" i="103"/>
  <c r="E695" i="103"/>
  <c r="O694" i="103"/>
  <c r="J694" i="103"/>
  <c r="E694" i="103"/>
  <c r="O693" i="103"/>
  <c r="J693" i="103"/>
  <c r="E693" i="103"/>
  <c r="O692" i="103"/>
  <c r="J692" i="103"/>
  <c r="E692" i="103"/>
  <c r="O691" i="103"/>
  <c r="J691" i="103"/>
  <c r="E691" i="103"/>
  <c r="O690" i="103"/>
  <c r="J690" i="103"/>
  <c r="E690" i="103"/>
  <c r="O689" i="103"/>
  <c r="J689" i="103"/>
  <c r="E689" i="103"/>
  <c r="O687" i="103"/>
  <c r="J687" i="103"/>
  <c r="E687" i="103"/>
  <c r="L686" i="103"/>
  <c r="G686" i="103"/>
  <c r="B686" i="103"/>
  <c r="N682" i="103"/>
  <c r="M682" i="103"/>
  <c r="L682" i="103"/>
  <c r="I682" i="103"/>
  <c r="H682" i="103"/>
  <c r="G682" i="103"/>
  <c r="D682" i="103"/>
  <c r="C682" i="103"/>
  <c r="B682" i="103"/>
  <c r="O680" i="103"/>
  <c r="J680" i="103"/>
  <c r="E680" i="103"/>
  <c r="O679" i="103"/>
  <c r="J679" i="103"/>
  <c r="E679" i="103"/>
  <c r="O678" i="103"/>
  <c r="J678" i="103"/>
  <c r="E678" i="103"/>
  <c r="O677" i="103"/>
  <c r="J677" i="103"/>
  <c r="E677" i="103"/>
  <c r="O676" i="103"/>
  <c r="J676" i="103"/>
  <c r="E676" i="103"/>
  <c r="O675" i="103"/>
  <c r="J675" i="103"/>
  <c r="E675" i="103"/>
  <c r="O674" i="103"/>
  <c r="J674" i="103"/>
  <c r="E674" i="103"/>
  <c r="O673" i="103"/>
  <c r="J673" i="103"/>
  <c r="E673" i="103"/>
  <c r="O672" i="103"/>
  <c r="J672" i="103"/>
  <c r="E672" i="103"/>
  <c r="O670" i="103"/>
  <c r="J670" i="103"/>
  <c r="E670" i="103"/>
  <c r="L669" i="103"/>
  <c r="G669" i="103"/>
  <c r="B669" i="103"/>
  <c r="N665" i="103"/>
  <c r="M665" i="103"/>
  <c r="L665" i="103"/>
  <c r="I665" i="103"/>
  <c r="H665" i="103"/>
  <c r="G665" i="103"/>
  <c r="D665" i="103"/>
  <c r="C665" i="103"/>
  <c r="B665" i="103"/>
  <c r="O663" i="103"/>
  <c r="J663" i="103"/>
  <c r="E663" i="103"/>
  <c r="O662" i="103"/>
  <c r="J662" i="103"/>
  <c r="E662" i="103"/>
  <c r="O661" i="103"/>
  <c r="J661" i="103"/>
  <c r="E661" i="103"/>
  <c r="O660" i="103"/>
  <c r="J660" i="103"/>
  <c r="E660" i="103"/>
  <c r="O659" i="103"/>
  <c r="J659" i="103"/>
  <c r="E659" i="103"/>
  <c r="O658" i="103"/>
  <c r="J658" i="103"/>
  <c r="E658" i="103"/>
  <c r="O657" i="103"/>
  <c r="J657" i="103"/>
  <c r="E657" i="103"/>
  <c r="O656" i="103"/>
  <c r="J656" i="103"/>
  <c r="E656" i="103"/>
  <c r="O655" i="103"/>
  <c r="J655" i="103"/>
  <c r="E655" i="103"/>
  <c r="O653" i="103"/>
  <c r="J653" i="103"/>
  <c r="E653" i="103"/>
  <c r="L652" i="103"/>
  <c r="G652" i="103"/>
  <c r="B652" i="103"/>
  <c r="N648" i="103"/>
  <c r="M648" i="103"/>
  <c r="L648" i="103"/>
  <c r="I648" i="103"/>
  <c r="H648" i="103"/>
  <c r="G648" i="103"/>
  <c r="D648" i="103"/>
  <c r="C648" i="103"/>
  <c r="B648" i="103"/>
  <c r="O646" i="103"/>
  <c r="J646" i="103"/>
  <c r="E646" i="103"/>
  <c r="O645" i="103"/>
  <c r="J645" i="103"/>
  <c r="E645" i="103"/>
  <c r="O644" i="103"/>
  <c r="J644" i="103"/>
  <c r="E644" i="103"/>
  <c r="O643" i="103"/>
  <c r="J643" i="103"/>
  <c r="E643" i="103"/>
  <c r="O642" i="103"/>
  <c r="J642" i="103"/>
  <c r="E642" i="103"/>
  <c r="O641" i="103"/>
  <c r="J641" i="103"/>
  <c r="E641" i="103"/>
  <c r="O640" i="103"/>
  <c r="J640" i="103"/>
  <c r="E640" i="103"/>
  <c r="O639" i="103"/>
  <c r="J639" i="103"/>
  <c r="E639" i="103"/>
  <c r="O638" i="103"/>
  <c r="J638" i="103"/>
  <c r="E638" i="103"/>
  <c r="O636" i="103"/>
  <c r="J636" i="103"/>
  <c r="E636" i="103"/>
  <c r="L635" i="103"/>
  <c r="G635" i="103"/>
  <c r="B635" i="103"/>
  <c r="N631" i="103"/>
  <c r="M631" i="103"/>
  <c r="L631" i="103"/>
  <c r="I631" i="103"/>
  <c r="H631" i="103"/>
  <c r="G631" i="103"/>
  <c r="D631" i="103"/>
  <c r="C631" i="103"/>
  <c r="B631" i="103"/>
  <c r="O629" i="103"/>
  <c r="J629" i="103"/>
  <c r="E629" i="103"/>
  <c r="O628" i="103"/>
  <c r="J628" i="103"/>
  <c r="E628" i="103"/>
  <c r="O627" i="103"/>
  <c r="J627" i="103"/>
  <c r="E627" i="103"/>
  <c r="O626" i="103"/>
  <c r="J626" i="103"/>
  <c r="E626" i="103"/>
  <c r="O625" i="103"/>
  <c r="J625" i="103"/>
  <c r="E625" i="103"/>
  <c r="O624" i="103"/>
  <c r="J624" i="103"/>
  <c r="E624" i="103"/>
  <c r="O623" i="103"/>
  <c r="J623" i="103"/>
  <c r="E623" i="103"/>
  <c r="O622" i="103"/>
  <c r="J622" i="103"/>
  <c r="E622" i="103"/>
  <c r="O621" i="103"/>
  <c r="J621" i="103"/>
  <c r="E621" i="103"/>
  <c r="O619" i="103"/>
  <c r="J619" i="103"/>
  <c r="E619" i="103"/>
  <c r="L618" i="103"/>
  <c r="G618" i="103"/>
  <c r="B618" i="103"/>
  <c r="N614" i="103"/>
  <c r="M614" i="103"/>
  <c r="L614" i="103"/>
  <c r="I614" i="103"/>
  <c r="H614" i="103"/>
  <c r="G614" i="103"/>
  <c r="D614" i="103"/>
  <c r="C614" i="103"/>
  <c r="B614" i="103"/>
  <c r="O612" i="103"/>
  <c r="J612" i="103"/>
  <c r="E612" i="103"/>
  <c r="O611" i="103"/>
  <c r="J611" i="103"/>
  <c r="E611" i="103"/>
  <c r="O610" i="103"/>
  <c r="J610" i="103"/>
  <c r="E610" i="103"/>
  <c r="O609" i="103"/>
  <c r="J609" i="103"/>
  <c r="E609" i="103"/>
  <c r="O608" i="103"/>
  <c r="J608" i="103"/>
  <c r="E608" i="103"/>
  <c r="O607" i="103"/>
  <c r="J607" i="103"/>
  <c r="E607" i="103"/>
  <c r="O606" i="103"/>
  <c r="J606" i="103"/>
  <c r="E606" i="103"/>
  <c r="O605" i="103"/>
  <c r="J605" i="103"/>
  <c r="E605" i="103"/>
  <c r="O604" i="103"/>
  <c r="J604" i="103"/>
  <c r="E604" i="103"/>
  <c r="O602" i="103"/>
  <c r="J602" i="103"/>
  <c r="E602" i="103"/>
  <c r="L601" i="103"/>
  <c r="G601" i="103"/>
  <c r="B601" i="103"/>
  <c r="N597" i="103"/>
  <c r="M597" i="103"/>
  <c r="L597" i="103"/>
  <c r="I597" i="103"/>
  <c r="H597" i="103"/>
  <c r="G597" i="103"/>
  <c r="D597" i="103"/>
  <c r="C597" i="103"/>
  <c r="B597" i="103"/>
  <c r="O595" i="103"/>
  <c r="J595" i="103"/>
  <c r="E595" i="103"/>
  <c r="O594" i="103"/>
  <c r="J594" i="103"/>
  <c r="E594" i="103"/>
  <c r="O593" i="103"/>
  <c r="J593" i="103"/>
  <c r="E593" i="103"/>
  <c r="O592" i="103"/>
  <c r="J592" i="103"/>
  <c r="E592" i="103"/>
  <c r="O591" i="103"/>
  <c r="J591" i="103"/>
  <c r="E591" i="103"/>
  <c r="O590" i="103"/>
  <c r="J590" i="103"/>
  <c r="E590" i="103"/>
  <c r="O589" i="103"/>
  <c r="J589" i="103"/>
  <c r="E589" i="103"/>
  <c r="O588" i="103"/>
  <c r="J588" i="103"/>
  <c r="E588" i="103"/>
  <c r="O587" i="103"/>
  <c r="J587" i="103"/>
  <c r="E587" i="103"/>
  <c r="O585" i="103"/>
  <c r="J585" i="103"/>
  <c r="E585" i="103"/>
  <c r="L584" i="103"/>
  <c r="G584" i="103"/>
  <c r="B584" i="103"/>
  <c r="N580" i="103"/>
  <c r="M580" i="103"/>
  <c r="L580" i="103"/>
  <c r="I580" i="103"/>
  <c r="H580" i="103"/>
  <c r="G580" i="103"/>
  <c r="D580" i="103"/>
  <c r="C580" i="103"/>
  <c r="B580" i="103"/>
  <c r="O578" i="103"/>
  <c r="J578" i="103"/>
  <c r="E578" i="103"/>
  <c r="O577" i="103"/>
  <c r="J577" i="103"/>
  <c r="E577" i="103"/>
  <c r="O576" i="103"/>
  <c r="J576" i="103"/>
  <c r="E576" i="103"/>
  <c r="O575" i="103"/>
  <c r="J575" i="103"/>
  <c r="E575" i="103"/>
  <c r="O574" i="103"/>
  <c r="J574" i="103"/>
  <c r="E574" i="103"/>
  <c r="O573" i="103"/>
  <c r="J573" i="103"/>
  <c r="E573" i="103"/>
  <c r="O572" i="103"/>
  <c r="J572" i="103"/>
  <c r="E572" i="103"/>
  <c r="O571" i="103"/>
  <c r="J571" i="103"/>
  <c r="E571" i="103"/>
  <c r="O570" i="103"/>
  <c r="J570" i="103"/>
  <c r="E570" i="103"/>
  <c r="O568" i="103"/>
  <c r="J568" i="103"/>
  <c r="E568" i="103"/>
  <c r="L567" i="103"/>
  <c r="G567" i="103"/>
  <c r="B567" i="103"/>
  <c r="N563" i="103"/>
  <c r="M563" i="103"/>
  <c r="L563" i="103"/>
  <c r="I563" i="103"/>
  <c r="H563" i="103"/>
  <c r="G563" i="103"/>
  <c r="D563" i="103"/>
  <c r="C563" i="103"/>
  <c r="B563" i="103"/>
  <c r="O561" i="103"/>
  <c r="J561" i="103"/>
  <c r="E561" i="103"/>
  <c r="O560" i="103"/>
  <c r="J560" i="103"/>
  <c r="E560" i="103"/>
  <c r="O559" i="103"/>
  <c r="J559" i="103"/>
  <c r="E559" i="103"/>
  <c r="O558" i="103"/>
  <c r="J558" i="103"/>
  <c r="E558" i="103"/>
  <c r="O557" i="103"/>
  <c r="J557" i="103"/>
  <c r="E557" i="103"/>
  <c r="O556" i="103"/>
  <c r="J556" i="103"/>
  <c r="E556" i="103"/>
  <c r="O555" i="103"/>
  <c r="J555" i="103"/>
  <c r="E555" i="103"/>
  <c r="O554" i="103"/>
  <c r="J554" i="103"/>
  <c r="E554" i="103"/>
  <c r="O553" i="103"/>
  <c r="J553" i="103"/>
  <c r="E553" i="103"/>
  <c r="O551" i="103"/>
  <c r="J551" i="103"/>
  <c r="E551" i="103"/>
  <c r="L550" i="103"/>
  <c r="G550" i="103"/>
  <c r="B550" i="103"/>
  <c r="N546" i="103"/>
  <c r="M546" i="103"/>
  <c r="L546" i="103"/>
  <c r="I546" i="103"/>
  <c r="H546" i="103"/>
  <c r="G546" i="103"/>
  <c r="D546" i="103"/>
  <c r="C546" i="103"/>
  <c r="B546" i="103"/>
  <c r="O544" i="103"/>
  <c r="J544" i="103"/>
  <c r="E544" i="103"/>
  <c r="O543" i="103"/>
  <c r="J543" i="103"/>
  <c r="E543" i="103"/>
  <c r="O542" i="103"/>
  <c r="J542" i="103"/>
  <c r="E542" i="103"/>
  <c r="O541" i="103"/>
  <c r="J541" i="103"/>
  <c r="E541" i="103"/>
  <c r="O540" i="103"/>
  <c r="J540" i="103"/>
  <c r="E540" i="103"/>
  <c r="O539" i="103"/>
  <c r="J539" i="103"/>
  <c r="E539" i="103"/>
  <c r="O538" i="103"/>
  <c r="J538" i="103"/>
  <c r="E538" i="103"/>
  <c r="O537" i="103"/>
  <c r="J537" i="103"/>
  <c r="E537" i="103"/>
  <c r="O536" i="103"/>
  <c r="J536" i="103"/>
  <c r="E536" i="103"/>
  <c r="O534" i="103"/>
  <c r="J534" i="103"/>
  <c r="E534" i="103"/>
  <c r="L533" i="103"/>
  <c r="G533" i="103"/>
  <c r="B533" i="103"/>
  <c r="N529" i="103"/>
  <c r="M529" i="103"/>
  <c r="L529" i="103"/>
  <c r="I529" i="103"/>
  <c r="H529" i="103"/>
  <c r="G529" i="103"/>
  <c r="D529" i="103"/>
  <c r="C529" i="103"/>
  <c r="B529" i="103"/>
  <c r="O527" i="103"/>
  <c r="J527" i="103"/>
  <c r="E527" i="103"/>
  <c r="O526" i="103"/>
  <c r="J526" i="103"/>
  <c r="E526" i="103"/>
  <c r="O525" i="103"/>
  <c r="J525" i="103"/>
  <c r="E525" i="103"/>
  <c r="O524" i="103"/>
  <c r="J524" i="103"/>
  <c r="E524" i="103"/>
  <c r="O523" i="103"/>
  <c r="J523" i="103"/>
  <c r="E523" i="103"/>
  <c r="O522" i="103"/>
  <c r="J522" i="103"/>
  <c r="E522" i="103"/>
  <c r="O521" i="103"/>
  <c r="J521" i="103"/>
  <c r="E521" i="103"/>
  <c r="O520" i="103"/>
  <c r="J520" i="103"/>
  <c r="E520" i="103"/>
  <c r="O519" i="103"/>
  <c r="J519" i="103"/>
  <c r="E519" i="103"/>
  <c r="O517" i="103"/>
  <c r="J517" i="103"/>
  <c r="E517" i="103"/>
  <c r="L516" i="103"/>
  <c r="G516" i="103"/>
  <c r="B516" i="103"/>
  <c r="N512" i="103"/>
  <c r="M512" i="103"/>
  <c r="L512" i="103"/>
  <c r="I512" i="103"/>
  <c r="H512" i="103"/>
  <c r="G512" i="103"/>
  <c r="D512" i="103"/>
  <c r="C512" i="103"/>
  <c r="B512" i="103"/>
  <c r="O510" i="103"/>
  <c r="J510" i="103"/>
  <c r="E510" i="103"/>
  <c r="O509" i="103"/>
  <c r="J509" i="103"/>
  <c r="E509" i="103"/>
  <c r="O508" i="103"/>
  <c r="J508" i="103"/>
  <c r="E508" i="103"/>
  <c r="O507" i="103"/>
  <c r="J507" i="103"/>
  <c r="E507" i="103"/>
  <c r="O506" i="103"/>
  <c r="J506" i="103"/>
  <c r="E506" i="103"/>
  <c r="O505" i="103"/>
  <c r="J505" i="103"/>
  <c r="E505" i="103"/>
  <c r="O504" i="103"/>
  <c r="J504" i="103"/>
  <c r="E504" i="103"/>
  <c r="O503" i="103"/>
  <c r="J503" i="103"/>
  <c r="E503" i="103"/>
  <c r="O502" i="103"/>
  <c r="J502" i="103"/>
  <c r="E502" i="103"/>
  <c r="O500" i="103"/>
  <c r="J500" i="103"/>
  <c r="E500" i="103"/>
  <c r="L499" i="103"/>
  <c r="G499" i="103"/>
  <c r="B499" i="103"/>
  <c r="N495" i="103"/>
  <c r="M495" i="103"/>
  <c r="L495" i="103"/>
  <c r="I495" i="103"/>
  <c r="H495" i="103"/>
  <c r="G495" i="103"/>
  <c r="D495" i="103"/>
  <c r="C495" i="103"/>
  <c r="B495" i="103"/>
  <c r="O493" i="103"/>
  <c r="J493" i="103"/>
  <c r="E493" i="103"/>
  <c r="O492" i="103"/>
  <c r="J492" i="103"/>
  <c r="E492" i="103"/>
  <c r="O491" i="103"/>
  <c r="J491" i="103"/>
  <c r="E491" i="103"/>
  <c r="O490" i="103"/>
  <c r="J490" i="103"/>
  <c r="E490" i="103"/>
  <c r="O489" i="103"/>
  <c r="J489" i="103"/>
  <c r="E489" i="103"/>
  <c r="O488" i="103"/>
  <c r="J488" i="103"/>
  <c r="E488" i="103"/>
  <c r="O487" i="103"/>
  <c r="J487" i="103"/>
  <c r="E487" i="103"/>
  <c r="O486" i="103"/>
  <c r="J486" i="103"/>
  <c r="E486" i="103"/>
  <c r="O485" i="103"/>
  <c r="J485" i="103"/>
  <c r="E485" i="103"/>
  <c r="O483" i="103"/>
  <c r="J483" i="103"/>
  <c r="E483" i="103"/>
  <c r="L482" i="103"/>
  <c r="G482" i="103"/>
  <c r="B482" i="103"/>
  <c r="N478" i="103"/>
  <c r="M478" i="103"/>
  <c r="L478" i="103"/>
  <c r="I478" i="103"/>
  <c r="H478" i="103"/>
  <c r="G478" i="103"/>
  <c r="D478" i="103"/>
  <c r="C478" i="103"/>
  <c r="B478" i="103"/>
  <c r="O476" i="103"/>
  <c r="J476" i="103"/>
  <c r="E476" i="103"/>
  <c r="O475" i="103"/>
  <c r="J475" i="103"/>
  <c r="E475" i="103"/>
  <c r="O474" i="103"/>
  <c r="J474" i="103"/>
  <c r="E474" i="103"/>
  <c r="O473" i="103"/>
  <c r="J473" i="103"/>
  <c r="E473" i="103"/>
  <c r="O472" i="103"/>
  <c r="J472" i="103"/>
  <c r="E472" i="103"/>
  <c r="O471" i="103"/>
  <c r="J471" i="103"/>
  <c r="E471" i="103"/>
  <c r="O470" i="103"/>
  <c r="J470" i="103"/>
  <c r="E470" i="103"/>
  <c r="O469" i="103"/>
  <c r="J469" i="103"/>
  <c r="E469" i="103"/>
  <c r="O468" i="103"/>
  <c r="J468" i="103"/>
  <c r="E468" i="103"/>
  <c r="O466" i="103"/>
  <c r="J466" i="103"/>
  <c r="E466" i="103"/>
  <c r="L465" i="103"/>
  <c r="G465" i="103"/>
  <c r="B465" i="103"/>
  <c r="N461" i="103"/>
  <c r="M461" i="103"/>
  <c r="L461" i="103"/>
  <c r="I461" i="103"/>
  <c r="H461" i="103"/>
  <c r="G461" i="103"/>
  <c r="D461" i="103"/>
  <c r="C461" i="103"/>
  <c r="B461" i="103"/>
  <c r="O459" i="103"/>
  <c r="J459" i="103"/>
  <c r="E459" i="103"/>
  <c r="O458" i="103"/>
  <c r="J458" i="103"/>
  <c r="E458" i="103"/>
  <c r="O457" i="103"/>
  <c r="J457" i="103"/>
  <c r="E457" i="103"/>
  <c r="O456" i="103"/>
  <c r="J456" i="103"/>
  <c r="E456" i="103"/>
  <c r="O455" i="103"/>
  <c r="J455" i="103"/>
  <c r="E455" i="103"/>
  <c r="O454" i="103"/>
  <c r="J454" i="103"/>
  <c r="E454" i="103"/>
  <c r="O453" i="103"/>
  <c r="J453" i="103"/>
  <c r="E453" i="103"/>
  <c r="O452" i="103"/>
  <c r="J452" i="103"/>
  <c r="E452" i="103"/>
  <c r="O451" i="103"/>
  <c r="J451" i="103"/>
  <c r="E451" i="103"/>
  <c r="O449" i="103"/>
  <c r="J449" i="103"/>
  <c r="E449" i="103"/>
  <c r="L448" i="103"/>
  <c r="G448" i="103"/>
  <c r="B448" i="103"/>
  <c r="N444" i="103"/>
  <c r="M444" i="103"/>
  <c r="L444" i="103"/>
  <c r="I444" i="103"/>
  <c r="H444" i="103"/>
  <c r="G444" i="103"/>
  <c r="D444" i="103"/>
  <c r="C444" i="103"/>
  <c r="B444" i="103"/>
  <c r="O442" i="103"/>
  <c r="J442" i="103"/>
  <c r="E442" i="103"/>
  <c r="O441" i="103"/>
  <c r="J441" i="103"/>
  <c r="E441" i="103"/>
  <c r="O440" i="103"/>
  <c r="J440" i="103"/>
  <c r="E440" i="103"/>
  <c r="O439" i="103"/>
  <c r="J439" i="103"/>
  <c r="E439" i="103"/>
  <c r="O438" i="103"/>
  <c r="J438" i="103"/>
  <c r="E438" i="103"/>
  <c r="O437" i="103"/>
  <c r="J437" i="103"/>
  <c r="E437" i="103"/>
  <c r="O436" i="103"/>
  <c r="J436" i="103"/>
  <c r="E436" i="103"/>
  <c r="O435" i="103"/>
  <c r="J435" i="103"/>
  <c r="E435" i="103"/>
  <c r="O434" i="103"/>
  <c r="J434" i="103"/>
  <c r="E434" i="103"/>
  <c r="O432" i="103"/>
  <c r="J432" i="103"/>
  <c r="E432" i="103"/>
  <c r="L431" i="103"/>
  <c r="G431" i="103"/>
  <c r="B431" i="103"/>
  <c r="N427" i="103"/>
  <c r="M427" i="103"/>
  <c r="L427" i="103"/>
  <c r="I427" i="103"/>
  <c r="H427" i="103"/>
  <c r="G427" i="103"/>
  <c r="D427" i="103"/>
  <c r="C427" i="103"/>
  <c r="B427" i="103"/>
  <c r="O425" i="103"/>
  <c r="J425" i="103"/>
  <c r="E425" i="103"/>
  <c r="O424" i="103"/>
  <c r="J424" i="103"/>
  <c r="E424" i="103"/>
  <c r="O423" i="103"/>
  <c r="J423" i="103"/>
  <c r="E423" i="103"/>
  <c r="O422" i="103"/>
  <c r="J422" i="103"/>
  <c r="E422" i="103"/>
  <c r="O421" i="103"/>
  <c r="J421" i="103"/>
  <c r="E421" i="103"/>
  <c r="O420" i="103"/>
  <c r="J420" i="103"/>
  <c r="E420" i="103"/>
  <c r="O419" i="103"/>
  <c r="J419" i="103"/>
  <c r="E419" i="103"/>
  <c r="O418" i="103"/>
  <c r="J418" i="103"/>
  <c r="E418" i="103"/>
  <c r="O417" i="103"/>
  <c r="J417" i="103"/>
  <c r="E417" i="103"/>
  <c r="O415" i="103"/>
  <c r="J415" i="103"/>
  <c r="E415" i="103"/>
  <c r="L414" i="103"/>
  <c r="G414" i="103"/>
  <c r="B414" i="103"/>
  <c r="N410" i="103"/>
  <c r="M410" i="103"/>
  <c r="L410" i="103"/>
  <c r="I410" i="103"/>
  <c r="H410" i="103"/>
  <c r="G410" i="103"/>
  <c r="D410" i="103"/>
  <c r="C410" i="103"/>
  <c r="B410" i="103"/>
  <c r="O408" i="103"/>
  <c r="J408" i="103"/>
  <c r="E408" i="103"/>
  <c r="O407" i="103"/>
  <c r="J407" i="103"/>
  <c r="E407" i="103"/>
  <c r="O406" i="103"/>
  <c r="J406" i="103"/>
  <c r="E406" i="103"/>
  <c r="O405" i="103"/>
  <c r="J405" i="103"/>
  <c r="E405" i="103"/>
  <c r="O404" i="103"/>
  <c r="J404" i="103"/>
  <c r="E404" i="103"/>
  <c r="O403" i="103"/>
  <c r="J403" i="103"/>
  <c r="E403" i="103"/>
  <c r="O402" i="103"/>
  <c r="J402" i="103"/>
  <c r="E402" i="103"/>
  <c r="O401" i="103"/>
  <c r="J401" i="103"/>
  <c r="E401" i="103"/>
  <c r="O400" i="103"/>
  <c r="J400" i="103"/>
  <c r="E400" i="103"/>
  <c r="O398" i="103"/>
  <c r="J398" i="103"/>
  <c r="E398" i="103"/>
  <c r="L397" i="103"/>
  <c r="G397" i="103"/>
  <c r="B397" i="103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E276" i="102" l="1"/>
  <c r="Y156" i="102"/>
  <c r="E41" i="102"/>
  <c r="E321" i="102"/>
  <c r="E241" i="102"/>
  <c r="J466" i="102"/>
  <c r="T156" i="102"/>
  <c r="J321" i="102"/>
  <c r="E296" i="102"/>
  <c r="Y41" i="102"/>
  <c r="E156" i="102"/>
  <c r="T216" i="102"/>
  <c r="O541" i="102"/>
  <c r="J66" i="102"/>
  <c r="E426" i="102"/>
  <c r="T321" i="102"/>
  <c r="J426" i="102"/>
  <c r="J276" i="102"/>
  <c r="E511" i="102"/>
  <c r="T371" i="102"/>
  <c r="J511" i="102"/>
  <c r="T41" i="102"/>
  <c r="O276" i="102"/>
  <c r="J156" i="102"/>
  <c r="J41" i="102"/>
  <c r="J216" i="102"/>
  <c r="O511" i="102"/>
  <c r="T296" i="102"/>
  <c r="O156" i="102"/>
  <c r="J541" i="102"/>
  <c r="Y191" i="102"/>
  <c r="Y276" i="102"/>
  <c r="O566" i="102"/>
  <c r="J296" i="102"/>
  <c r="O296" i="102"/>
  <c r="E346" i="102"/>
  <c r="E371" i="102"/>
  <c r="O191" i="102"/>
  <c r="O41" i="102"/>
  <c r="O426" i="102"/>
  <c r="J241" i="102"/>
  <c r="O371" i="102"/>
  <c r="Y371" i="102"/>
  <c r="T241" i="102"/>
  <c r="Y296" i="102"/>
  <c r="O321" i="102"/>
  <c r="T346" i="102"/>
  <c r="T511" i="102"/>
  <c r="E566" i="102"/>
  <c r="E466" i="102"/>
  <c r="Y66" i="102"/>
  <c r="E191" i="102"/>
  <c r="Y241" i="102"/>
  <c r="T426" i="102"/>
  <c r="Y346" i="102"/>
  <c r="E66" i="102"/>
  <c r="O346" i="102"/>
  <c r="Y426" i="102"/>
  <c r="T466" i="102"/>
  <c r="T541" i="102"/>
  <c r="J346" i="102"/>
  <c r="O66" i="102"/>
  <c r="Y216" i="102"/>
  <c r="Y566" i="102"/>
  <c r="T276" i="102"/>
  <c r="J371" i="102"/>
  <c r="T66" i="102"/>
  <c r="T191" i="102"/>
  <c r="Y321" i="102"/>
  <c r="O241" i="102"/>
  <c r="Y511" i="102"/>
  <c r="Y466" i="102"/>
  <c r="O216" i="102"/>
  <c r="O466" i="102"/>
  <c r="Y541" i="102"/>
  <c r="T566" i="102"/>
  <c r="J191" i="102"/>
  <c r="E216" i="102"/>
  <c r="E541" i="102"/>
  <c r="E546" i="103"/>
  <c r="O580" i="103"/>
  <c r="J631" i="103"/>
  <c r="E682" i="103"/>
  <c r="O682" i="103"/>
  <c r="O716" i="103"/>
  <c r="J767" i="103"/>
  <c r="E818" i="103"/>
  <c r="O818" i="103"/>
  <c r="O852" i="103"/>
  <c r="J903" i="103"/>
  <c r="E954" i="103"/>
  <c r="O988" i="103"/>
  <c r="E1090" i="103"/>
  <c r="J1175" i="103"/>
  <c r="E1226" i="103"/>
  <c r="O1260" i="103"/>
  <c r="E53" i="103"/>
  <c r="O70" i="103"/>
  <c r="J410" i="103"/>
  <c r="O359" i="103"/>
  <c r="E529" i="103"/>
  <c r="O87" i="103"/>
  <c r="E461" i="103"/>
  <c r="J138" i="103"/>
  <c r="E189" i="103"/>
  <c r="E325" i="103"/>
  <c r="E240" i="103"/>
  <c r="E376" i="103"/>
  <c r="J546" i="103"/>
  <c r="J818" i="103"/>
  <c r="J1090" i="103"/>
  <c r="O1243" i="103"/>
  <c r="E1277" i="103"/>
  <c r="O53" i="103"/>
  <c r="J376" i="103"/>
  <c r="O461" i="103"/>
  <c r="O886" i="103"/>
  <c r="E1192" i="103"/>
  <c r="O1226" i="103"/>
  <c r="J240" i="103"/>
  <c r="J291" i="103"/>
  <c r="J427" i="103"/>
  <c r="J648" i="103"/>
  <c r="O733" i="103"/>
  <c r="O869" i="103"/>
  <c r="E1107" i="103"/>
  <c r="O1277" i="103"/>
  <c r="J70" i="103"/>
  <c r="E121" i="103"/>
  <c r="J206" i="103"/>
  <c r="E257" i="103"/>
  <c r="O291" i="103"/>
  <c r="J342" i="103"/>
  <c r="E393" i="103"/>
  <c r="O427" i="103"/>
  <c r="J478" i="103"/>
  <c r="J563" i="103"/>
  <c r="E614" i="103"/>
  <c r="O648" i="103"/>
  <c r="J699" i="103"/>
  <c r="E750" i="103"/>
  <c r="O784" i="103"/>
  <c r="J835" i="103"/>
  <c r="O920" i="103"/>
  <c r="J971" i="103"/>
  <c r="E1022" i="103"/>
  <c r="O1056" i="103"/>
  <c r="J1107" i="103"/>
  <c r="E1124" i="103"/>
  <c r="O1124" i="103"/>
  <c r="E1158" i="103"/>
  <c r="O1192" i="103"/>
  <c r="J1243" i="103"/>
  <c r="E1294" i="103"/>
  <c r="J53" i="103"/>
  <c r="E70" i="103"/>
  <c r="J325" i="103"/>
  <c r="E869" i="103"/>
  <c r="O1022" i="103"/>
  <c r="E1243" i="103"/>
  <c r="E155" i="103"/>
  <c r="E291" i="103"/>
  <c r="J512" i="103"/>
  <c r="E648" i="103"/>
  <c r="J733" i="103"/>
  <c r="E886" i="103"/>
  <c r="E1056" i="103"/>
  <c r="E206" i="103"/>
  <c r="O240" i="103"/>
  <c r="O376" i="103"/>
  <c r="E478" i="103"/>
  <c r="O495" i="103"/>
  <c r="J614" i="103"/>
  <c r="J920" i="103"/>
  <c r="E971" i="103"/>
  <c r="O1141" i="103"/>
  <c r="J121" i="103"/>
  <c r="E172" i="103"/>
  <c r="O206" i="103"/>
  <c r="J257" i="103"/>
  <c r="E308" i="103"/>
  <c r="O342" i="103"/>
  <c r="J393" i="103"/>
  <c r="E444" i="103"/>
  <c r="O478" i="103"/>
  <c r="J529" i="103"/>
  <c r="O563" i="103"/>
  <c r="E665" i="103"/>
  <c r="O699" i="103"/>
  <c r="J750" i="103"/>
  <c r="E801" i="103"/>
  <c r="O835" i="103"/>
  <c r="J869" i="103"/>
  <c r="J886" i="103"/>
  <c r="E937" i="103"/>
  <c r="O971" i="103"/>
  <c r="J1022" i="103"/>
  <c r="E1073" i="103"/>
  <c r="O1107" i="103"/>
  <c r="E1209" i="103"/>
  <c r="J1294" i="103"/>
  <c r="O138" i="103"/>
  <c r="O274" i="103"/>
  <c r="J461" i="103"/>
  <c r="E512" i="103"/>
  <c r="E733" i="103"/>
  <c r="J1039" i="103"/>
  <c r="J1226" i="103"/>
  <c r="E427" i="103"/>
  <c r="O1090" i="103"/>
  <c r="J1277" i="103"/>
  <c r="E563" i="103"/>
  <c r="J1005" i="103"/>
  <c r="J1192" i="103"/>
  <c r="O121" i="103"/>
  <c r="J172" i="103"/>
  <c r="E223" i="103"/>
  <c r="O223" i="103"/>
  <c r="J274" i="103"/>
  <c r="J308" i="103"/>
  <c r="E359" i="103"/>
  <c r="J444" i="103"/>
  <c r="E495" i="103"/>
  <c r="O512" i="103"/>
  <c r="E580" i="103"/>
  <c r="O597" i="103"/>
  <c r="O614" i="103"/>
  <c r="J665" i="103"/>
  <c r="E716" i="103"/>
  <c r="O750" i="103"/>
  <c r="J801" i="103"/>
  <c r="E852" i="103"/>
  <c r="J937" i="103"/>
  <c r="E988" i="103"/>
  <c r="J1073" i="103"/>
  <c r="O1158" i="103"/>
  <c r="J1158" i="103"/>
  <c r="J1209" i="103"/>
  <c r="E1260" i="103"/>
  <c r="O1294" i="103"/>
  <c r="J189" i="103"/>
  <c r="O257" i="103"/>
  <c r="O393" i="103"/>
  <c r="O410" i="103"/>
  <c r="E597" i="103"/>
  <c r="O631" i="103"/>
  <c r="J682" i="103"/>
  <c r="O767" i="103"/>
  <c r="O903" i="103"/>
  <c r="J954" i="103"/>
  <c r="E1005" i="103"/>
  <c r="O1039" i="103"/>
  <c r="E1141" i="103"/>
  <c r="O1175" i="103"/>
  <c r="J104" i="103"/>
  <c r="O189" i="103"/>
  <c r="O325" i="103"/>
  <c r="O529" i="103"/>
  <c r="O546" i="103"/>
  <c r="J597" i="103"/>
  <c r="E784" i="103"/>
  <c r="E920" i="103"/>
  <c r="O954" i="103"/>
  <c r="J1141" i="103"/>
  <c r="J155" i="103"/>
  <c r="E342" i="103"/>
  <c r="E699" i="103"/>
  <c r="J784" i="103"/>
  <c r="E835" i="103"/>
  <c r="O1005" i="103"/>
  <c r="J1056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E410" i="103"/>
  <c r="O444" i="103"/>
  <c r="J495" i="103"/>
  <c r="J580" i="103"/>
  <c r="E631" i="103"/>
  <c r="O665" i="103"/>
  <c r="J716" i="103"/>
  <c r="E767" i="103"/>
  <c r="O801" i="103"/>
  <c r="J852" i="103"/>
  <c r="E903" i="103"/>
  <c r="O937" i="103"/>
  <c r="J988" i="103"/>
  <c r="E1039" i="103"/>
  <c r="O1073" i="103"/>
  <c r="J1124" i="103"/>
  <c r="E1175" i="103"/>
  <c r="O1209" i="103"/>
  <c r="J1260" i="103"/>
  <c r="D134" i="101"/>
  <c r="H47" i="101" l="1"/>
  <c r="L706" i="101"/>
  <c r="B716" i="101"/>
  <c r="K699" i="101"/>
  <c r="J699" i="101"/>
  <c r="G699" i="101"/>
  <c r="F699" i="101"/>
  <c r="C699" i="101"/>
  <c r="B699" i="101"/>
  <c r="L697" i="101"/>
  <c r="H697" i="101"/>
  <c r="D697" i="101"/>
  <c r="L696" i="101"/>
  <c r="H696" i="101"/>
  <c r="D696" i="101"/>
  <c r="L695" i="101"/>
  <c r="H695" i="101"/>
  <c r="D695" i="101"/>
  <c r="L694" i="101"/>
  <c r="H694" i="101"/>
  <c r="D694" i="101"/>
  <c r="L693" i="101"/>
  <c r="H693" i="101"/>
  <c r="D693" i="101"/>
  <c r="L692" i="101"/>
  <c r="H692" i="101"/>
  <c r="D692" i="101"/>
  <c r="L691" i="101"/>
  <c r="H691" i="101"/>
  <c r="D691" i="101"/>
  <c r="L690" i="101"/>
  <c r="H690" i="101"/>
  <c r="D690" i="101"/>
  <c r="L689" i="101"/>
  <c r="H689" i="101"/>
  <c r="D689" i="101"/>
  <c r="K682" i="101"/>
  <c r="J682" i="101"/>
  <c r="G682" i="101"/>
  <c r="F682" i="101"/>
  <c r="C682" i="101"/>
  <c r="B682" i="101"/>
  <c r="L680" i="101"/>
  <c r="H680" i="101"/>
  <c r="D680" i="101"/>
  <c r="L679" i="101"/>
  <c r="H679" i="101"/>
  <c r="D679" i="101"/>
  <c r="L678" i="101"/>
  <c r="H678" i="101"/>
  <c r="D678" i="101"/>
  <c r="L677" i="101"/>
  <c r="H677" i="101"/>
  <c r="D677" i="101"/>
  <c r="L676" i="101"/>
  <c r="H676" i="101"/>
  <c r="D676" i="101"/>
  <c r="L675" i="101"/>
  <c r="H675" i="101"/>
  <c r="D675" i="101"/>
  <c r="L674" i="101"/>
  <c r="H674" i="101"/>
  <c r="D674" i="101"/>
  <c r="L673" i="101"/>
  <c r="H673" i="101"/>
  <c r="D673" i="101"/>
  <c r="L672" i="101"/>
  <c r="H672" i="101"/>
  <c r="D672" i="101"/>
  <c r="K665" i="101"/>
  <c r="J665" i="101"/>
  <c r="G665" i="101"/>
  <c r="F665" i="101"/>
  <c r="C665" i="101"/>
  <c r="B665" i="101"/>
  <c r="L663" i="101"/>
  <c r="H663" i="101"/>
  <c r="D663" i="101"/>
  <c r="L662" i="101"/>
  <c r="H662" i="101"/>
  <c r="D662" i="101"/>
  <c r="L661" i="101"/>
  <c r="H661" i="101"/>
  <c r="D661" i="101"/>
  <c r="L660" i="101"/>
  <c r="H660" i="101"/>
  <c r="D660" i="101"/>
  <c r="L659" i="101"/>
  <c r="H659" i="101"/>
  <c r="D659" i="101"/>
  <c r="L658" i="101"/>
  <c r="H658" i="101"/>
  <c r="D658" i="101"/>
  <c r="L657" i="101"/>
  <c r="H657" i="101"/>
  <c r="D657" i="101"/>
  <c r="L656" i="101"/>
  <c r="H656" i="101"/>
  <c r="D656" i="101"/>
  <c r="L655" i="101"/>
  <c r="H655" i="101"/>
  <c r="D655" i="101"/>
  <c r="K648" i="101"/>
  <c r="J648" i="101"/>
  <c r="G648" i="101"/>
  <c r="F648" i="101"/>
  <c r="C648" i="101"/>
  <c r="B648" i="101"/>
  <c r="L646" i="101"/>
  <c r="H646" i="101"/>
  <c r="D646" i="101"/>
  <c r="L645" i="101"/>
  <c r="H645" i="101"/>
  <c r="D645" i="101"/>
  <c r="L644" i="101"/>
  <c r="H644" i="101"/>
  <c r="D644" i="101"/>
  <c r="L643" i="101"/>
  <c r="H643" i="101"/>
  <c r="D643" i="101"/>
  <c r="L642" i="101"/>
  <c r="H642" i="101"/>
  <c r="D642" i="101"/>
  <c r="L641" i="101"/>
  <c r="H641" i="101"/>
  <c r="D641" i="101"/>
  <c r="L640" i="101"/>
  <c r="H640" i="101"/>
  <c r="D640" i="101"/>
  <c r="L639" i="101"/>
  <c r="H639" i="101"/>
  <c r="D639" i="101"/>
  <c r="L638" i="101"/>
  <c r="H638" i="101"/>
  <c r="D638" i="101"/>
  <c r="K631" i="101"/>
  <c r="J631" i="101"/>
  <c r="G631" i="101"/>
  <c r="F631" i="101"/>
  <c r="C631" i="101"/>
  <c r="B631" i="101"/>
  <c r="L629" i="101"/>
  <c r="H629" i="101"/>
  <c r="D629" i="101"/>
  <c r="L628" i="101"/>
  <c r="H628" i="101"/>
  <c r="D628" i="101"/>
  <c r="L627" i="101"/>
  <c r="H627" i="101"/>
  <c r="D627" i="101"/>
  <c r="L626" i="101"/>
  <c r="H626" i="101"/>
  <c r="D626" i="101"/>
  <c r="L625" i="101"/>
  <c r="H625" i="101"/>
  <c r="D625" i="101"/>
  <c r="L624" i="101"/>
  <c r="H624" i="101"/>
  <c r="D624" i="101"/>
  <c r="L623" i="101"/>
  <c r="H623" i="101"/>
  <c r="D623" i="101"/>
  <c r="L622" i="101"/>
  <c r="H622" i="101"/>
  <c r="D622" i="101"/>
  <c r="L621" i="101"/>
  <c r="H621" i="101"/>
  <c r="D621" i="101"/>
  <c r="K614" i="101"/>
  <c r="J614" i="101"/>
  <c r="G614" i="101"/>
  <c r="F614" i="101"/>
  <c r="C614" i="101"/>
  <c r="B614" i="101"/>
  <c r="L612" i="101"/>
  <c r="H612" i="101"/>
  <c r="D612" i="101"/>
  <c r="L611" i="101"/>
  <c r="H611" i="101"/>
  <c r="D611" i="101"/>
  <c r="L610" i="101"/>
  <c r="H610" i="101"/>
  <c r="D610" i="101"/>
  <c r="L609" i="101"/>
  <c r="H609" i="101"/>
  <c r="D609" i="101"/>
  <c r="L608" i="101"/>
  <c r="H608" i="101"/>
  <c r="D608" i="101"/>
  <c r="L607" i="101"/>
  <c r="H607" i="101"/>
  <c r="D607" i="101"/>
  <c r="L606" i="101"/>
  <c r="H606" i="101"/>
  <c r="D606" i="101"/>
  <c r="L605" i="101"/>
  <c r="H605" i="101"/>
  <c r="D605" i="101"/>
  <c r="L604" i="101"/>
  <c r="H604" i="101"/>
  <c r="D604" i="101"/>
  <c r="K597" i="101"/>
  <c r="J597" i="101"/>
  <c r="G597" i="101"/>
  <c r="F597" i="101"/>
  <c r="C597" i="101"/>
  <c r="B597" i="101"/>
  <c r="L595" i="101"/>
  <c r="H595" i="101"/>
  <c r="D595" i="101"/>
  <c r="L594" i="101"/>
  <c r="H594" i="101"/>
  <c r="D594" i="101"/>
  <c r="L593" i="101"/>
  <c r="H593" i="101"/>
  <c r="D593" i="101"/>
  <c r="L592" i="101"/>
  <c r="H592" i="101"/>
  <c r="D592" i="101"/>
  <c r="L591" i="101"/>
  <c r="H591" i="101"/>
  <c r="D591" i="101"/>
  <c r="L590" i="101"/>
  <c r="H590" i="101"/>
  <c r="D590" i="101"/>
  <c r="L589" i="101"/>
  <c r="H589" i="101"/>
  <c r="D589" i="101"/>
  <c r="L588" i="101"/>
  <c r="H588" i="101"/>
  <c r="D588" i="101"/>
  <c r="L587" i="101"/>
  <c r="H587" i="101"/>
  <c r="D587" i="101"/>
  <c r="K580" i="101"/>
  <c r="J580" i="101"/>
  <c r="G580" i="101"/>
  <c r="F580" i="101"/>
  <c r="C580" i="101"/>
  <c r="B580" i="101"/>
  <c r="L578" i="101"/>
  <c r="H578" i="101"/>
  <c r="D578" i="101"/>
  <c r="L577" i="101"/>
  <c r="H577" i="101"/>
  <c r="D577" i="101"/>
  <c r="L576" i="101"/>
  <c r="H576" i="101"/>
  <c r="D576" i="101"/>
  <c r="L575" i="101"/>
  <c r="H575" i="101"/>
  <c r="D575" i="101"/>
  <c r="L574" i="101"/>
  <c r="H574" i="101"/>
  <c r="D574" i="101"/>
  <c r="L573" i="101"/>
  <c r="H573" i="101"/>
  <c r="D573" i="101"/>
  <c r="L572" i="101"/>
  <c r="H572" i="101"/>
  <c r="D572" i="101"/>
  <c r="L571" i="101"/>
  <c r="H571" i="101"/>
  <c r="D571" i="101"/>
  <c r="L570" i="101"/>
  <c r="H570" i="101"/>
  <c r="D570" i="101"/>
  <c r="K563" i="101"/>
  <c r="J563" i="101"/>
  <c r="G563" i="101"/>
  <c r="F563" i="101"/>
  <c r="C563" i="101"/>
  <c r="B563" i="101"/>
  <c r="L561" i="101"/>
  <c r="H561" i="101"/>
  <c r="D561" i="101"/>
  <c r="L560" i="101"/>
  <c r="H560" i="101"/>
  <c r="D560" i="101"/>
  <c r="L559" i="101"/>
  <c r="H559" i="101"/>
  <c r="D559" i="101"/>
  <c r="L558" i="101"/>
  <c r="H558" i="101"/>
  <c r="D558" i="101"/>
  <c r="L557" i="101"/>
  <c r="H557" i="101"/>
  <c r="D557" i="101"/>
  <c r="L556" i="101"/>
  <c r="H556" i="101"/>
  <c r="D556" i="101"/>
  <c r="L555" i="101"/>
  <c r="H555" i="101"/>
  <c r="D555" i="101"/>
  <c r="L554" i="101"/>
  <c r="H554" i="101"/>
  <c r="D554" i="101"/>
  <c r="L553" i="101"/>
  <c r="H553" i="101"/>
  <c r="D553" i="101"/>
  <c r="K546" i="101"/>
  <c r="J546" i="101"/>
  <c r="G546" i="101"/>
  <c r="F546" i="101"/>
  <c r="C546" i="101"/>
  <c r="B546" i="101"/>
  <c r="L544" i="101"/>
  <c r="H544" i="101"/>
  <c r="D544" i="101"/>
  <c r="L543" i="101"/>
  <c r="H543" i="101"/>
  <c r="D543" i="101"/>
  <c r="L542" i="101"/>
  <c r="H542" i="101"/>
  <c r="D542" i="101"/>
  <c r="L541" i="101"/>
  <c r="H541" i="101"/>
  <c r="D541" i="101"/>
  <c r="L540" i="101"/>
  <c r="H540" i="101"/>
  <c r="D540" i="101"/>
  <c r="L539" i="101"/>
  <c r="H539" i="101"/>
  <c r="D539" i="101"/>
  <c r="L538" i="101"/>
  <c r="H538" i="101"/>
  <c r="D538" i="101"/>
  <c r="L537" i="101"/>
  <c r="H537" i="101"/>
  <c r="D537" i="101"/>
  <c r="L536" i="101"/>
  <c r="H536" i="101"/>
  <c r="D536" i="101"/>
  <c r="K529" i="101"/>
  <c r="J529" i="101"/>
  <c r="G529" i="101"/>
  <c r="F529" i="101"/>
  <c r="C529" i="101"/>
  <c r="B529" i="101"/>
  <c r="L527" i="101"/>
  <c r="H527" i="101"/>
  <c r="D527" i="101"/>
  <c r="L526" i="101"/>
  <c r="H526" i="101"/>
  <c r="D526" i="101"/>
  <c r="L525" i="101"/>
  <c r="H525" i="101"/>
  <c r="D525" i="101"/>
  <c r="L524" i="101"/>
  <c r="H524" i="101"/>
  <c r="D524" i="101"/>
  <c r="L523" i="101"/>
  <c r="H523" i="101"/>
  <c r="D523" i="101"/>
  <c r="L522" i="101"/>
  <c r="H522" i="101"/>
  <c r="D522" i="101"/>
  <c r="L521" i="101"/>
  <c r="H521" i="101"/>
  <c r="D521" i="101"/>
  <c r="L520" i="101"/>
  <c r="H520" i="101"/>
  <c r="D520" i="101"/>
  <c r="L519" i="101"/>
  <c r="H519" i="101"/>
  <c r="D519" i="101"/>
  <c r="K512" i="101"/>
  <c r="J512" i="101"/>
  <c r="G512" i="101"/>
  <c r="F512" i="101"/>
  <c r="C512" i="101"/>
  <c r="B512" i="101"/>
  <c r="L510" i="101"/>
  <c r="H510" i="101"/>
  <c r="D510" i="101"/>
  <c r="L509" i="101"/>
  <c r="H509" i="101"/>
  <c r="D509" i="101"/>
  <c r="L508" i="101"/>
  <c r="H508" i="101"/>
  <c r="D508" i="101"/>
  <c r="L507" i="101"/>
  <c r="H507" i="101"/>
  <c r="D507" i="101"/>
  <c r="L506" i="101"/>
  <c r="H506" i="101"/>
  <c r="D506" i="101"/>
  <c r="L505" i="101"/>
  <c r="H505" i="101"/>
  <c r="D505" i="101"/>
  <c r="L504" i="101"/>
  <c r="H504" i="101"/>
  <c r="D504" i="101"/>
  <c r="L503" i="101"/>
  <c r="H503" i="101"/>
  <c r="D503" i="101"/>
  <c r="L502" i="101"/>
  <c r="H502" i="101"/>
  <c r="D502" i="101"/>
  <c r="K495" i="101"/>
  <c r="J495" i="101"/>
  <c r="G495" i="101"/>
  <c r="F495" i="101"/>
  <c r="C495" i="101"/>
  <c r="B495" i="101"/>
  <c r="L493" i="101"/>
  <c r="H493" i="101"/>
  <c r="D493" i="101"/>
  <c r="L492" i="101"/>
  <c r="H492" i="101"/>
  <c r="D492" i="101"/>
  <c r="L491" i="101"/>
  <c r="H491" i="101"/>
  <c r="D491" i="101"/>
  <c r="L490" i="101"/>
  <c r="H490" i="101"/>
  <c r="D490" i="101"/>
  <c r="L489" i="101"/>
  <c r="H489" i="101"/>
  <c r="D489" i="101"/>
  <c r="L488" i="101"/>
  <c r="H488" i="101"/>
  <c r="D488" i="101"/>
  <c r="L487" i="101"/>
  <c r="H487" i="101"/>
  <c r="D487" i="101"/>
  <c r="L486" i="101"/>
  <c r="H486" i="101"/>
  <c r="D486" i="101"/>
  <c r="L485" i="101"/>
  <c r="H485" i="101"/>
  <c r="D485" i="101"/>
  <c r="K478" i="101"/>
  <c r="J478" i="101"/>
  <c r="G478" i="101"/>
  <c r="F478" i="101"/>
  <c r="C478" i="101"/>
  <c r="B478" i="101"/>
  <c r="L476" i="101"/>
  <c r="H476" i="101"/>
  <c r="D476" i="101"/>
  <c r="L475" i="101"/>
  <c r="H475" i="101"/>
  <c r="D475" i="101"/>
  <c r="L474" i="101"/>
  <c r="H474" i="101"/>
  <c r="D474" i="101"/>
  <c r="L473" i="101"/>
  <c r="H473" i="101"/>
  <c r="D473" i="101"/>
  <c r="L472" i="101"/>
  <c r="H472" i="101"/>
  <c r="D472" i="101"/>
  <c r="L471" i="101"/>
  <c r="H471" i="101"/>
  <c r="D471" i="101"/>
  <c r="L470" i="101"/>
  <c r="H470" i="101"/>
  <c r="D470" i="101"/>
  <c r="L469" i="101"/>
  <c r="H469" i="101"/>
  <c r="D469" i="101"/>
  <c r="L468" i="101"/>
  <c r="H468" i="101"/>
  <c r="D468" i="101"/>
  <c r="K461" i="101"/>
  <c r="J461" i="101"/>
  <c r="G461" i="101"/>
  <c r="F461" i="101"/>
  <c r="C461" i="101"/>
  <c r="B461" i="101"/>
  <c r="L459" i="101"/>
  <c r="H459" i="101"/>
  <c r="D459" i="101"/>
  <c r="L458" i="101"/>
  <c r="H458" i="101"/>
  <c r="D458" i="101"/>
  <c r="L457" i="101"/>
  <c r="H457" i="101"/>
  <c r="D457" i="101"/>
  <c r="L456" i="101"/>
  <c r="H456" i="101"/>
  <c r="D456" i="101"/>
  <c r="L455" i="101"/>
  <c r="H455" i="101"/>
  <c r="D455" i="101"/>
  <c r="L454" i="101"/>
  <c r="H454" i="101"/>
  <c r="D454" i="101"/>
  <c r="L453" i="101"/>
  <c r="H453" i="101"/>
  <c r="D453" i="101"/>
  <c r="L452" i="101"/>
  <c r="H452" i="101"/>
  <c r="D452" i="101"/>
  <c r="L451" i="101"/>
  <c r="H451" i="101"/>
  <c r="D451" i="101"/>
  <c r="K444" i="101"/>
  <c r="J444" i="101"/>
  <c r="G444" i="101"/>
  <c r="F444" i="101"/>
  <c r="C444" i="101"/>
  <c r="B444" i="101"/>
  <c r="L442" i="101"/>
  <c r="H442" i="101"/>
  <c r="D442" i="101"/>
  <c r="L441" i="101"/>
  <c r="H441" i="101"/>
  <c r="D441" i="101"/>
  <c r="L440" i="101"/>
  <c r="H440" i="101"/>
  <c r="D440" i="101"/>
  <c r="L439" i="101"/>
  <c r="H439" i="101"/>
  <c r="D439" i="101"/>
  <c r="L438" i="101"/>
  <c r="H438" i="101"/>
  <c r="D438" i="101"/>
  <c r="L437" i="101"/>
  <c r="H437" i="101"/>
  <c r="D437" i="101"/>
  <c r="L436" i="101"/>
  <c r="H436" i="101"/>
  <c r="D436" i="101"/>
  <c r="L435" i="101"/>
  <c r="H435" i="101"/>
  <c r="D435" i="101"/>
  <c r="L434" i="101"/>
  <c r="H434" i="101"/>
  <c r="D434" i="101"/>
  <c r="K427" i="101"/>
  <c r="J427" i="101"/>
  <c r="G427" i="101"/>
  <c r="F427" i="101"/>
  <c r="C427" i="101"/>
  <c r="B427" i="101"/>
  <c r="L425" i="101"/>
  <c r="H425" i="101"/>
  <c r="D425" i="101"/>
  <c r="L424" i="101"/>
  <c r="H424" i="101"/>
  <c r="D424" i="101"/>
  <c r="L423" i="101"/>
  <c r="H423" i="101"/>
  <c r="D423" i="101"/>
  <c r="L422" i="101"/>
  <c r="H422" i="101"/>
  <c r="D422" i="101"/>
  <c r="L421" i="101"/>
  <c r="H421" i="101"/>
  <c r="D421" i="101"/>
  <c r="L420" i="101"/>
  <c r="H420" i="101"/>
  <c r="D420" i="101"/>
  <c r="L419" i="101"/>
  <c r="H419" i="101"/>
  <c r="D419" i="101"/>
  <c r="L418" i="101"/>
  <c r="H418" i="101"/>
  <c r="D418" i="101"/>
  <c r="L417" i="101"/>
  <c r="H417" i="101"/>
  <c r="D417" i="101"/>
  <c r="K410" i="101"/>
  <c r="J410" i="101"/>
  <c r="G410" i="101"/>
  <c r="F410" i="101"/>
  <c r="C410" i="101"/>
  <c r="B410" i="101"/>
  <c r="L408" i="101"/>
  <c r="H408" i="101"/>
  <c r="D408" i="101"/>
  <c r="L407" i="101"/>
  <c r="H407" i="101"/>
  <c r="D407" i="101"/>
  <c r="L406" i="101"/>
  <c r="H406" i="101"/>
  <c r="D406" i="101"/>
  <c r="L405" i="101"/>
  <c r="H405" i="101"/>
  <c r="D405" i="101"/>
  <c r="L404" i="101"/>
  <c r="H404" i="101"/>
  <c r="D404" i="101"/>
  <c r="L403" i="101"/>
  <c r="H403" i="101"/>
  <c r="D403" i="101"/>
  <c r="L402" i="101"/>
  <c r="H402" i="101"/>
  <c r="D402" i="101"/>
  <c r="L401" i="101"/>
  <c r="H401" i="101"/>
  <c r="D401" i="101"/>
  <c r="L400" i="101"/>
  <c r="H400" i="101"/>
  <c r="D400" i="10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754" i="101"/>
  <c r="B737" i="101"/>
  <c r="B720" i="101"/>
  <c r="B703" i="101"/>
  <c r="B686" i="101"/>
  <c r="B669" i="101"/>
  <c r="B652" i="101"/>
  <c r="B635" i="101"/>
  <c r="B618" i="101"/>
  <c r="B601" i="101"/>
  <c r="B584" i="101"/>
  <c r="B567" i="101"/>
  <c r="B550" i="101"/>
  <c r="B533" i="101"/>
  <c r="B516" i="101"/>
  <c r="B499" i="101"/>
  <c r="B482" i="101"/>
  <c r="B465" i="101"/>
  <c r="B448" i="101"/>
  <c r="B431" i="101"/>
  <c r="B414" i="101"/>
  <c r="B397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M15" i="76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AD18" i="21"/>
  <c r="AD11" i="21"/>
  <c r="N5" i="21"/>
  <c r="O5" i="21"/>
  <c r="P5" i="21"/>
  <c r="Q5" i="2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H563" i="101" l="1"/>
  <c r="L597" i="101"/>
  <c r="H614" i="101"/>
  <c r="H699" i="101"/>
  <c r="D699" i="101"/>
  <c r="D138" i="101"/>
  <c r="D444" i="101"/>
  <c r="D410" i="101"/>
  <c r="L342" i="101"/>
  <c r="L308" i="101"/>
  <c r="H240" i="101"/>
  <c r="L223" i="101"/>
  <c r="D189" i="101"/>
  <c r="H189" i="101"/>
  <c r="D172" i="101"/>
  <c r="L87" i="101"/>
  <c r="L104" i="101"/>
  <c r="H257" i="101"/>
  <c r="L478" i="101"/>
  <c r="L121" i="101"/>
  <c r="H172" i="101"/>
  <c r="H223" i="101"/>
  <c r="D223" i="101"/>
  <c r="L257" i="101"/>
  <c r="D291" i="101"/>
  <c r="H342" i="101"/>
  <c r="D342" i="101"/>
  <c r="L376" i="101"/>
  <c r="H461" i="101"/>
  <c r="L495" i="101"/>
  <c r="D580" i="101"/>
  <c r="H597" i="101"/>
  <c r="D597" i="101"/>
  <c r="L631" i="101"/>
  <c r="H104" i="101"/>
  <c r="D104" i="101"/>
  <c r="L138" i="101"/>
  <c r="L274" i="101"/>
  <c r="H359" i="101"/>
  <c r="D359" i="101"/>
  <c r="L393" i="101"/>
  <c r="D427" i="101"/>
  <c r="H444" i="101"/>
  <c r="L461" i="101"/>
  <c r="H478" i="101"/>
  <c r="L512" i="101"/>
  <c r="H529" i="101"/>
  <c r="D614" i="101"/>
  <c r="L648" i="101"/>
  <c r="D682" i="101"/>
  <c r="D206" i="101"/>
  <c r="D274" i="101"/>
  <c r="H410" i="101"/>
  <c r="L614" i="101"/>
  <c r="H665" i="101"/>
  <c r="D121" i="101"/>
  <c r="L155" i="101"/>
  <c r="D240" i="101"/>
  <c r="D376" i="101"/>
  <c r="H495" i="101"/>
  <c r="D563" i="101"/>
  <c r="L665" i="101"/>
  <c r="L172" i="101"/>
  <c r="H393" i="101"/>
  <c r="L427" i="101"/>
  <c r="H512" i="101"/>
  <c r="D512" i="101"/>
  <c r="L546" i="101"/>
  <c r="H648" i="101"/>
  <c r="D648" i="101"/>
  <c r="L682" i="101"/>
  <c r="H206" i="101"/>
  <c r="H274" i="101"/>
  <c r="D325" i="101"/>
  <c r="L359" i="101"/>
  <c r="D257" i="101"/>
  <c r="H376" i="101"/>
  <c r="D495" i="101"/>
  <c r="L529" i="101"/>
  <c r="H631" i="101"/>
  <c r="D87" i="101"/>
  <c r="H87" i="101"/>
  <c r="H155" i="101"/>
  <c r="D155" i="101"/>
  <c r="L189" i="101"/>
  <c r="H291" i="101"/>
  <c r="D308" i="101"/>
  <c r="D461" i="101"/>
  <c r="D529" i="101"/>
  <c r="L563" i="101"/>
  <c r="L699" i="101"/>
  <c r="H138" i="101"/>
  <c r="H325" i="101"/>
  <c r="D393" i="101"/>
  <c r="L444" i="101"/>
  <c r="H121" i="101"/>
  <c r="L240" i="101"/>
  <c r="L291" i="101"/>
  <c r="L410" i="101"/>
  <c r="H580" i="101"/>
  <c r="D631" i="101"/>
  <c r="L206" i="101"/>
  <c r="H308" i="101"/>
  <c r="L325" i="101"/>
  <c r="H427" i="101"/>
  <c r="D478" i="101"/>
  <c r="H546" i="101"/>
  <c r="D546" i="101"/>
  <c r="L580" i="101"/>
  <c r="D665" i="101"/>
  <c r="H682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K9" i="79"/>
  <c r="B116" i="78"/>
  <c r="H8" i="78"/>
  <c r="B21" i="52" l="1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B10" i="103"/>
  <c r="C10" i="103"/>
  <c r="D10" i="103"/>
  <c r="B11" i="103"/>
  <c r="C11" i="103"/>
  <c r="D11" i="103"/>
  <c r="B12" i="103"/>
  <c r="C12" i="103"/>
  <c r="D12" i="103"/>
  <c r="B13" i="103"/>
  <c r="C13" i="103"/>
  <c r="D13" i="103"/>
  <c r="B14" i="103"/>
  <c r="C14" i="103"/>
  <c r="D14" i="103"/>
  <c r="B15" i="103"/>
  <c r="C15" i="103"/>
  <c r="D15" i="103"/>
  <c r="B16" i="103"/>
  <c r="C16" i="103"/>
  <c r="D16" i="103"/>
  <c r="B17" i="103"/>
  <c r="C17" i="103"/>
  <c r="D17" i="103"/>
  <c r="C9" i="103"/>
  <c r="D9" i="103"/>
  <c r="B9" i="101"/>
  <c r="K1294" i="101"/>
  <c r="J1294" i="101"/>
  <c r="G1294" i="101"/>
  <c r="F1294" i="101"/>
  <c r="C1294" i="101"/>
  <c r="B1294" i="101"/>
  <c r="L1292" i="101"/>
  <c r="H1292" i="101"/>
  <c r="D1292" i="101"/>
  <c r="L1291" i="101"/>
  <c r="H1291" i="101"/>
  <c r="D1291" i="101"/>
  <c r="L1290" i="101"/>
  <c r="H1290" i="101"/>
  <c r="D1290" i="101"/>
  <c r="L1289" i="101"/>
  <c r="H1289" i="101"/>
  <c r="D1289" i="101"/>
  <c r="L1288" i="101"/>
  <c r="H1288" i="101"/>
  <c r="D1288" i="101"/>
  <c r="L1287" i="101"/>
  <c r="H1287" i="101"/>
  <c r="D1287" i="101"/>
  <c r="L1286" i="101"/>
  <c r="H1286" i="101"/>
  <c r="D1286" i="101"/>
  <c r="L1285" i="101"/>
  <c r="H1285" i="101"/>
  <c r="D1285" i="101"/>
  <c r="L1284" i="101"/>
  <c r="H1284" i="101"/>
  <c r="D1284" i="101"/>
  <c r="K1277" i="101"/>
  <c r="J1277" i="101"/>
  <c r="G1277" i="101"/>
  <c r="F1277" i="101"/>
  <c r="C1277" i="101"/>
  <c r="B1277" i="101"/>
  <c r="L1275" i="101"/>
  <c r="H1275" i="101"/>
  <c r="D1275" i="101"/>
  <c r="L1274" i="101"/>
  <c r="H1274" i="101"/>
  <c r="D1274" i="101"/>
  <c r="L1273" i="101"/>
  <c r="H1273" i="101"/>
  <c r="D1273" i="101"/>
  <c r="L1272" i="101"/>
  <c r="H1272" i="101"/>
  <c r="D1272" i="101"/>
  <c r="L1271" i="101"/>
  <c r="H1271" i="101"/>
  <c r="D1271" i="101"/>
  <c r="L1270" i="101"/>
  <c r="H1270" i="101"/>
  <c r="D1270" i="101"/>
  <c r="L1269" i="101"/>
  <c r="H1269" i="101"/>
  <c r="D1269" i="101"/>
  <c r="L1268" i="101"/>
  <c r="H1268" i="101"/>
  <c r="D1268" i="101"/>
  <c r="L1267" i="101"/>
  <c r="H1267" i="101"/>
  <c r="D1267" i="101"/>
  <c r="K1260" i="101"/>
  <c r="J1260" i="101"/>
  <c r="G1260" i="101"/>
  <c r="F1260" i="101"/>
  <c r="C1260" i="101"/>
  <c r="B1260" i="101"/>
  <c r="L1258" i="101"/>
  <c r="H1258" i="101"/>
  <c r="D1258" i="101"/>
  <c r="L1257" i="101"/>
  <c r="H1257" i="101"/>
  <c r="D1257" i="101"/>
  <c r="L1256" i="101"/>
  <c r="H1256" i="101"/>
  <c r="D1256" i="101"/>
  <c r="L1255" i="101"/>
  <c r="H1255" i="101"/>
  <c r="D1255" i="101"/>
  <c r="L1254" i="101"/>
  <c r="H1254" i="101"/>
  <c r="D1254" i="101"/>
  <c r="L1253" i="101"/>
  <c r="H1253" i="101"/>
  <c r="D1253" i="101"/>
  <c r="L1252" i="101"/>
  <c r="H1252" i="101"/>
  <c r="D1252" i="101"/>
  <c r="L1251" i="101"/>
  <c r="H1251" i="101"/>
  <c r="D1251" i="101"/>
  <c r="L1250" i="101"/>
  <c r="H1250" i="101"/>
  <c r="D1250" i="101"/>
  <c r="K1243" i="101"/>
  <c r="J1243" i="101"/>
  <c r="G1243" i="101"/>
  <c r="F1243" i="101"/>
  <c r="C1243" i="101"/>
  <c r="B1243" i="101"/>
  <c r="L1241" i="101"/>
  <c r="H1241" i="101"/>
  <c r="D1241" i="101"/>
  <c r="L1240" i="101"/>
  <c r="H1240" i="101"/>
  <c r="D1240" i="101"/>
  <c r="L1239" i="101"/>
  <c r="H1239" i="101"/>
  <c r="D1239" i="101"/>
  <c r="L1238" i="101"/>
  <c r="H1238" i="101"/>
  <c r="D1238" i="101"/>
  <c r="L1237" i="101"/>
  <c r="H1237" i="101"/>
  <c r="D1237" i="101"/>
  <c r="L1236" i="101"/>
  <c r="H1236" i="101"/>
  <c r="D1236" i="101"/>
  <c r="L1235" i="101"/>
  <c r="H1235" i="101"/>
  <c r="D1235" i="101"/>
  <c r="L1234" i="101"/>
  <c r="H1234" i="101"/>
  <c r="D1234" i="101"/>
  <c r="L1233" i="101"/>
  <c r="H1233" i="101"/>
  <c r="D1233" i="101"/>
  <c r="K1226" i="101"/>
  <c r="J1226" i="101"/>
  <c r="G1226" i="101"/>
  <c r="F1226" i="101"/>
  <c r="C1226" i="101"/>
  <c r="B1226" i="101"/>
  <c r="L1224" i="101"/>
  <c r="H1224" i="101"/>
  <c r="D1224" i="101"/>
  <c r="L1223" i="101"/>
  <c r="H1223" i="101"/>
  <c r="D1223" i="101"/>
  <c r="L1222" i="101"/>
  <c r="H1222" i="101"/>
  <c r="D1222" i="101"/>
  <c r="L1221" i="101"/>
  <c r="H1221" i="101"/>
  <c r="D1221" i="101"/>
  <c r="L1220" i="101"/>
  <c r="H1220" i="101"/>
  <c r="D1220" i="101"/>
  <c r="L1219" i="101"/>
  <c r="H1219" i="101"/>
  <c r="D1219" i="101"/>
  <c r="L1218" i="101"/>
  <c r="H1218" i="101"/>
  <c r="D1218" i="101"/>
  <c r="L1217" i="101"/>
  <c r="H1217" i="101"/>
  <c r="D1217" i="101"/>
  <c r="L1216" i="101"/>
  <c r="H1216" i="101"/>
  <c r="D1216" i="101"/>
  <c r="K1209" i="101"/>
  <c r="J1209" i="101"/>
  <c r="G1209" i="101"/>
  <c r="F1209" i="101"/>
  <c r="C1209" i="101"/>
  <c r="B1209" i="101"/>
  <c r="L1207" i="101"/>
  <c r="H1207" i="101"/>
  <c r="D1207" i="101"/>
  <c r="L1206" i="101"/>
  <c r="H1206" i="101"/>
  <c r="D1206" i="101"/>
  <c r="L1205" i="101"/>
  <c r="H1205" i="101"/>
  <c r="D1205" i="101"/>
  <c r="L1204" i="101"/>
  <c r="H1204" i="101"/>
  <c r="D1204" i="101"/>
  <c r="L1203" i="101"/>
  <c r="H1203" i="101"/>
  <c r="D1203" i="101"/>
  <c r="L1202" i="101"/>
  <c r="H1202" i="101"/>
  <c r="D1202" i="101"/>
  <c r="L1201" i="101"/>
  <c r="H1201" i="101"/>
  <c r="D1201" i="101"/>
  <c r="L1200" i="101"/>
  <c r="H1200" i="101"/>
  <c r="D1200" i="101"/>
  <c r="L1199" i="101"/>
  <c r="H1199" i="101"/>
  <c r="D1199" i="101"/>
  <c r="K1192" i="101"/>
  <c r="J1192" i="101"/>
  <c r="G1192" i="101"/>
  <c r="F1192" i="101"/>
  <c r="C1192" i="101"/>
  <c r="B1192" i="101"/>
  <c r="L1190" i="101"/>
  <c r="H1190" i="101"/>
  <c r="D1190" i="101"/>
  <c r="L1189" i="101"/>
  <c r="H1189" i="101"/>
  <c r="D1189" i="101"/>
  <c r="L1188" i="101"/>
  <c r="H1188" i="101"/>
  <c r="D1188" i="101"/>
  <c r="L1187" i="101"/>
  <c r="H1187" i="101"/>
  <c r="D1187" i="101"/>
  <c r="L1186" i="101"/>
  <c r="H1186" i="101"/>
  <c r="D1186" i="101"/>
  <c r="L1185" i="101"/>
  <c r="H1185" i="101"/>
  <c r="D1185" i="101"/>
  <c r="L1184" i="101"/>
  <c r="H1184" i="101"/>
  <c r="D1184" i="101"/>
  <c r="L1183" i="101"/>
  <c r="H1183" i="101"/>
  <c r="D1183" i="101"/>
  <c r="L1182" i="101"/>
  <c r="H1182" i="101"/>
  <c r="D1182" i="101"/>
  <c r="K1175" i="101"/>
  <c r="J1175" i="101"/>
  <c r="G1175" i="101"/>
  <c r="F1175" i="101"/>
  <c r="C1175" i="101"/>
  <c r="B1175" i="101"/>
  <c r="L1173" i="101"/>
  <c r="H1173" i="101"/>
  <c r="D1173" i="101"/>
  <c r="L1172" i="101"/>
  <c r="H1172" i="101"/>
  <c r="D1172" i="101"/>
  <c r="L1171" i="101"/>
  <c r="H1171" i="101"/>
  <c r="D1171" i="101"/>
  <c r="L1170" i="101"/>
  <c r="H1170" i="101"/>
  <c r="D1170" i="101"/>
  <c r="L1169" i="101"/>
  <c r="H1169" i="101"/>
  <c r="D1169" i="101"/>
  <c r="L1168" i="101"/>
  <c r="H1168" i="101"/>
  <c r="D1168" i="101"/>
  <c r="L1167" i="101"/>
  <c r="H1167" i="101"/>
  <c r="D1167" i="101"/>
  <c r="L1166" i="101"/>
  <c r="H1166" i="101"/>
  <c r="D1166" i="101"/>
  <c r="L1165" i="101"/>
  <c r="H1165" i="101"/>
  <c r="D1165" i="101"/>
  <c r="K1158" i="101"/>
  <c r="J1158" i="101"/>
  <c r="G1158" i="101"/>
  <c r="F1158" i="101"/>
  <c r="C1158" i="101"/>
  <c r="B1158" i="101"/>
  <c r="L1156" i="101"/>
  <c r="H1156" i="101"/>
  <c r="D1156" i="101"/>
  <c r="L1155" i="101"/>
  <c r="H1155" i="101"/>
  <c r="D1155" i="101"/>
  <c r="L1154" i="101"/>
  <c r="H1154" i="101"/>
  <c r="D1154" i="101"/>
  <c r="L1153" i="101"/>
  <c r="H1153" i="101"/>
  <c r="D1153" i="101"/>
  <c r="L1152" i="101"/>
  <c r="H1152" i="101"/>
  <c r="D1152" i="101"/>
  <c r="L1151" i="101"/>
  <c r="H1151" i="101"/>
  <c r="D1151" i="101"/>
  <c r="L1150" i="101"/>
  <c r="H1150" i="101"/>
  <c r="D1150" i="101"/>
  <c r="L1149" i="101"/>
  <c r="H1149" i="101"/>
  <c r="D1149" i="101"/>
  <c r="L1148" i="101"/>
  <c r="H1148" i="101"/>
  <c r="D1148" i="101"/>
  <c r="K1141" i="101"/>
  <c r="J1141" i="101"/>
  <c r="G1141" i="101"/>
  <c r="F1141" i="101"/>
  <c r="C1141" i="101"/>
  <c r="B1141" i="101"/>
  <c r="L1139" i="101"/>
  <c r="H1139" i="101"/>
  <c r="D1139" i="101"/>
  <c r="L1138" i="101"/>
  <c r="H1138" i="101"/>
  <c r="D1138" i="101"/>
  <c r="L1137" i="101"/>
  <c r="H1137" i="101"/>
  <c r="D1137" i="101"/>
  <c r="L1136" i="101"/>
  <c r="H1136" i="101"/>
  <c r="D1136" i="101"/>
  <c r="L1135" i="101"/>
  <c r="H1135" i="101"/>
  <c r="D1135" i="101"/>
  <c r="L1134" i="101"/>
  <c r="H1134" i="101"/>
  <c r="D1134" i="101"/>
  <c r="L1133" i="101"/>
  <c r="H1133" i="101"/>
  <c r="D1133" i="101"/>
  <c r="L1132" i="101"/>
  <c r="H1132" i="101"/>
  <c r="D1132" i="101"/>
  <c r="L1131" i="101"/>
  <c r="H1131" i="101"/>
  <c r="D1131" i="101"/>
  <c r="K1124" i="101"/>
  <c r="J1124" i="101"/>
  <c r="G1124" i="101"/>
  <c r="F1124" i="101"/>
  <c r="C1124" i="101"/>
  <c r="B1124" i="101"/>
  <c r="L1122" i="101"/>
  <c r="H1122" i="101"/>
  <c r="D1122" i="101"/>
  <c r="L1121" i="101"/>
  <c r="H1121" i="101"/>
  <c r="D1121" i="101"/>
  <c r="L1120" i="101"/>
  <c r="H1120" i="101"/>
  <c r="D1120" i="101"/>
  <c r="L1119" i="101"/>
  <c r="H1119" i="101"/>
  <c r="D1119" i="101"/>
  <c r="L1118" i="101"/>
  <c r="H1118" i="101"/>
  <c r="D1118" i="101"/>
  <c r="L1117" i="101"/>
  <c r="H1117" i="101"/>
  <c r="D1117" i="101"/>
  <c r="L1116" i="101"/>
  <c r="H1116" i="101"/>
  <c r="D1116" i="101"/>
  <c r="L1115" i="101"/>
  <c r="H1115" i="101"/>
  <c r="D1115" i="101"/>
  <c r="L1114" i="101"/>
  <c r="H1114" i="101"/>
  <c r="D1114" i="101"/>
  <c r="K1107" i="101"/>
  <c r="J1107" i="101"/>
  <c r="G1107" i="101"/>
  <c r="F1107" i="101"/>
  <c r="C1107" i="101"/>
  <c r="B1107" i="101"/>
  <c r="L1105" i="101"/>
  <c r="H1105" i="101"/>
  <c r="D1105" i="101"/>
  <c r="L1104" i="101"/>
  <c r="H1104" i="101"/>
  <c r="D1104" i="101"/>
  <c r="L1103" i="101"/>
  <c r="H1103" i="101"/>
  <c r="D1103" i="101"/>
  <c r="L1102" i="101"/>
  <c r="H1102" i="101"/>
  <c r="D1102" i="101"/>
  <c r="L1101" i="101"/>
  <c r="H1101" i="101"/>
  <c r="D1101" i="101"/>
  <c r="L1100" i="101"/>
  <c r="H1100" i="101"/>
  <c r="D1100" i="101"/>
  <c r="L1099" i="101"/>
  <c r="H1099" i="101"/>
  <c r="D1099" i="101"/>
  <c r="L1098" i="101"/>
  <c r="H1098" i="101"/>
  <c r="D1098" i="101"/>
  <c r="L1097" i="101"/>
  <c r="H1097" i="101"/>
  <c r="D1097" i="101"/>
  <c r="K1090" i="101"/>
  <c r="J1090" i="101"/>
  <c r="G1090" i="101"/>
  <c r="F1090" i="101"/>
  <c r="C1090" i="101"/>
  <c r="B1090" i="101"/>
  <c r="L1088" i="101"/>
  <c r="H1088" i="101"/>
  <c r="D1088" i="101"/>
  <c r="L1087" i="101"/>
  <c r="H1087" i="101"/>
  <c r="D1087" i="101"/>
  <c r="L1086" i="101"/>
  <c r="H1086" i="101"/>
  <c r="D1086" i="101"/>
  <c r="L1085" i="101"/>
  <c r="H1085" i="101"/>
  <c r="D1085" i="101"/>
  <c r="L1084" i="101"/>
  <c r="H1084" i="101"/>
  <c r="D1084" i="101"/>
  <c r="L1083" i="101"/>
  <c r="H1083" i="101"/>
  <c r="D1083" i="101"/>
  <c r="L1082" i="101"/>
  <c r="H1082" i="101"/>
  <c r="D1082" i="101"/>
  <c r="L1081" i="101"/>
  <c r="H1081" i="101"/>
  <c r="D1081" i="101"/>
  <c r="L1080" i="101"/>
  <c r="H1080" i="101"/>
  <c r="D1080" i="101"/>
  <c r="K1073" i="101"/>
  <c r="J1073" i="101"/>
  <c r="G1073" i="101"/>
  <c r="F1073" i="101"/>
  <c r="C1073" i="101"/>
  <c r="B1073" i="101"/>
  <c r="L1071" i="101"/>
  <c r="H1071" i="101"/>
  <c r="D1071" i="101"/>
  <c r="L1070" i="101"/>
  <c r="H1070" i="101"/>
  <c r="D1070" i="101"/>
  <c r="L1069" i="101"/>
  <c r="H1069" i="101"/>
  <c r="D1069" i="101"/>
  <c r="L1068" i="101"/>
  <c r="H1068" i="101"/>
  <c r="D1068" i="101"/>
  <c r="L1067" i="101"/>
  <c r="H1067" i="101"/>
  <c r="D1067" i="101"/>
  <c r="L1066" i="101"/>
  <c r="H1066" i="101"/>
  <c r="D1066" i="101"/>
  <c r="L1065" i="101"/>
  <c r="H1065" i="101"/>
  <c r="D1065" i="101"/>
  <c r="L1064" i="101"/>
  <c r="H1064" i="101"/>
  <c r="D1064" i="101"/>
  <c r="L1063" i="101"/>
  <c r="H1063" i="101"/>
  <c r="D1063" i="101"/>
  <c r="K1056" i="101"/>
  <c r="J1056" i="101"/>
  <c r="G1056" i="101"/>
  <c r="F1056" i="101"/>
  <c r="C1056" i="101"/>
  <c r="B1056" i="101"/>
  <c r="L1054" i="101"/>
  <c r="H1054" i="101"/>
  <c r="D1054" i="101"/>
  <c r="L1053" i="101"/>
  <c r="H1053" i="101"/>
  <c r="D1053" i="101"/>
  <c r="L1052" i="101"/>
  <c r="H1052" i="101"/>
  <c r="D1052" i="101"/>
  <c r="L1051" i="101"/>
  <c r="H1051" i="101"/>
  <c r="D1051" i="101"/>
  <c r="L1050" i="101"/>
  <c r="H1050" i="101"/>
  <c r="D1050" i="101"/>
  <c r="L1049" i="101"/>
  <c r="H1049" i="101"/>
  <c r="D1049" i="101"/>
  <c r="L1048" i="101"/>
  <c r="H1048" i="101"/>
  <c r="D1048" i="101"/>
  <c r="L1047" i="101"/>
  <c r="H1047" i="101"/>
  <c r="D1047" i="101"/>
  <c r="L1046" i="101"/>
  <c r="H1046" i="101"/>
  <c r="D1046" i="101"/>
  <c r="K1039" i="101"/>
  <c r="J1039" i="101"/>
  <c r="G1039" i="101"/>
  <c r="F1039" i="101"/>
  <c r="C1039" i="101"/>
  <c r="B1039" i="101"/>
  <c r="L1037" i="101"/>
  <c r="H1037" i="101"/>
  <c r="D1037" i="101"/>
  <c r="L1036" i="101"/>
  <c r="H1036" i="101"/>
  <c r="D1036" i="101"/>
  <c r="L1035" i="101"/>
  <c r="H1035" i="101"/>
  <c r="D1035" i="101"/>
  <c r="L1034" i="101"/>
  <c r="H1034" i="101"/>
  <c r="D1034" i="101"/>
  <c r="L1033" i="101"/>
  <c r="H1033" i="101"/>
  <c r="D1033" i="101"/>
  <c r="L1032" i="101"/>
  <c r="H1032" i="101"/>
  <c r="D1032" i="101"/>
  <c r="L1031" i="101"/>
  <c r="H1031" i="101"/>
  <c r="D1031" i="101"/>
  <c r="L1030" i="101"/>
  <c r="H1030" i="101"/>
  <c r="D1030" i="101"/>
  <c r="L1029" i="101"/>
  <c r="H1029" i="101"/>
  <c r="D1029" i="101"/>
  <c r="K1022" i="101"/>
  <c r="J1022" i="101"/>
  <c r="G1022" i="101"/>
  <c r="F1022" i="101"/>
  <c r="C1022" i="101"/>
  <c r="B1022" i="101"/>
  <c r="L1020" i="101"/>
  <c r="H1020" i="101"/>
  <c r="D1020" i="101"/>
  <c r="L1019" i="101"/>
  <c r="H1019" i="101"/>
  <c r="D1019" i="101"/>
  <c r="L1018" i="101"/>
  <c r="H1018" i="101"/>
  <c r="D1018" i="101"/>
  <c r="L1017" i="101"/>
  <c r="H1017" i="101"/>
  <c r="D1017" i="101"/>
  <c r="L1016" i="101"/>
  <c r="H1016" i="101"/>
  <c r="D1016" i="101"/>
  <c r="L1015" i="101"/>
  <c r="H1015" i="101"/>
  <c r="D1015" i="101"/>
  <c r="L1014" i="101"/>
  <c r="H1014" i="101"/>
  <c r="D1014" i="101"/>
  <c r="L1013" i="101"/>
  <c r="H1013" i="101"/>
  <c r="D1013" i="101"/>
  <c r="L1012" i="101"/>
  <c r="H1012" i="101"/>
  <c r="D1012" i="101"/>
  <c r="K1005" i="101"/>
  <c r="J1005" i="101"/>
  <c r="G1005" i="101"/>
  <c r="F1005" i="101"/>
  <c r="C1005" i="101"/>
  <c r="B1005" i="101"/>
  <c r="L1003" i="101"/>
  <c r="H1003" i="101"/>
  <c r="D1003" i="101"/>
  <c r="L1002" i="101"/>
  <c r="H1002" i="101"/>
  <c r="D1002" i="101"/>
  <c r="L1001" i="101"/>
  <c r="H1001" i="101"/>
  <c r="D1001" i="101"/>
  <c r="L1000" i="101"/>
  <c r="H1000" i="101"/>
  <c r="D1000" i="101"/>
  <c r="L999" i="101"/>
  <c r="H999" i="101"/>
  <c r="D999" i="101"/>
  <c r="L998" i="101"/>
  <c r="H998" i="101"/>
  <c r="D998" i="101"/>
  <c r="L997" i="101"/>
  <c r="H997" i="101"/>
  <c r="D997" i="101"/>
  <c r="L996" i="101"/>
  <c r="H996" i="101"/>
  <c r="D996" i="101"/>
  <c r="L995" i="101"/>
  <c r="H995" i="101"/>
  <c r="D995" i="101"/>
  <c r="K988" i="101"/>
  <c r="J988" i="101"/>
  <c r="G988" i="101"/>
  <c r="F988" i="101"/>
  <c r="C988" i="101"/>
  <c r="B988" i="101"/>
  <c r="L986" i="101"/>
  <c r="H986" i="101"/>
  <c r="D986" i="101"/>
  <c r="L985" i="101"/>
  <c r="H985" i="101"/>
  <c r="D985" i="101"/>
  <c r="L984" i="101"/>
  <c r="H984" i="101"/>
  <c r="D984" i="101"/>
  <c r="L983" i="101"/>
  <c r="H983" i="101"/>
  <c r="D983" i="101"/>
  <c r="L982" i="101"/>
  <c r="H982" i="101"/>
  <c r="D982" i="101"/>
  <c r="L981" i="101"/>
  <c r="H981" i="101"/>
  <c r="D981" i="101"/>
  <c r="L980" i="101"/>
  <c r="H980" i="101"/>
  <c r="D980" i="101"/>
  <c r="L979" i="101"/>
  <c r="H979" i="101"/>
  <c r="D979" i="101"/>
  <c r="L978" i="101"/>
  <c r="H978" i="101"/>
  <c r="D978" i="101"/>
  <c r="K971" i="101"/>
  <c r="J971" i="101"/>
  <c r="G971" i="101"/>
  <c r="F971" i="101"/>
  <c r="C971" i="101"/>
  <c r="B971" i="101"/>
  <c r="L969" i="101"/>
  <c r="H969" i="101"/>
  <c r="D969" i="101"/>
  <c r="L968" i="101"/>
  <c r="H968" i="101"/>
  <c r="D968" i="101"/>
  <c r="L967" i="101"/>
  <c r="H967" i="101"/>
  <c r="D967" i="101"/>
  <c r="L966" i="101"/>
  <c r="H966" i="101"/>
  <c r="D966" i="101"/>
  <c r="L965" i="101"/>
  <c r="H965" i="101"/>
  <c r="D965" i="101"/>
  <c r="L964" i="101"/>
  <c r="H964" i="101"/>
  <c r="D964" i="101"/>
  <c r="L963" i="101"/>
  <c r="H963" i="101"/>
  <c r="D963" i="101"/>
  <c r="L962" i="101"/>
  <c r="H962" i="101"/>
  <c r="D962" i="101"/>
  <c r="L961" i="101"/>
  <c r="H961" i="101"/>
  <c r="D961" i="101"/>
  <c r="K954" i="101"/>
  <c r="J954" i="101"/>
  <c r="G954" i="101"/>
  <c r="F954" i="101"/>
  <c r="C954" i="101"/>
  <c r="B954" i="101"/>
  <c r="L952" i="101"/>
  <c r="H952" i="101"/>
  <c r="D952" i="101"/>
  <c r="L951" i="101"/>
  <c r="H951" i="101"/>
  <c r="D951" i="101"/>
  <c r="L950" i="101"/>
  <c r="H950" i="101"/>
  <c r="D950" i="101"/>
  <c r="L949" i="101"/>
  <c r="H949" i="101"/>
  <c r="D949" i="101"/>
  <c r="L948" i="101"/>
  <c r="H948" i="101"/>
  <c r="D948" i="101"/>
  <c r="L947" i="101"/>
  <c r="H947" i="101"/>
  <c r="D947" i="101"/>
  <c r="L946" i="101"/>
  <c r="H946" i="101"/>
  <c r="D946" i="101"/>
  <c r="L945" i="101"/>
  <c r="H945" i="101"/>
  <c r="D945" i="101"/>
  <c r="L944" i="101"/>
  <c r="H944" i="101"/>
  <c r="D944" i="101"/>
  <c r="K937" i="101"/>
  <c r="J937" i="101"/>
  <c r="G937" i="101"/>
  <c r="F937" i="101"/>
  <c r="C937" i="101"/>
  <c r="B937" i="101"/>
  <c r="L935" i="101"/>
  <c r="H935" i="101"/>
  <c r="D935" i="101"/>
  <c r="L934" i="101"/>
  <c r="H934" i="101"/>
  <c r="D934" i="101"/>
  <c r="L933" i="101"/>
  <c r="H933" i="101"/>
  <c r="D933" i="101"/>
  <c r="L932" i="101"/>
  <c r="H932" i="101"/>
  <c r="D932" i="101"/>
  <c r="L931" i="101"/>
  <c r="H931" i="101"/>
  <c r="D931" i="101"/>
  <c r="L930" i="101"/>
  <c r="H930" i="101"/>
  <c r="D930" i="101"/>
  <c r="L929" i="101"/>
  <c r="H929" i="101"/>
  <c r="D929" i="101"/>
  <c r="L928" i="101"/>
  <c r="H928" i="101"/>
  <c r="D928" i="101"/>
  <c r="L927" i="101"/>
  <c r="H927" i="101"/>
  <c r="D927" i="101"/>
  <c r="K920" i="101"/>
  <c r="J920" i="101"/>
  <c r="G920" i="101"/>
  <c r="F920" i="101"/>
  <c r="C920" i="101"/>
  <c r="B920" i="101"/>
  <c r="L918" i="101"/>
  <c r="H918" i="101"/>
  <c r="D918" i="101"/>
  <c r="L917" i="101"/>
  <c r="H917" i="101"/>
  <c r="D917" i="101"/>
  <c r="L916" i="101"/>
  <c r="H916" i="101"/>
  <c r="D916" i="101"/>
  <c r="L915" i="101"/>
  <c r="H915" i="101"/>
  <c r="D915" i="101"/>
  <c r="L914" i="101"/>
  <c r="H914" i="101"/>
  <c r="D914" i="101"/>
  <c r="L913" i="101"/>
  <c r="H913" i="101"/>
  <c r="D913" i="101"/>
  <c r="L912" i="101"/>
  <c r="H912" i="101"/>
  <c r="D912" i="101"/>
  <c r="L911" i="101"/>
  <c r="H911" i="101"/>
  <c r="D911" i="101"/>
  <c r="L910" i="101"/>
  <c r="H910" i="101"/>
  <c r="D910" i="101"/>
  <c r="K903" i="101"/>
  <c r="J903" i="101"/>
  <c r="G903" i="101"/>
  <c r="F903" i="101"/>
  <c r="C903" i="101"/>
  <c r="B903" i="101"/>
  <c r="L901" i="101"/>
  <c r="H901" i="101"/>
  <c r="D901" i="101"/>
  <c r="L900" i="101"/>
  <c r="H900" i="101"/>
  <c r="D900" i="101"/>
  <c r="L899" i="101"/>
  <c r="H899" i="101"/>
  <c r="D899" i="101"/>
  <c r="L898" i="101"/>
  <c r="H898" i="101"/>
  <c r="D898" i="101"/>
  <c r="L897" i="101"/>
  <c r="H897" i="101"/>
  <c r="D897" i="101"/>
  <c r="L896" i="101"/>
  <c r="H896" i="101"/>
  <c r="D896" i="101"/>
  <c r="L895" i="101"/>
  <c r="H895" i="101"/>
  <c r="D895" i="101"/>
  <c r="L894" i="101"/>
  <c r="H894" i="101"/>
  <c r="D894" i="101"/>
  <c r="L893" i="101"/>
  <c r="H893" i="101"/>
  <c r="D893" i="101"/>
  <c r="K886" i="101"/>
  <c r="J886" i="101"/>
  <c r="G886" i="101"/>
  <c r="F886" i="101"/>
  <c r="C886" i="101"/>
  <c r="B886" i="101"/>
  <c r="L884" i="101"/>
  <c r="H884" i="101"/>
  <c r="D884" i="101"/>
  <c r="L883" i="101"/>
  <c r="H883" i="101"/>
  <c r="D883" i="101"/>
  <c r="L882" i="101"/>
  <c r="H882" i="101"/>
  <c r="D882" i="101"/>
  <c r="L881" i="101"/>
  <c r="H881" i="101"/>
  <c r="D881" i="101"/>
  <c r="L880" i="101"/>
  <c r="H880" i="101"/>
  <c r="D880" i="101"/>
  <c r="L879" i="101"/>
  <c r="H879" i="101"/>
  <c r="D879" i="101"/>
  <c r="L878" i="101"/>
  <c r="H878" i="101"/>
  <c r="D878" i="101"/>
  <c r="L877" i="101"/>
  <c r="H877" i="101"/>
  <c r="D877" i="101"/>
  <c r="L876" i="101"/>
  <c r="H876" i="101"/>
  <c r="D876" i="101"/>
  <c r="K869" i="101"/>
  <c r="J869" i="101"/>
  <c r="G869" i="101"/>
  <c r="F869" i="101"/>
  <c r="C869" i="101"/>
  <c r="B869" i="101"/>
  <c r="L867" i="101"/>
  <c r="H867" i="101"/>
  <c r="D867" i="101"/>
  <c r="L866" i="101"/>
  <c r="H866" i="101"/>
  <c r="D866" i="101"/>
  <c r="L865" i="101"/>
  <c r="H865" i="101"/>
  <c r="D865" i="101"/>
  <c r="L864" i="101"/>
  <c r="H864" i="101"/>
  <c r="D864" i="101"/>
  <c r="L863" i="101"/>
  <c r="H863" i="101"/>
  <c r="D863" i="101"/>
  <c r="L862" i="101"/>
  <c r="H862" i="101"/>
  <c r="D862" i="101"/>
  <c r="L861" i="101"/>
  <c r="H861" i="101"/>
  <c r="D861" i="101"/>
  <c r="L860" i="101"/>
  <c r="H860" i="101"/>
  <c r="D860" i="101"/>
  <c r="L859" i="101"/>
  <c r="H859" i="101"/>
  <c r="D859" i="101"/>
  <c r="K852" i="101"/>
  <c r="J852" i="101"/>
  <c r="G852" i="101"/>
  <c r="F852" i="101"/>
  <c r="C852" i="101"/>
  <c r="B852" i="101"/>
  <c r="L850" i="101"/>
  <c r="H850" i="101"/>
  <c r="D850" i="101"/>
  <c r="L849" i="101"/>
  <c r="H849" i="101"/>
  <c r="D849" i="101"/>
  <c r="L848" i="101"/>
  <c r="H848" i="101"/>
  <c r="D848" i="101"/>
  <c r="L847" i="101"/>
  <c r="H847" i="101"/>
  <c r="D847" i="101"/>
  <c r="L846" i="101"/>
  <c r="H846" i="101"/>
  <c r="D846" i="101"/>
  <c r="L845" i="101"/>
  <c r="H845" i="101"/>
  <c r="D845" i="101"/>
  <c r="L844" i="101"/>
  <c r="H844" i="101"/>
  <c r="D844" i="101"/>
  <c r="L843" i="101"/>
  <c r="H843" i="101"/>
  <c r="D843" i="101"/>
  <c r="L842" i="101"/>
  <c r="H842" i="101"/>
  <c r="D842" i="101"/>
  <c r="K835" i="101"/>
  <c r="J835" i="101"/>
  <c r="G835" i="101"/>
  <c r="F835" i="101"/>
  <c r="C835" i="101"/>
  <c r="B835" i="101"/>
  <c r="L833" i="101"/>
  <c r="H833" i="101"/>
  <c r="D833" i="101"/>
  <c r="L832" i="101"/>
  <c r="H832" i="101"/>
  <c r="D832" i="101"/>
  <c r="L831" i="101"/>
  <c r="H831" i="101"/>
  <c r="D831" i="101"/>
  <c r="L830" i="101"/>
  <c r="H830" i="101"/>
  <c r="D830" i="101"/>
  <c r="L829" i="101"/>
  <c r="H829" i="101"/>
  <c r="D829" i="101"/>
  <c r="L828" i="101"/>
  <c r="H828" i="101"/>
  <c r="D828" i="101"/>
  <c r="L827" i="101"/>
  <c r="H827" i="101"/>
  <c r="D827" i="101"/>
  <c r="L826" i="101"/>
  <c r="H826" i="101"/>
  <c r="D826" i="101"/>
  <c r="L825" i="101"/>
  <c r="H825" i="101"/>
  <c r="D825" i="101"/>
  <c r="K818" i="101"/>
  <c r="J818" i="101"/>
  <c r="G818" i="101"/>
  <c r="F818" i="101"/>
  <c r="C818" i="101"/>
  <c r="B818" i="101"/>
  <c r="L816" i="101"/>
  <c r="H816" i="101"/>
  <c r="D816" i="101"/>
  <c r="L815" i="101"/>
  <c r="H815" i="101"/>
  <c r="D815" i="101"/>
  <c r="L814" i="101"/>
  <c r="H814" i="101"/>
  <c r="D814" i="101"/>
  <c r="L813" i="101"/>
  <c r="H813" i="101"/>
  <c r="D813" i="101"/>
  <c r="L812" i="101"/>
  <c r="H812" i="101"/>
  <c r="D812" i="101"/>
  <c r="L811" i="101"/>
  <c r="H811" i="101"/>
  <c r="D811" i="101"/>
  <c r="L810" i="101"/>
  <c r="H810" i="101"/>
  <c r="D810" i="101"/>
  <c r="L809" i="101"/>
  <c r="H809" i="101"/>
  <c r="D809" i="101"/>
  <c r="L808" i="101"/>
  <c r="H808" i="101"/>
  <c r="D808" i="101"/>
  <c r="K801" i="101"/>
  <c r="J801" i="101"/>
  <c r="G801" i="101"/>
  <c r="F801" i="101"/>
  <c r="C801" i="101"/>
  <c r="B801" i="101"/>
  <c r="L799" i="101"/>
  <c r="H799" i="101"/>
  <c r="D799" i="101"/>
  <c r="L798" i="101"/>
  <c r="H798" i="101"/>
  <c r="D798" i="101"/>
  <c r="L797" i="101"/>
  <c r="H797" i="101"/>
  <c r="D797" i="101"/>
  <c r="L796" i="101"/>
  <c r="H796" i="101"/>
  <c r="D796" i="101"/>
  <c r="L795" i="101"/>
  <c r="H795" i="101"/>
  <c r="D795" i="101"/>
  <c r="L794" i="101"/>
  <c r="H794" i="101"/>
  <c r="D794" i="101"/>
  <c r="L793" i="101"/>
  <c r="H793" i="101"/>
  <c r="D793" i="101"/>
  <c r="L792" i="101"/>
  <c r="H792" i="101"/>
  <c r="D792" i="101"/>
  <c r="L791" i="101"/>
  <c r="H791" i="101"/>
  <c r="D791" i="101"/>
  <c r="K784" i="101"/>
  <c r="J784" i="101"/>
  <c r="G784" i="101"/>
  <c r="F784" i="101"/>
  <c r="C784" i="101"/>
  <c r="B784" i="101"/>
  <c r="L782" i="101"/>
  <c r="H782" i="101"/>
  <c r="D782" i="101"/>
  <c r="L781" i="101"/>
  <c r="H781" i="101"/>
  <c r="D781" i="101"/>
  <c r="L780" i="101"/>
  <c r="H780" i="101"/>
  <c r="D780" i="101"/>
  <c r="L779" i="101"/>
  <c r="H779" i="101"/>
  <c r="D779" i="101"/>
  <c r="L778" i="101"/>
  <c r="H778" i="101"/>
  <c r="D778" i="101"/>
  <c r="L777" i="101"/>
  <c r="H777" i="101"/>
  <c r="D777" i="101"/>
  <c r="L776" i="101"/>
  <c r="H776" i="101"/>
  <c r="D776" i="101"/>
  <c r="L775" i="101"/>
  <c r="H775" i="101"/>
  <c r="D775" i="101"/>
  <c r="L774" i="101"/>
  <c r="H774" i="101"/>
  <c r="D774" i="101"/>
  <c r="K767" i="101"/>
  <c r="J767" i="101"/>
  <c r="G767" i="101"/>
  <c r="F767" i="101"/>
  <c r="C767" i="101"/>
  <c r="B767" i="101"/>
  <c r="L765" i="101"/>
  <c r="H765" i="101"/>
  <c r="D765" i="101"/>
  <c r="L764" i="101"/>
  <c r="H764" i="101"/>
  <c r="D764" i="101"/>
  <c r="L763" i="101"/>
  <c r="H763" i="101"/>
  <c r="D763" i="101"/>
  <c r="L762" i="101"/>
  <c r="H762" i="101"/>
  <c r="D762" i="101"/>
  <c r="L761" i="101"/>
  <c r="H761" i="101"/>
  <c r="D761" i="101"/>
  <c r="L760" i="101"/>
  <c r="H760" i="101"/>
  <c r="D760" i="101"/>
  <c r="L759" i="101"/>
  <c r="H759" i="101"/>
  <c r="D759" i="101"/>
  <c r="L758" i="101"/>
  <c r="H758" i="101"/>
  <c r="D758" i="101"/>
  <c r="L757" i="101"/>
  <c r="H757" i="101"/>
  <c r="D757" i="101"/>
  <c r="K750" i="101"/>
  <c r="J750" i="101"/>
  <c r="G750" i="101"/>
  <c r="F750" i="101"/>
  <c r="C750" i="101"/>
  <c r="B750" i="101"/>
  <c r="L748" i="101"/>
  <c r="H748" i="101"/>
  <c r="D748" i="101"/>
  <c r="L747" i="101"/>
  <c r="H747" i="101"/>
  <c r="D747" i="101"/>
  <c r="L746" i="101"/>
  <c r="H746" i="101"/>
  <c r="D746" i="101"/>
  <c r="L745" i="101"/>
  <c r="H745" i="101"/>
  <c r="D745" i="101"/>
  <c r="L744" i="101"/>
  <c r="H744" i="101"/>
  <c r="D744" i="101"/>
  <c r="L743" i="101"/>
  <c r="H743" i="101"/>
  <c r="D743" i="101"/>
  <c r="L742" i="101"/>
  <c r="H742" i="101"/>
  <c r="D742" i="101"/>
  <c r="L741" i="101"/>
  <c r="H741" i="101"/>
  <c r="D741" i="101"/>
  <c r="L740" i="101"/>
  <c r="H740" i="101"/>
  <c r="D740" i="101"/>
  <c r="K733" i="101"/>
  <c r="J733" i="101"/>
  <c r="G733" i="101"/>
  <c r="F733" i="101"/>
  <c r="C733" i="101"/>
  <c r="B733" i="101"/>
  <c r="L731" i="101"/>
  <c r="H731" i="101"/>
  <c r="D731" i="101"/>
  <c r="L730" i="101"/>
  <c r="H730" i="101"/>
  <c r="D730" i="101"/>
  <c r="L729" i="101"/>
  <c r="H729" i="101"/>
  <c r="D729" i="101"/>
  <c r="L728" i="101"/>
  <c r="H728" i="101"/>
  <c r="D728" i="101"/>
  <c r="L727" i="101"/>
  <c r="H727" i="101"/>
  <c r="D727" i="101"/>
  <c r="L726" i="101"/>
  <c r="H726" i="101"/>
  <c r="D726" i="101"/>
  <c r="L725" i="101"/>
  <c r="H725" i="101"/>
  <c r="D725" i="101"/>
  <c r="L724" i="101"/>
  <c r="H724" i="101"/>
  <c r="D724" i="101"/>
  <c r="L723" i="101"/>
  <c r="H723" i="101"/>
  <c r="D723" i="101"/>
  <c r="K716" i="101"/>
  <c r="J716" i="101"/>
  <c r="G716" i="101"/>
  <c r="F716" i="101"/>
  <c r="C716" i="101"/>
  <c r="L714" i="101"/>
  <c r="H714" i="101"/>
  <c r="D714" i="101"/>
  <c r="L713" i="101"/>
  <c r="H713" i="101"/>
  <c r="D713" i="101"/>
  <c r="L712" i="101"/>
  <c r="H712" i="101"/>
  <c r="D712" i="101"/>
  <c r="L711" i="101"/>
  <c r="H711" i="101"/>
  <c r="D711" i="101"/>
  <c r="L710" i="101"/>
  <c r="H710" i="101"/>
  <c r="D710" i="101"/>
  <c r="L709" i="101"/>
  <c r="H709" i="101"/>
  <c r="D709" i="101"/>
  <c r="L708" i="101"/>
  <c r="H708" i="101"/>
  <c r="D708" i="101"/>
  <c r="L707" i="101"/>
  <c r="H707" i="101"/>
  <c r="D707" i="101"/>
  <c r="H706" i="101"/>
  <c r="D706" i="101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K17" i="101"/>
  <c r="J17" i="101"/>
  <c r="K16" i="101"/>
  <c r="J16" i="101"/>
  <c r="K15" i="101"/>
  <c r="J15" i="101"/>
  <c r="K14" i="101"/>
  <c r="J14" i="101"/>
  <c r="K13" i="101"/>
  <c r="J13" i="101"/>
  <c r="K12" i="101"/>
  <c r="J12" i="101"/>
  <c r="K11" i="101"/>
  <c r="J11" i="101"/>
  <c r="K10" i="101"/>
  <c r="J10" i="101"/>
  <c r="K9" i="101"/>
  <c r="J9" i="101"/>
  <c r="G17" i="101"/>
  <c r="F17" i="101"/>
  <c r="G16" i="101"/>
  <c r="F16" i="101"/>
  <c r="G15" i="101"/>
  <c r="F15" i="101"/>
  <c r="G14" i="101"/>
  <c r="F14" i="101"/>
  <c r="G13" i="101"/>
  <c r="F13" i="101"/>
  <c r="G12" i="101"/>
  <c r="F12" i="101"/>
  <c r="G11" i="101"/>
  <c r="F11" i="101"/>
  <c r="G10" i="101"/>
  <c r="F10" i="101"/>
  <c r="G9" i="101"/>
  <c r="F9" i="101"/>
  <c r="B10" i="101"/>
  <c r="C10" i="101"/>
  <c r="B11" i="101"/>
  <c r="C11" i="101"/>
  <c r="B12" i="101"/>
  <c r="C12" i="101"/>
  <c r="B13" i="101"/>
  <c r="C13" i="101"/>
  <c r="B14" i="101"/>
  <c r="C14" i="101"/>
  <c r="B15" i="101"/>
  <c r="C15" i="101"/>
  <c r="B16" i="101"/>
  <c r="C16" i="101"/>
  <c r="B17" i="101"/>
  <c r="C17" i="101"/>
  <c r="C9" i="101"/>
  <c r="B19" i="103" l="1"/>
  <c r="E36" i="103"/>
  <c r="J36" i="103"/>
  <c r="O36" i="103"/>
  <c r="L36" i="101"/>
  <c r="D801" i="101"/>
  <c r="D818" i="101"/>
  <c r="L818" i="101"/>
  <c r="D1073" i="101"/>
  <c r="L1107" i="101"/>
  <c r="H1209" i="101"/>
  <c r="D1209" i="101"/>
  <c r="D36" i="101"/>
  <c r="L1243" i="101"/>
  <c r="L971" i="101"/>
  <c r="H937" i="101"/>
  <c r="D937" i="101"/>
  <c r="L716" i="101"/>
  <c r="L852" i="101"/>
  <c r="H1090" i="101"/>
  <c r="L1124" i="101"/>
  <c r="H1226" i="101"/>
  <c r="L733" i="101"/>
  <c r="H835" i="101"/>
  <c r="L869" i="101"/>
  <c r="H971" i="101"/>
  <c r="D971" i="101"/>
  <c r="L1005" i="101"/>
  <c r="H1107" i="101"/>
  <c r="D1107" i="101"/>
  <c r="L1141" i="101"/>
  <c r="H1158" i="101"/>
  <c r="H1243" i="101"/>
  <c r="D1243" i="101"/>
  <c r="L1277" i="101"/>
  <c r="H1294" i="101"/>
  <c r="D53" i="101"/>
  <c r="L750" i="101"/>
  <c r="H767" i="101"/>
  <c r="H852" i="101"/>
  <c r="D852" i="101"/>
  <c r="L886" i="101"/>
  <c r="H988" i="101"/>
  <c r="D988" i="101"/>
  <c r="L1022" i="101"/>
  <c r="H1124" i="101"/>
  <c r="D1124" i="101"/>
  <c r="L1158" i="101"/>
  <c r="H1260" i="101"/>
  <c r="D1260" i="101"/>
  <c r="L1294" i="101"/>
  <c r="H818" i="101"/>
  <c r="L835" i="101"/>
  <c r="H954" i="101"/>
  <c r="D1090" i="101"/>
  <c r="H36" i="101"/>
  <c r="D716" i="101"/>
  <c r="H869" i="101"/>
  <c r="H1005" i="101"/>
  <c r="H1056" i="101"/>
  <c r="D1141" i="101"/>
  <c r="H1277" i="101"/>
  <c r="L53" i="101"/>
  <c r="D70" i="101"/>
  <c r="H750" i="101"/>
  <c r="D750" i="101"/>
  <c r="L784" i="101"/>
  <c r="H801" i="101"/>
  <c r="H886" i="101"/>
  <c r="D886" i="101"/>
  <c r="D954" i="101"/>
  <c r="H1022" i="101"/>
  <c r="D1022" i="101"/>
  <c r="L1056" i="101"/>
  <c r="H1073" i="101"/>
  <c r="D1158" i="101"/>
  <c r="L1192" i="101"/>
  <c r="D1226" i="101"/>
  <c r="D1294" i="101"/>
  <c r="D835" i="101"/>
  <c r="L988" i="101"/>
  <c r="H53" i="101"/>
  <c r="D733" i="101"/>
  <c r="D869" i="101"/>
  <c r="H1141" i="101"/>
  <c r="L1175" i="101"/>
  <c r="H70" i="101"/>
  <c r="D767" i="101"/>
  <c r="L801" i="101"/>
  <c r="H903" i="101"/>
  <c r="D903" i="101"/>
  <c r="D920" i="101"/>
  <c r="L920" i="101"/>
  <c r="L937" i="101"/>
  <c r="H1039" i="101"/>
  <c r="D1039" i="101"/>
  <c r="L1073" i="101"/>
  <c r="H1175" i="101"/>
  <c r="D1175" i="101"/>
  <c r="L1209" i="101"/>
  <c r="L1260" i="101"/>
  <c r="H716" i="101"/>
  <c r="H733" i="101"/>
  <c r="L903" i="101"/>
  <c r="D1005" i="101"/>
  <c r="D1277" i="101"/>
  <c r="L70" i="101"/>
  <c r="L767" i="101"/>
  <c r="H784" i="101"/>
  <c r="D784" i="101"/>
  <c r="H920" i="101"/>
  <c r="L954" i="101"/>
  <c r="L1039" i="101"/>
  <c r="D1056" i="101"/>
  <c r="L1090" i="101"/>
  <c r="H1192" i="101"/>
  <c r="D1192" i="101"/>
  <c r="L1226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E69" i="80"/>
  <c r="B69" i="80"/>
  <c r="E34" i="80"/>
  <c r="B34" i="80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546" i="102"/>
  <c r="T546" i="102"/>
  <c r="O546" i="102"/>
  <c r="J546" i="102"/>
  <c r="E546" i="102"/>
  <c r="V545" i="102"/>
  <c r="Q545" i="102"/>
  <c r="L545" i="102"/>
  <c r="G545" i="102"/>
  <c r="B545" i="102"/>
  <c r="Y516" i="102"/>
  <c r="T516" i="102"/>
  <c r="O516" i="102"/>
  <c r="J516" i="102"/>
  <c r="E516" i="102"/>
  <c r="V515" i="102"/>
  <c r="Q515" i="102"/>
  <c r="L515" i="102"/>
  <c r="G515" i="102"/>
  <c r="B515" i="102"/>
  <c r="Y491" i="102"/>
  <c r="T491" i="102"/>
  <c r="O491" i="102"/>
  <c r="J491" i="102"/>
  <c r="E491" i="102"/>
  <c r="V490" i="102"/>
  <c r="Q490" i="102"/>
  <c r="L490" i="102"/>
  <c r="G490" i="102"/>
  <c r="B490" i="102"/>
  <c r="Y481" i="102"/>
  <c r="T481" i="102"/>
  <c r="O481" i="102"/>
  <c r="J481" i="102"/>
  <c r="E481" i="102"/>
  <c r="V480" i="102"/>
  <c r="Q480" i="102"/>
  <c r="L480" i="102"/>
  <c r="G480" i="102"/>
  <c r="B480" i="102"/>
  <c r="Y471" i="102"/>
  <c r="T471" i="102"/>
  <c r="O471" i="102"/>
  <c r="J471" i="102"/>
  <c r="E471" i="102"/>
  <c r="V470" i="102"/>
  <c r="Q470" i="102"/>
  <c r="L470" i="102"/>
  <c r="G470" i="102"/>
  <c r="B470" i="102"/>
  <c r="Y431" i="102"/>
  <c r="T431" i="102"/>
  <c r="O431" i="102"/>
  <c r="J431" i="102"/>
  <c r="E431" i="102"/>
  <c r="V430" i="102"/>
  <c r="Q430" i="102"/>
  <c r="L430" i="102"/>
  <c r="G430" i="102"/>
  <c r="B430" i="102"/>
  <c r="Y386" i="102"/>
  <c r="T386" i="102"/>
  <c r="O386" i="102"/>
  <c r="J386" i="102"/>
  <c r="E386" i="102"/>
  <c r="V385" i="102"/>
  <c r="Q385" i="102"/>
  <c r="L385" i="102"/>
  <c r="G385" i="102"/>
  <c r="B385" i="102"/>
  <c r="Y376" i="102"/>
  <c r="T376" i="102"/>
  <c r="O376" i="102"/>
  <c r="J376" i="102"/>
  <c r="E376" i="102"/>
  <c r="V375" i="102"/>
  <c r="Q375" i="102"/>
  <c r="L375" i="102"/>
  <c r="G375" i="102"/>
  <c r="B375" i="102"/>
  <c r="Y351" i="102"/>
  <c r="T351" i="102"/>
  <c r="O351" i="102"/>
  <c r="J351" i="102"/>
  <c r="E351" i="102"/>
  <c r="V350" i="102"/>
  <c r="Q350" i="102"/>
  <c r="L350" i="102"/>
  <c r="G350" i="102"/>
  <c r="B350" i="102"/>
  <c r="Y326" i="102"/>
  <c r="T326" i="102"/>
  <c r="O326" i="102"/>
  <c r="J326" i="102"/>
  <c r="E326" i="102"/>
  <c r="V325" i="102"/>
  <c r="Q325" i="102"/>
  <c r="L325" i="102"/>
  <c r="G325" i="102"/>
  <c r="B325" i="102"/>
  <c r="Y301" i="102"/>
  <c r="T301" i="102"/>
  <c r="O301" i="102"/>
  <c r="J301" i="102"/>
  <c r="E301" i="102"/>
  <c r="V300" i="102"/>
  <c r="Q300" i="102"/>
  <c r="L300" i="102"/>
  <c r="G300" i="102"/>
  <c r="B300" i="102"/>
  <c r="Y281" i="102"/>
  <c r="T281" i="102"/>
  <c r="O281" i="102"/>
  <c r="J281" i="102"/>
  <c r="E281" i="102"/>
  <c r="V280" i="102"/>
  <c r="Q280" i="102"/>
  <c r="L280" i="102"/>
  <c r="G280" i="102"/>
  <c r="B280" i="102"/>
  <c r="Y246" i="102"/>
  <c r="T246" i="102"/>
  <c r="O246" i="102"/>
  <c r="J246" i="102"/>
  <c r="E246" i="102"/>
  <c r="V245" i="102"/>
  <c r="Q245" i="102"/>
  <c r="L245" i="102"/>
  <c r="G245" i="102"/>
  <c r="B245" i="102"/>
  <c r="Y221" i="102"/>
  <c r="T221" i="102"/>
  <c r="O221" i="102"/>
  <c r="J221" i="102"/>
  <c r="E221" i="102"/>
  <c r="V220" i="102"/>
  <c r="Q220" i="102"/>
  <c r="L220" i="102"/>
  <c r="G220" i="102"/>
  <c r="B220" i="102"/>
  <c r="Y196" i="102"/>
  <c r="T196" i="102"/>
  <c r="O196" i="102"/>
  <c r="J196" i="102"/>
  <c r="E196" i="102"/>
  <c r="V195" i="102"/>
  <c r="Q195" i="102"/>
  <c r="L195" i="102"/>
  <c r="G195" i="102"/>
  <c r="B195" i="102"/>
  <c r="Y171" i="102"/>
  <c r="T171" i="102"/>
  <c r="O171" i="102"/>
  <c r="J171" i="102"/>
  <c r="E171" i="102"/>
  <c r="V170" i="102"/>
  <c r="Q170" i="102"/>
  <c r="L170" i="102"/>
  <c r="G170" i="102"/>
  <c r="B170" i="102"/>
  <c r="Y161" i="102"/>
  <c r="T161" i="102"/>
  <c r="O161" i="102"/>
  <c r="J161" i="102"/>
  <c r="E161" i="102"/>
  <c r="V160" i="102"/>
  <c r="Q160" i="102"/>
  <c r="L160" i="102"/>
  <c r="G160" i="102"/>
  <c r="B160" i="102"/>
  <c r="Y71" i="102"/>
  <c r="T71" i="102"/>
  <c r="O71" i="102"/>
  <c r="J71" i="102"/>
  <c r="E71" i="102"/>
  <c r="V70" i="102"/>
  <c r="Q70" i="102"/>
  <c r="L70" i="102"/>
  <c r="G70" i="102"/>
  <c r="B70" i="102"/>
  <c r="Y46" i="102"/>
  <c r="T46" i="102"/>
  <c r="O46" i="102"/>
  <c r="J46" i="102"/>
  <c r="E46" i="102"/>
  <c r="V45" i="102"/>
  <c r="Q45" i="102"/>
  <c r="L45" i="102"/>
  <c r="G45" i="102"/>
  <c r="B45" i="102"/>
  <c r="Y26" i="102"/>
  <c r="T26" i="102"/>
  <c r="O26" i="102"/>
  <c r="J26" i="102"/>
  <c r="E26" i="102"/>
  <c r="V25" i="102"/>
  <c r="Q25" i="102"/>
  <c r="L25" i="102"/>
  <c r="G25" i="102"/>
  <c r="B25" i="102"/>
  <c r="Q15" i="102"/>
  <c r="T16" i="102"/>
  <c r="S6" i="102"/>
  <c r="R6" i="102"/>
  <c r="Q6" i="102"/>
  <c r="G15" i="102"/>
  <c r="J16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K99" i="104" l="1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B9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37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E105" i="104"/>
  <c r="G105" i="104"/>
  <c r="C104" i="104"/>
  <c r="E104" i="104"/>
  <c r="I103" i="104"/>
  <c r="C103" i="104"/>
  <c r="E103" i="104"/>
  <c r="G104" i="104"/>
  <c r="C105" i="104"/>
  <c r="G103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99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G73" i="104" l="1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1292" i="103" l="1"/>
  <c r="A1291" i="103"/>
  <c r="A1290" i="103"/>
  <c r="A1289" i="103"/>
  <c r="A1288" i="103"/>
  <c r="A1287" i="103"/>
  <c r="A1286" i="103"/>
  <c r="A1285" i="103"/>
  <c r="A1284" i="103"/>
  <c r="A1281" i="103"/>
  <c r="A1275" i="103"/>
  <c r="A1274" i="103"/>
  <c r="A1273" i="103"/>
  <c r="A1272" i="103"/>
  <c r="A1271" i="103"/>
  <c r="A1270" i="103"/>
  <c r="A1269" i="103"/>
  <c r="A1268" i="103"/>
  <c r="A1267" i="103"/>
  <c r="A1264" i="103"/>
  <c r="A1258" i="103"/>
  <c r="A1257" i="103"/>
  <c r="A1256" i="103"/>
  <c r="A1255" i="103"/>
  <c r="A1254" i="103"/>
  <c r="A1253" i="103"/>
  <c r="A1252" i="103"/>
  <c r="A1251" i="103"/>
  <c r="A1250" i="103"/>
  <c r="A1247" i="103"/>
  <c r="A1241" i="103"/>
  <c r="A1240" i="103"/>
  <c r="A1239" i="103"/>
  <c r="A1238" i="103"/>
  <c r="A1237" i="103"/>
  <c r="A1236" i="103"/>
  <c r="A1235" i="103"/>
  <c r="A1234" i="103"/>
  <c r="A1233" i="103"/>
  <c r="A1230" i="103"/>
  <c r="A1224" i="103"/>
  <c r="A1223" i="103"/>
  <c r="A1222" i="103"/>
  <c r="A1221" i="103"/>
  <c r="A1220" i="103"/>
  <c r="A1219" i="103"/>
  <c r="A1218" i="103"/>
  <c r="A1217" i="103"/>
  <c r="A1216" i="103"/>
  <c r="A1213" i="103"/>
  <c r="A1207" i="103"/>
  <c r="A1206" i="103"/>
  <c r="A1205" i="103"/>
  <c r="A1204" i="103"/>
  <c r="A1203" i="103"/>
  <c r="A1202" i="103"/>
  <c r="A1201" i="103"/>
  <c r="A1200" i="103"/>
  <c r="A1199" i="103"/>
  <c r="A1196" i="103"/>
  <c r="A1190" i="103"/>
  <c r="A1189" i="103"/>
  <c r="A1188" i="103"/>
  <c r="A1187" i="103"/>
  <c r="A1186" i="103"/>
  <c r="A1185" i="103"/>
  <c r="A1184" i="103"/>
  <c r="A1183" i="103"/>
  <c r="A1182" i="103"/>
  <c r="A1179" i="103"/>
  <c r="A1173" i="103"/>
  <c r="A1172" i="103"/>
  <c r="A1171" i="103"/>
  <c r="A1170" i="103"/>
  <c r="A1169" i="103"/>
  <c r="A1168" i="103"/>
  <c r="A1167" i="103"/>
  <c r="A1166" i="103"/>
  <c r="A1165" i="103"/>
  <c r="A1162" i="103"/>
  <c r="A1156" i="103"/>
  <c r="A1155" i="103"/>
  <c r="A1154" i="103"/>
  <c r="A1153" i="103"/>
  <c r="A1152" i="103"/>
  <c r="A1151" i="103"/>
  <c r="A1150" i="103"/>
  <c r="A1149" i="103"/>
  <c r="A1148" i="103"/>
  <c r="A1145" i="103"/>
  <c r="A1139" i="103"/>
  <c r="A1138" i="103"/>
  <c r="A1137" i="103"/>
  <c r="A1136" i="103"/>
  <c r="A1135" i="103"/>
  <c r="A1134" i="103"/>
  <c r="A1133" i="103"/>
  <c r="A1132" i="103"/>
  <c r="A1131" i="103"/>
  <c r="A1128" i="103"/>
  <c r="A1122" i="103"/>
  <c r="A1121" i="103"/>
  <c r="A1120" i="103"/>
  <c r="A1119" i="103"/>
  <c r="A1118" i="103"/>
  <c r="A1117" i="103"/>
  <c r="A1116" i="103"/>
  <c r="A1115" i="103"/>
  <c r="A1114" i="103"/>
  <c r="A1111" i="103"/>
  <c r="A1105" i="103"/>
  <c r="A1104" i="103"/>
  <c r="A1103" i="103"/>
  <c r="A1102" i="103"/>
  <c r="A1101" i="103"/>
  <c r="A1100" i="103"/>
  <c r="A1099" i="103"/>
  <c r="A1098" i="103"/>
  <c r="A1097" i="103"/>
  <c r="A1094" i="103"/>
  <c r="A1088" i="103"/>
  <c r="A1087" i="103"/>
  <c r="A1086" i="103"/>
  <c r="A1085" i="103"/>
  <c r="A1084" i="103"/>
  <c r="A1083" i="103"/>
  <c r="A1082" i="103"/>
  <c r="A1081" i="103"/>
  <c r="A1080" i="103"/>
  <c r="A1077" i="103"/>
  <c r="A1071" i="103"/>
  <c r="A1070" i="103"/>
  <c r="A1069" i="103"/>
  <c r="A1068" i="103"/>
  <c r="A1067" i="103"/>
  <c r="A1066" i="103"/>
  <c r="A1065" i="103"/>
  <c r="A1064" i="103"/>
  <c r="A1063" i="103"/>
  <c r="A1060" i="103"/>
  <c r="A1054" i="103"/>
  <c r="A1053" i="103"/>
  <c r="A1052" i="103"/>
  <c r="A1051" i="103"/>
  <c r="A1050" i="103"/>
  <c r="A1049" i="103"/>
  <c r="A1048" i="103"/>
  <c r="A1047" i="103"/>
  <c r="A1046" i="103"/>
  <c r="A1043" i="103"/>
  <c r="A1037" i="103"/>
  <c r="A1036" i="103"/>
  <c r="A1035" i="103"/>
  <c r="A1034" i="103"/>
  <c r="A1033" i="103"/>
  <c r="A1032" i="103"/>
  <c r="A1031" i="103"/>
  <c r="A1030" i="103"/>
  <c r="A1029" i="103"/>
  <c r="A1026" i="103"/>
  <c r="A1020" i="103"/>
  <c r="A1019" i="103"/>
  <c r="A1018" i="103"/>
  <c r="A1017" i="103"/>
  <c r="A1016" i="103"/>
  <c r="A1015" i="103"/>
  <c r="A1014" i="103"/>
  <c r="A1013" i="103"/>
  <c r="A1012" i="103"/>
  <c r="A1009" i="103"/>
  <c r="A1003" i="103"/>
  <c r="A1002" i="103"/>
  <c r="A1001" i="103"/>
  <c r="A1000" i="103"/>
  <c r="A999" i="103"/>
  <c r="A998" i="103"/>
  <c r="A997" i="103"/>
  <c r="A996" i="103"/>
  <c r="A995" i="103"/>
  <c r="A992" i="103"/>
  <c r="A986" i="103"/>
  <c r="A985" i="103"/>
  <c r="A984" i="103"/>
  <c r="A983" i="103"/>
  <c r="A982" i="103"/>
  <c r="A981" i="103"/>
  <c r="A980" i="103"/>
  <c r="A979" i="103"/>
  <c r="A978" i="103"/>
  <c r="A975" i="103"/>
  <c r="A969" i="103"/>
  <c r="A968" i="103"/>
  <c r="A967" i="103"/>
  <c r="A966" i="103"/>
  <c r="A965" i="103"/>
  <c r="A964" i="103"/>
  <c r="A963" i="103"/>
  <c r="A962" i="103"/>
  <c r="A961" i="103"/>
  <c r="A958" i="103"/>
  <c r="A952" i="103"/>
  <c r="A951" i="103"/>
  <c r="A950" i="103"/>
  <c r="A949" i="103"/>
  <c r="A948" i="103"/>
  <c r="A947" i="103"/>
  <c r="A946" i="103"/>
  <c r="A945" i="103"/>
  <c r="A944" i="103"/>
  <c r="A941" i="103"/>
  <c r="A935" i="103"/>
  <c r="A934" i="103"/>
  <c r="A933" i="103"/>
  <c r="A932" i="103"/>
  <c r="A931" i="103"/>
  <c r="A930" i="103"/>
  <c r="A929" i="103"/>
  <c r="A928" i="103"/>
  <c r="A927" i="103"/>
  <c r="A924" i="103"/>
  <c r="A918" i="103"/>
  <c r="A917" i="103"/>
  <c r="A916" i="103"/>
  <c r="A915" i="103"/>
  <c r="A914" i="103"/>
  <c r="A913" i="103"/>
  <c r="A912" i="103"/>
  <c r="A911" i="103"/>
  <c r="A910" i="103"/>
  <c r="A907" i="103"/>
  <c r="A901" i="103"/>
  <c r="A900" i="103"/>
  <c r="A899" i="103"/>
  <c r="A898" i="103"/>
  <c r="A897" i="103"/>
  <c r="A896" i="103"/>
  <c r="A895" i="103"/>
  <c r="A894" i="103"/>
  <c r="A893" i="103"/>
  <c r="A890" i="103"/>
  <c r="A884" i="103"/>
  <c r="A883" i="103"/>
  <c r="A882" i="103"/>
  <c r="A881" i="103"/>
  <c r="A880" i="103"/>
  <c r="A879" i="103"/>
  <c r="A878" i="103"/>
  <c r="A877" i="103"/>
  <c r="A876" i="103"/>
  <c r="A873" i="103"/>
  <c r="A867" i="103"/>
  <c r="A866" i="103"/>
  <c r="A865" i="103"/>
  <c r="A864" i="103"/>
  <c r="A863" i="103"/>
  <c r="A862" i="103"/>
  <c r="A861" i="103"/>
  <c r="A860" i="103"/>
  <c r="A859" i="103"/>
  <c r="A856" i="103"/>
  <c r="A850" i="103"/>
  <c r="A849" i="103"/>
  <c r="A848" i="103"/>
  <c r="A847" i="103"/>
  <c r="A846" i="103"/>
  <c r="A845" i="103"/>
  <c r="A844" i="103"/>
  <c r="A843" i="103"/>
  <c r="A842" i="103"/>
  <c r="A839" i="103"/>
  <c r="A833" i="103"/>
  <c r="A832" i="103"/>
  <c r="A831" i="103"/>
  <c r="A830" i="103"/>
  <c r="A829" i="103"/>
  <c r="A828" i="103"/>
  <c r="A827" i="103"/>
  <c r="A826" i="103"/>
  <c r="A825" i="103"/>
  <c r="A822" i="103"/>
  <c r="A816" i="103"/>
  <c r="A815" i="103"/>
  <c r="A814" i="103"/>
  <c r="A813" i="103"/>
  <c r="A812" i="103"/>
  <c r="A811" i="103"/>
  <c r="A810" i="103"/>
  <c r="A809" i="103"/>
  <c r="A808" i="103"/>
  <c r="A805" i="103"/>
  <c r="A799" i="103"/>
  <c r="A798" i="103"/>
  <c r="A797" i="103"/>
  <c r="A796" i="103"/>
  <c r="A795" i="103"/>
  <c r="A794" i="103"/>
  <c r="A793" i="103"/>
  <c r="A792" i="103"/>
  <c r="A791" i="103"/>
  <c r="A788" i="103"/>
  <c r="A782" i="103"/>
  <c r="A781" i="103"/>
  <c r="A780" i="103"/>
  <c r="A779" i="103"/>
  <c r="A778" i="103"/>
  <c r="A777" i="103"/>
  <c r="A776" i="103"/>
  <c r="A775" i="103"/>
  <c r="A774" i="103"/>
  <c r="A771" i="103"/>
  <c r="A765" i="103"/>
  <c r="A764" i="103"/>
  <c r="A763" i="103"/>
  <c r="A762" i="103"/>
  <c r="A761" i="103"/>
  <c r="A760" i="103"/>
  <c r="A759" i="103"/>
  <c r="A758" i="103"/>
  <c r="A757" i="103"/>
  <c r="A754" i="103"/>
  <c r="A748" i="103"/>
  <c r="A747" i="103"/>
  <c r="A746" i="103"/>
  <c r="A745" i="103"/>
  <c r="A744" i="103"/>
  <c r="A743" i="103"/>
  <c r="A742" i="103"/>
  <c r="A741" i="103"/>
  <c r="A740" i="103"/>
  <c r="A737" i="103"/>
  <c r="A731" i="103"/>
  <c r="A730" i="103"/>
  <c r="A729" i="103"/>
  <c r="A728" i="103"/>
  <c r="A727" i="103"/>
  <c r="A726" i="103"/>
  <c r="A725" i="103"/>
  <c r="A724" i="103"/>
  <c r="A723" i="103"/>
  <c r="A720" i="103"/>
  <c r="A714" i="103"/>
  <c r="A713" i="103"/>
  <c r="A712" i="103"/>
  <c r="A711" i="103"/>
  <c r="A710" i="103"/>
  <c r="A709" i="103"/>
  <c r="A708" i="103"/>
  <c r="A707" i="103"/>
  <c r="A706" i="103"/>
  <c r="A703" i="103"/>
  <c r="A697" i="103"/>
  <c r="A696" i="103"/>
  <c r="A695" i="103"/>
  <c r="A694" i="103"/>
  <c r="A693" i="103"/>
  <c r="A692" i="103"/>
  <c r="A691" i="103"/>
  <c r="A690" i="103"/>
  <c r="A689" i="103"/>
  <c r="A686" i="103"/>
  <c r="A680" i="103"/>
  <c r="A679" i="103"/>
  <c r="A678" i="103"/>
  <c r="A677" i="103"/>
  <c r="A676" i="103"/>
  <c r="A675" i="103"/>
  <c r="A674" i="103"/>
  <c r="A673" i="103"/>
  <c r="A672" i="103"/>
  <c r="A669" i="103"/>
  <c r="A663" i="103"/>
  <c r="A662" i="103"/>
  <c r="A661" i="103"/>
  <c r="A660" i="103"/>
  <c r="A659" i="103"/>
  <c r="A658" i="103"/>
  <c r="A657" i="103"/>
  <c r="A656" i="103"/>
  <c r="A655" i="103"/>
  <c r="A652" i="103"/>
  <c r="A646" i="103"/>
  <c r="A645" i="103"/>
  <c r="A644" i="103"/>
  <c r="A643" i="103"/>
  <c r="A642" i="103"/>
  <c r="A641" i="103"/>
  <c r="A640" i="103"/>
  <c r="A639" i="103"/>
  <c r="A638" i="103"/>
  <c r="A635" i="103"/>
  <c r="A629" i="103"/>
  <c r="A628" i="103"/>
  <c r="A627" i="103"/>
  <c r="A626" i="103"/>
  <c r="A625" i="103"/>
  <c r="A624" i="103"/>
  <c r="A623" i="103"/>
  <c r="A622" i="103"/>
  <c r="A621" i="103"/>
  <c r="A618" i="103"/>
  <c r="A612" i="103"/>
  <c r="A611" i="103"/>
  <c r="A610" i="103"/>
  <c r="A609" i="103"/>
  <c r="A608" i="103"/>
  <c r="A607" i="103"/>
  <c r="A606" i="103"/>
  <c r="A605" i="103"/>
  <c r="A604" i="103"/>
  <c r="A601" i="103"/>
  <c r="A595" i="103"/>
  <c r="A594" i="103"/>
  <c r="A593" i="103"/>
  <c r="A592" i="103"/>
  <c r="A591" i="103"/>
  <c r="A590" i="103"/>
  <c r="A589" i="103"/>
  <c r="A588" i="103"/>
  <c r="A587" i="103"/>
  <c r="A584" i="103"/>
  <c r="A578" i="103"/>
  <c r="A577" i="103"/>
  <c r="A576" i="103"/>
  <c r="A575" i="103"/>
  <c r="A574" i="103"/>
  <c r="A573" i="103"/>
  <c r="A572" i="103"/>
  <c r="A571" i="103"/>
  <c r="A570" i="103"/>
  <c r="A567" i="103"/>
  <c r="A561" i="103"/>
  <c r="A560" i="103"/>
  <c r="A559" i="103"/>
  <c r="A558" i="103"/>
  <c r="A557" i="103"/>
  <c r="A556" i="103"/>
  <c r="A555" i="103"/>
  <c r="A554" i="103"/>
  <c r="A553" i="103"/>
  <c r="A550" i="103"/>
  <c r="A544" i="103"/>
  <c r="A543" i="103"/>
  <c r="A542" i="103"/>
  <c r="A541" i="103"/>
  <c r="A540" i="103"/>
  <c r="A539" i="103"/>
  <c r="A538" i="103"/>
  <c r="A537" i="103"/>
  <c r="A536" i="103"/>
  <c r="A533" i="103"/>
  <c r="A527" i="103"/>
  <c r="A526" i="103"/>
  <c r="A525" i="103"/>
  <c r="A524" i="103"/>
  <c r="A523" i="103"/>
  <c r="A522" i="103"/>
  <c r="A521" i="103"/>
  <c r="A520" i="103"/>
  <c r="A519" i="103"/>
  <c r="A516" i="103"/>
  <c r="A510" i="103"/>
  <c r="A509" i="103"/>
  <c r="A508" i="103"/>
  <c r="A507" i="103"/>
  <c r="A506" i="103"/>
  <c r="A505" i="103"/>
  <c r="A504" i="103"/>
  <c r="A503" i="103"/>
  <c r="A502" i="103"/>
  <c r="A499" i="103"/>
  <c r="A493" i="103"/>
  <c r="A492" i="103"/>
  <c r="A491" i="103"/>
  <c r="A490" i="103"/>
  <c r="A489" i="103"/>
  <c r="A488" i="103"/>
  <c r="A487" i="103"/>
  <c r="A486" i="103"/>
  <c r="A485" i="103"/>
  <c r="A482" i="103"/>
  <c r="A476" i="103"/>
  <c r="A475" i="103"/>
  <c r="A474" i="103"/>
  <c r="A473" i="103"/>
  <c r="A472" i="103"/>
  <c r="A471" i="103"/>
  <c r="A470" i="103"/>
  <c r="A469" i="103"/>
  <c r="A468" i="103"/>
  <c r="A465" i="103"/>
  <c r="A459" i="103"/>
  <c r="A458" i="103"/>
  <c r="A457" i="103"/>
  <c r="A456" i="103"/>
  <c r="A455" i="103"/>
  <c r="A454" i="103"/>
  <c r="A453" i="103"/>
  <c r="A452" i="103"/>
  <c r="A451" i="103"/>
  <c r="A448" i="103"/>
  <c r="A442" i="103"/>
  <c r="A441" i="103"/>
  <c r="A440" i="103"/>
  <c r="A439" i="103"/>
  <c r="A438" i="103"/>
  <c r="A437" i="103"/>
  <c r="A436" i="103"/>
  <c r="A435" i="103"/>
  <c r="A434" i="103"/>
  <c r="A431" i="103"/>
  <c r="A425" i="103"/>
  <c r="A424" i="103"/>
  <c r="A423" i="103"/>
  <c r="A422" i="103"/>
  <c r="A421" i="103"/>
  <c r="A420" i="103"/>
  <c r="A419" i="103"/>
  <c r="A418" i="103"/>
  <c r="A417" i="103"/>
  <c r="A414" i="103"/>
  <c r="A408" i="103"/>
  <c r="A407" i="103"/>
  <c r="A406" i="103"/>
  <c r="A405" i="103"/>
  <c r="A404" i="103"/>
  <c r="A403" i="103"/>
  <c r="A402" i="103"/>
  <c r="A401" i="103"/>
  <c r="A400" i="103"/>
  <c r="A397" i="103"/>
  <c r="A391" i="103"/>
  <c r="A390" i="103"/>
  <c r="A389" i="103"/>
  <c r="A388" i="103"/>
  <c r="A387" i="103"/>
  <c r="A386" i="103"/>
  <c r="A385" i="103"/>
  <c r="A384" i="103"/>
  <c r="A383" i="103"/>
  <c r="A380" i="103"/>
  <c r="A374" i="103"/>
  <c r="A373" i="103"/>
  <c r="A372" i="103"/>
  <c r="A371" i="103"/>
  <c r="A370" i="103"/>
  <c r="A369" i="103"/>
  <c r="A368" i="103"/>
  <c r="A367" i="103"/>
  <c r="A366" i="103"/>
  <c r="A363" i="103"/>
  <c r="A357" i="103"/>
  <c r="A356" i="103"/>
  <c r="A355" i="103"/>
  <c r="A354" i="103"/>
  <c r="A353" i="103"/>
  <c r="A352" i="103"/>
  <c r="A351" i="103"/>
  <c r="A350" i="103"/>
  <c r="A349" i="103"/>
  <c r="A346" i="103"/>
  <c r="A340" i="103"/>
  <c r="A339" i="103"/>
  <c r="A338" i="103"/>
  <c r="A337" i="103"/>
  <c r="A336" i="103"/>
  <c r="A335" i="103"/>
  <c r="A334" i="103"/>
  <c r="A333" i="103"/>
  <c r="A332" i="103"/>
  <c r="A329" i="103"/>
  <c r="A323" i="103"/>
  <c r="A322" i="103"/>
  <c r="A321" i="103"/>
  <c r="A320" i="103"/>
  <c r="A319" i="103"/>
  <c r="A318" i="103"/>
  <c r="A317" i="103"/>
  <c r="A316" i="103"/>
  <c r="A315" i="103"/>
  <c r="A312" i="103"/>
  <c r="A306" i="103"/>
  <c r="A305" i="103"/>
  <c r="A304" i="103"/>
  <c r="A303" i="103"/>
  <c r="A302" i="103"/>
  <c r="A301" i="103"/>
  <c r="A300" i="103"/>
  <c r="A299" i="103"/>
  <c r="A298" i="103"/>
  <c r="A295" i="103"/>
  <c r="A289" i="103"/>
  <c r="A288" i="103"/>
  <c r="A287" i="103"/>
  <c r="A286" i="103"/>
  <c r="A285" i="103"/>
  <c r="A284" i="103"/>
  <c r="A283" i="103"/>
  <c r="A282" i="103"/>
  <c r="A281" i="103"/>
  <c r="A278" i="103"/>
  <c r="A272" i="103"/>
  <c r="A271" i="103"/>
  <c r="A270" i="103"/>
  <c r="A269" i="103"/>
  <c r="A268" i="103"/>
  <c r="A267" i="103"/>
  <c r="A266" i="103"/>
  <c r="A265" i="103"/>
  <c r="A264" i="103"/>
  <c r="A261" i="103"/>
  <c r="A255" i="103"/>
  <c r="A254" i="103"/>
  <c r="A253" i="103"/>
  <c r="A252" i="103"/>
  <c r="A251" i="103"/>
  <c r="A250" i="103"/>
  <c r="A249" i="103"/>
  <c r="A248" i="103"/>
  <c r="A247" i="103"/>
  <c r="A244" i="103"/>
  <c r="A238" i="103"/>
  <c r="A237" i="103"/>
  <c r="A236" i="103"/>
  <c r="A235" i="103"/>
  <c r="A234" i="103"/>
  <c r="A233" i="103"/>
  <c r="A232" i="103"/>
  <c r="A231" i="103"/>
  <c r="A230" i="103"/>
  <c r="A227" i="103"/>
  <c r="A221" i="103"/>
  <c r="A220" i="103"/>
  <c r="A219" i="103"/>
  <c r="A218" i="103"/>
  <c r="A217" i="103"/>
  <c r="A216" i="103"/>
  <c r="A215" i="103"/>
  <c r="A214" i="103"/>
  <c r="A213" i="103"/>
  <c r="A210" i="103"/>
  <c r="A204" i="103"/>
  <c r="A203" i="103"/>
  <c r="A202" i="103"/>
  <c r="A201" i="103"/>
  <c r="A200" i="103"/>
  <c r="A199" i="103"/>
  <c r="A198" i="103"/>
  <c r="A197" i="103"/>
  <c r="A196" i="103"/>
  <c r="A193" i="103"/>
  <c r="A187" i="103"/>
  <c r="A186" i="103"/>
  <c r="A185" i="103"/>
  <c r="A184" i="103"/>
  <c r="A183" i="103"/>
  <c r="A182" i="103"/>
  <c r="A181" i="103"/>
  <c r="A180" i="103"/>
  <c r="A179" i="103"/>
  <c r="A176" i="103"/>
  <c r="A170" i="103"/>
  <c r="A169" i="103"/>
  <c r="A168" i="103"/>
  <c r="A167" i="103"/>
  <c r="A166" i="103"/>
  <c r="A165" i="103"/>
  <c r="A164" i="103"/>
  <c r="A163" i="103"/>
  <c r="A162" i="103"/>
  <c r="A159" i="103"/>
  <c r="A153" i="103"/>
  <c r="A152" i="103"/>
  <c r="A151" i="103"/>
  <c r="A150" i="103"/>
  <c r="A149" i="103"/>
  <c r="A148" i="103"/>
  <c r="A147" i="103"/>
  <c r="A146" i="103"/>
  <c r="A145" i="103"/>
  <c r="A142" i="103"/>
  <c r="A136" i="103"/>
  <c r="A135" i="103"/>
  <c r="A134" i="103"/>
  <c r="A133" i="103"/>
  <c r="A132" i="103"/>
  <c r="A131" i="103"/>
  <c r="A130" i="103"/>
  <c r="A129" i="103"/>
  <c r="A128" i="103"/>
  <c r="A125" i="103"/>
  <c r="A119" i="103"/>
  <c r="A118" i="103"/>
  <c r="A117" i="103"/>
  <c r="A116" i="103"/>
  <c r="A115" i="103"/>
  <c r="A114" i="103"/>
  <c r="A113" i="103"/>
  <c r="A112" i="103"/>
  <c r="A111" i="103"/>
  <c r="A108" i="103"/>
  <c r="A102" i="103"/>
  <c r="A101" i="103"/>
  <c r="A100" i="103"/>
  <c r="A99" i="103"/>
  <c r="A98" i="103"/>
  <c r="A97" i="103"/>
  <c r="A96" i="103"/>
  <c r="A95" i="103"/>
  <c r="A94" i="103"/>
  <c r="A91" i="103"/>
  <c r="A85" i="103"/>
  <c r="A84" i="103"/>
  <c r="A83" i="103"/>
  <c r="A82" i="103"/>
  <c r="A81" i="103"/>
  <c r="A80" i="103"/>
  <c r="A79" i="103"/>
  <c r="A78" i="103"/>
  <c r="A77" i="103"/>
  <c r="A74" i="103"/>
  <c r="A68" i="103"/>
  <c r="A67" i="103"/>
  <c r="A66" i="103"/>
  <c r="A65" i="103"/>
  <c r="A64" i="103"/>
  <c r="A63" i="103"/>
  <c r="A62" i="103"/>
  <c r="A61" i="103"/>
  <c r="A60" i="103"/>
  <c r="A57" i="103"/>
  <c r="A51" i="103"/>
  <c r="A50" i="103"/>
  <c r="A49" i="103"/>
  <c r="A48" i="103"/>
  <c r="A47" i="103"/>
  <c r="A46" i="103"/>
  <c r="A45" i="103"/>
  <c r="A44" i="103"/>
  <c r="A43" i="103"/>
  <c r="A40" i="103"/>
  <c r="A34" i="103"/>
  <c r="A33" i="103"/>
  <c r="A32" i="103"/>
  <c r="A31" i="103"/>
  <c r="A30" i="103"/>
  <c r="A29" i="103"/>
  <c r="A28" i="103"/>
  <c r="A27" i="103"/>
  <c r="A26" i="103"/>
  <c r="A23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1231" i="103" l="1"/>
  <c r="C1163" i="103"/>
  <c r="C1095" i="103"/>
  <c r="C1027" i="103"/>
  <c r="C959" i="103"/>
  <c r="C891" i="103"/>
  <c r="C823" i="103"/>
  <c r="C755" i="103"/>
  <c r="C687" i="103"/>
  <c r="C619" i="103"/>
  <c r="C551" i="103"/>
  <c r="C483" i="103"/>
  <c r="C415" i="103"/>
  <c r="C347" i="103"/>
  <c r="C279" i="103"/>
  <c r="C211" i="103"/>
  <c r="C143" i="103"/>
  <c r="C75" i="103"/>
  <c r="C1282" i="103"/>
  <c r="C1214" i="103"/>
  <c r="C1146" i="103"/>
  <c r="C1078" i="103"/>
  <c r="C1010" i="103"/>
  <c r="C942" i="103"/>
  <c r="C874" i="103"/>
  <c r="C806" i="103"/>
  <c r="C738" i="103"/>
  <c r="C670" i="103"/>
  <c r="C602" i="103"/>
  <c r="C534" i="103"/>
  <c r="C466" i="103"/>
  <c r="C398" i="103"/>
  <c r="C330" i="103"/>
  <c r="C262" i="103"/>
  <c r="C194" i="103"/>
  <c r="C126" i="103"/>
  <c r="C58" i="103"/>
  <c r="C1265" i="103"/>
  <c r="C1197" i="103"/>
  <c r="C1129" i="103"/>
  <c r="C1061" i="103"/>
  <c r="C993" i="103"/>
  <c r="C925" i="103"/>
  <c r="C857" i="103"/>
  <c r="C789" i="103"/>
  <c r="C721" i="103"/>
  <c r="C653" i="103"/>
  <c r="C585" i="103"/>
  <c r="C517" i="103"/>
  <c r="C449" i="103"/>
  <c r="C381" i="103"/>
  <c r="C313" i="103"/>
  <c r="C245" i="103"/>
  <c r="C177" i="103"/>
  <c r="C109" i="103"/>
  <c r="C41" i="103"/>
  <c r="C1248" i="103"/>
  <c r="C1180" i="103"/>
  <c r="C1112" i="103"/>
  <c r="C1044" i="103"/>
  <c r="C976" i="103"/>
  <c r="C908" i="103"/>
  <c r="C840" i="103"/>
  <c r="C772" i="103"/>
  <c r="C704" i="103"/>
  <c r="C636" i="103"/>
  <c r="C568" i="103"/>
  <c r="C500" i="103"/>
  <c r="C432" i="103"/>
  <c r="C364" i="103"/>
  <c r="C296" i="103"/>
  <c r="C228" i="103"/>
  <c r="C160" i="103"/>
  <c r="C92" i="103"/>
  <c r="L1265" i="103"/>
  <c r="L1197" i="103"/>
  <c r="L1129" i="103"/>
  <c r="L1061" i="103"/>
  <c r="L993" i="103"/>
  <c r="L925" i="103"/>
  <c r="L857" i="103"/>
  <c r="L789" i="103"/>
  <c r="L721" i="103"/>
  <c r="L653" i="103"/>
  <c r="L585" i="103"/>
  <c r="L517" i="103"/>
  <c r="L449" i="103"/>
  <c r="L381" i="103"/>
  <c r="L313" i="103"/>
  <c r="L245" i="103"/>
  <c r="L177" i="103"/>
  <c r="L109" i="103"/>
  <c r="L41" i="103"/>
  <c r="L58" i="103"/>
  <c r="L1146" i="103"/>
  <c r="L874" i="103"/>
  <c r="L738" i="103"/>
  <c r="L602" i="103"/>
  <c r="L1282" i="103"/>
  <c r="L1214" i="103"/>
  <c r="L466" i="103"/>
  <c r="L194" i="103"/>
  <c r="L1248" i="103"/>
  <c r="L1180" i="103"/>
  <c r="L1112" i="103"/>
  <c r="L1044" i="103"/>
  <c r="L976" i="103"/>
  <c r="L908" i="103"/>
  <c r="L840" i="103"/>
  <c r="L772" i="103"/>
  <c r="L704" i="103"/>
  <c r="L636" i="103"/>
  <c r="L568" i="103"/>
  <c r="L500" i="103"/>
  <c r="L432" i="103"/>
  <c r="L364" i="103"/>
  <c r="L296" i="103"/>
  <c r="L228" i="103"/>
  <c r="L160" i="103"/>
  <c r="L92" i="103"/>
  <c r="L534" i="103"/>
  <c r="L398" i="103"/>
  <c r="L330" i="103"/>
  <c r="L126" i="103"/>
  <c r="L1078" i="103"/>
  <c r="L670" i="103"/>
  <c r="L1010" i="103"/>
  <c r="L806" i="103"/>
  <c r="L1231" i="103"/>
  <c r="L1163" i="103"/>
  <c r="L1095" i="103"/>
  <c r="L1027" i="103"/>
  <c r="L959" i="103"/>
  <c r="L891" i="103"/>
  <c r="L823" i="103"/>
  <c r="L755" i="103"/>
  <c r="L687" i="103"/>
  <c r="L619" i="103"/>
  <c r="L551" i="103"/>
  <c r="L483" i="103"/>
  <c r="L415" i="103"/>
  <c r="L347" i="103"/>
  <c r="L279" i="103"/>
  <c r="L211" i="103"/>
  <c r="L143" i="103"/>
  <c r="L75" i="103"/>
  <c r="L262" i="103"/>
  <c r="L942" i="103"/>
  <c r="M721" i="103"/>
  <c r="M1248" i="103"/>
  <c r="M1180" i="103"/>
  <c r="M1112" i="103"/>
  <c r="M1044" i="103"/>
  <c r="M976" i="103"/>
  <c r="M908" i="103"/>
  <c r="M840" i="103"/>
  <c r="M772" i="103"/>
  <c r="M704" i="103"/>
  <c r="M636" i="103"/>
  <c r="M568" i="103"/>
  <c r="M500" i="103"/>
  <c r="M432" i="103"/>
  <c r="M364" i="103"/>
  <c r="M296" i="103"/>
  <c r="M228" i="103"/>
  <c r="M160" i="103"/>
  <c r="M92" i="103"/>
  <c r="M1061" i="103"/>
  <c r="M381" i="103"/>
  <c r="M517" i="103"/>
  <c r="M1231" i="103"/>
  <c r="M1163" i="103"/>
  <c r="M1095" i="103"/>
  <c r="M1027" i="103"/>
  <c r="M959" i="103"/>
  <c r="M891" i="103"/>
  <c r="M823" i="103"/>
  <c r="M755" i="103"/>
  <c r="M687" i="103"/>
  <c r="M619" i="103"/>
  <c r="M551" i="103"/>
  <c r="M483" i="103"/>
  <c r="M415" i="103"/>
  <c r="M347" i="103"/>
  <c r="M279" i="103"/>
  <c r="M211" i="103"/>
  <c r="M143" i="103"/>
  <c r="M75" i="103"/>
  <c r="M313" i="103"/>
  <c r="M245" i="103"/>
  <c r="M789" i="103"/>
  <c r="M857" i="103"/>
  <c r="M109" i="103"/>
  <c r="M1282" i="103"/>
  <c r="M1214" i="103"/>
  <c r="M1146" i="103"/>
  <c r="M1078" i="103"/>
  <c r="M1010" i="103"/>
  <c r="M942" i="103"/>
  <c r="M874" i="103"/>
  <c r="M806" i="103"/>
  <c r="M738" i="103"/>
  <c r="M670" i="103"/>
  <c r="M602" i="103"/>
  <c r="M534" i="103"/>
  <c r="M466" i="103"/>
  <c r="M398" i="103"/>
  <c r="M330" i="103"/>
  <c r="M262" i="103"/>
  <c r="M194" i="103"/>
  <c r="M126" i="103"/>
  <c r="M58" i="103"/>
  <c r="M653" i="103"/>
  <c r="M585" i="103"/>
  <c r="M449" i="103"/>
  <c r="M41" i="103"/>
  <c r="M1265" i="103"/>
  <c r="M1197" i="103"/>
  <c r="M1129" i="103"/>
  <c r="M993" i="103"/>
  <c r="M925" i="103"/>
  <c r="M177" i="103"/>
  <c r="N1248" i="103"/>
  <c r="N1180" i="103"/>
  <c r="N1112" i="103"/>
  <c r="N1044" i="103"/>
  <c r="N976" i="103"/>
  <c r="N908" i="103"/>
  <c r="N840" i="103"/>
  <c r="N772" i="103"/>
  <c r="N704" i="103"/>
  <c r="N636" i="103"/>
  <c r="N568" i="103"/>
  <c r="N500" i="103"/>
  <c r="N432" i="103"/>
  <c r="N364" i="103"/>
  <c r="N296" i="103"/>
  <c r="N228" i="103"/>
  <c r="N160" i="103"/>
  <c r="N92" i="103"/>
  <c r="N1231" i="103"/>
  <c r="N1163" i="103"/>
  <c r="N1095" i="103"/>
  <c r="N1027" i="103"/>
  <c r="N959" i="103"/>
  <c r="N891" i="103"/>
  <c r="N823" i="103"/>
  <c r="N755" i="103"/>
  <c r="N687" i="103"/>
  <c r="N619" i="103"/>
  <c r="N551" i="103"/>
  <c r="N483" i="103"/>
  <c r="N415" i="103"/>
  <c r="N347" i="103"/>
  <c r="N279" i="103"/>
  <c r="N211" i="103"/>
  <c r="N143" i="103"/>
  <c r="N75" i="103"/>
  <c r="N1282" i="103"/>
  <c r="N1214" i="103"/>
  <c r="N1146" i="103"/>
  <c r="N1078" i="103"/>
  <c r="N1010" i="103"/>
  <c r="N942" i="103"/>
  <c r="N874" i="103"/>
  <c r="N806" i="103"/>
  <c r="N738" i="103"/>
  <c r="N670" i="103"/>
  <c r="N602" i="103"/>
  <c r="N534" i="103"/>
  <c r="N466" i="103"/>
  <c r="N398" i="103"/>
  <c r="N330" i="103"/>
  <c r="N262" i="103"/>
  <c r="N194" i="103"/>
  <c r="N126" i="103"/>
  <c r="N58" i="103"/>
  <c r="N1265" i="103"/>
  <c r="N1197" i="103"/>
  <c r="N1129" i="103"/>
  <c r="N1061" i="103"/>
  <c r="N993" i="103"/>
  <c r="N925" i="103"/>
  <c r="N857" i="103"/>
  <c r="N789" i="103"/>
  <c r="N721" i="103"/>
  <c r="N653" i="103"/>
  <c r="N585" i="103"/>
  <c r="N517" i="103"/>
  <c r="N449" i="103"/>
  <c r="N381" i="103"/>
  <c r="N313" i="103"/>
  <c r="N245" i="103"/>
  <c r="N177" i="103"/>
  <c r="N109" i="103"/>
  <c r="N41" i="103"/>
  <c r="B364" i="103"/>
  <c r="B1231" i="103"/>
  <c r="B1163" i="103"/>
  <c r="B1095" i="103"/>
  <c r="B1027" i="103"/>
  <c r="B959" i="103"/>
  <c r="B891" i="103"/>
  <c r="B823" i="103"/>
  <c r="B755" i="103"/>
  <c r="B687" i="103"/>
  <c r="B619" i="103"/>
  <c r="B551" i="103"/>
  <c r="B483" i="103"/>
  <c r="B415" i="103"/>
  <c r="B347" i="103"/>
  <c r="B279" i="103"/>
  <c r="B211" i="103"/>
  <c r="B143" i="103"/>
  <c r="B75" i="103"/>
  <c r="B840" i="103"/>
  <c r="B772" i="103"/>
  <c r="B704" i="103"/>
  <c r="B568" i="103"/>
  <c r="B228" i="103"/>
  <c r="B160" i="103"/>
  <c r="B92" i="103"/>
  <c r="B1044" i="103"/>
  <c r="B296" i="103"/>
  <c r="B1282" i="103"/>
  <c r="B1214" i="103"/>
  <c r="B1146" i="103"/>
  <c r="B1078" i="103"/>
  <c r="B1010" i="103"/>
  <c r="B942" i="103"/>
  <c r="B874" i="103"/>
  <c r="B806" i="103"/>
  <c r="B738" i="103"/>
  <c r="B670" i="103"/>
  <c r="B602" i="103"/>
  <c r="B534" i="103"/>
  <c r="B466" i="103"/>
  <c r="B398" i="103"/>
  <c r="B330" i="103"/>
  <c r="B262" i="103"/>
  <c r="B194" i="103"/>
  <c r="B126" i="103"/>
  <c r="B58" i="103"/>
  <c r="B500" i="103"/>
  <c r="B1265" i="103"/>
  <c r="B1197" i="103"/>
  <c r="B1129" i="103"/>
  <c r="B1061" i="103"/>
  <c r="B993" i="103"/>
  <c r="B925" i="103"/>
  <c r="B857" i="103"/>
  <c r="B789" i="103"/>
  <c r="B721" i="103"/>
  <c r="B653" i="103"/>
  <c r="B585" i="103"/>
  <c r="B517" i="103"/>
  <c r="B449" i="103"/>
  <c r="B381" i="103"/>
  <c r="B313" i="103"/>
  <c r="B245" i="103"/>
  <c r="B177" i="103"/>
  <c r="B109" i="103"/>
  <c r="B41" i="103"/>
  <c r="B908" i="103"/>
  <c r="B1248" i="103"/>
  <c r="B1180" i="103"/>
  <c r="B1112" i="103"/>
  <c r="B976" i="103"/>
  <c r="B636" i="103"/>
  <c r="B432" i="103"/>
  <c r="D1231" i="103"/>
  <c r="D1163" i="103"/>
  <c r="D1095" i="103"/>
  <c r="D1027" i="103"/>
  <c r="D959" i="103"/>
  <c r="D891" i="103"/>
  <c r="D823" i="103"/>
  <c r="D755" i="103"/>
  <c r="D687" i="103"/>
  <c r="D619" i="103"/>
  <c r="D551" i="103"/>
  <c r="D483" i="103"/>
  <c r="D415" i="103"/>
  <c r="D347" i="103"/>
  <c r="D279" i="103"/>
  <c r="D211" i="103"/>
  <c r="D143" i="103"/>
  <c r="D75" i="103"/>
  <c r="D772" i="103"/>
  <c r="D41" i="103"/>
  <c r="D1112" i="103"/>
  <c r="D908" i="103"/>
  <c r="D704" i="103"/>
  <c r="D160" i="103"/>
  <c r="D92" i="103"/>
  <c r="D1282" i="103"/>
  <c r="D1214" i="103"/>
  <c r="D1146" i="103"/>
  <c r="D1078" i="103"/>
  <c r="D1010" i="103"/>
  <c r="D942" i="103"/>
  <c r="D874" i="103"/>
  <c r="D806" i="103"/>
  <c r="D738" i="103"/>
  <c r="D670" i="103"/>
  <c r="D602" i="103"/>
  <c r="D534" i="103"/>
  <c r="D466" i="103"/>
  <c r="D398" i="103"/>
  <c r="D330" i="103"/>
  <c r="D262" i="103"/>
  <c r="D194" i="103"/>
  <c r="D126" i="103"/>
  <c r="D58" i="103"/>
  <c r="D1180" i="103"/>
  <c r="D500" i="103"/>
  <c r="D432" i="103"/>
  <c r="D364" i="103"/>
  <c r="D568" i="103"/>
  <c r="D1265" i="103"/>
  <c r="D1197" i="103"/>
  <c r="D1129" i="103"/>
  <c r="D1061" i="103"/>
  <c r="D993" i="103"/>
  <c r="D925" i="103"/>
  <c r="D857" i="103"/>
  <c r="D789" i="103"/>
  <c r="D721" i="103"/>
  <c r="D653" i="103"/>
  <c r="D585" i="103"/>
  <c r="D517" i="103"/>
  <c r="D449" i="103"/>
  <c r="D381" i="103"/>
  <c r="D313" i="103"/>
  <c r="D245" i="103"/>
  <c r="D177" i="103"/>
  <c r="D109" i="103"/>
  <c r="D296" i="103"/>
  <c r="D1248" i="103"/>
  <c r="D1044" i="103"/>
  <c r="D976" i="103"/>
  <c r="D228" i="103"/>
  <c r="D840" i="103"/>
  <c r="D636" i="103"/>
  <c r="G1282" i="103"/>
  <c r="G1214" i="103"/>
  <c r="G1146" i="103"/>
  <c r="G1078" i="103"/>
  <c r="G1010" i="103"/>
  <c r="G942" i="103"/>
  <c r="G874" i="103"/>
  <c r="G806" i="103"/>
  <c r="G738" i="103"/>
  <c r="G670" i="103"/>
  <c r="G602" i="103"/>
  <c r="G534" i="103"/>
  <c r="G466" i="103"/>
  <c r="G398" i="103"/>
  <c r="G330" i="103"/>
  <c r="G262" i="103"/>
  <c r="G194" i="103"/>
  <c r="G126" i="103"/>
  <c r="G58" i="103"/>
  <c r="G1265" i="103"/>
  <c r="G1197" i="103"/>
  <c r="G1129" i="103"/>
  <c r="G1061" i="103"/>
  <c r="G993" i="103"/>
  <c r="G925" i="103"/>
  <c r="G857" i="103"/>
  <c r="G789" i="103"/>
  <c r="G721" i="103"/>
  <c r="G653" i="103"/>
  <c r="G585" i="103"/>
  <c r="G517" i="103"/>
  <c r="G449" i="103"/>
  <c r="G381" i="103"/>
  <c r="G313" i="103"/>
  <c r="G245" i="103"/>
  <c r="G177" i="103"/>
  <c r="G109" i="103"/>
  <c r="G41" i="103"/>
  <c r="G1248" i="103"/>
  <c r="G1180" i="103"/>
  <c r="G1112" i="103"/>
  <c r="G1044" i="103"/>
  <c r="G976" i="103"/>
  <c r="G908" i="103"/>
  <c r="G840" i="103"/>
  <c r="G772" i="103"/>
  <c r="G704" i="103"/>
  <c r="G636" i="103"/>
  <c r="G568" i="103"/>
  <c r="G500" i="103"/>
  <c r="G432" i="103"/>
  <c r="G364" i="103"/>
  <c r="G296" i="103"/>
  <c r="G228" i="103"/>
  <c r="G160" i="103"/>
  <c r="G92" i="103"/>
  <c r="G1231" i="103"/>
  <c r="G1163" i="103"/>
  <c r="G1095" i="103"/>
  <c r="G1027" i="103"/>
  <c r="G959" i="103"/>
  <c r="G891" i="103"/>
  <c r="G823" i="103"/>
  <c r="G755" i="103"/>
  <c r="G687" i="103"/>
  <c r="G619" i="103"/>
  <c r="G551" i="103"/>
  <c r="G483" i="103"/>
  <c r="G415" i="103"/>
  <c r="G347" i="103"/>
  <c r="G279" i="103"/>
  <c r="G211" i="103"/>
  <c r="G143" i="103"/>
  <c r="G75" i="103"/>
  <c r="H1282" i="103"/>
  <c r="H1214" i="103"/>
  <c r="H1146" i="103"/>
  <c r="H1078" i="103"/>
  <c r="H1010" i="103"/>
  <c r="H942" i="103"/>
  <c r="H874" i="103"/>
  <c r="H806" i="103"/>
  <c r="H738" i="103"/>
  <c r="H670" i="103"/>
  <c r="H602" i="103"/>
  <c r="H534" i="103"/>
  <c r="H466" i="103"/>
  <c r="H398" i="103"/>
  <c r="H330" i="103"/>
  <c r="H262" i="103"/>
  <c r="H194" i="103"/>
  <c r="H126" i="103"/>
  <c r="H58" i="103"/>
  <c r="H1231" i="103"/>
  <c r="H1163" i="103"/>
  <c r="H1095" i="103"/>
  <c r="H823" i="103"/>
  <c r="H755" i="103"/>
  <c r="H687" i="103"/>
  <c r="H483" i="103"/>
  <c r="H415" i="103"/>
  <c r="H347" i="103"/>
  <c r="H1265" i="103"/>
  <c r="H1197" i="103"/>
  <c r="H1129" i="103"/>
  <c r="H1061" i="103"/>
  <c r="H993" i="103"/>
  <c r="H925" i="103"/>
  <c r="H857" i="103"/>
  <c r="H789" i="103"/>
  <c r="H721" i="103"/>
  <c r="H653" i="103"/>
  <c r="H585" i="103"/>
  <c r="H517" i="103"/>
  <c r="H449" i="103"/>
  <c r="H381" i="103"/>
  <c r="H313" i="103"/>
  <c r="H245" i="103"/>
  <c r="H177" i="103"/>
  <c r="H109" i="103"/>
  <c r="H41" i="103"/>
  <c r="H619" i="103"/>
  <c r="H1248" i="103"/>
  <c r="H1180" i="103"/>
  <c r="H1112" i="103"/>
  <c r="H1044" i="103"/>
  <c r="H976" i="103"/>
  <c r="H908" i="103"/>
  <c r="H840" i="103"/>
  <c r="H772" i="103"/>
  <c r="H704" i="103"/>
  <c r="H636" i="103"/>
  <c r="H568" i="103"/>
  <c r="H500" i="103"/>
  <c r="H432" i="103"/>
  <c r="H364" i="103"/>
  <c r="H296" i="103"/>
  <c r="H228" i="103"/>
  <c r="H160" i="103"/>
  <c r="H92" i="103"/>
  <c r="H551" i="103"/>
  <c r="H211" i="103"/>
  <c r="H75" i="103"/>
  <c r="H959" i="103"/>
  <c r="H891" i="103"/>
  <c r="H143" i="103"/>
  <c r="H1027" i="103"/>
  <c r="H279" i="103"/>
  <c r="I398" i="103"/>
  <c r="I1265" i="103"/>
  <c r="I1197" i="103"/>
  <c r="I1129" i="103"/>
  <c r="I1061" i="103"/>
  <c r="I993" i="103"/>
  <c r="I925" i="103"/>
  <c r="I857" i="103"/>
  <c r="I789" i="103"/>
  <c r="I721" i="103"/>
  <c r="I653" i="103"/>
  <c r="I585" i="103"/>
  <c r="I517" i="103"/>
  <c r="I449" i="103"/>
  <c r="I381" i="103"/>
  <c r="I313" i="103"/>
  <c r="I245" i="103"/>
  <c r="I177" i="103"/>
  <c r="I109" i="103"/>
  <c r="I41" i="103"/>
  <c r="I126" i="103"/>
  <c r="I874" i="103"/>
  <c r="I738" i="103"/>
  <c r="I534" i="103"/>
  <c r="I58" i="103"/>
  <c r="I1248" i="103"/>
  <c r="I1180" i="103"/>
  <c r="I1112" i="103"/>
  <c r="I1044" i="103"/>
  <c r="I976" i="103"/>
  <c r="I908" i="103"/>
  <c r="I840" i="103"/>
  <c r="I772" i="103"/>
  <c r="I704" i="103"/>
  <c r="I636" i="103"/>
  <c r="I568" i="103"/>
  <c r="I500" i="103"/>
  <c r="I432" i="103"/>
  <c r="I364" i="103"/>
  <c r="I296" i="103"/>
  <c r="I228" i="103"/>
  <c r="I160" i="103"/>
  <c r="I92" i="103"/>
  <c r="I262" i="103"/>
  <c r="I1231" i="103"/>
  <c r="I1163" i="103"/>
  <c r="I1095" i="103"/>
  <c r="I1027" i="103"/>
  <c r="I959" i="103"/>
  <c r="I891" i="103"/>
  <c r="I823" i="103"/>
  <c r="I755" i="103"/>
  <c r="I687" i="103"/>
  <c r="I619" i="103"/>
  <c r="I551" i="103"/>
  <c r="I483" i="103"/>
  <c r="I415" i="103"/>
  <c r="I347" i="103"/>
  <c r="I279" i="103"/>
  <c r="I211" i="103"/>
  <c r="I143" i="103"/>
  <c r="I75" i="103"/>
  <c r="I806" i="103"/>
  <c r="I670" i="103"/>
  <c r="I466" i="103"/>
  <c r="I194" i="103"/>
  <c r="I1282" i="103"/>
  <c r="I1214" i="103"/>
  <c r="I1146" i="103"/>
  <c r="I1078" i="103"/>
  <c r="I1010" i="103"/>
  <c r="I942" i="103"/>
  <c r="I602" i="103"/>
  <c r="I330" i="103"/>
  <c r="B24" i="103"/>
  <c r="L24" i="103"/>
  <c r="I24" i="103"/>
  <c r="C24" i="103"/>
  <c r="D24" i="103"/>
  <c r="M24" i="103"/>
  <c r="N24" i="103"/>
  <c r="G24" i="103"/>
  <c r="H24" i="103"/>
  <c r="A558" i="102"/>
  <c r="A553" i="102"/>
  <c r="A548" i="102"/>
  <c r="A545" i="102"/>
  <c r="A533" i="102"/>
  <c r="A528" i="102"/>
  <c r="A523" i="102"/>
  <c r="A518" i="102"/>
  <c r="A515" i="102"/>
  <c r="A480" i="102"/>
  <c r="A470" i="102"/>
  <c r="A490" i="102"/>
  <c r="A503" i="102"/>
  <c r="A498" i="102"/>
  <c r="A493" i="102"/>
  <c r="A483" i="102"/>
  <c r="A473" i="102"/>
  <c r="A458" i="102"/>
  <c r="A453" i="102"/>
  <c r="A448" i="102"/>
  <c r="A443" i="102"/>
  <c r="A438" i="102"/>
  <c r="A433" i="102"/>
  <c r="A430" i="102"/>
  <c r="A418" i="102"/>
  <c r="A413" i="102"/>
  <c r="A408" i="102"/>
  <c r="A403" i="102"/>
  <c r="A398" i="102"/>
  <c r="A393" i="102"/>
  <c r="A388" i="102"/>
  <c r="A385" i="102"/>
  <c r="A378" i="102"/>
  <c r="A375" i="102"/>
  <c r="A363" i="102"/>
  <c r="A358" i="102"/>
  <c r="A353" i="102"/>
  <c r="A350" i="102"/>
  <c r="A338" i="102"/>
  <c r="A333" i="102"/>
  <c r="A328" i="102"/>
  <c r="A325" i="102"/>
  <c r="A313" i="102"/>
  <c r="A308" i="102"/>
  <c r="A303" i="102"/>
  <c r="A300" i="102"/>
  <c r="A288" i="102"/>
  <c r="A283" i="102"/>
  <c r="A280" i="102"/>
  <c r="A245" i="102"/>
  <c r="A268" i="102"/>
  <c r="A263" i="102"/>
  <c r="A258" i="102"/>
  <c r="A253" i="102"/>
  <c r="A248" i="102"/>
  <c r="A233" i="102"/>
  <c r="A228" i="102"/>
  <c r="A223" i="102"/>
  <c r="A220" i="102"/>
  <c r="A208" i="102"/>
  <c r="A203" i="102"/>
  <c r="A198" i="102"/>
  <c r="A195" i="102"/>
  <c r="A170" i="102"/>
  <c r="A183" i="102"/>
  <c r="A178" i="102"/>
  <c r="A173" i="102"/>
  <c r="A163" i="102"/>
  <c r="A160" i="102"/>
  <c r="A148" i="102"/>
  <c r="A143" i="102"/>
  <c r="A138" i="102"/>
  <c r="A133" i="102"/>
  <c r="A128" i="102"/>
  <c r="A123" i="102"/>
  <c r="A118" i="102"/>
  <c r="A113" i="102"/>
  <c r="A108" i="102"/>
  <c r="A103" i="102"/>
  <c r="A98" i="102"/>
  <c r="A93" i="102"/>
  <c r="A88" i="102"/>
  <c r="A83" i="102"/>
  <c r="A78" i="102"/>
  <c r="A70" i="102"/>
  <c r="A73" i="102"/>
  <c r="A58" i="102"/>
  <c r="A53" i="102"/>
  <c r="A48" i="102"/>
  <c r="A45" i="102"/>
  <c r="A33" i="102"/>
  <c r="A28" i="102"/>
  <c r="A25" i="102"/>
  <c r="A18" i="102"/>
  <c r="A8" i="102"/>
  <c r="B15" i="102"/>
  <c r="A15" i="102"/>
  <c r="A5" i="102"/>
  <c r="L15" i="102"/>
  <c r="V15" i="102"/>
  <c r="Y16" i="102"/>
  <c r="O16" i="102"/>
  <c r="E16" i="102"/>
  <c r="X6" i="102"/>
  <c r="W6" i="102"/>
  <c r="V6" i="102"/>
  <c r="N6" i="102"/>
  <c r="M6" i="102"/>
  <c r="L6" i="102"/>
  <c r="D6" i="102"/>
  <c r="C6" i="102"/>
  <c r="B6" i="102"/>
  <c r="A825" i="101"/>
  <c r="A1292" i="101"/>
  <c r="A1291" i="101"/>
  <c r="A1290" i="101"/>
  <c r="A1289" i="101"/>
  <c r="A1288" i="101"/>
  <c r="A1287" i="101"/>
  <c r="A1286" i="101"/>
  <c r="A1285" i="101"/>
  <c r="A1284" i="101"/>
  <c r="A1275" i="101"/>
  <c r="A1274" i="101"/>
  <c r="A1273" i="101"/>
  <c r="A1272" i="101"/>
  <c r="A1271" i="101"/>
  <c r="A1270" i="101"/>
  <c r="A1269" i="101"/>
  <c r="A1268" i="101"/>
  <c r="A1267" i="101"/>
  <c r="A1258" i="101"/>
  <c r="A1257" i="101"/>
  <c r="A1256" i="101"/>
  <c r="A1255" i="101"/>
  <c r="A1254" i="101"/>
  <c r="A1253" i="101"/>
  <c r="A1252" i="101"/>
  <c r="A1251" i="101"/>
  <c r="A1250" i="101"/>
  <c r="A1241" i="101"/>
  <c r="A1240" i="101"/>
  <c r="A1239" i="101"/>
  <c r="A1238" i="101"/>
  <c r="A1237" i="101"/>
  <c r="A1236" i="101"/>
  <c r="A1235" i="101"/>
  <c r="A1234" i="101"/>
  <c r="A1233" i="101"/>
  <c r="A1224" i="101"/>
  <c r="A1223" i="101"/>
  <c r="A1222" i="101"/>
  <c r="A1221" i="101"/>
  <c r="A1220" i="101"/>
  <c r="A1219" i="101"/>
  <c r="A1218" i="101"/>
  <c r="A1217" i="101"/>
  <c r="A1216" i="101"/>
  <c r="A1207" i="101"/>
  <c r="A1206" i="101"/>
  <c r="A1205" i="101"/>
  <c r="A1204" i="101"/>
  <c r="A1203" i="101"/>
  <c r="A1202" i="101"/>
  <c r="A1201" i="101"/>
  <c r="A1200" i="101"/>
  <c r="A1199" i="101"/>
  <c r="A1190" i="101"/>
  <c r="A1189" i="101"/>
  <c r="A1188" i="101"/>
  <c r="A1187" i="101"/>
  <c r="A1186" i="101"/>
  <c r="A1185" i="101"/>
  <c r="A1184" i="101"/>
  <c r="A1183" i="101"/>
  <c r="A1182" i="101"/>
  <c r="A1173" i="101"/>
  <c r="A1172" i="101"/>
  <c r="A1171" i="101"/>
  <c r="A1170" i="101"/>
  <c r="A1169" i="101"/>
  <c r="A1168" i="101"/>
  <c r="A1167" i="101"/>
  <c r="A1166" i="101"/>
  <c r="A1165" i="101"/>
  <c r="A1156" i="101"/>
  <c r="A1155" i="101"/>
  <c r="A1154" i="101"/>
  <c r="A1153" i="101"/>
  <c r="A1152" i="101"/>
  <c r="A1151" i="101"/>
  <c r="A1150" i="101"/>
  <c r="A1149" i="101"/>
  <c r="A1148" i="101"/>
  <c r="A1139" i="101"/>
  <c r="A1138" i="101"/>
  <c r="A1137" i="101"/>
  <c r="A1136" i="101"/>
  <c r="A1135" i="101"/>
  <c r="A1134" i="101"/>
  <c r="A1133" i="101"/>
  <c r="A1132" i="101"/>
  <c r="A1131" i="101"/>
  <c r="A1122" i="101"/>
  <c r="A1121" i="101"/>
  <c r="A1120" i="101"/>
  <c r="A1119" i="101"/>
  <c r="A1118" i="101"/>
  <c r="A1117" i="101"/>
  <c r="A1116" i="101"/>
  <c r="A1115" i="101"/>
  <c r="A1114" i="101"/>
  <c r="A1105" i="101"/>
  <c r="A1104" i="101"/>
  <c r="A1103" i="101"/>
  <c r="A1102" i="101"/>
  <c r="A1101" i="101"/>
  <c r="A1100" i="101"/>
  <c r="A1099" i="101"/>
  <c r="A1098" i="101"/>
  <c r="A1097" i="101"/>
  <c r="A1088" i="101"/>
  <c r="A1087" i="101"/>
  <c r="A1086" i="101"/>
  <c r="A1085" i="101"/>
  <c r="A1084" i="101"/>
  <c r="A1083" i="101"/>
  <c r="A1082" i="101"/>
  <c r="A1081" i="101"/>
  <c r="A1080" i="101"/>
  <c r="A1071" i="101"/>
  <c r="A1070" i="101"/>
  <c r="A1069" i="101"/>
  <c r="A1068" i="101"/>
  <c r="A1067" i="101"/>
  <c r="A1066" i="101"/>
  <c r="A1065" i="101"/>
  <c r="A1064" i="101"/>
  <c r="A1063" i="101"/>
  <c r="A1054" i="101"/>
  <c r="A1053" i="101"/>
  <c r="A1052" i="101"/>
  <c r="A1051" i="101"/>
  <c r="A1050" i="101"/>
  <c r="A1049" i="101"/>
  <c r="A1048" i="101"/>
  <c r="A1047" i="101"/>
  <c r="A1046" i="101"/>
  <c r="A1037" i="101"/>
  <c r="A1036" i="101"/>
  <c r="A1035" i="101"/>
  <c r="A1034" i="101"/>
  <c r="A1033" i="101"/>
  <c r="A1032" i="101"/>
  <c r="A1031" i="101"/>
  <c r="A1030" i="101"/>
  <c r="A1029" i="101"/>
  <c r="A1020" i="101"/>
  <c r="A1019" i="101"/>
  <c r="A1018" i="101"/>
  <c r="A1017" i="101"/>
  <c r="A1016" i="101"/>
  <c r="A1015" i="101"/>
  <c r="A1014" i="101"/>
  <c r="A1013" i="101"/>
  <c r="A1012" i="101"/>
  <c r="A1003" i="101"/>
  <c r="A1002" i="101"/>
  <c r="A1001" i="101"/>
  <c r="A1000" i="101"/>
  <c r="A999" i="101"/>
  <c r="A998" i="101"/>
  <c r="A997" i="101"/>
  <c r="A996" i="101"/>
  <c r="A995" i="101"/>
  <c r="A986" i="101"/>
  <c r="A985" i="101"/>
  <c r="A984" i="101"/>
  <c r="A983" i="101"/>
  <c r="A982" i="101"/>
  <c r="A981" i="101"/>
  <c r="A980" i="101"/>
  <c r="A979" i="101"/>
  <c r="A978" i="101"/>
  <c r="A969" i="101"/>
  <c r="A968" i="101"/>
  <c r="A967" i="101"/>
  <c r="A966" i="101"/>
  <c r="A965" i="101"/>
  <c r="A964" i="101"/>
  <c r="A963" i="101"/>
  <c r="A962" i="101"/>
  <c r="A961" i="101"/>
  <c r="A952" i="101"/>
  <c r="A951" i="101"/>
  <c r="A950" i="101"/>
  <c r="A949" i="101"/>
  <c r="A948" i="101"/>
  <c r="A947" i="101"/>
  <c r="A946" i="101"/>
  <c r="A945" i="101"/>
  <c r="A944" i="101"/>
  <c r="A935" i="101"/>
  <c r="A934" i="101"/>
  <c r="A933" i="101"/>
  <c r="A932" i="101"/>
  <c r="A931" i="101"/>
  <c r="A930" i="101"/>
  <c r="A929" i="101"/>
  <c r="A928" i="101"/>
  <c r="A927" i="101"/>
  <c r="A918" i="101"/>
  <c r="A917" i="101"/>
  <c r="A916" i="101"/>
  <c r="A915" i="101"/>
  <c r="A914" i="101"/>
  <c r="A913" i="101"/>
  <c r="A912" i="101"/>
  <c r="A911" i="101"/>
  <c r="A910" i="101"/>
  <c r="A901" i="101"/>
  <c r="A900" i="101"/>
  <c r="A899" i="101"/>
  <c r="A898" i="101"/>
  <c r="A897" i="101"/>
  <c r="A896" i="101"/>
  <c r="A895" i="101"/>
  <c r="A894" i="101"/>
  <c r="A893" i="101"/>
  <c r="A884" i="101"/>
  <c r="A883" i="101"/>
  <c r="A882" i="101"/>
  <c r="A881" i="101"/>
  <c r="A880" i="101"/>
  <c r="A879" i="101"/>
  <c r="A878" i="101"/>
  <c r="A877" i="101"/>
  <c r="A876" i="101"/>
  <c r="A867" i="101"/>
  <c r="A866" i="101"/>
  <c r="A865" i="101"/>
  <c r="A864" i="101"/>
  <c r="A863" i="101"/>
  <c r="A862" i="101"/>
  <c r="A861" i="101"/>
  <c r="A860" i="101"/>
  <c r="A859" i="101"/>
  <c r="A850" i="101"/>
  <c r="A849" i="101"/>
  <c r="A848" i="101"/>
  <c r="A847" i="101"/>
  <c r="A846" i="101"/>
  <c r="A845" i="101"/>
  <c r="A844" i="101"/>
  <c r="A843" i="101"/>
  <c r="A842" i="101"/>
  <c r="A833" i="101"/>
  <c r="A832" i="101"/>
  <c r="A831" i="101"/>
  <c r="A830" i="101"/>
  <c r="A829" i="101"/>
  <c r="A828" i="101"/>
  <c r="A827" i="101"/>
  <c r="A826" i="101"/>
  <c r="A816" i="101"/>
  <c r="A815" i="101"/>
  <c r="A814" i="101"/>
  <c r="A813" i="101"/>
  <c r="A812" i="101"/>
  <c r="A811" i="101"/>
  <c r="A810" i="101"/>
  <c r="A809" i="101"/>
  <c r="A808" i="101"/>
  <c r="A799" i="101"/>
  <c r="A798" i="101"/>
  <c r="A797" i="101"/>
  <c r="A796" i="101"/>
  <c r="A795" i="101"/>
  <c r="A794" i="101"/>
  <c r="A793" i="101"/>
  <c r="A792" i="101"/>
  <c r="A791" i="101"/>
  <c r="A782" i="101"/>
  <c r="A781" i="101"/>
  <c r="A780" i="101"/>
  <c r="A779" i="101"/>
  <c r="A778" i="101"/>
  <c r="A777" i="101"/>
  <c r="A776" i="101"/>
  <c r="A775" i="101"/>
  <c r="A774" i="101"/>
  <c r="A765" i="101"/>
  <c r="A764" i="101"/>
  <c r="A763" i="101"/>
  <c r="A762" i="101"/>
  <c r="A761" i="101"/>
  <c r="A760" i="101"/>
  <c r="A759" i="101"/>
  <c r="A758" i="101"/>
  <c r="A757" i="101"/>
  <c r="A748" i="101"/>
  <c r="A747" i="101"/>
  <c r="A746" i="101"/>
  <c r="A745" i="101"/>
  <c r="A744" i="101"/>
  <c r="A743" i="101"/>
  <c r="A742" i="101"/>
  <c r="A741" i="101"/>
  <c r="A740" i="101"/>
  <c r="A731" i="101"/>
  <c r="A730" i="101"/>
  <c r="A729" i="101"/>
  <c r="A728" i="101"/>
  <c r="A727" i="101"/>
  <c r="A726" i="101"/>
  <c r="A725" i="101"/>
  <c r="A724" i="101"/>
  <c r="A723" i="101"/>
  <c r="A714" i="101"/>
  <c r="A713" i="101"/>
  <c r="A712" i="101"/>
  <c r="A711" i="101"/>
  <c r="A710" i="101"/>
  <c r="A709" i="101"/>
  <c r="A708" i="101"/>
  <c r="A707" i="101"/>
  <c r="A706" i="101"/>
  <c r="A697" i="101"/>
  <c r="A696" i="101"/>
  <c r="A695" i="101"/>
  <c r="A694" i="101"/>
  <c r="A693" i="101"/>
  <c r="A692" i="101"/>
  <c r="A691" i="101"/>
  <c r="A690" i="101"/>
  <c r="A689" i="101"/>
  <c r="A680" i="101"/>
  <c r="A679" i="101"/>
  <c r="A678" i="101"/>
  <c r="A677" i="101"/>
  <c r="A676" i="101"/>
  <c r="A675" i="101"/>
  <c r="A674" i="101"/>
  <c r="A673" i="101"/>
  <c r="A672" i="101"/>
  <c r="A663" i="101"/>
  <c r="A662" i="101"/>
  <c r="A661" i="101"/>
  <c r="A660" i="101"/>
  <c r="A659" i="101"/>
  <c r="A658" i="101"/>
  <c r="A657" i="101"/>
  <c r="A656" i="101"/>
  <c r="A655" i="101"/>
  <c r="A646" i="101"/>
  <c r="A645" i="101"/>
  <c r="A644" i="101"/>
  <c r="A643" i="101"/>
  <c r="A642" i="101"/>
  <c r="A641" i="101"/>
  <c r="A640" i="101"/>
  <c r="A639" i="101"/>
  <c r="A638" i="101"/>
  <c r="A629" i="101"/>
  <c r="A628" i="101"/>
  <c r="A627" i="101"/>
  <c r="A626" i="101"/>
  <c r="A625" i="101"/>
  <c r="A624" i="101"/>
  <c r="A623" i="101"/>
  <c r="A622" i="101"/>
  <c r="A621" i="101"/>
  <c r="A612" i="101"/>
  <c r="A611" i="101"/>
  <c r="A610" i="101"/>
  <c r="A609" i="101"/>
  <c r="A608" i="101"/>
  <c r="A607" i="101"/>
  <c r="A606" i="101"/>
  <c r="A605" i="101"/>
  <c r="A604" i="101"/>
  <c r="A595" i="101"/>
  <c r="A594" i="101"/>
  <c r="A593" i="101"/>
  <c r="A592" i="101"/>
  <c r="A591" i="101"/>
  <c r="A590" i="101"/>
  <c r="A589" i="101"/>
  <c r="A588" i="101"/>
  <c r="A587" i="101"/>
  <c r="A578" i="101"/>
  <c r="A577" i="101"/>
  <c r="A576" i="101"/>
  <c r="A575" i="101"/>
  <c r="A574" i="101"/>
  <c r="A573" i="101"/>
  <c r="A572" i="101"/>
  <c r="A571" i="101"/>
  <c r="A570" i="101"/>
  <c r="A561" i="101"/>
  <c r="A560" i="101"/>
  <c r="A559" i="101"/>
  <c r="A558" i="101"/>
  <c r="A557" i="101"/>
  <c r="A556" i="101"/>
  <c r="A555" i="101"/>
  <c r="A554" i="101"/>
  <c r="A553" i="101"/>
  <c r="A544" i="101"/>
  <c r="A543" i="101"/>
  <c r="A542" i="101"/>
  <c r="A541" i="101"/>
  <c r="A540" i="101"/>
  <c r="A539" i="101"/>
  <c r="A538" i="101"/>
  <c r="A537" i="101"/>
  <c r="A536" i="101"/>
  <c r="A527" i="101"/>
  <c r="A526" i="101"/>
  <c r="A525" i="101"/>
  <c r="A524" i="101"/>
  <c r="A523" i="101"/>
  <c r="A522" i="101"/>
  <c r="A521" i="101"/>
  <c r="A520" i="101"/>
  <c r="A519" i="101"/>
  <c r="A510" i="101"/>
  <c r="A509" i="101"/>
  <c r="A508" i="101"/>
  <c r="A507" i="101"/>
  <c r="A506" i="101"/>
  <c r="A505" i="101"/>
  <c r="A504" i="101"/>
  <c r="A503" i="101"/>
  <c r="A502" i="101"/>
  <c r="A493" i="101"/>
  <c r="A492" i="101"/>
  <c r="A491" i="101"/>
  <c r="A490" i="101"/>
  <c r="A489" i="101"/>
  <c r="A488" i="101"/>
  <c r="A487" i="101"/>
  <c r="A486" i="101"/>
  <c r="A485" i="101"/>
  <c r="A476" i="101"/>
  <c r="A475" i="101"/>
  <c r="A474" i="101"/>
  <c r="A473" i="101"/>
  <c r="A472" i="101"/>
  <c r="A471" i="101"/>
  <c r="A470" i="101"/>
  <c r="A469" i="101"/>
  <c r="A468" i="101"/>
  <c r="A459" i="101"/>
  <c r="A458" i="101"/>
  <c r="A457" i="101"/>
  <c r="A456" i="101"/>
  <c r="A455" i="101"/>
  <c r="A454" i="101"/>
  <c r="A453" i="101"/>
  <c r="A452" i="101"/>
  <c r="A451" i="101"/>
  <c r="A442" i="101"/>
  <c r="A441" i="101"/>
  <c r="A440" i="101"/>
  <c r="A439" i="101"/>
  <c r="A438" i="101"/>
  <c r="A437" i="101"/>
  <c r="A436" i="101"/>
  <c r="A435" i="101"/>
  <c r="A434" i="101"/>
  <c r="A425" i="101"/>
  <c r="A424" i="101"/>
  <c r="A423" i="101"/>
  <c r="A422" i="101"/>
  <c r="A421" i="101"/>
  <c r="A420" i="101"/>
  <c r="A419" i="101"/>
  <c r="A418" i="101"/>
  <c r="A417" i="101"/>
  <c r="A408" i="101"/>
  <c r="A407" i="101"/>
  <c r="A406" i="101"/>
  <c r="A405" i="101"/>
  <c r="A404" i="101"/>
  <c r="A403" i="101"/>
  <c r="A402" i="101"/>
  <c r="A401" i="101"/>
  <c r="A400" i="101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546" i="102" l="1"/>
  <c r="I471" i="102"/>
  <c r="D351" i="102"/>
  <c r="I246" i="102"/>
  <c r="D161" i="102"/>
  <c r="D491" i="102"/>
  <c r="I386" i="102"/>
  <c r="D301" i="102"/>
  <c r="I196" i="102"/>
  <c r="D46" i="102"/>
  <c r="D481" i="102"/>
  <c r="I376" i="102"/>
  <c r="D281" i="102"/>
  <c r="I171" i="102"/>
  <c r="I546" i="102"/>
  <c r="D471" i="102"/>
  <c r="I351" i="102"/>
  <c r="D246" i="102"/>
  <c r="I161" i="102"/>
  <c r="I516" i="102"/>
  <c r="D431" i="102"/>
  <c r="I326" i="102"/>
  <c r="D221" i="102"/>
  <c r="I481" i="102"/>
  <c r="I431" i="102"/>
  <c r="I281" i="102"/>
  <c r="I221" i="102"/>
  <c r="D516" i="102"/>
  <c r="I301" i="102"/>
  <c r="D196" i="102"/>
  <c r="D171" i="102"/>
  <c r="I491" i="102"/>
  <c r="D386" i="102"/>
  <c r="D376" i="102"/>
  <c r="I71" i="102"/>
  <c r="I46" i="102"/>
  <c r="D326" i="102"/>
  <c r="I26" i="102"/>
  <c r="D71" i="102"/>
  <c r="D26" i="102"/>
  <c r="Q491" i="102"/>
  <c r="L386" i="102"/>
  <c r="Q301" i="102"/>
  <c r="L196" i="102"/>
  <c r="Q46" i="102"/>
  <c r="L546" i="102"/>
  <c r="Q471" i="102"/>
  <c r="L351" i="102"/>
  <c r="Q246" i="102"/>
  <c r="L161" i="102"/>
  <c r="L516" i="102"/>
  <c r="Q431" i="102"/>
  <c r="L326" i="102"/>
  <c r="Q221" i="102"/>
  <c r="L71" i="102"/>
  <c r="L491" i="102"/>
  <c r="Q386" i="102"/>
  <c r="L301" i="102"/>
  <c r="Q196" i="102"/>
  <c r="L46" i="102"/>
  <c r="L481" i="102"/>
  <c r="Q376" i="102"/>
  <c r="L281" i="102"/>
  <c r="Q546" i="102"/>
  <c r="Q161" i="102"/>
  <c r="Q481" i="102"/>
  <c r="L471" i="102"/>
  <c r="L171" i="102"/>
  <c r="L431" i="102"/>
  <c r="Q26" i="102"/>
  <c r="L26" i="102"/>
  <c r="Q16" i="102"/>
  <c r="Q281" i="102"/>
  <c r="L246" i="102"/>
  <c r="Q171" i="102"/>
  <c r="L221" i="102"/>
  <c r="Q351" i="102"/>
  <c r="Q326" i="102"/>
  <c r="Q71" i="102"/>
  <c r="Q516" i="102"/>
  <c r="L376" i="102"/>
  <c r="M16" i="102"/>
  <c r="R481" i="102"/>
  <c r="M376" i="102"/>
  <c r="R281" i="102"/>
  <c r="M171" i="102"/>
  <c r="R26" i="102"/>
  <c r="M546" i="102"/>
  <c r="M516" i="102"/>
  <c r="R431" i="102"/>
  <c r="M326" i="102"/>
  <c r="R221" i="102"/>
  <c r="M71" i="102"/>
  <c r="M491" i="102"/>
  <c r="R386" i="102"/>
  <c r="M301" i="102"/>
  <c r="R196" i="102"/>
  <c r="M46" i="102"/>
  <c r="M481" i="102"/>
  <c r="R376" i="102"/>
  <c r="M281" i="102"/>
  <c r="R171" i="102"/>
  <c r="M26" i="102"/>
  <c r="R546" i="102"/>
  <c r="M471" i="102"/>
  <c r="R351" i="102"/>
  <c r="M246" i="102"/>
  <c r="R246" i="102"/>
  <c r="R16" i="102"/>
  <c r="R301" i="102"/>
  <c r="M431" i="102"/>
  <c r="R71" i="102"/>
  <c r="R516" i="102"/>
  <c r="M351" i="102"/>
  <c r="R491" i="102"/>
  <c r="M221" i="102"/>
  <c r="R471" i="102"/>
  <c r="R326" i="102"/>
  <c r="R161" i="102"/>
  <c r="M196" i="102"/>
  <c r="M161" i="102"/>
  <c r="M386" i="102"/>
  <c r="R46" i="102"/>
  <c r="N16" i="102"/>
  <c r="N546" i="102"/>
  <c r="S471" i="102"/>
  <c r="N351" i="102"/>
  <c r="S246" i="102"/>
  <c r="N161" i="102"/>
  <c r="N491" i="102"/>
  <c r="S386" i="102"/>
  <c r="N301" i="102"/>
  <c r="S196" i="102"/>
  <c r="N46" i="102"/>
  <c r="N481" i="102"/>
  <c r="S376" i="102"/>
  <c r="N281" i="102"/>
  <c r="S171" i="102"/>
  <c r="S546" i="102"/>
  <c r="N471" i="102"/>
  <c r="S351" i="102"/>
  <c r="N246" i="102"/>
  <c r="S161" i="102"/>
  <c r="S516" i="102"/>
  <c r="N431" i="102"/>
  <c r="S326" i="102"/>
  <c r="N221" i="102"/>
  <c r="S221" i="102"/>
  <c r="N71" i="102"/>
  <c r="N26" i="102"/>
  <c r="N171" i="102"/>
  <c r="S26" i="102"/>
  <c r="S491" i="102"/>
  <c r="N376" i="102"/>
  <c r="S46" i="102"/>
  <c r="N516" i="102"/>
  <c r="S281" i="102"/>
  <c r="S431" i="102"/>
  <c r="S301" i="102"/>
  <c r="N196" i="102"/>
  <c r="S481" i="102"/>
  <c r="S71" i="102"/>
  <c r="N386" i="102"/>
  <c r="N326" i="102"/>
  <c r="S16" i="102"/>
  <c r="V16" i="102"/>
  <c r="V386" i="102"/>
  <c r="V196" i="102"/>
  <c r="V546" i="102"/>
  <c r="V351" i="102"/>
  <c r="V161" i="102"/>
  <c r="V516" i="102"/>
  <c r="V326" i="102"/>
  <c r="V71" i="102"/>
  <c r="V491" i="102"/>
  <c r="V301" i="102"/>
  <c r="V46" i="102"/>
  <c r="V481" i="102"/>
  <c r="V281" i="102"/>
  <c r="V171" i="102"/>
  <c r="V471" i="102"/>
  <c r="V431" i="102"/>
  <c r="V376" i="102"/>
  <c r="V26" i="102"/>
  <c r="V246" i="102"/>
  <c r="V221" i="102"/>
  <c r="W16" i="102"/>
  <c r="W376" i="102"/>
  <c r="W171" i="102"/>
  <c r="W546" i="102"/>
  <c r="W516" i="102"/>
  <c r="W326" i="102"/>
  <c r="W71" i="102"/>
  <c r="W491" i="102"/>
  <c r="W301" i="102"/>
  <c r="W46" i="102"/>
  <c r="W481" i="102"/>
  <c r="W281" i="102"/>
  <c r="W26" i="102"/>
  <c r="W471" i="102"/>
  <c r="W246" i="102"/>
  <c r="W431" i="102"/>
  <c r="W196" i="102"/>
  <c r="W221" i="102"/>
  <c r="W161" i="102"/>
  <c r="W351" i="102"/>
  <c r="W386" i="102"/>
  <c r="G491" i="102"/>
  <c r="B386" i="102"/>
  <c r="G301" i="102"/>
  <c r="B196" i="102"/>
  <c r="G46" i="102"/>
  <c r="B546" i="102"/>
  <c r="G471" i="102"/>
  <c r="B351" i="102"/>
  <c r="G246" i="102"/>
  <c r="B161" i="102"/>
  <c r="B516" i="102"/>
  <c r="G431" i="102"/>
  <c r="B326" i="102"/>
  <c r="G221" i="102"/>
  <c r="B71" i="102"/>
  <c r="B491" i="102"/>
  <c r="G386" i="102"/>
  <c r="B301" i="102"/>
  <c r="G196" i="102"/>
  <c r="B46" i="102"/>
  <c r="B481" i="102"/>
  <c r="G376" i="102"/>
  <c r="B281" i="102"/>
  <c r="G351" i="102"/>
  <c r="B221" i="102"/>
  <c r="G71" i="102"/>
  <c r="G26" i="102"/>
  <c r="G281" i="102"/>
  <c r="B246" i="102"/>
  <c r="B26" i="102"/>
  <c r="G481" i="102"/>
  <c r="B471" i="102"/>
  <c r="G326" i="102"/>
  <c r="G161" i="102"/>
  <c r="B171" i="102"/>
  <c r="G546" i="102"/>
  <c r="B431" i="102"/>
  <c r="B376" i="102"/>
  <c r="G516" i="102"/>
  <c r="G171" i="102"/>
  <c r="X16" i="102"/>
  <c r="X546" i="102"/>
  <c r="X351" i="102"/>
  <c r="X161" i="102"/>
  <c r="X491" i="102"/>
  <c r="X301" i="102"/>
  <c r="X46" i="102"/>
  <c r="X481" i="102"/>
  <c r="X281" i="102"/>
  <c r="X26" i="102"/>
  <c r="X471" i="102"/>
  <c r="X246" i="102"/>
  <c r="X431" i="102"/>
  <c r="X221" i="102"/>
  <c r="X171" i="102"/>
  <c r="X326" i="102"/>
  <c r="X386" i="102"/>
  <c r="X376" i="102"/>
  <c r="X71" i="102"/>
  <c r="X516" i="102"/>
  <c r="X196" i="102"/>
  <c r="H481" i="102"/>
  <c r="C376" i="102"/>
  <c r="H281" i="102"/>
  <c r="C171" i="102"/>
  <c r="H26" i="102"/>
  <c r="C516" i="102"/>
  <c r="H431" i="102"/>
  <c r="C326" i="102"/>
  <c r="H221" i="102"/>
  <c r="C71" i="102"/>
  <c r="C491" i="102"/>
  <c r="H386" i="102"/>
  <c r="C301" i="102"/>
  <c r="H196" i="102"/>
  <c r="C46" i="102"/>
  <c r="C481" i="102"/>
  <c r="H376" i="102"/>
  <c r="C281" i="102"/>
  <c r="H171" i="102"/>
  <c r="C26" i="102"/>
  <c r="H546" i="102"/>
  <c r="C471" i="102"/>
  <c r="H351" i="102"/>
  <c r="C246" i="102"/>
  <c r="H326" i="102"/>
  <c r="H301" i="102"/>
  <c r="C196" i="102"/>
  <c r="H161" i="102"/>
  <c r="C546" i="102"/>
  <c r="C221" i="102"/>
  <c r="C431" i="102"/>
  <c r="C351" i="102"/>
  <c r="H516" i="102"/>
  <c r="H491" i="102"/>
  <c r="C386" i="102"/>
  <c r="C161" i="102"/>
  <c r="H71" i="102"/>
  <c r="H46" i="102"/>
  <c r="H246" i="102"/>
  <c r="H471" i="102"/>
  <c r="B16" i="102"/>
  <c r="G16" i="102"/>
  <c r="C16" i="102"/>
  <c r="H16" i="102"/>
  <c r="D16" i="102"/>
  <c r="I16" i="102"/>
  <c r="L16" i="102"/>
  <c r="A1281" i="101"/>
  <c r="A1264" i="101"/>
  <c r="A1247" i="101"/>
  <c r="A1230" i="101"/>
  <c r="A1213" i="101"/>
  <c r="A1196" i="101"/>
  <c r="A1179" i="101"/>
  <c r="A1162" i="101"/>
  <c r="A1145" i="101"/>
  <c r="A1128" i="101"/>
  <c r="A1111" i="101"/>
  <c r="A1094" i="101"/>
  <c r="A1077" i="101"/>
  <c r="A1060" i="101"/>
  <c r="A1043" i="101"/>
  <c r="A1026" i="101"/>
  <c r="A1009" i="101"/>
  <c r="A992" i="101"/>
  <c r="A975" i="101"/>
  <c r="A958" i="101"/>
  <c r="A941" i="101"/>
  <c r="A924" i="101"/>
  <c r="A907" i="101"/>
  <c r="A890" i="101"/>
  <c r="A873" i="101"/>
  <c r="A856" i="101"/>
  <c r="A839" i="101"/>
  <c r="A822" i="101"/>
  <c r="A805" i="101"/>
  <c r="A788" i="101"/>
  <c r="A771" i="101"/>
  <c r="A754" i="101"/>
  <c r="A737" i="101"/>
  <c r="A720" i="101"/>
  <c r="A703" i="101"/>
  <c r="A686" i="101"/>
  <c r="A669" i="101"/>
  <c r="A652" i="101"/>
  <c r="A635" i="101"/>
  <c r="A618" i="101"/>
  <c r="A601" i="101"/>
  <c r="A584" i="101"/>
  <c r="A567" i="101"/>
  <c r="A550" i="101"/>
  <c r="A533" i="101"/>
  <c r="A516" i="101"/>
  <c r="A499" i="101"/>
  <c r="A482" i="101"/>
  <c r="A465" i="101"/>
  <c r="A448" i="101"/>
  <c r="A431" i="101"/>
  <c r="A414" i="101"/>
  <c r="A397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J1281" i="101"/>
  <c r="F1281" i="101"/>
  <c r="B1281" i="101"/>
  <c r="J1264" i="101"/>
  <c r="F1264" i="101"/>
  <c r="B1264" i="101"/>
  <c r="J1247" i="101"/>
  <c r="F1247" i="101"/>
  <c r="B1247" i="101"/>
  <c r="J1230" i="101"/>
  <c r="F1230" i="101"/>
  <c r="B1230" i="101"/>
  <c r="J1213" i="101"/>
  <c r="F1213" i="101"/>
  <c r="B1213" i="101"/>
  <c r="J1196" i="101"/>
  <c r="F1196" i="101"/>
  <c r="B1196" i="101"/>
  <c r="J1179" i="101"/>
  <c r="F1179" i="101"/>
  <c r="B1179" i="101"/>
  <c r="J1162" i="101"/>
  <c r="F1162" i="101"/>
  <c r="B1162" i="101"/>
  <c r="J1145" i="101"/>
  <c r="F1145" i="101"/>
  <c r="B1145" i="101"/>
  <c r="J1128" i="101"/>
  <c r="F1128" i="101"/>
  <c r="B1128" i="101"/>
  <c r="J1111" i="101"/>
  <c r="F1111" i="101"/>
  <c r="B1111" i="101"/>
  <c r="J1094" i="101"/>
  <c r="F1094" i="101"/>
  <c r="B1094" i="101"/>
  <c r="J1077" i="101"/>
  <c r="F1077" i="101"/>
  <c r="B1077" i="101"/>
  <c r="J1060" i="101"/>
  <c r="F1060" i="101"/>
  <c r="B1060" i="101"/>
  <c r="J1043" i="101"/>
  <c r="F1043" i="101"/>
  <c r="B1043" i="101"/>
  <c r="J1026" i="101"/>
  <c r="F1026" i="101"/>
  <c r="B1026" i="101"/>
  <c r="J1009" i="101"/>
  <c r="F1009" i="101"/>
  <c r="B1009" i="101"/>
  <c r="J992" i="101"/>
  <c r="F992" i="101"/>
  <c r="B992" i="101"/>
  <c r="J975" i="101"/>
  <c r="F975" i="101"/>
  <c r="B975" i="101"/>
  <c r="J958" i="101"/>
  <c r="F958" i="101"/>
  <c r="B958" i="101"/>
  <c r="J941" i="101"/>
  <c r="F941" i="101"/>
  <c r="B941" i="101"/>
  <c r="J924" i="101"/>
  <c r="F924" i="101"/>
  <c r="B924" i="101"/>
  <c r="J907" i="101"/>
  <c r="F907" i="101"/>
  <c r="B907" i="101"/>
  <c r="J890" i="101"/>
  <c r="F890" i="101"/>
  <c r="B890" i="101"/>
  <c r="J873" i="101"/>
  <c r="F873" i="101"/>
  <c r="B873" i="101"/>
  <c r="J856" i="101"/>
  <c r="F856" i="101"/>
  <c r="B856" i="101"/>
  <c r="J839" i="101"/>
  <c r="F839" i="101"/>
  <c r="B839" i="101"/>
  <c r="J822" i="101"/>
  <c r="F822" i="101"/>
  <c r="B822" i="101"/>
  <c r="J805" i="101"/>
  <c r="F805" i="101"/>
  <c r="B805" i="101"/>
  <c r="J788" i="101"/>
  <c r="F788" i="101"/>
  <c r="B788" i="101"/>
  <c r="J771" i="101"/>
  <c r="F771" i="101"/>
  <c r="B771" i="101"/>
  <c r="A23" i="101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J397" i="101" s="1"/>
  <c r="J414" i="101" s="1"/>
  <c r="J431" i="101" s="1"/>
  <c r="J448" i="101" s="1"/>
  <c r="J465" i="101" s="1"/>
  <c r="J482" i="101" s="1"/>
  <c r="J499" i="101" s="1"/>
  <c r="J516" i="101" s="1"/>
  <c r="J533" i="101" s="1"/>
  <c r="J550" i="101" s="1"/>
  <c r="J567" i="101" s="1"/>
  <c r="J584" i="101" s="1"/>
  <c r="J601" i="101" s="1"/>
  <c r="J618" i="101" s="1"/>
  <c r="J635" i="101" s="1"/>
  <c r="J652" i="101" s="1"/>
  <c r="J669" i="101" s="1"/>
  <c r="J686" i="101" s="1"/>
  <c r="J703" i="101" s="1"/>
  <c r="J720" i="101" s="1"/>
  <c r="J737" i="101" s="1"/>
  <c r="J754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F397" i="101" s="1"/>
  <c r="F414" i="101" s="1"/>
  <c r="F431" i="101" s="1"/>
  <c r="F448" i="101" s="1"/>
  <c r="F465" i="101" s="1"/>
  <c r="F482" i="101" s="1"/>
  <c r="F499" i="101" s="1"/>
  <c r="F516" i="101" s="1"/>
  <c r="F533" i="101" s="1"/>
  <c r="F550" i="101" s="1"/>
  <c r="F567" i="101" s="1"/>
  <c r="F584" i="101" s="1"/>
  <c r="F601" i="101" s="1"/>
  <c r="F618" i="101" s="1"/>
  <c r="F635" i="101" s="1"/>
  <c r="F652" i="101" s="1"/>
  <c r="F669" i="101" s="1"/>
  <c r="F686" i="101" s="1"/>
  <c r="F703" i="101" s="1"/>
  <c r="F720" i="101" s="1"/>
  <c r="F737" i="101" s="1"/>
  <c r="F754" i="101" s="1"/>
  <c r="B23" i="101"/>
  <c r="K13" i="80" l="1"/>
  <c r="R44" i="80" l="1"/>
  <c r="R43" i="80"/>
  <c r="K43" i="80"/>
  <c r="I43" i="80"/>
  <c r="H43" i="80"/>
  <c r="F43" i="80"/>
  <c r="C43" i="80"/>
  <c r="R8" i="80"/>
  <c r="K8" i="80"/>
  <c r="I8" i="80"/>
  <c r="H8" i="80"/>
  <c r="F9" i="80"/>
  <c r="C8" i="80"/>
  <c r="N8" i="80" l="1"/>
  <c r="O8" i="80" s="1"/>
  <c r="N43" i="80"/>
  <c r="O43" i="80" s="1"/>
  <c r="L43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I8" i="79"/>
  <c r="H8" i="79"/>
  <c r="G8" i="79"/>
  <c r="F8" i="79"/>
  <c r="E8" i="79"/>
  <c r="D8" i="79"/>
  <c r="C8" i="79"/>
  <c r="B8" i="79"/>
  <c r="A34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E34" i="79"/>
  <c r="P19" i="79" s="1"/>
  <c r="F34" i="79"/>
  <c r="Q31" i="79" s="1"/>
  <c r="J34" i="79"/>
  <c r="U25" i="79" s="1"/>
  <c r="I34" i="79"/>
  <c r="T17" i="79" s="1"/>
  <c r="G34" i="79"/>
  <c r="R9" i="79" s="1"/>
  <c r="H34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4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4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4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4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4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4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0" i="78" l="1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P118" i="78"/>
  <c r="CP117" i="78"/>
  <c r="CP116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CE118" i="78"/>
  <c r="CE117" i="78"/>
  <c r="CE116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T118" i="78"/>
  <c r="BT117" i="78"/>
  <c r="BT116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BI118" i="78"/>
  <c r="BI117" i="78"/>
  <c r="BI116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X118" i="78"/>
  <c r="AX117" i="78"/>
  <c r="AX116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M118" i="78"/>
  <c r="AM117" i="78"/>
  <c r="AM116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AB118" i="78"/>
  <c r="AB117" i="78"/>
  <c r="AB116" i="78"/>
  <c r="Q119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2" i="78"/>
  <c r="Q121" i="78"/>
  <c r="Q120" i="78"/>
  <c r="Q118" i="78"/>
  <c r="Q117" i="78"/>
  <c r="Q116" i="78"/>
  <c r="CS9" i="78"/>
  <c r="CS81" i="78" s="1"/>
  <c r="CS10" i="78"/>
  <c r="CS82" i="78" s="1"/>
  <c r="CS11" i="78"/>
  <c r="CS47" i="78" s="1"/>
  <c r="CS12" i="78"/>
  <c r="CS84" i="78" s="1"/>
  <c r="CS13" i="78"/>
  <c r="CS85" i="78" s="1"/>
  <c r="CS14" i="78"/>
  <c r="CS86" i="78" s="1"/>
  <c r="CS15" i="78"/>
  <c r="CS51" i="78" s="1"/>
  <c r="CS16" i="78"/>
  <c r="CS17" i="78"/>
  <c r="CS89" i="78" s="1"/>
  <c r="CS18" i="78"/>
  <c r="CS19" i="78"/>
  <c r="CS55" i="78" s="1"/>
  <c r="CS20" i="78"/>
  <c r="CS56" i="78" s="1"/>
  <c r="CS21" i="78"/>
  <c r="CS57" i="78" s="1"/>
  <c r="CS22" i="78"/>
  <c r="CS58" i="78" s="1"/>
  <c r="CS23" i="78"/>
  <c r="CS95" i="78" s="1"/>
  <c r="CS24" i="78"/>
  <c r="CS25" i="78"/>
  <c r="CS97" i="78" s="1"/>
  <c r="CS26" i="78"/>
  <c r="CS62" i="78" s="1"/>
  <c r="CS27" i="78"/>
  <c r="CS63" i="78" s="1"/>
  <c r="CS28" i="78"/>
  <c r="CS100" i="78" s="1"/>
  <c r="CS29" i="78"/>
  <c r="CS101" i="78" s="1"/>
  <c r="CS30" i="78"/>
  <c r="CS66" i="78" s="1"/>
  <c r="CS31" i="78"/>
  <c r="CS67" i="78" s="1"/>
  <c r="CS32" i="78"/>
  <c r="CS68" i="78" s="1"/>
  <c r="CS8" i="78"/>
  <c r="CS44" i="78" s="1"/>
  <c r="CH9" i="78"/>
  <c r="CH45" i="78" s="1"/>
  <c r="CH10" i="78"/>
  <c r="CH46" i="78" s="1"/>
  <c r="CH11" i="78"/>
  <c r="CH47" i="78" s="1"/>
  <c r="CH12" i="78"/>
  <c r="CH84" i="78" s="1"/>
  <c r="CH13" i="78"/>
  <c r="CH85" i="78" s="1"/>
  <c r="CH14" i="78"/>
  <c r="CH50" i="78" s="1"/>
  <c r="CH15" i="78"/>
  <c r="CH51" i="78" s="1"/>
  <c r="CH16" i="78"/>
  <c r="CH52" i="78" s="1"/>
  <c r="CH17" i="78"/>
  <c r="CH53" i="78" s="1"/>
  <c r="CH18" i="78"/>
  <c r="CH54" i="78" s="1"/>
  <c r="CH19" i="78"/>
  <c r="CH55" i="78" s="1"/>
  <c r="CH20" i="78"/>
  <c r="CH56" i="78" s="1"/>
  <c r="CH21" i="78"/>
  <c r="CH22" i="78"/>
  <c r="CH94" i="78" s="1"/>
  <c r="CH23" i="78"/>
  <c r="CH95" i="78" s="1"/>
  <c r="CH24" i="78"/>
  <c r="CH60" i="78" s="1"/>
  <c r="CH25" i="78"/>
  <c r="CH97" i="78" s="1"/>
  <c r="CH26" i="78"/>
  <c r="CH98" i="78" s="1"/>
  <c r="CH27" i="78"/>
  <c r="CH63" i="78" s="1"/>
  <c r="CH28" i="78"/>
  <c r="CH100" i="78" s="1"/>
  <c r="CH29" i="78"/>
  <c r="CH101" i="78" s="1"/>
  <c r="CH30" i="78"/>
  <c r="CH66" i="78" s="1"/>
  <c r="CH31" i="78"/>
  <c r="CH32" i="78"/>
  <c r="CH68" i="78" s="1"/>
  <c r="CH8" i="78"/>
  <c r="CH80" i="78" s="1"/>
  <c r="BW9" i="78"/>
  <c r="BW45" i="78" s="1"/>
  <c r="BW10" i="78"/>
  <c r="BW11" i="78"/>
  <c r="BW47" i="78" s="1"/>
  <c r="BW12" i="78"/>
  <c r="BW48" i="78" s="1"/>
  <c r="BW13" i="78"/>
  <c r="BW14" i="78"/>
  <c r="BW86" i="78" s="1"/>
  <c r="BW15" i="78"/>
  <c r="BW51" i="78" s="1"/>
  <c r="BW16" i="78"/>
  <c r="BW17" i="78"/>
  <c r="BW53" i="78" s="1"/>
  <c r="BW18" i="78"/>
  <c r="BW90" i="78" s="1"/>
  <c r="BW19" i="78"/>
  <c r="BW55" i="78" s="1"/>
  <c r="BW20" i="78"/>
  <c r="BW92" i="78" s="1"/>
  <c r="BW21" i="78"/>
  <c r="BW93" i="78" s="1"/>
  <c r="BW22" i="78"/>
  <c r="BW94" i="78" s="1"/>
  <c r="BW23" i="78"/>
  <c r="BW95" i="78" s="1"/>
  <c r="BW24" i="78"/>
  <c r="BW60" i="78" s="1"/>
  <c r="BW25" i="78"/>
  <c r="BW97" i="78" s="1"/>
  <c r="BW26" i="78"/>
  <c r="BW62" i="78" s="1"/>
  <c r="BW27" i="78"/>
  <c r="BW63" i="78" s="1"/>
  <c r="BW28" i="78"/>
  <c r="BW64" i="78" s="1"/>
  <c r="BW29" i="78"/>
  <c r="BW65" i="78" s="1"/>
  <c r="BW30" i="78"/>
  <c r="BW102" i="78" s="1"/>
  <c r="BW31" i="78"/>
  <c r="BW32" i="78"/>
  <c r="BW68" i="78" s="1"/>
  <c r="BW8" i="78"/>
  <c r="BW80" i="78" s="1"/>
  <c r="BL9" i="78"/>
  <c r="BL45" i="78" s="1"/>
  <c r="BL10" i="78"/>
  <c r="BL46" i="78" s="1"/>
  <c r="BL11" i="78"/>
  <c r="BL83" i="78" s="1"/>
  <c r="BL12" i="78"/>
  <c r="BL84" i="78" s="1"/>
  <c r="BL13" i="78"/>
  <c r="BL49" i="78" s="1"/>
  <c r="BL14" i="78"/>
  <c r="BL86" i="78" s="1"/>
  <c r="BL15" i="78"/>
  <c r="BL87" i="78" s="1"/>
  <c r="BL16" i="78"/>
  <c r="BL17" i="78"/>
  <c r="BL89" i="78" s="1"/>
  <c r="BL18" i="78"/>
  <c r="BL54" i="78" s="1"/>
  <c r="BL19" i="78"/>
  <c r="BL91" i="78" s="1"/>
  <c r="BL20" i="78"/>
  <c r="BL92" i="78" s="1"/>
  <c r="BL21" i="78"/>
  <c r="BL57" i="78" s="1"/>
  <c r="BL22" i="78"/>
  <c r="BL58" i="78" s="1"/>
  <c r="BL23" i="78"/>
  <c r="BL59" i="78" s="1"/>
  <c r="BL24" i="78"/>
  <c r="BL25" i="78"/>
  <c r="BL61" i="78" s="1"/>
  <c r="BL26" i="78"/>
  <c r="BL62" i="78" s="1"/>
  <c r="BL27" i="78"/>
  <c r="BL99" i="78" s="1"/>
  <c r="BL28" i="78"/>
  <c r="BL64" i="78" s="1"/>
  <c r="BL29" i="78"/>
  <c r="BL65" i="78" s="1"/>
  <c r="BL30" i="78"/>
  <c r="BL102" i="78" s="1"/>
  <c r="BL31" i="78"/>
  <c r="BL67" i="78" s="1"/>
  <c r="BL32" i="78"/>
  <c r="BL8" i="78"/>
  <c r="BA9" i="78"/>
  <c r="BA81" i="78" s="1"/>
  <c r="BA10" i="78"/>
  <c r="BA46" i="78" s="1"/>
  <c r="BA11" i="78"/>
  <c r="BA47" i="78" s="1"/>
  <c r="BA12" i="78"/>
  <c r="BA48" i="78" s="1"/>
  <c r="BA13" i="78"/>
  <c r="BA85" i="78" s="1"/>
  <c r="BA14" i="78"/>
  <c r="BA86" i="78" s="1"/>
  <c r="BA15" i="78"/>
  <c r="BA87" i="78" s="1"/>
  <c r="BA16" i="78"/>
  <c r="BA52" i="78" s="1"/>
  <c r="BA17" i="78"/>
  <c r="BA89" i="78" s="1"/>
  <c r="BA18" i="78"/>
  <c r="BA90" i="78" s="1"/>
  <c r="BA19" i="78"/>
  <c r="BA55" i="78" s="1"/>
  <c r="BA20" i="78"/>
  <c r="BA56" i="78" s="1"/>
  <c r="BA21" i="78"/>
  <c r="BA57" i="78" s="1"/>
  <c r="BA22" i="78"/>
  <c r="BA94" i="78" s="1"/>
  <c r="BA23" i="78"/>
  <c r="BA95" i="78" s="1"/>
  <c r="BA24" i="78"/>
  <c r="BA96" i="78" s="1"/>
  <c r="BA25" i="78"/>
  <c r="BA97" i="78" s="1"/>
  <c r="BA26" i="78"/>
  <c r="BA98" i="78" s="1"/>
  <c r="BA27" i="78"/>
  <c r="BA63" i="78" s="1"/>
  <c r="BA28" i="78"/>
  <c r="BA64" i="78" s="1"/>
  <c r="BA29" i="78"/>
  <c r="BA101" i="78" s="1"/>
  <c r="BA30" i="78"/>
  <c r="BA102" i="78" s="1"/>
  <c r="BA31" i="78"/>
  <c r="BA32" i="78"/>
  <c r="BA104" i="78" s="1"/>
  <c r="BA8" i="78"/>
  <c r="BA44" i="78" s="1"/>
  <c r="AP9" i="78"/>
  <c r="AP81" i="78" s="1"/>
  <c r="AP10" i="78"/>
  <c r="AP82" i="78" s="1"/>
  <c r="AP11" i="78"/>
  <c r="AP47" i="78" s="1"/>
  <c r="AP12" i="78"/>
  <c r="AP48" i="78" s="1"/>
  <c r="AP13" i="78"/>
  <c r="AP49" i="78" s="1"/>
  <c r="AP14" i="78"/>
  <c r="AP86" i="78" s="1"/>
  <c r="AP15" i="78"/>
  <c r="AP87" i="78" s="1"/>
  <c r="AP16" i="78"/>
  <c r="AP17" i="78"/>
  <c r="AP89" i="78" s="1"/>
  <c r="AP18" i="78"/>
  <c r="AP54" i="78" s="1"/>
  <c r="AP19" i="78"/>
  <c r="AP55" i="78" s="1"/>
  <c r="AP20" i="78"/>
  <c r="AP56" i="78" s="1"/>
  <c r="AP21" i="78"/>
  <c r="AP93" i="78" s="1"/>
  <c r="AP22" i="78"/>
  <c r="AP94" i="78" s="1"/>
  <c r="AP23" i="78"/>
  <c r="AP95" i="78" s="1"/>
  <c r="AP24" i="78"/>
  <c r="AP96" i="78" s="1"/>
  <c r="AP25" i="78"/>
  <c r="AP97" i="78" s="1"/>
  <c r="AP26" i="78"/>
  <c r="AP98" i="78" s="1"/>
  <c r="AP27" i="78"/>
  <c r="AP63" i="78" s="1"/>
  <c r="AP28" i="78"/>
  <c r="AP64" i="78" s="1"/>
  <c r="AP29" i="78"/>
  <c r="AP65" i="78" s="1"/>
  <c r="AP30" i="78"/>
  <c r="AP102" i="78" s="1"/>
  <c r="AP31" i="78"/>
  <c r="AP67" i="78" s="1"/>
  <c r="AP32" i="78"/>
  <c r="AP68" i="78" s="1"/>
  <c r="AP8" i="78"/>
  <c r="AP80" i="78" s="1"/>
  <c r="AE9" i="78"/>
  <c r="AE10" i="78"/>
  <c r="AE46" i="78" s="1"/>
  <c r="AE11" i="78"/>
  <c r="AE83" i="78" s="1"/>
  <c r="AE12" i="78"/>
  <c r="AE84" i="78" s="1"/>
  <c r="AE13" i="78"/>
  <c r="AE49" i="78" s="1"/>
  <c r="AE14" i="78"/>
  <c r="AE50" i="78" s="1"/>
  <c r="AE15" i="78"/>
  <c r="AE87" i="78" s="1"/>
  <c r="AE16" i="78"/>
  <c r="AE52" i="78" s="1"/>
  <c r="AE17" i="78"/>
  <c r="AE89" i="78" s="1"/>
  <c r="AE18" i="78"/>
  <c r="AE54" i="78" s="1"/>
  <c r="AE19" i="78"/>
  <c r="AE91" i="78" s="1"/>
  <c r="AE20" i="78"/>
  <c r="AE92" i="78" s="1"/>
  <c r="AE21" i="78"/>
  <c r="AE57" i="78" s="1"/>
  <c r="AE22" i="78"/>
  <c r="AE58" i="78" s="1"/>
  <c r="AE23" i="78"/>
  <c r="AE95" i="78" s="1"/>
  <c r="AE24" i="78"/>
  <c r="AE60" i="78" s="1"/>
  <c r="AE25" i="78"/>
  <c r="AE97" i="78" s="1"/>
  <c r="AE26" i="78"/>
  <c r="AE27" i="78"/>
  <c r="AE63" i="78" s="1"/>
  <c r="AE28" i="78"/>
  <c r="AE100" i="78" s="1"/>
  <c r="AE29" i="78"/>
  <c r="AE65" i="78" s="1"/>
  <c r="AE30" i="78"/>
  <c r="AE66" i="78" s="1"/>
  <c r="AE31" i="78"/>
  <c r="AE103" i="78" s="1"/>
  <c r="AE32" i="78"/>
  <c r="AE68" i="78" s="1"/>
  <c r="AE8" i="78"/>
  <c r="CT77" i="78"/>
  <c r="CR77" i="78"/>
  <c r="CS54" i="78"/>
  <c r="CT42" i="78"/>
  <c r="CT78" i="78" s="1"/>
  <c r="CS42" i="78"/>
  <c r="CS78" i="78" s="1"/>
  <c r="CR42" i="78"/>
  <c r="CR78" i="78" s="1"/>
  <c r="CT41" i="78"/>
  <c r="CS41" i="78"/>
  <c r="CS77" i="78" s="1"/>
  <c r="CR41" i="78"/>
  <c r="CR32" i="78"/>
  <c r="CR68" i="78" s="1"/>
  <c r="CR104" i="78" s="1"/>
  <c r="CR31" i="78"/>
  <c r="CR67" i="78" s="1"/>
  <c r="CR103" i="78" s="1"/>
  <c r="CR30" i="78"/>
  <c r="CR66" i="78" s="1"/>
  <c r="CR102" i="78" s="1"/>
  <c r="CR29" i="78"/>
  <c r="CR65" i="78" s="1"/>
  <c r="CR101" i="78" s="1"/>
  <c r="CR28" i="78"/>
  <c r="CR27" i="78"/>
  <c r="CR63" i="78" s="1"/>
  <c r="CR99" i="78" s="1"/>
  <c r="CS98" i="78"/>
  <c r="CR26" i="78"/>
  <c r="CT26" i="78" s="1"/>
  <c r="CT62" i="78" s="1"/>
  <c r="CT98" i="78" s="1"/>
  <c r="CR25" i="78"/>
  <c r="CR61" i="78" s="1"/>
  <c r="CR97" i="78" s="1"/>
  <c r="CR24" i="78"/>
  <c r="CR60" i="78" s="1"/>
  <c r="CR96" i="78" s="1"/>
  <c r="CR23" i="78"/>
  <c r="CR59" i="78" s="1"/>
  <c r="CR95" i="78" s="1"/>
  <c r="CR22" i="78"/>
  <c r="CR58" i="78" s="1"/>
  <c r="CR94" i="78" s="1"/>
  <c r="CR21" i="78"/>
  <c r="CR57" i="78" s="1"/>
  <c r="CR93" i="78" s="1"/>
  <c r="CR20" i="78"/>
  <c r="CR19" i="78"/>
  <c r="CR55" i="78" s="1"/>
  <c r="CR91" i="78" s="1"/>
  <c r="CS90" i="78"/>
  <c r="CR18" i="78"/>
  <c r="CR54" i="78" s="1"/>
  <c r="CR90" i="78" s="1"/>
  <c r="CR17" i="78"/>
  <c r="CR16" i="78"/>
  <c r="CR52" i="78" s="1"/>
  <c r="CR88" i="78" s="1"/>
  <c r="CR15" i="78"/>
  <c r="CR51" i="78" s="1"/>
  <c r="CR87" i="78" s="1"/>
  <c r="CR14" i="78"/>
  <c r="CR50" i="78" s="1"/>
  <c r="CR86" i="78" s="1"/>
  <c r="CR13" i="78"/>
  <c r="CR49" i="78" s="1"/>
  <c r="CR85" i="78" s="1"/>
  <c r="CR12" i="78"/>
  <c r="CR11" i="78"/>
  <c r="CR47" i="78" s="1"/>
  <c r="CR83" i="78" s="1"/>
  <c r="CR10" i="78"/>
  <c r="CR46" i="78" s="1"/>
  <c r="CR82" i="78" s="1"/>
  <c r="CR9" i="78"/>
  <c r="CR45" i="78" s="1"/>
  <c r="CR81" i="78" s="1"/>
  <c r="CR8" i="78"/>
  <c r="CT8" i="78" s="1"/>
  <c r="CT44" i="78" s="1"/>
  <c r="CT80" i="78" s="1"/>
  <c r="CH78" i="78"/>
  <c r="CH61" i="78"/>
  <c r="CI42" i="78"/>
  <c r="CI78" i="78" s="1"/>
  <c r="CH42" i="78"/>
  <c r="CG42" i="78"/>
  <c r="CG78" i="78" s="1"/>
  <c r="CI41" i="78"/>
  <c r="CI77" i="78" s="1"/>
  <c r="CH41" i="78"/>
  <c r="CH77" i="78" s="1"/>
  <c r="CG41" i="78"/>
  <c r="CG77" i="78" s="1"/>
  <c r="CG32" i="78"/>
  <c r="CG31" i="78"/>
  <c r="CG67" i="78" s="1"/>
  <c r="CG103" i="78" s="1"/>
  <c r="CG30" i="78"/>
  <c r="CG66" i="78" s="1"/>
  <c r="CG102" i="78" s="1"/>
  <c r="CG29" i="78"/>
  <c r="CG65" i="78" s="1"/>
  <c r="CG101" i="78" s="1"/>
  <c r="CG28" i="78"/>
  <c r="CG64" i="78" s="1"/>
  <c r="CG100" i="78" s="1"/>
  <c r="CG27" i="78"/>
  <c r="CG26" i="78"/>
  <c r="CG62" i="78" s="1"/>
  <c r="CG98" i="78" s="1"/>
  <c r="CG25" i="78"/>
  <c r="CG61" i="78" s="1"/>
  <c r="CG97" i="78" s="1"/>
  <c r="CG24" i="78"/>
  <c r="CG23" i="78"/>
  <c r="CG59" i="78" s="1"/>
  <c r="CG95" i="78" s="1"/>
  <c r="CG22" i="78"/>
  <c r="CG58" i="78" s="1"/>
  <c r="CG94" i="78" s="1"/>
  <c r="CG21" i="78"/>
  <c r="CG57" i="78" s="1"/>
  <c r="CG93" i="78" s="1"/>
  <c r="CG20" i="78"/>
  <c r="CG56" i="78" s="1"/>
  <c r="CG92" i="78" s="1"/>
  <c r="CG19" i="78"/>
  <c r="CG18" i="78"/>
  <c r="CG54" i="78" s="1"/>
  <c r="CG90" i="78" s="1"/>
  <c r="CH89" i="78"/>
  <c r="CG17" i="78"/>
  <c r="CI17" i="78" s="1"/>
  <c r="CI53" i="78" s="1"/>
  <c r="CI89" i="78" s="1"/>
  <c r="CG16" i="78"/>
  <c r="CG15" i="78"/>
  <c r="CG51" i="78" s="1"/>
  <c r="CG87" i="78" s="1"/>
  <c r="CG14" i="78"/>
  <c r="CG50" i="78" s="1"/>
  <c r="CG86" i="78" s="1"/>
  <c r="CG13" i="78"/>
  <c r="CG49" i="78" s="1"/>
  <c r="CG85" i="78" s="1"/>
  <c r="CG12" i="78"/>
  <c r="CG48" i="78" s="1"/>
  <c r="CG84" i="78" s="1"/>
  <c r="CG11" i="78"/>
  <c r="CG47" i="78" s="1"/>
  <c r="CG83" i="78" s="1"/>
  <c r="CG10" i="78"/>
  <c r="CG46" i="78" s="1"/>
  <c r="CG82" i="78" s="1"/>
  <c r="CG9" i="78"/>
  <c r="CG45" i="78" s="1"/>
  <c r="CG81" i="78" s="1"/>
  <c r="CG8" i="78"/>
  <c r="BW78" i="78"/>
  <c r="BV77" i="78"/>
  <c r="BX42" i="78"/>
  <c r="BX78" i="78" s="1"/>
  <c r="BW42" i="78"/>
  <c r="BV42" i="78"/>
  <c r="BV78" i="78" s="1"/>
  <c r="BX41" i="78"/>
  <c r="BX77" i="78" s="1"/>
  <c r="BW41" i="78"/>
  <c r="BW77" i="78" s="1"/>
  <c r="BV41" i="78"/>
  <c r="BV32" i="78"/>
  <c r="BV31" i="78"/>
  <c r="BV67" i="78" s="1"/>
  <c r="BV103" i="78" s="1"/>
  <c r="BV30" i="78"/>
  <c r="BV66" i="78" s="1"/>
  <c r="BV102" i="78" s="1"/>
  <c r="BV29" i="78"/>
  <c r="BV65" i="78" s="1"/>
  <c r="BV101" i="78" s="1"/>
  <c r="BV28" i="78"/>
  <c r="BV64" i="78" s="1"/>
  <c r="BV100" i="78" s="1"/>
  <c r="BV27" i="78"/>
  <c r="BV63" i="78" s="1"/>
  <c r="BV99" i="78" s="1"/>
  <c r="BV26" i="78"/>
  <c r="BV62" i="78" s="1"/>
  <c r="BV98" i="78" s="1"/>
  <c r="BV25" i="78"/>
  <c r="BV61" i="78" s="1"/>
  <c r="BV97" i="78" s="1"/>
  <c r="BV24" i="78"/>
  <c r="BX24" i="78" s="1"/>
  <c r="BX60" i="78" s="1"/>
  <c r="BX96" i="78" s="1"/>
  <c r="BV23" i="78"/>
  <c r="BV59" i="78" s="1"/>
  <c r="BV95" i="78" s="1"/>
  <c r="BV22" i="78"/>
  <c r="BV58" i="78" s="1"/>
  <c r="BV94" i="78" s="1"/>
  <c r="BV21" i="78"/>
  <c r="BV57" i="78" s="1"/>
  <c r="BV93" i="78" s="1"/>
  <c r="BV20" i="78"/>
  <c r="BV56" i="78" s="1"/>
  <c r="BV92" i="78" s="1"/>
  <c r="BV19" i="78"/>
  <c r="BV18" i="78"/>
  <c r="BV54" i="78" s="1"/>
  <c r="BV90" i="78" s="1"/>
  <c r="BV17" i="78"/>
  <c r="BV53" i="78" s="1"/>
  <c r="BV89" i="78" s="1"/>
  <c r="BW52" i="78"/>
  <c r="BV16" i="78"/>
  <c r="BV15" i="78"/>
  <c r="BV51" i="78" s="1"/>
  <c r="BV87" i="78" s="1"/>
  <c r="BV14" i="78"/>
  <c r="BV50" i="78" s="1"/>
  <c r="BV86" i="78" s="1"/>
  <c r="BV13" i="78"/>
  <c r="BV49" i="78" s="1"/>
  <c r="BV85" i="78" s="1"/>
  <c r="BV12" i="78"/>
  <c r="BV48" i="78" s="1"/>
  <c r="BV84" i="78" s="1"/>
  <c r="BV11" i="78"/>
  <c r="BV47" i="78" s="1"/>
  <c r="BV83" i="78" s="1"/>
  <c r="BV10" i="78"/>
  <c r="BV46" i="78" s="1"/>
  <c r="BV82" i="78" s="1"/>
  <c r="BV9" i="78"/>
  <c r="BV45" i="78" s="1"/>
  <c r="BV81" i="78" s="1"/>
  <c r="BV8" i="78"/>
  <c r="BV44" i="78" s="1"/>
  <c r="BV80" i="78" s="1"/>
  <c r="BL78" i="78"/>
  <c r="BM42" i="78"/>
  <c r="BM78" i="78" s="1"/>
  <c r="BL42" i="78"/>
  <c r="BK42" i="78"/>
  <c r="BK78" i="78" s="1"/>
  <c r="BM41" i="78"/>
  <c r="BM77" i="78" s="1"/>
  <c r="BL41" i="78"/>
  <c r="BL77" i="78" s="1"/>
  <c r="BK41" i="78"/>
  <c r="BK77" i="78" s="1"/>
  <c r="BK32" i="78"/>
  <c r="BK68" i="78" s="1"/>
  <c r="BK104" i="78" s="1"/>
  <c r="BK31" i="78"/>
  <c r="BK67" i="78" s="1"/>
  <c r="BK103" i="78" s="1"/>
  <c r="BK30" i="78"/>
  <c r="BK66" i="78" s="1"/>
  <c r="BK102" i="78" s="1"/>
  <c r="BK29" i="78"/>
  <c r="BK65" i="78" s="1"/>
  <c r="BK101" i="78" s="1"/>
  <c r="BK28" i="78"/>
  <c r="BK64" i="78" s="1"/>
  <c r="BK100" i="78" s="1"/>
  <c r="BK27" i="78"/>
  <c r="BK63" i="78" s="1"/>
  <c r="BK99" i="78" s="1"/>
  <c r="BK26" i="78"/>
  <c r="BK62" i="78" s="1"/>
  <c r="BK98" i="78" s="1"/>
  <c r="BK25" i="78"/>
  <c r="BK24" i="78"/>
  <c r="BK60" i="78" s="1"/>
  <c r="BK96" i="78" s="1"/>
  <c r="BK23" i="78"/>
  <c r="BK59" i="78" s="1"/>
  <c r="BK95" i="78" s="1"/>
  <c r="BK22" i="78"/>
  <c r="BK21" i="78"/>
  <c r="BK57" i="78" s="1"/>
  <c r="BK93" i="78" s="1"/>
  <c r="BK20" i="78"/>
  <c r="BK56" i="78" s="1"/>
  <c r="BK92" i="78" s="1"/>
  <c r="BK19" i="78"/>
  <c r="BK55" i="78" s="1"/>
  <c r="BK91" i="78" s="1"/>
  <c r="BK18" i="78"/>
  <c r="BK54" i="78" s="1"/>
  <c r="BK90" i="78" s="1"/>
  <c r="BK17" i="78"/>
  <c r="BK16" i="78"/>
  <c r="BK52" i="78" s="1"/>
  <c r="BK88" i="78" s="1"/>
  <c r="BK15" i="78"/>
  <c r="BK51" i="78" s="1"/>
  <c r="BK87" i="78" s="1"/>
  <c r="BK14" i="78"/>
  <c r="BK50" i="78" s="1"/>
  <c r="BK86" i="78" s="1"/>
  <c r="BK13" i="78"/>
  <c r="BK49" i="78" s="1"/>
  <c r="BK85" i="78" s="1"/>
  <c r="BK12" i="78"/>
  <c r="BK48" i="78" s="1"/>
  <c r="BK84" i="78" s="1"/>
  <c r="BK11" i="78"/>
  <c r="BK47" i="78" s="1"/>
  <c r="BK83" i="78" s="1"/>
  <c r="BK10" i="78"/>
  <c r="BK46" i="78" s="1"/>
  <c r="BK82" i="78" s="1"/>
  <c r="BK9" i="78"/>
  <c r="BK8" i="78"/>
  <c r="BK44" i="78" s="1"/>
  <c r="BK80" i="78" s="1"/>
  <c r="BB42" i="78"/>
  <c r="BB78" i="78" s="1"/>
  <c r="BA42" i="78"/>
  <c r="BA78" i="78" s="1"/>
  <c r="AZ42" i="78"/>
  <c r="AZ78" i="78" s="1"/>
  <c r="BB41" i="78"/>
  <c r="BB77" i="78" s="1"/>
  <c r="BA41" i="78"/>
  <c r="BA77" i="78" s="1"/>
  <c r="AZ41" i="78"/>
  <c r="AZ77" i="78" s="1"/>
  <c r="AZ32" i="78"/>
  <c r="AZ68" i="78" s="1"/>
  <c r="AZ104" i="78" s="1"/>
  <c r="AZ31" i="78"/>
  <c r="AZ67" i="78" s="1"/>
  <c r="AZ103" i="78" s="1"/>
  <c r="AZ30" i="78"/>
  <c r="AZ66" i="78" s="1"/>
  <c r="AZ102" i="78" s="1"/>
  <c r="BA65" i="78"/>
  <c r="AZ29" i="78"/>
  <c r="AZ65" i="78" s="1"/>
  <c r="AZ101" i="78" s="1"/>
  <c r="AZ28" i="78"/>
  <c r="AZ27" i="78"/>
  <c r="AZ63" i="78" s="1"/>
  <c r="AZ99" i="78" s="1"/>
  <c r="AZ26" i="78"/>
  <c r="AZ62" i="78" s="1"/>
  <c r="AZ98" i="78" s="1"/>
  <c r="AZ25" i="78"/>
  <c r="AZ24" i="78"/>
  <c r="AZ60" i="78" s="1"/>
  <c r="AZ96" i="78" s="1"/>
  <c r="AZ23" i="78"/>
  <c r="AZ59" i="78" s="1"/>
  <c r="AZ95" i="78" s="1"/>
  <c r="AZ22" i="78"/>
  <c r="AZ58" i="78" s="1"/>
  <c r="AZ94" i="78" s="1"/>
  <c r="AZ21" i="78"/>
  <c r="AZ57" i="78" s="1"/>
  <c r="AZ93" i="78" s="1"/>
  <c r="AZ20" i="78"/>
  <c r="AZ19" i="78"/>
  <c r="AZ55" i="78" s="1"/>
  <c r="AZ91" i="78" s="1"/>
  <c r="AZ18" i="78"/>
  <c r="AZ54" i="78" s="1"/>
  <c r="AZ90" i="78" s="1"/>
  <c r="AZ17" i="78"/>
  <c r="AZ16" i="78"/>
  <c r="AZ52" i="78" s="1"/>
  <c r="AZ88" i="78" s="1"/>
  <c r="AZ15" i="78"/>
  <c r="AZ51" i="78" s="1"/>
  <c r="AZ87" i="78" s="1"/>
  <c r="AZ14" i="78"/>
  <c r="AZ50" i="78" s="1"/>
  <c r="AZ86" i="78" s="1"/>
  <c r="AZ13" i="78"/>
  <c r="AZ49" i="78" s="1"/>
  <c r="AZ85" i="78" s="1"/>
  <c r="AZ12" i="78"/>
  <c r="AZ11" i="78"/>
  <c r="AZ47" i="78" s="1"/>
  <c r="AZ83" i="78" s="1"/>
  <c r="AZ10" i="78"/>
  <c r="AZ46" i="78" s="1"/>
  <c r="AZ82" i="78" s="1"/>
  <c r="AZ9" i="78"/>
  <c r="AZ8" i="78"/>
  <c r="AZ44" i="78" s="1"/>
  <c r="AZ80" i="78" s="1"/>
  <c r="AQ42" i="78"/>
  <c r="AQ78" i="78" s="1"/>
  <c r="AP42" i="78"/>
  <c r="AP78" i="78" s="1"/>
  <c r="AO42" i="78"/>
  <c r="AO78" i="78" s="1"/>
  <c r="AQ41" i="78"/>
  <c r="AQ77" i="78" s="1"/>
  <c r="AP41" i="78"/>
  <c r="AP77" i="78" s="1"/>
  <c r="AO41" i="78"/>
  <c r="AO77" i="78" s="1"/>
  <c r="AO32" i="78"/>
  <c r="AO68" i="78" s="1"/>
  <c r="AO104" i="78" s="1"/>
  <c r="AO31" i="78"/>
  <c r="AO67" i="78" s="1"/>
  <c r="AO103" i="78" s="1"/>
  <c r="AO30" i="78"/>
  <c r="AO66" i="78" s="1"/>
  <c r="AO102" i="78" s="1"/>
  <c r="AO29" i="78"/>
  <c r="AO65" i="78" s="1"/>
  <c r="AO101" i="78" s="1"/>
  <c r="AP100" i="78"/>
  <c r="AO28" i="78"/>
  <c r="AQ28" i="78" s="1"/>
  <c r="AQ64" i="78" s="1"/>
  <c r="AQ100" i="78" s="1"/>
  <c r="AO27" i="78"/>
  <c r="AO63" i="78" s="1"/>
  <c r="AO99" i="78" s="1"/>
  <c r="AO26" i="78"/>
  <c r="AO62" i="78" s="1"/>
  <c r="AO98" i="78" s="1"/>
  <c r="AO25" i="78"/>
  <c r="AO24" i="78"/>
  <c r="AO60" i="78" s="1"/>
  <c r="AO96" i="78" s="1"/>
  <c r="AO23" i="78"/>
  <c r="AO59" i="78" s="1"/>
  <c r="AO95" i="78" s="1"/>
  <c r="AO22" i="78"/>
  <c r="AO58" i="78" s="1"/>
  <c r="AO94" i="78" s="1"/>
  <c r="AO21" i="78"/>
  <c r="AO57" i="78" s="1"/>
  <c r="AO93" i="78" s="1"/>
  <c r="AO20" i="78"/>
  <c r="AO19" i="78"/>
  <c r="AO55" i="78" s="1"/>
  <c r="AO91" i="78" s="1"/>
  <c r="AO18" i="78"/>
  <c r="AO54" i="78" s="1"/>
  <c r="AO90" i="78" s="1"/>
  <c r="AO17" i="78"/>
  <c r="AO16" i="78"/>
  <c r="AO52" i="78" s="1"/>
  <c r="AO88" i="78" s="1"/>
  <c r="AO15" i="78"/>
  <c r="AO51" i="78" s="1"/>
  <c r="AO87" i="78" s="1"/>
  <c r="AO14" i="78"/>
  <c r="AO50" i="78" s="1"/>
  <c r="AO86" i="78" s="1"/>
  <c r="AO13" i="78"/>
  <c r="AO49" i="78" s="1"/>
  <c r="AO85" i="78" s="1"/>
  <c r="AO12" i="78"/>
  <c r="AO11" i="78"/>
  <c r="AO47" i="78" s="1"/>
  <c r="AO83" i="78" s="1"/>
  <c r="AO10" i="78"/>
  <c r="AO46" i="78" s="1"/>
  <c r="AO82" i="78" s="1"/>
  <c r="AO9" i="78"/>
  <c r="AO8" i="78"/>
  <c r="AO44" i="78" s="1"/>
  <c r="AO80" i="78" s="1"/>
  <c r="AE99" i="78"/>
  <c r="AD77" i="78"/>
  <c r="AF42" i="78"/>
  <c r="AF78" i="78" s="1"/>
  <c r="AE42" i="78"/>
  <c r="AE78" i="78" s="1"/>
  <c r="AD42" i="78"/>
  <c r="AD78" i="78" s="1"/>
  <c r="AF41" i="78"/>
  <c r="AF77" i="78" s="1"/>
  <c r="AE41" i="78"/>
  <c r="AE77" i="78" s="1"/>
  <c r="AD41" i="78"/>
  <c r="AD32" i="78"/>
  <c r="AD68" i="78" s="1"/>
  <c r="AD104" i="78" s="1"/>
  <c r="AD31" i="78"/>
  <c r="AD30" i="78"/>
  <c r="AD66" i="78" s="1"/>
  <c r="AD102" i="78" s="1"/>
  <c r="AD29" i="78"/>
  <c r="AD65" i="78" s="1"/>
  <c r="AD101" i="78" s="1"/>
  <c r="AD28" i="78"/>
  <c r="AD27" i="78"/>
  <c r="AD63" i="78" s="1"/>
  <c r="AD99" i="78" s="1"/>
  <c r="AD26" i="78"/>
  <c r="AD62" i="78" s="1"/>
  <c r="AD98" i="78" s="1"/>
  <c r="AD25" i="78"/>
  <c r="AD61" i="78" s="1"/>
  <c r="AD97" i="78" s="1"/>
  <c r="AD24" i="78"/>
  <c r="AD60" i="78" s="1"/>
  <c r="AD96" i="78" s="1"/>
  <c r="AD23" i="78"/>
  <c r="AD22" i="78"/>
  <c r="AD58" i="78" s="1"/>
  <c r="AD94" i="78" s="1"/>
  <c r="AD21" i="78"/>
  <c r="AD57" i="78" s="1"/>
  <c r="AD93" i="78" s="1"/>
  <c r="AD20" i="78"/>
  <c r="AD19" i="78"/>
  <c r="AD55" i="78" s="1"/>
  <c r="AD91" i="78" s="1"/>
  <c r="AD18" i="78"/>
  <c r="AD54" i="78" s="1"/>
  <c r="AD90" i="78" s="1"/>
  <c r="AD17" i="78"/>
  <c r="AD53" i="78" s="1"/>
  <c r="AD89" i="78" s="1"/>
  <c r="AD16" i="78"/>
  <c r="AD52" i="78" s="1"/>
  <c r="AD88" i="78" s="1"/>
  <c r="AD15" i="78"/>
  <c r="AD14" i="78"/>
  <c r="AD50" i="78" s="1"/>
  <c r="AD86" i="78" s="1"/>
  <c r="AD13" i="78"/>
  <c r="AD49" i="78" s="1"/>
  <c r="AD85" i="78" s="1"/>
  <c r="AD12" i="78"/>
  <c r="AD11" i="78"/>
  <c r="AD47" i="78" s="1"/>
  <c r="AD83" i="78" s="1"/>
  <c r="AD10" i="78"/>
  <c r="AD46" i="78" s="1"/>
  <c r="AD82" i="78" s="1"/>
  <c r="AD9" i="78"/>
  <c r="AD45" i="78" s="1"/>
  <c r="AD81" i="78" s="1"/>
  <c r="AD8" i="78"/>
  <c r="AD44" i="78" s="1"/>
  <c r="AD80" i="78" s="1"/>
  <c r="K107" i="49" a="1"/>
  <c r="K107" i="49" s="1"/>
  <c r="M107" i="49" a="1"/>
  <c r="M110" i="49" s="1"/>
  <c r="J107" i="49" a="1"/>
  <c r="I106" i="49"/>
  <c r="K96" i="49" a="1"/>
  <c r="K96" i="49" s="1"/>
  <c r="M96" i="49" a="1"/>
  <c r="M99" i="49" s="1"/>
  <c r="J96" i="49" a="1"/>
  <c r="J99" i="49" s="1"/>
  <c r="I95" i="49"/>
  <c r="K85" i="49" a="1"/>
  <c r="K86" i="49" s="1"/>
  <c r="M85" i="49" a="1"/>
  <c r="M88" i="49" s="1"/>
  <c r="J85" i="49" a="1"/>
  <c r="J85" i="49" s="1"/>
  <c r="I84" i="49"/>
  <c r="K74" i="49" a="1"/>
  <c r="K77" i="49" s="1"/>
  <c r="M74" i="49" a="1"/>
  <c r="M76" i="49" s="1"/>
  <c r="J74" i="49" a="1"/>
  <c r="J74" i="49" s="1"/>
  <c r="I73" i="49"/>
  <c r="K63" i="49" a="1"/>
  <c r="K66" i="49" s="1"/>
  <c r="M63" i="49" a="1"/>
  <c r="M66" i="49" s="1"/>
  <c r="J63" i="49" a="1"/>
  <c r="J68" i="49" s="1"/>
  <c r="I62" i="49"/>
  <c r="K52" i="49" a="1"/>
  <c r="K56" i="49" s="1"/>
  <c r="M52" i="49" a="1"/>
  <c r="M52" i="49" s="1"/>
  <c r="J52" i="49" a="1"/>
  <c r="J57" i="49" s="1"/>
  <c r="I51" i="49"/>
  <c r="A258" i="49"/>
  <c r="E284" i="49"/>
  <c r="C284" i="49"/>
  <c r="B284" i="49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F269" i="49" s="1"/>
  <c r="G268" i="49"/>
  <c r="D268" i="49"/>
  <c r="F268" i="49" s="1"/>
  <c r="G267" i="49"/>
  <c r="D267" i="49"/>
  <c r="F267" i="49" s="1"/>
  <c r="G266" i="49"/>
  <c r="D266" i="49"/>
  <c r="F266" i="49" s="1"/>
  <c r="G265" i="49"/>
  <c r="D265" i="49"/>
  <c r="F265" i="49" s="1"/>
  <c r="G264" i="49"/>
  <c r="D264" i="49"/>
  <c r="F264" i="49" s="1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G259" i="49"/>
  <c r="D259" i="49"/>
  <c r="F259" i="49" s="1"/>
  <c r="G237" i="49"/>
  <c r="A230" i="49"/>
  <c r="E256" i="49"/>
  <c r="C256" i="49"/>
  <c r="B256" i="49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G245" i="49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F239" i="49" s="1"/>
  <c r="G238" i="49"/>
  <c r="D238" i="49"/>
  <c r="F238" i="49" s="1"/>
  <c r="D237" i="49"/>
  <c r="F237" i="49" s="1"/>
  <c r="G236" i="49"/>
  <c r="D236" i="49"/>
  <c r="F236" i="49" s="1"/>
  <c r="G235" i="49"/>
  <c r="D235" i="49"/>
  <c r="F235" i="49" s="1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A202" i="49"/>
  <c r="E228" i="49"/>
  <c r="C228" i="49"/>
  <c r="B228" i="49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F211" i="49" s="1"/>
  <c r="G210" i="49"/>
  <c r="D210" i="49"/>
  <c r="F210" i="49" s="1"/>
  <c r="G209" i="49"/>
  <c r="D209" i="49"/>
  <c r="F209" i="49" s="1"/>
  <c r="G208" i="49"/>
  <c r="D208" i="49"/>
  <c r="F208" i="49" s="1"/>
  <c r="G207" i="49"/>
  <c r="D207" i="49"/>
  <c r="F207" i="49" s="1"/>
  <c r="G206" i="49"/>
  <c r="D206" i="49"/>
  <c r="F206" i="49" s="1"/>
  <c r="G205" i="49"/>
  <c r="D205" i="49"/>
  <c r="F205" i="49" s="1"/>
  <c r="G204" i="49"/>
  <c r="D204" i="49"/>
  <c r="G203" i="49"/>
  <c r="D203" i="49"/>
  <c r="F203" i="49" s="1"/>
  <c r="A174" i="49"/>
  <c r="E200" i="49"/>
  <c r="C200" i="49"/>
  <c r="B200" i="49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F182" i="49" s="1"/>
  <c r="G181" i="49"/>
  <c r="D181" i="49"/>
  <c r="F181" i="49" s="1"/>
  <c r="G180" i="49"/>
  <c r="D180" i="49"/>
  <c r="F180" i="49" s="1"/>
  <c r="G179" i="49"/>
  <c r="D179" i="49"/>
  <c r="F179" i="49" s="1"/>
  <c r="G178" i="49"/>
  <c r="D178" i="49"/>
  <c r="F178" i="49" s="1"/>
  <c r="G177" i="49"/>
  <c r="D177" i="49"/>
  <c r="F177" i="49" s="1"/>
  <c r="G176" i="49"/>
  <c r="D176" i="49"/>
  <c r="G175" i="49"/>
  <c r="D175" i="49"/>
  <c r="F175" i="49" s="1"/>
  <c r="G147" i="49"/>
  <c r="D147" i="49"/>
  <c r="A146" i="49"/>
  <c r="E172" i="49"/>
  <c r="C172" i="49"/>
  <c r="B172" i="49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F153" i="49" s="1"/>
  <c r="G152" i="49"/>
  <c r="D152" i="49"/>
  <c r="F152" i="49" s="1"/>
  <c r="G151" i="49"/>
  <c r="D151" i="49"/>
  <c r="F151" i="49" s="1"/>
  <c r="G150" i="49"/>
  <c r="D150" i="49"/>
  <c r="F150" i="49" s="1"/>
  <c r="G149" i="49"/>
  <c r="D149" i="49"/>
  <c r="F149" i="49" s="1"/>
  <c r="G148" i="49"/>
  <c r="D148" i="49"/>
  <c r="S9" i="78"/>
  <c r="S45" i="78" s="1"/>
  <c r="S81" i="78" s="1"/>
  <c r="S10" i="78"/>
  <c r="S46" i="78" s="1"/>
  <c r="S82" i="78" s="1"/>
  <c r="S11" i="78"/>
  <c r="S47" i="78" s="1"/>
  <c r="S83" i="78" s="1"/>
  <c r="S12" i="78"/>
  <c r="S48" i="78" s="1"/>
  <c r="S84" i="78" s="1"/>
  <c r="S13" i="78"/>
  <c r="S49" i="78" s="1"/>
  <c r="S85" i="78" s="1"/>
  <c r="S14" i="78"/>
  <c r="S50" i="78" s="1"/>
  <c r="S86" i="78" s="1"/>
  <c r="S15" i="78"/>
  <c r="S51" i="78" s="1"/>
  <c r="S87" i="78" s="1"/>
  <c r="S16" i="78"/>
  <c r="S52" i="78" s="1"/>
  <c r="S88" i="78" s="1"/>
  <c r="S17" i="78"/>
  <c r="S53" i="78" s="1"/>
  <c r="S89" i="78" s="1"/>
  <c r="S18" i="78"/>
  <c r="S54" i="78" s="1"/>
  <c r="S90" i="78" s="1"/>
  <c r="S19" i="78"/>
  <c r="S55" i="78" s="1"/>
  <c r="S91" i="78" s="1"/>
  <c r="S20" i="78"/>
  <c r="S56" i="78" s="1"/>
  <c r="S92" i="78" s="1"/>
  <c r="S21" i="78"/>
  <c r="S57" i="78" s="1"/>
  <c r="S93" i="78" s="1"/>
  <c r="S22" i="78"/>
  <c r="S58" i="78" s="1"/>
  <c r="S94" i="78" s="1"/>
  <c r="S23" i="78"/>
  <c r="S59" i="78" s="1"/>
  <c r="S95" i="78" s="1"/>
  <c r="S24" i="78"/>
  <c r="S60" i="78" s="1"/>
  <c r="S96" i="78" s="1"/>
  <c r="S25" i="78"/>
  <c r="S61" i="78" s="1"/>
  <c r="S97" i="78" s="1"/>
  <c r="S26" i="78"/>
  <c r="S62" i="78" s="1"/>
  <c r="S98" i="78" s="1"/>
  <c r="S27" i="78"/>
  <c r="S63" i="78" s="1"/>
  <c r="S99" i="78" s="1"/>
  <c r="S28" i="78"/>
  <c r="S64" i="78" s="1"/>
  <c r="S100" i="78" s="1"/>
  <c r="S29" i="78"/>
  <c r="S65" i="78" s="1"/>
  <c r="S101" i="78" s="1"/>
  <c r="S30" i="78"/>
  <c r="S66" i="78" s="1"/>
  <c r="S102" i="78" s="1"/>
  <c r="S31" i="78"/>
  <c r="S67" i="78" s="1"/>
  <c r="S103" i="78" s="1"/>
  <c r="S32" i="78"/>
  <c r="S68" i="78" s="1"/>
  <c r="S104" i="78" s="1"/>
  <c r="T8" i="78"/>
  <c r="T80" i="78" s="1"/>
  <c r="S8" i="78"/>
  <c r="S44" i="78" s="1"/>
  <c r="S80" i="78" s="1"/>
  <c r="F117" i="78"/>
  <c r="F118" i="78"/>
  <c r="F119" i="78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16" i="78"/>
  <c r="F114" i="78"/>
  <c r="H29" i="78"/>
  <c r="H65" i="78" s="1"/>
  <c r="H101" i="78" s="1"/>
  <c r="I8" i="78"/>
  <c r="I44" i="78" s="1"/>
  <c r="H44" i="78"/>
  <c r="H80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5" i="78" s="1"/>
  <c r="H81" i="78" s="1"/>
  <c r="H10" i="78"/>
  <c r="H46" i="78" s="1"/>
  <c r="H82" i="78" s="1"/>
  <c r="H11" i="78"/>
  <c r="H47" i="78" s="1"/>
  <c r="H83" i="78" s="1"/>
  <c r="H12" i="78"/>
  <c r="H48" i="78" s="1"/>
  <c r="H84" i="78" s="1"/>
  <c r="H13" i="78"/>
  <c r="H49" i="78" s="1"/>
  <c r="H85" i="78" s="1"/>
  <c r="H14" i="78"/>
  <c r="H50" i="78" s="1"/>
  <c r="H86" i="78" s="1"/>
  <c r="H15" i="78"/>
  <c r="H51" i="78" s="1"/>
  <c r="H87" i="78" s="1"/>
  <c r="H16" i="78"/>
  <c r="H52" i="78" s="1"/>
  <c r="H88" i="78" s="1"/>
  <c r="H17" i="78"/>
  <c r="H53" i="78" s="1"/>
  <c r="H89" i="78" s="1"/>
  <c r="H18" i="78"/>
  <c r="H54" i="78" s="1"/>
  <c r="H90" i="78" s="1"/>
  <c r="H19" i="78"/>
  <c r="H55" i="78" s="1"/>
  <c r="H91" i="78" s="1"/>
  <c r="H20" i="78"/>
  <c r="H56" i="78" s="1"/>
  <c r="H92" i="78" s="1"/>
  <c r="H21" i="78"/>
  <c r="H57" i="78" s="1"/>
  <c r="H93" i="78" s="1"/>
  <c r="H22" i="78"/>
  <c r="H58" i="78" s="1"/>
  <c r="H94" i="78" s="1"/>
  <c r="H23" i="78"/>
  <c r="H59" i="78" s="1"/>
  <c r="H95" i="78" s="1"/>
  <c r="H24" i="78"/>
  <c r="H60" i="78" s="1"/>
  <c r="H96" i="78" s="1"/>
  <c r="H25" i="78"/>
  <c r="H61" i="78" s="1"/>
  <c r="H97" i="78" s="1"/>
  <c r="H26" i="78"/>
  <c r="H62" i="78" s="1"/>
  <c r="H98" i="78" s="1"/>
  <c r="H27" i="78"/>
  <c r="H63" i="78" s="1"/>
  <c r="H99" i="78" s="1"/>
  <c r="H28" i="78"/>
  <c r="H64" i="78" s="1"/>
  <c r="H100" i="78" s="1"/>
  <c r="H30" i="78"/>
  <c r="H66" i="78" s="1"/>
  <c r="H102" i="78" s="1"/>
  <c r="H31" i="78"/>
  <c r="H67" i="78" s="1"/>
  <c r="H103" i="78" s="1"/>
  <c r="H32" i="78"/>
  <c r="H68" i="78" s="1"/>
  <c r="H104" i="78" s="1"/>
  <c r="H4" i="78"/>
  <c r="BV40" i="78" s="1"/>
  <c r="M2" i="76"/>
  <c r="M5" i="76"/>
  <c r="N5" i="76"/>
  <c r="O5" i="76"/>
  <c r="P5" i="76"/>
  <c r="M9" i="76"/>
  <c r="N9" i="76"/>
  <c r="O9" i="76"/>
  <c r="P9" i="76"/>
  <c r="N15" i="76"/>
  <c r="O15" i="76"/>
  <c r="P15" i="76"/>
  <c r="M26" i="76"/>
  <c r="M32" i="76"/>
  <c r="N32" i="76"/>
  <c r="O32" i="76"/>
  <c r="P32" i="76"/>
  <c r="M36" i="76"/>
  <c r="N36" i="76"/>
  <c r="O36" i="76"/>
  <c r="P36" i="76"/>
  <c r="M40" i="76"/>
  <c r="N40" i="76"/>
  <c r="O40" i="76"/>
  <c r="P40" i="76"/>
  <c r="M44" i="76"/>
  <c r="N44" i="76"/>
  <c r="O44" i="76"/>
  <c r="P44" i="76"/>
  <c r="F117" i="71"/>
  <c r="N82" i="75" s="1"/>
  <c r="F118" i="71"/>
  <c r="N83" i="75" s="1"/>
  <c r="F119" i="71"/>
  <c r="N84" i="75" s="1"/>
  <c r="F120" i="71"/>
  <c r="N85" i="75" s="1"/>
  <c r="F121" i="71"/>
  <c r="N86" i="75" s="1"/>
  <c r="F122" i="71"/>
  <c r="N87" i="75" s="1"/>
  <c r="F123" i="71"/>
  <c r="N88" i="75" s="1"/>
  <c r="F124" i="71"/>
  <c r="N89" i="75" s="1"/>
  <c r="F125" i="71"/>
  <c r="N90" i="75" s="1"/>
  <c r="F126" i="71"/>
  <c r="N91" i="75" s="1"/>
  <c r="F127" i="71"/>
  <c r="N92" i="75" s="1"/>
  <c r="F128" i="71"/>
  <c r="N93" i="75" s="1"/>
  <c r="F129" i="71"/>
  <c r="N94" i="75" s="1"/>
  <c r="F130" i="71"/>
  <c r="N95" i="75" s="1"/>
  <c r="F131" i="71"/>
  <c r="N96" i="75" s="1"/>
  <c r="F132" i="71"/>
  <c r="N97" i="75" s="1"/>
  <c r="F133" i="71"/>
  <c r="N98" i="75" s="1"/>
  <c r="F134" i="71"/>
  <c r="N99" i="75" s="1"/>
  <c r="F135" i="71"/>
  <c r="N100" i="75" s="1"/>
  <c r="F136" i="71"/>
  <c r="N101" i="75" s="1"/>
  <c r="F137" i="71"/>
  <c r="N102" i="75" s="1"/>
  <c r="F138" i="71"/>
  <c r="N103" i="75" s="1"/>
  <c r="F139" i="71"/>
  <c r="N104" i="75" s="1"/>
  <c r="F140" i="71"/>
  <c r="N105" i="75" s="1"/>
  <c r="F116" i="71"/>
  <c r="N81" i="75" s="1"/>
  <c r="F114" i="71"/>
  <c r="F81" i="71"/>
  <c r="F82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80" i="71"/>
  <c r="F78" i="71"/>
  <c r="BW89" i="78" l="1"/>
  <c r="BL94" i="78"/>
  <c r="CS46" i="78"/>
  <c r="AQ20" i="78"/>
  <c r="AQ56" i="78" s="1"/>
  <c r="AQ92" i="78" s="1"/>
  <c r="AE55" i="78"/>
  <c r="CS104" i="78"/>
  <c r="CH81" i="78"/>
  <c r="BW61" i="78"/>
  <c r="H60" i="71"/>
  <c r="H96" i="71" s="1"/>
  <c r="P53" i="31"/>
  <c r="H48" i="71"/>
  <c r="H84" i="71" s="1"/>
  <c r="P41" i="31"/>
  <c r="H58" i="71"/>
  <c r="H94" i="71" s="1"/>
  <c r="P51" i="31"/>
  <c r="H46" i="71"/>
  <c r="H82" i="71" s="1"/>
  <c r="P39" i="31"/>
  <c r="H57" i="71"/>
  <c r="H93" i="71" s="1"/>
  <c r="P50" i="31"/>
  <c r="H45" i="71"/>
  <c r="H81" i="71" s="1"/>
  <c r="P38" i="31"/>
  <c r="H68" i="71"/>
  <c r="H104" i="71" s="1"/>
  <c r="P61" i="31"/>
  <c r="H56" i="71"/>
  <c r="H92" i="71" s="1"/>
  <c r="P49" i="31"/>
  <c r="H44" i="71"/>
  <c r="H80" i="71" s="1"/>
  <c r="P37" i="31"/>
  <c r="H47" i="71"/>
  <c r="H83" i="71" s="1"/>
  <c r="P40" i="31"/>
  <c r="H67" i="71"/>
  <c r="H103" i="71" s="1"/>
  <c r="P60" i="31"/>
  <c r="H55" i="71"/>
  <c r="H91" i="71" s="1"/>
  <c r="P48" i="31"/>
  <c r="H66" i="71"/>
  <c r="H102" i="71" s="1"/>
  <c r="P59" i="31"/>
  <c r="H54" i="71"/>
  <c r="H90" i="71" s="1"/>
  <c r="P47" i="31"/>
  <c r="H65" i="71"/>
  <c r="H101" i="71" s="1"/>
  <c r="P58" i="31"/>
  <c r="H53" i="71"/>
  <c r="H89" i="71" s="1"/>
  <c r="P46" i="31"/>
  <c r="H59" i="71"/>
  <c r="H95" i="71" s="1"/>
  <c r="P52" i="31"/>
  <c r="H64" i="71"/>
  <c r="H100" i="71" s="1"/>
  <c r="P57" i="31"/>
  <c r="H52" i="71"/>
  <c r="H88" i="71" s="1"/>
  <c r="P45" i="31"/>
  <c r="H63" i="71"/>
  <c r="H99" i="71" s="1"/>
  <c r="P56" i="31"/>
  <c r="H51" i="71"/>
  <c r="H87" i="71" s="1"/>
  <c r="P44" i="31"/>
  <c r="H62" i="71"/>
  <c r="H98" i="71" s="1"/>
  <c r="P55" i="31"/>
  <c r="H50" i="71"/>
  <c r="H86" i="71" s="1"/>
  <c r="P43" i="31"/>
  <c r="H61" i="71"/>
  <c r="H97" i="71" s="1"/>
  <c r="P54" i="31"/>
  <c r="H49" i="71"/>
  <c r="H85" i="71" s="1"/>
  <c r="P42" i="31"/>
  <c r="N26" i="76"/>
  <c r="P26" i="76"/>
  <c r="M22" i="76"/>
  <c r="O26" i="76"/>
  <c r="CH82" i="78"/>
  <c r="CR44" i="78"/>
  <c r="CR80" i="78" s="1"/>
  <c r="BV76" i="78"/>
  <c r="AQ16" i="78"/>
  <c r="AQ52" i="78" s="1"/>
  <c r="AQ88" i="78" s="1"/>
  <c r="AF26" i="78"/>
  <c r="AF62" i="78" s="1"/>
  <c r="AF98" i="78" s="1"/>
  <c r="CI31" i="78"/>
  <c r="CI67" i="78" s="1"/>
  <c r="CI103" i="78" s="1"/>
  <c r="CT16" i="78"/>
  <c r="CT52" i="78" s="1"/>
  <c r="CT88" i="78" s="1"/>
  <c r="AF9" i="78"/>
  <c r="AF45" i="78" s="1"/>
  <c r="AF81" i="78" s="1"/>
  <c r="BX13" i="78"/>
  <c r="BX49" i="78" s="1"/>
  <c r="BX85" i="78" s="1"/>
  <c r="AZ76" i="78"/>
  <c r="CR62" i="78"/>
  <c r="CR98" i="78" s="1"/>
  <c r="CT24" i="78"/>
  <c r="CT60" i="78" s="1"/>
  <c r="CT96" i="78" s="1"/>
  <c r="AD40" i="78"/>
  <c r="CI26" i="78"/>
  <c r="CI62" i="78" s="1"/>
  <c r="CI98" i="78" s="1"/>
  <c r="CG40" i="78"/>
  <c r="CG76" i="78"/>
  <c r="BK40" i="78"/>
  <c r="CI21" i="78"/>
  <c r="CI57" i="78" s="1"/>
  <c r="CI93" i="78" s="1"/>
  <c r="BX10" i="78"/>
  <c r="BX46" i="78" s="1"/>
  <c r="BX82" i="78" s="1"/>
  <c r="AZ40" i="78"/>
  <c r="BK76" i="78"/>
  <c r="CG53" i="78"/>
  <c r="CG89" i="78" s="1"/>
  <c r="CR76" i="78"/>
  <c r="BB31" i="78"/>
  <c r="BB67" i="78" s="1"/>
  <c r="BB103" i="78" s="1"/>
  <c r="CR40" i="78"/>
  <c r="AD76" i="78"/>
  <c r="AO40" i="78"/>
  <c r="AO76" i="78"/>
  <c r="BX31" i="78"/>
  <c r="BX67" i="78" s="1"/>
  <c r="BX103" i="78" s="1"/>
  <c r="BX15" i="78"/>
  <c r="BX51" i="78" s="1"/>
  <c r="BX87" i="78" s="1"/>
  <c r="CS65" i="78"/>
  <c r="J98" i="49"/>
  <c r="G284" i="49"/>
  <c r="K103" i="49"/>
  <c r="AP85" i="78"/>
  <c r="G200" i="49"/>
  <c r="M59" i="49"/>
  <c r="M53" i="49"/>
  <c r="CT10" i="78"/>
  <c r="CT46" i="78" s="1"/>
  <c r="CT82" i="78" s="1"/>
  <c r="J65" i="49"/>
  <c r="K79" i="49"/>
  <c r="BA82" i="78"/>
  <c r="BA80" i="78"/>
  <c r="BA62" i="78"/>
  <c r="I80" i="78"/>
  <c r="K69" i="49"/>
  <c r="BA100" i="78"/>
  <c r="CH58" i="78"/>
  <c r="CS48" i="78"/>
  <c r="J70" i="49"/>
  <c r="K65" i="49"/>
  <c r="K78" i="49"/>
  <c r="AP44" i="78"/>
  <c r="CH48" i="78"/>
  <c r="CH90" i="78"/>
  <c r="K71" i="49"/>
  <c r="K70" i="49"/>
  <c r="BW56" i="78"/>
  <c r="BA88" i="78"/>
  <c r="J69" i="49"/>
  <c r="K63" i="49"/>
  <c r="BW81" i="78"/>
  <c r="BW98" i="78"/>
  <c r="CI10" i="78"/>
  <c r="CI46" i="78" s="1"/>
  <c r="CI82" i="78" s="1"/>
  <c r="N96" i="49" a="1"/>
  <c r="N96" i="49" s="1"/>
  <c r="D284" i="49"/>
  <c r="BA54" i="78"/>
  <c r="T44" i="78"/>
  <c r="K58" i="49"/>
  <c r="AE82" i="78"/>
  <c r="AQ25" i="78"/>
  <c r="AQ61" i="78" s="1"/>
  <c r="AQ97" i="78" s="1"/>
  <c r="BL100" i="78"/>
  <c r="CS103" i="78"/>
  <c r="U8" i="78"/>
  <c r="U44" i="78" s="1"/>
  <c r="U80" i="78" s="1"/>
  <c r="AF10" i="78"/>
  <c r="AF46" i="78" s="1"/>
  <c r="AF82" i="78" s="1"/>
  <c r="BB18" i="78"/>
  <c r="BB54" i="78" s="1"/>
  <c r="BB90" i="78" s="1"/>
  <c r="G228" i="49"/>
  <c r="K57" i="49"/>
  <c r="M63" i="49"/>
  <c r="J89" i="49"/>
  <c r="M101" i="49"/>
  <c r="AP62" i="78"/>
  <c r="BB8" i="78"/>
  <c r="BB44" i="78" s="1"/>
  <c r="BB80" i="78" s="1"/>
  <c r="BL48" i="78"/>
  <c r="CI20" i="78"/>
  <c r="CI56" i="78" s="1"/>
  <c r="CI92" i="78" s="1"/>
  <c r="L63" i="49" a="1"/>
  <c r="L67" i="49" s="1"/>
  <c r="K60" i="49"/>
  <c r="CS93" i="78"/>
  <c r="J56" i="49"/>
  <c r="K55" i="49"/>
  <c r="J87" i="49"/>
  <c r="M97" i="49"/>
  <c r="AQ26" i="78"/>
  <c r="AQ62" i="78" s="1"/>
  <c r="AQ98" i="78" s="1"/>
  <c r="BB9" i="78"/>
  <c r="BB45" i="78" s="1"/>
  <c r="BB81" i="78" s="1"/>
  <c r="BX19" i="78"/>
  <c r="BX55" i="78" s="1"/>
  <c r="BX91" i="78" s="1"/>
  <c r="CH64" i="78"/>
  <c r="L107" i="49" a="1"/>
  <c r="L111" i="49" s="1"/>
  <c r="AF18" i="78"/>
  <c r="AF54" i="78" s="1"/>
  <c r="AF90" i="78" s="1"/>
  <c r="CS88" i="78"/>
  <c r="F147" i="49"/>
  <c r="L85" i="49" a="1"/>
  <c r="L90" i="49" s="1"/>
  <c r="AE62" i="78"/>
  <c r="AE98" i="78"/>
  <c r="AP46" i="78"/>
  <c r="BA84" i="78"/>
  <c r="BL85" i="78"/>
  <c r="BL101" i="78"/>
  <c r="CS52" i="78"/>
  <c r="J8" i="78"/>
  <c r="J44" i="78" s="1"/>
  <c r="J80" i="78" s="1"/>
  <c r="G256" i="49"/>
  <c r="K59" i="49"/>
  <c r="M71" i="49"/>
  <c r="K64" i="49"/>
  <c r="AQ10" i="78"/>
  <c r="AQ46" i="78" s="1"/>
  <c r="AQ82" i="78" s="1"/>
  <c r="BM12" i="78"/>
  <c r="BM48" i="78" s="1"/>
  <c r="BM84" i="78" s="1"/>
  <c r="BW84" i="78"/>
  <c r="BX32" i="78"/>
  <c r="BX68" i="78" s="1"/>
  <c r="BX104" i="78" s="1"/>
  <c r="CI25" i="78"/>
  <c r="CI61" i="78" s="1"/>
  <c r="CI97" i="78" s="1"/>
  <c r="L74" i="49" a="1"/>
  <c r="L75" i="49" s="1"/>
  <c r="L96" i="49" a="1"/>
  <c r="L98" i="49" s="1"/>
  <c r="AE90" i="78"/>
  <c r="D200" i="49"/>
  <c r="M93" i="49"/>
  <c r="D172" i="49"/>
  <c r="G172" i="49"/>
  <c r="M92" i="49"/>
  <c r="M98" i="49"/>
  <c r="BB10" i="78"/>
  <c r="BB46" i="78" s="1"/>
  <c r="BB82" i="78" s="1"/>
  <c r="BA92" i="78"/>
  <c r="BW82" i="78"/>
  <c r="CI8" i="78"/>
  <c r="CI44" i="78" s="1"/>
  <c r="CI80" i="78" s="1"/>
  <c r="CT23" i="78"/>
  <c r="CT59" i="78" s="1"/>
  <c r="CT95" i="78" s="1"/>
  <c r="CS96" i="78"/>
  <c r="D228" i="49"/>
  <c r="CS60" i="78"/>
  <c r="J91" i="49"/>
  <c r="M86" i="49"/>
  <c r="J103" i="49"/>
  <c r="AQ18" i="78"/>
  <c r="AQ54" i="78" s="1"/>
  <c r="AQ90" i="78" s="1"/>
  <c r="J90" i="49"/>
  <c r="M85" i="49"/>
  <c r="AQ8" i="78"/>
  <c r="AQ44" i="78" s="1"/>
  <c r="AQ80" i="78" s="1"/>
  <c r="AQ13" i="78"/>
  <c r="AQ49" i="78" s="1"/>
  <c r="AQ85" i="78" s="1"/>
  <c r="AP101" i="78"/>
  <c r="BX16" i="78"/>
  <c r="BX52" i="78" s="1"/>
  <c r="BX88" i="78" s="1"/>
  <c r="BX28" i="78"/>
  <c r="BX64" i="78" s="1"/>
  <c r="BX100" i="78" s="1"/>
  <c r="CI9" i="78"/>
  <c r="CI45" i="78" s="1"/>
  <c r="CI81" i="78" s="1"/>
  <c r="CH103" i="78"/>
  <c r="CT18" i="78"/>
  <c r="CT54" i="78" s="1"/>
  <c r="CT90" i="78" s="1"/>
  <c r="CT31" i="78"/>
  <c r="CT67" i="78" s="1"/>
  <c r="CT103" i="78" s="1"/>
  <c r="K85" i="49"/>
  <c r="K88" i="49"/>
  <c r="K89" i="49"/>
  <c r="K90" i="49"/>
  <c r="K92" i="49"/>
  <c r="J52" i="49"/>
  <c r="J53" i="49"/>
  <c r="J55" i="49"/>
  <c r="J59" i="49"/>
  <c r="M77" i="49"/>
  <c r="M75" i="49"/>
  <c r="J107" i="49"/>
  <c r="J109" i="49"/>
  <c r="J110" i="49"/>
  <c r="J111" i="49"/>
  <c r="J112" i="49"/>
  <c r="J113" i="49"/>
  <c r="J114" i="49"/>
  <c r="J58" i="49"/>
  <c r="M55" i="49"/>
  <c r="M54" i="49"/>
  <c r="M57" i="49"/>
  <c r="M60" i="49"/>
  <c r="K91" i="49"/>
  <c r="J63" i="49"/>
  <c r="J66" i="49"/>
  <c r="J67" i="49"/>
  <c r="K74" i="49"/>
  <c r="K80" i="49"/>
  <c r="K81" i="49"/>
  <c r="K76" i="49"/>
  <c r="J96" i="49"/>
  <c r="J100" i="49"/>
  <c r="J101" i="49"/>
  <c r="J102" i="49"/>
  <c r="K54" i="49"/>
  <c r="K52" i="49"/>
  <c r="K53" i="49"/>
  <c r="AE47" i="78"/>
  <c r="AQ9" i="78"/>
  <c r="AQ45" i="78" s="1"/>
  <c r="AQ81" i="78" s="1"/>
  <c r="AP84" i="78"/>
  <c r="AP90" i="78"/>
  <c r="AQ23" i="78"/>
  <c r="AQ59" i="78" s="1"/>
  <c r="AQ95" i="78" s="1"/>
  <c r="AP59" i="78"/>
  <c r="BA49" i="78"/>
  <c r="BB32" i="78"/>
  <c r="BB68" i="78" s="1"/>
  <c r="BB104" i="78" s="1"/>
  <c r="BL81" i="78"/>
  <c r="BM20" i="78"/>
  <c r="BM56" i="78" s="1"/>
  <c r="BM92" i="78" s="1"/>
  <c r="BL97" i="78"/>
  <c r="BL50" i="78"/>
  <c r="BX12" i="78"/>
  <c r="BX48" i="78" s="1"/>
  <c r="BX84" i="78" s="1"/>
  <c r="BX17" i="78"/>
  <c r="BX53" i="78" s="1"/>
  <c r="BX89" i="78" s="1"/>
  <c r="BX26" i="78"/>
  <c r="BX62" i="78" s="1"/>
  <c r="BX98" i="78" s="1"/>
  <c r="CH86" i="78"/>
  <c r="CH102" i="78"/>
  <c r="CS87" i="78"/>
  <c r="J88" i="49"/>
  <c r="M87" i="49"/>
  <c r="M96" i="49"/>
  <c r="K102" i="49"/>
  <c r="M115" i="49"/>
  <c r="K114" i="49"/>
  <c r="BB24" i="78"/>
  <c r="BB60" i="78" s="1"/>
  <c r="BB96" i="78" s="1"/>
  <c r="BM17" i="78"/>
  <c r="BM53" i="78" s="1"/>
  <c r="BM89" i="78" s="1"/>
  <c r="BL53" i="78"/>
  <c r="BX23" i="78"/>
  <c r="BX59" i="78" s="1"/>
  <c r="BX95" i="78" s="1"/>
  <c r="BW59" i="78"/>
  <c r="BW67" i="78"/>
  <c r="CT17" i="78"/>
  <c r="CT53" i="78" s="1"/>
  <c r="CT89" i="78" s="1"/>
  <c r="K101" i="49"/>
  <c r="M107" i="49"/>
  <c r="K113" i="49"/>
  <c r="AE102" i="78"/>
  <c r="AP103" i="78"/>
  <c r="BB25" i="78"/>
  <c r="BB61" i="78" s="1"/>
  <c r="BB97" i="78" s="1"/>
  <c r="BA67" i="78"/>
  <c r="BA93" i="78"/>
  <c r="BM22" i="78"/>
  <c r="BM58" i="78" s="1"/>
  <c r="BM94" i="78" s="1"/>
  <c r="BX9" i="78"/>
  <c r="BX45" i="78" s="1"/>
  <c r="BX81" i="78" s="1"/>
  <c r="BX18" i="78"/>
  <c r="BX54" i="78" s="1"/>
  <c r="BX90" i="78" s="1"/>
  <c r="BW100" i="78"/>
  <c r="BW87" i="78"/>
  <c r="BW103" i="78"/>
  <c r="CI27" i="78"/>
  <c r="CI63" i="78" s="1"/>
  <c r="CI99" i="78" s="1"/>
  <c r="CS59" i="78"/>
  <c r="CS80" i="78"/>
  <c r="K68" i="49"/>
  <c r="K100" i="49"/>
  <c r="K111" i="49"/>
  <c r="BB16" i="78"/>
  <c r="BB52" i="78" s="1"/>
  <c r="BB88" i="78" s="1"/>
  <c r="K67" i="49"/>
  <c r="M104" i="49"/>
  <c r="K99" i="49"/>
  <c r="K110" i="49"/>
  <c r="AQ17" i="78"/>
  <c r="AQ53" i="78" s="1"/>
  <c r="AQ89" i="78" s="1"/>
  <c r="AP92" i="78"/>
  <c r="BB17" i="78"/>
  <c r="BB53" i="78" s="1"/>
  <c r="BB89" i="78" s="1"/>
  <c r="BB26" i="78"/>
  <c r="BB62" i="78" s="1"/>
  <c r="BB98" i="78" s="1"/>
  <c r="BA59" i="78"/>
  <c r="BM28" i="78"/>
  <c r="BM64" i="78" s="1"/>
  <c r="BM100" i="78" s="1"/>
  <c r="BL56" i="78"/>
  <c r="BX20" i="78"/>
  <c r="BX56" i="78" s="1"/>
  <c r="BX92" i="78" s="1"/>
  <c r="BX25" i="78"/>
  <c r="BX61" i="78" s="1"/>
  <c r="BX97" i="78" s="1"/>
  <c r="BW46" i="78"/>
  <c r="BW54" i="78"/>
  <c r="CI12" i="78"/>
  <c r="CI48" i="78" s="1"/>
  <c r="CI84" i="78" s="1"/>
  <c r="CI28" i="78"/>
  <c r="CI64" i="78" s="1"/>
  <c r="CI100" i="78" s="1"/>
  <c r="J92" i="49"/>
  <c r="M103" i="49"/>
  <c r="K97" i="49"/>
  <c r="K109" i="49"/>
  <c r="AE86" i="78"/>
  <c r="AQ31" i="78"/>
  <c r="AQ67" i="78" s="1"/>
  <c r="AQ103" i="78" s="1"/>
  <c r="CI18" i="78"/>
  <c r="CI54" i="78" s="1"/>
  <c r="CI90" i="78" s="1"/>
  <c r="CH62" i="78"/>
  <c r="K108" i="49"/>
  <c r="AQ12" i="78"/>
  <c r="AQ48" i="78" s="1"/>
  <c r="AQ84" i="78" s="1"/>
  <c r="BA51" i="78"/>
  <c r="BM9" i="78"/>
  <c r="BM45" i="78" s="1"/>
  <c r="BM81" i="78" s="1"/>
  <c r="BM25" i="78"/>
  <c r="BM61" i="78" s="1"/>
  <c r="BM97" i="78" s="1"/>
  <c r="CI19" i="78"/>
  <c r="CI55" i="78" s="1"/>
  <c r="CI91" i="78" s="1"/>
  <c r="CT15" i="78"/>
  <c r="CT51" i="78" s="1"/>
  <c r="CT87" i="78" s="1"/>
  <c r="CT13" i="78"/>
  <c r="CT49" i="78" s="1"/>
  <c r="CT85" i="78" s="1"/>
  <c r="CT21" i="78"/>
  <c r="CT29" i="78"/>
  <c r="CT65" i="78" s="1"/>
  <c r="CT101" i="78" s="1"/>
  <c r="CS64" i="78"/>
  <c r="CT28" i="78"/>
  <c r="CT64" i="78" s="1"/>
  <c r="CT100" i="78" s="1"/>
  <c r="CT12" i="78"/>
  <c r="CT48" i="78" s="1"/>
  <c r="CT84" i="78" s="1"/>
  <c r="CS92" i="78"/>
  <c r="CT32" i="78"/>
  <c r="CT68" i="78" s="1"/>
  <c r="CT104" i="78" s="1"/>
  <c r="CS49" i="78"/>
  <c r="CT20" i="78"/>
  <c r="CT56" i="78" s="1"/>
  <c r="CT92" i="78" s="1"/>
  <c r="CI15" i="78"/>
  <c r="CI51" i="78" s="1"/>
  <c r="CI87" i="78" s="1"/>
  <c r="CI16" i="78"/>
  <c r="CI52" i="78" s="1"/>
  <c r="CI88" i="78" s="1"/>
  <c r="CI24" i="78"/>
  <c r="CI60" i="78" s="1"/>
  <c r="CI96" i="78" s="1"/>
  <c r="CH92" i="78"/>
  <c r="CH67" i="78"/>
  <c r="CH87" i="78"/>
  <c r="CH59" i="78"/>
  <c r="CI23" i="78"/>
  <c r="CI59" i="78" s="1"/>
  <c r="CI95" i="78" s="1"/>
  <c r="CI32" i="78"/>
  <c r="CI68" i="78" s="1"/>
  <c r="CI104" i="78" s="1"/>
  <c r="BW66" i="78"/>
  <c r="BW58" i="78"/>
  <c r="BW50" i="78"/>
  <c r="BM31" i="78"/>
  <c r="BM67" i="78" s="1"/>
  <c r="BM103" i="78" s="1"/>
  <c r="BM14" i="78"/>
  <c r="BM50" i="78" s="1"/>
  <c r="BM86" i="78" s="1"/>
  <c r="BM23" i="78"/>
  <c r="BM59" i="78" s="1"/>
  <c r="BM95" i="78" s="1"/>
  <c r="BL95" i="78"/>
  <c r="BL103" i="78"/>
  <c r="BM15" i="78"/>
  <c r="BM51" i="78" s="1"/>
  <c r="BM87" i="78" s="1"/>
  <c r="BL47" i="78"/>
  <c r="BL51" i="78"/>
  <c r="BA68" i="78"/>
  <c r="BB15" i="78"/>
  <c r="BB51" i="78" s="1"/>
  <c r="BB87" i="78" s="1"/>
  <c r="BB23" i="78"/>
  <c r="BB59" i="78" s="1"/>
  <c r="BB95" i="78" s="1"/>
  <c r="BA60" i="78"/>
  <c r="BB12" i="78"/>
  <c r="BB48" i="78" s="1"/>
  <c r="BB84" i="78" s="1"/>
  <c r="BB20" i="78"/>
  <c r="BB56" i="78" s="1"/>
  <c r="BB92" i="78" s="1"/>
  <c r="BB28" i="78"/>
  <c r="BB64" i="78" s="1"/>
  <c r="BB100" i="78" s="1"/>
  <c r="AQ32" i="78"/>
  <c r="AQ68" i="78" s="1"/>
  <c r="AQ104" i="78" s="1"/>
  <c r="AP88" i="78"/>
  <c r="AP57" i="78"/>
  <c r="AQ29" i="78"/>
  <c r="AQ65" i="78" s="1"/>
  <c r="AQ101" i="78" s="1"/>
  <c r="AP51" i="78"/>
  <c r="AP104" i="78"/>
  <c r="AQ24" i="78"/>
  <c r="AQ60" i="78" s="1"/>
  <c r="AQ96" i="78" s="1"/>
  <c r="AQ21" i="78"/>
  <c r="AQ57" i="78" s="1"/>
  <c r="AQ93" i="78" s="1"/>
  <c r="AP52" i="78"/>
  <c r="AP60" i="78"/>
  <c r="AQ15" i="78"/>
  <c r="AQ51" i="78" s="1"/>
  <c r="AQ87" i="78" s="1"/>
  <c r="AF30" i="78"/>
  <c r="AF66" i="78" s="1"/>
  <c r="AF102" i="78" s="1"/>
  <c r="AF15" i="78"/>
  <c r="AF51" i="78" s="1"/>
  <c r="AF87" i="78" s="1"/>
  <c r="AE51" i="78"/>
  <c r="AE59" i="78"/>
  <c r="AE67" i="78"/>
  <c r="AF23" i="78"/>
  <c r="AF59" i="78" s="1"/>
  <c r="AF95" i="78" s="1"/>
  <c r="AF31" i="78"/>
  <c r="AF67" i="78" s="1"/>
  <c r="AF103" i="78" s="1"/>
  <c r="AF12" i="78"/>
  <c r="AF48" i="78" s="1"/>
  <c r="AF84" i="78" s="1"/>
  <c r="AF20" i="78"/>
  <c r="AF56" i="78" s="1"/>
  <c r="AF92" i="78" s="1"/>
  <c r="AF28" i="78"/>
  <c r="AF64" i="78" s="1"/>
  <c r="AF100" i="78" s="1"/>
  <c r="AE94" i="78"/>
  <c r="AF14" i="78"/>
  <c r="AF50" i="78" s="1"/>
  <c r="AF86" i="78" s="1"/>
  <c r="AF22" i="78"/>
  <c r="AF58" i="78" s="1"/>
  <c r="AF94" i="78" s="1"/>
  <c r="AE34" i="78"/>
  <c r="CT19" i="78"/>
  <c r="CT55" i="78" s="1"/>
  <c r="CT91" i="78" s="1"/>
  <c r="CT14" i="78"/>
  <c r="CT50" i="78" s="1"/>
  <c r="CT86" i="78" s="1"/>
  <c r="CS34" i="78"/>
  <c r="CS83" i="78"/>
  <c r="CS91" i="78"/>
  <c r="CT9" i="78"/>
  <c r="CT45" i="78" s="1"/>
  <c r="CT81" i="78" s="1"/>
  <c r="CT25" i="78"/>
  <c r="CT61" i="78" s="1"/>
  <c r="CT97" i="78" s="1"/>
  <c r="CS94" i="78"/>
  <c r="CS102" i="78"/>
  <c r="CS50" i="78"/>
  <c r="CR53" i="78"/>
  <c r="CR89" i="78" s="1"/>
  <c r="CS45" i="78"/>
  <c r="CR48" i="78"/>
  <c r="CR84" i="78" s="1"/>
  <c r="CS53" i="78"/>
  <c r="CR56" i="78"/>
  <c r="CR92" i="78" s="1"/>
  <c r="CS61" i="78"/>
  <c r="CR64" i="78"/>
  <c r="CR100" i="78" s="1"/>
  <c r="CT11" i="78"/>
  <c r="CT47" i="78" s="1"/>
  <c r="CT83" i="78" s="1"/>
  <c r="CT27" i="78"/>
  <c r="CT63" i="78" s="1"/>
  <c r="CT99" i="78" s="1"/>
  <c r="CT22" i="78"/>
  <c r="CT58" i="78" s="1"/>
  <c r="CT94" i="78" s="1"/>
  <c r="CT30" i="78"/>
  <c r="CT66" i="78" s="1"/>
  <c r="CT102" i="78" s="1"/>
  <c r="CS99" i="78"/>
  <c r="CH93" i="78"/>
  <c r="CH88" i="78"/>
  <c r="CH96" i="78"/>
  <c r="CH104" i="78"/>
  <c r="CH34" i="78"/>
  <c r="CH83" i="78"/>
  <c r="CH91" i="78"/>
  <c r="CG44" i="78"/>
  <c r="CG80" i="78" s="1"/>
  <c r="CH49" i="78"/>
  <c r="CG52" i="78"/>
  <c r="CG88" i="78" s="1"/>
  <c r="CH57" i="78"/>
  <c r="CG60" i="78"/>
  <c r="CG96" i="78" s="1"/>
  <c r="CH65" i="78"/>
  <c r="CG68" i="78"/>
  <c r="CG104" i="78" s="1"/>
  <c r="CI13" i="78"/>
  <c r="CI49" i="78" s="1"/>
  <c r="CI85" i="78" s="1"/>
  <c r="CI29" i="78"/>
  <c r="CI65" i="78" s="1"/>
  <c r="CI101" i="78" s="1"/>
  <c r="CI11" i="78"/>
  <c r="CI47" i="78" s="1"/>
  <c r="CI83" i="78" s="1"/>
  <c r="CI22" i="78"/>
  <c r="CI58" i="78" s="1"/>
  <c r="CI94" i="78" s="1"/>
  <c r="CH44" i="78"/>
  <c r="CG55" i="78"/>
  <c r="CG91" i="78" s="1"/>
  <c r="CG63" i="78"/>
  <c r="CG99" i="78" s="1"/>
  <c r="CI14" i="78"/>
  <c r="CI50" i="78" s="1"/>
  <c r="CI86" i="78" s="1"/>
  <c r="CI30" i="78"/>
  <c r="CI66" i="78" s="1"/>
  <c r="CI102" i="78" s="1"/>
  <c r="CH99" i="78"/>
  <c r="BX21" i="78"/>
  <c r="BX57" i="78" s="1"/>
  <c r="BX93" i="78" s="1"/>
  <c r="BX29" i="78"/>
  <c r="BX65" i="78" s="1"/>
  <c r="BX101" i="78" s="1"/>
  <c r="BX8" i="78"/>
  <c r="BX44" i="78" s="1"/>
  <c r="BX80" i="78" s="1"/>
  <c r="BW85" i="78"/>
  <c r="BW101" i="78"/>
  <c r="BX30" i="78"/>
  <c r="BX66" i="78" s="1"/>
  <c r="BX102" i="78" s="1"/>
  <c r="BW91" i="78"/>
  <c r="BW49" i="78"/>
  <c r="BV52" i="78"/>
  <c r="BV88" i="78" s="1"/>
  <c r="BW57" i="78"/>
  <c r="BV60" i="78"/>
  <c r="BV96" i="78" s="1"/>
  <c r="BV68" i="78"/>
  <c r="BV104" i="78" s="1"/>
  <c r="BX11" i="78"/>
  <c r="BX47" i="78" s="1"/>
  <c r="BX83" i="78" s="1"/>
  <c r="BX27" i="78"/>
  <c r="BX63" i="78" s="1"/>
  <c r="BX99" i="78" s="1"/>
  <c r="BW88" i="78"/>
  <c r="BW96" i="78"/>
  <c r="BW104" i="78"/>
  <c r="BX14" i="78"/>
  <c r="BX50" i="78" s="1"/>
  <c r="BX86" i="78" s="1"/>
  <c r="BX22" i="78"/>
  <c r="BX58" i="78" s="1"/>
  <c r="BX94" i="78" s="1"/>
  <c r="BW34" i="78"/>
  <c r="BW44" i="78"/>
  <c r="BV55" i="78"/>
  <c r="BV91" i="78" s="1"/>
  <c r="BW83" i="78"/>
  <c r="BW99" i="78"/>
  <c r="BL60" i="78"/>
  <c r="BL96" i="78"/>
  <c r="BK45" i="78"/>
  <c r="BK81" i="78" s="1"/>
  <c r="BM18" i="78"/>
  <c r="BM54" i="78" s="1"/>
  <c r="BM90" i="78" s="1"/>
  <c r="BL90" i="78"/>
  <c r="BL55" i="78"/>
  <c r="BM10" i="78"/>
  <c r="BM46" i="78" s="1"/>
  <c r="BM82" i="78" s="1"/>
  <c r="BM13" i="78"/>
  <c r="BM49" i="78" s="1"/>
  <c r="BM85" i="78" s="1"/>
  <c r="BM16" i="78"/>
  <c r="BM52" i="78" s="1"/>
  <c r="BM88" i="78" s="1"/>
  <c r="BM19" i="78"/>
  <c r="BM55" i="78" s="1"/>
  <c r="BM91" i="78" s="1"/>
  <c r="BL68" i="78"/>
  <c r="BL104" i="78"/>
  <c r="BK61" i="78"/>
  <c r="BK97" i="78" s="1"/>
  <c r="BL82" i="78"/>
  <c r="BL98" i="78"/>
  <c r="BL44" i="78"/>
  <c r="BL34" i="78"/>
  <c r="BL80" i="78"/>
  <c r="BM26" i="78"/>
  <c r="BM62" i="78" s="1"/>
  <c r="BM98" i="78" s="1"/>
  <c r="BM29" i="78"/>
  <c r="BM65" i="78" s="1"/>
  <c r="BM101" i="78" s="1"/>
  <c r="BM32" i="78"/>
  <c r="BM68" i="78" s="1"/>
  <c r="BM104" i="78" s="1"/>
  <c r="BL66" i="78"/>
  <c r="BL93" i="78"/>
  <c r="BM21" i="78"/>
  <c r="BM57" i="78" s="1"/>
  <c r="BM93" i="78" s="1"/>
  <c r="BM24" i="78"/>
  <c r="BM60" i="78" s="1"/>
  <c r="BM96" i="78" s="1"/>
  <c r="BM27" i="78"/>
  <c r="BM63" i="78" s="1"/>
  <c r="BM99" i="78" s="1"/>
  <c r="BL63" i="78"/>
  <c r="BL52" i="78"/>
  <c r="BL88" i="78"/>
  <c r="BM8" i="78"/>
  <c r="BM44" i="78" s="1"/>
  <c r="BM80" i="78" s="1"/>
  <c r="BM11" i="78"/>
  <c r="BM47" i="78" s="1"/>
  <c r="BM83" i="78" s="1"/>
  <c r="BM30" i="78"/>
  <c r="BM66" i="78" s="1"/>
  <c r="BM102" i="78" s="1"/>
  <c r="BK53" i="78"/>
  <c r="BK89" i="78" s="1"/>
  <c r="BK58" i="78"/>
  <c r="BK94" i="78" s="1"/>
  <c r="BB11" i="78"/>
  <c r="BB47" i="78" s="1"/>
  <c r="BB83" i="78" s="1"/>
  <c r="BB19" i="78"/>
  <c r="BB55" i="78" s="1"/>
  <c r="BB91" i="78" s="1"/>
  <c r="AZ45" i="78"/>
  <c r="AZ81" i="78" s="1"/>
  <c r="BA50" i="78"/>
  <c r="AZ53" i="78"/>
  <c r="AZ89" i="78" s="1"/>
  <c r="BA58" i="78"/>
  <c r="AZ61" i="78"/>
  <c r="AZ97" i="78" s="1"/>
  <c r="BA66" i="78"/>
  <c r="BA103" i="78"/>
  <c r="BB13" i="78"/>
  <c r="BB49" i="78" s="1"/>
  <c r="BB85" i="78" s="1"/>
  <c r="BB21" i="78"/>
  <c r="BB57" i="78" s="1"/>
  <c r="BB93" i="78" s="1"/>
  <c r="BB29" i="78"/>
  <c r="BB65" i="78" s="1"/>
  <c r="BB101" i="78" s="1"/>
  <c r="BA45" i="78"/>
  <c r="AZ48" i="78"/>
  <c r="AZ84" i="78" s="1"/>
  <c r="BA53" i="78"/>
  <c r="AZ56" i="78"/>
  <c r="AZ92" i="78" s="1"/>
  <c r="BA61" i="78"/>
  <c r="AZ64" i="78"/>
  <c r="AZ100" i="78" s="1"/>
  <c r="BB14" i="78"/>
  <c r="BB50" i="78" s="1"/>
  <c r="BB86" i="78" s="1"/>
  <c r="BB22" i="78"/>
  <c r="BB58" i="78" s="1"/>
  <c r="BB94" i="78" s="1"/>
  <c r="BB30" i="78"/>
  <c r="BB66" i="78" s="1"/>
  <c r="BB102" i="78" s="1"/>
  <c r="BA34" i="78"/>
  <c r="BA83" i="78"/>
  <c r="BA91" i="78"/>
  <c r="BA99" i="78"/>
  <c r="BB27" i="78"/>
  <c r="BB63" i="78" s="1"/>
  <c r="BB99" i="78" s="1"/>
  <c r="AP99" i="78"/>
  <c r="AO45" i="78"/>
  <c r="AO81" i="78" s="1"/>
  <c r="AP50" i="78"/>
  <c r="AO53" i="78"/>
  <c r="AO89" i="78" s="1"/>
  <c r="AP58" i="78"/>
  <c r="AO61" i="78"/>
  <c r="AO97" i="78" s="1"/>
  <c r="AP66" i="78"/>
  <c r="AP45" i="78"/>
  <c r="AO48" i="78"/>
  <c r="AO84" i="78" s="1"/>
  <c r="AP53" i="78"/>
  <c r="AO56" i="78"/>
  <c r="AO92" i="78" s="1"/>
  <c r="AP61" i="78"/>
  <c r="AO64" i="78"/>
  <c r="AO100" i="78" s="1"/>
  <c r="AQ11" i="78"/>
  <c r="AQ47" i="78" s="1"/>
  <c r="AQ83" i="78" s="1"/>
  <c r="AQ14" i="78"/>
  <c r="AQ50" i="78" s="1"/>
  <c r="AQ86" i="78" s="1"/>
  <c r="AQ30" i="78"/>
  <c r="AQ66" i="78" s="1"/>
  <c r="AQ102" i="78" s="1"/>
  <c r="AP34" i="78"/>
  <c r="AQ19" i="78"/>
  <c r="AQ55" i="78" s="1"/>
  <c r="AQ91" i="78" s="1"/>
  <c r="AQ27" i="78"/>
  <c r="AQ63" i="78" s="1"/>
  <c r="AQ99" i="78" s="1"/>
  <c r="AQ22" i="78"/>
  <c r="AQ58" i="78" s="1"/>
  <c r="AQ94" i="78" s="1"/>
  <c r="AP83" i="78"/>
  <c r="AP91" i="78"/>
  <c r="AF13" i="78"/>
  <c r="AF49" i="78" s="1"/>
  <c r="AF85" i="78" s="1"/>
  <c r="AF21" i="78"/>
  <c r="AF57" i="78" s="1"/>
  <c r="AF93" i="78" s="1"/>
  <c r="AF29" i="78"/>
  <c r="AF65" i="78" s="1"/>
  <c r="AF101" i="78" s="1"/>
  <c r="AE45" i="78"/>
  <c r="AD48" i="78"/>
  <c r="AD84" i="78" s="1"/>
  <c r="AE53" i="78"/>
  <c r="AD56" i="78"/>
  <c r="AD92" i="78" s="1"/>
  <c r="AE61" i="78"/>
  <c r="AD64" i="78"/>
  <c r="AD100" i="78" s="1"/>
  <c r="AF8" i="78"/>
  <c r="AF44" i="78" s="1"/>
  <c r="AF80" i="78" s="1"/>
  <c r="AF16" i="78"/>
  <c r="AF52" i="78" s="1"/>
  <c r="AF88" i="78" s="1"/>
  <c r="AF24" i="78"/>
  <c r="AF60" i="78" s="1"/>
  <c r="AF96" i="78" s="1"/>
  <c r="AF32" i="78"/>
  <c r="AF68" i="78" s="1"/>
  <c r="AF104" i="78" s="1"/>
  <c r="AE48" i="78"/>
  <c r="AD51" i="78"/>
  <c r="AD87" i="78" s="1"/>
  <c r="AE56" i="78"/>
  <c r="AD59" i="78"/>
  <c r="AD95" i="78" s="1"/>
  <c r="AE64" i="78"/>
  <c r="AD67" i="78"/>
  <c r="AD103" i="78" s="1"/>
  <c r="AE85" i="78"/>
  <c r="AE93" i="78"/>
  <c r="AE101" i="78"/>
  <c r="AF11" i="78"/>
  <c r="AF47" i="78" s="1"/>
  <c r="AF83" i="78" s="1"/>
  <c r="AF19" i="78"/>
  <c r="AF55" i="78" s="1"/>
  <c r="AF91" i="78" s="1"/>
  <c r="AF27" i="78"/>
  <c r="AF63" i="78" s="1"/>
  <c r="AF99" i="78" s="1"/>
  <c r="AE80" i="78"/>
  <c r="AE88" i="78"/>
  <c r="AE96" i="78"/>
  <c r="AE104" i="78"/>
  <c r="AF17" i="78"/>
  <c r="AF53" i="78" s="1"/>
  <c r="AF89" i="78" s="1"/>
  <c r="AF25" i="78"/>
  <c r="AF61" i="78" s="1"/>
  <c r="AF97" i="78" s="1"/>
  <c r="AE44" i="78"/>
  <c r="AE81" i="78"/>
  <c r="M109" i="49"/>
  <c r="M108" i="49"/>
  <c r="K112" i="49"/>
  <c r="M114" i="49"/>
  <c r="M113" i="49"/>
  <c r="M112" i="49"/>
  <c r="M111" i="49"/>
  <c r="K115" i="49"/>
  <c r="J108" i="49"/>
  <c r="J115" i="49"/>
  <c r="N102" i="49"/>
  <c r="N101" i="49"/>
  <c r="M102" i="49"/>
  <c r="L96" i="49"/>
  <c r="K98" i="49"/>
  <c r="M100" i="49"/>
  <c r="K104" i="49"/>
  <c r="J97" i="49"/>
  <c r="J104" i="49"/>
  <c r="M91" i="49"/>
  <c r="K87" i="49"/>
  <c r="M90" i="49"/>
  <c r="M89" i="49"/>
  <c r="K93" i="49"/>
  <c r="J86" i="49"/>
  <c r="J93" i="49"/>
  <c r="M74" i="49"/>
  <c r="M80" i="49"/>
  <c r="M79" i="49"/>
  <c r="K75" i="49"/>
  <c r="M78" i="49"/>
  <c r="K82" i="49"/>
  <c r="M82" i="49"/>
  <c r="M81" i="49"/>
  <c r="J80" i="49"/>
  <c r="J79" i="49"/>
  <c r="J77" i="49"/>
  <c r="J76" i="49"/>
  <c r="J75" i="49"/>
  <c r="J81" i="49"/>
  <c r="J78" i="49"/>
  <c r="J82" i="49"/>
  <c r="M65" i="49"/>
  <c r="M64" i="49"/>
  <c r="M70" i="49"/>
  <c r="M69" i="49"/>
  <c r="M68" i="49"/>
  <c r="M67" i="49"/>
  <c r="J64" i="49"/>
  <c r="J71" i="49"/>
  <c r="M58" i="49"/>
  <c r="M56" i="49"/>
  <c r="J54" i="49"/>
  <c r="J60" i="49"/>
  <c r="F260" i="49"/>
  <c r="F284" i="49" s="1"/>
  <c r="F256" i="49"/>
  <c r="D256" i="49"/>
  <c r="F204" i="49"/>
  <c r="F228" i="49" s="1"/>
  <c r="F176" i="49"/>
  <c r="F148" i="49"/>
  <c r="P22" i="76" l="1"/>
  <c r="O22" i="76"/>
  <c r="M48" i="76"/>
  <c r="N22" i="76"/>
  <c r="N97" i="49"/>
  <c r="N104" i="49"/>
  <c r="L81" i="49"/>
  <c r="L79" i="49"/>
  <c r="L70" i="49"/>
  <c r="L65" i="49"/>
  <c r="L97" i="49"/>
  <c r="L99" i="49"/>
  <c r="L109" i="49"/>
  <c r="N98" i="49"/>
  <c r="L71" i="49"/>
  <c r="L64" i="49"/>
  <c r="L69" i="49"/>
  <c r="L68" i="49"/>
  <c r="N99" i="49"/>
  <c r="N100" i="49"/>
  <c r="L114" i="49"/>
  <c r="L115" i="49"/>
  <c r="L63" i="49"/>
  <c r="N63" i="49" a="1"/>
  <c r="N67" i="49" s="1"/>
  <c r="L66" i="49"/>
  <c r="N103" i="49"/>
  <c r="L92" i="49"/>
  <c r="L86" i="49"/>
  <c r="L108" i="49"/>
  <c r="L91" i="49"/>
  <c r="L85" i="49"/>
  <c r="L113" i="49"/>
  <c r="L89" i="49"/>
  <c r="L110" i="49"/>
  <c r="N85" i="49" a="1"/>
  <c r="N93" i="49" s="1"/>
  <c r="L93" i="49"/>
  <c r="L103" i="49"/>
  <c r="F172" i="49"/>
  <c r="L100" i="49"/>
  <c r="L112" i="49"/>
  <c r="L107" i="49"/>
  <c r="F200" i="49"/>
  <c r="N74" i="49" a="1"/>
  <c r="L104" i="49"/>
  <c r="L101" i="49"/>
  <c r="L80" i="49"/>
  <c r="L74" i="49"/>
  <c r="L76" i="49"/>
  <c r="L77" i="49"/>
  <c r="L78" i="49"/>
  <c r="L82" i="49"/>
  <c r="L102" i="49"/>
  <c r="L88" i="49"/>
  <c r="L87" i="49"/>
  <c r="N107" i="49" a="1"/>
  <c r="CT57" i="78"/>
  <c r="CT93" i="78" s="1"/>
  <c r="H4" i="71"/>
  <c r="M2" i="21"/>
  <c r="M11" i="21"/>
  <c r="N11" i="21"/>
  <c r="O11" i="21"/>
  <c r="P11" i="21"/>
  <c r="M18" i="21"/>
  <c r="N18" i="21"/>
  <c r="O18" i="21"/>
  <c r="P18" i="21"/>
  <c r="N33" i="21"/>
  <c r="O33" i="21"/>
  <c r="P33" i="21"/>
  <c r="G123" i="49"/>
  <c r="A118" i="49"/>
  <c r="E144" i="49"/>
  <c r="C144" i="49"/>
  <c r="B144" i="49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G127" i="49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D123" i="49"/>
  <c r="F123" i="49" s="1"/>
  <c r="G122" i="49"/>
  <c r="D122" i="49"/>
  <c r="F122" i="49" s="1"/>
  <c r="G121" i="49"/>
  <c r="D121" i="49"/>
  <c r="F121" i="49" s="1"/>
  <c r="G120" i="49"/>
  <c r="D120" i="49"/>
  <c r="F120" i="49" s="1"/>
  <c r="G119" i="49"/>
  <c r="D119" i="49"/>
  <c r="F119" i="49" s="1"/>
  <c r="K41" i="49" a="1"/>
  <c r="K41" i="49" s="1"/>
  <c r="M41" i="49" a="1"/>
  <c r="M45" i="49" s="1"/>
  <c r="J41" i="49" a="1"/>
  <c r="J41" i="49" s="1"/>
  <c r="K30" i="49" a="1"/>
  <c r="K30" i="49" s="1"/>
  <c r="M30" i="49" a="1"/>
  <c r="M34" i="49" s="1"/>
  <c r="J30" i="49" a="1"/>
  <c r="J30" i="49" s="1"/>
  <c r="I7" i="49"/>
  <c r="M19" i="49" a="1"/>
  <c r="M26" i="49" s="1"/>
  <c r="K19" i="49" a="1"/>
  <c r="K20" i="49" s="1"/>
  <c r="J19" i="49" a="1"/>
  <c r="J26" i="49" s="1"/>
  <c r="S76" i="71" l="1"/>
  <c r="AD76" i="71"/>
  <c r="AD40" i="71"/>
  <c r="S40" i="71"/>
  <c r="N48" i="76"/>
  <c r="M52" i="76"/>
  <c r="M57" i="76"/>
  <c r="M62" i="76"/>
  <c r="M66" i="76"/>
  <c r="M76" i="76"/>
  <c r="M87" i="76"/>
  <c r="M92" i="76"/>
  <c r="M56" i="76"/>
  <c r="M65" i="76"/>
  <c r="M70" i="76"/>
  <c r="M75" i="76"/>
  <c r="M59" i="76"/>
  <c r="M64" i="76"/>
  <c r="M69" i="76"/>
  <c r="M74" i="76"/>
  <c r="M79" i="76"/>
  <c r="M84" i="76"/>
  <c r="M73" i="76"/>
  <c r="M83" i="76"/>
  <c r="M53" i="76"/>
  <c r="M58" i="76"/>
  <c r="M63" i="76"/>
  <c r="M94" i="76"/>
  <c r="M91" i="76"/>
  <c r="M80" i="76"/>
  <c r="M88" i="76"/>
  <c r="M61" i="76"/>
  <c r="M90" i="76"/>
  <c r="M78" i="76"/>
  <c r="M82" i="76"/>
  <c r="M51" i="76"/>
  <c r="M55" i="76"/>
  <c r="M86" i="76"/>
  <c r="M72" i="76"/>
  <c r="P48" i="76"/>
  <c r="O48" i="76"/>
  <c r="M68" i="76"/>
  <c r="M38" i="21"/>
  <c r="P38" i="21"/>
  <c r="N38" i="21"/>
  <c r="O38" i="21"/>
  <c r="N71" i="49"/>
  <c r="N64" i="49"/>
  <c r="N63" i="49"/>
  <c r="N66" i="49"/>
  <c r="N68" i="49"/>
  <c r="N70" i="49"/>
  <c r="N65" i="49"/>
  <c r="M31" i="49"/>
  <c r="M30" i="49"/>
  <c r="N69" i="49"/>
  <c r="M38" i="49"/>
  <c r="M49" i="49"/>
  <c r="M33" i="49"/>
  <c r="M48" i="49"/>
  <c r="M41" i="49"/>
  <c r="M32" i="49"/>
  <c r="M44" i="49"/>
  <c r="G144" i="49"/>
  <c r="N85" i="49"/>
  <c r="N87" i="49"/>
  <c r="N91" i="49"/>
  <c r="N92" i="49"/>
  <c r="N90" i="49"/>
  <c r="N88" i="49"/>
  <c r="N89" i="49"/>
  <c r="N86" i="49"/>
  <c r="N52" i="49" a="1"/>
  <c r="N107" i="49"/>
  <c r="N109" i="49"/>
  <c r="N108" i="49"/>
  <c r="N110" i="49"/>
  <c r="N111" i="49"/>
  <c r="N112" i="49"/>
  <c r="N115" i="49"/>
  <c r="N113" i="49"/>
  <c r="N114" i="49"/>
  <c r="K48" i="49"/>
  <c r="D144" i="49"/>
  <c r="L52" i="49" a="1"/>
  <c r="M43" i="49"/>
  <c r="K47" i="49"/>
  <c r="K36" i="49"/>
  <c r="M42" i="49"/>
  <c r="K45" i="49"/>
  <c r="N79" i="49"/>
  <c r="N78" i="49"/>
  <c r="N80" i="49"/>
  <c r="N75" i="49"/>
  <c r="N81" i="49"/>
  <c r="N76" i="49"/>
  <c r="N82" i="49"/>
  <c r="N77" i="49"/>
  <c r="N74" i="49"/>
  <c r="K37" i="49"/>
  <c r="K46" i="49"/>
  <c r="M37" i="49"/>
  <c r="F144" i="49"/>
  <c r="K44" i="49"/>
  <c r="M47" i="49"/>
  <c r="K43" i="49"/>
  <c r="M46" i="49"/>
  <c r="K42" i="49"/>
  <c r="K49" i="49"/>
  <c r="J48" i="49"/>
  <c r="J47" i="49"/>
  <c r="J46" i="49"/>
  <c r="J45" i="49"/>
  <c r="J44" i="49"/>
  <c r="J43" i="49"/>
  <c r="J42" i="49"/>
  <c r="J49" i="49"/>
  <c r="K35" i="49"/>
  <c r="K34" i="49"/>
  <c r="K31" i="49"/>
  <c r="K33" i="49"/>
  <c r="M36" i="49"/>
  <c r="K32" i="49"/>
  <c r="M35" i="49"/>
  <c r="K38" i="49"/>
  <c r="J38" i="49"/>
  <c r="J37" i="49"/>
  <c r="J36" i="49"/>
  <c r="J35" i="49"/>
  <c r="J34" i="49"/>
  <c r="J33" i="49"/>
  <c r="J32" i="49"/>
  <c r="J31" i="49"/>
  <c r="M25" i="49"/>
  <c r="M24" i="49"/>
  <c r="M23" i="49"/>
  <c r="M22" i="49"/>
  <c r="M21" i="49"/>
  <c r="M20" i="49"/>
  <c r="M27" i="49"/>
  <c r="M19" i="49"/>
  <c r="K25" i="49"/>
  <c r="K24" i="49"/>
  <c r="K23" i="49"/>
  <c r="K22" i="49"/>
  <c r="K27" i="49"/>
  <c r="K19" i="49"/>
  <c r="K26" i="49"/>
  <c r="K21" i="49"/>
  <c r="J25" i="49"/>
  <c r="J24" i="49"/>
  <c r="J23" i="49"/>
  <c r="J22" i="49"/>
  <c r="J21" i="49"/>
  <c r="J20" i="49"/>
  <c r="J27" i="49"/>
  <c r="J19" i="49"/>
  <c r="O52" i="76" l="1"/>
  <c r="O62" i="76"/>
  <c r="O66" i="76"/>
  <c r="O76" i="76"/>
  <c r="O57" i="76"/>
  <c r="O70" i="76"/>
  <c r="O75" i="76"/>
  <c r="O56" i="76"/>
  <c r="O65" i="76"/>
  <c r="O80" i="76"/>
  <c r="O59" i="76"/>
  <c r="O64" i="76"/>
  <c r="O69" i="76"/>
  <c r="O74" i="76"/>
  <c r="O79" i="76"/>
  <c r="O84" i="76"/>
  <c r="O53" i="76"/>
  <c r="O58" i="76"/>
  <c r="O63" i="76"/>
  <c r="O94" i="76"/>
  <c r="O88" i="76"/>
  <c r="O73" i="76"/>
  <c r="O92" i="76"/>
  <c r="O91" i="76"/>
  <c r="O87" i="76"/>
  <c r="O83" i="76"/>
  <c r="O51" i="76"/>
  <c r="O82" i="76"/>
  <c r="O86" i="76"/>
  <c r="O55" i="76"/>
  <c r="O78" i="76"/>
  <c r="O90" i="76"/>
  <c r="O61" i="76"/>
  <c r="O72" i="76"/>
  <c r="O68" i="76"/>
  <c r="P53" i="76"/>
  <c r="P58" i="76"/>
  <c r="P63" i="76"/>
  <c r="P73" i="76"/>
  <c r="P83" i="76"/>
  <c r="P88" i="76"/>
  <c r="P94" i="76"/>
  <c r="P52" i="76"/>
  <c r="P57" i="76"/>
  <c r="P62" i="76"/>
  <c r="P66" i="76"/>
  <c r="P76" i="76"/>
  <c r="P56" i="76"/>
  <c r="P65" i="76"/>
  <c r="P70" i="76"/>
  <c r="P75" i="76"/>
  <c r="P80" i="76"/>
  <c r="P91" i="76"/>
  <c r="P84" i="76"/>
  <c r="P59" i="76"/>
  <c r="P64" i="76"/>
  <c r="P69" i="76"/>
  <c r="P74" i="76"/>
  <c r="P79" i="76"/>
  <c r="P92" i="76"/>
  <c r="P87" i="76"/>
  <c r="P90" i="76"/>
  <c r="P61" i="76"/>
  <c r="P51" i="76"/>
  <c r="P55" i="76"/>
  <c r="P78" i="76"/>
  <c r="P86" i="76"/>
  <c r="P82" i="76"/>
  <c r="P72" i="76"/>
  <c r="N52" i="76"/>
  <c r="N57" i="76"/>
  <c r="N62" i="76"/>
  <c r="N66" i="76"/>
  <c r="N76" i="76"/>
  <c r="N87" i="76"/>
  <c r="N92" i="76"/>
  <c r="N56" i="76"/>
  <c r="N65" i="76"/>
  <c r="N70" i="76"/>
  <c r="N75" i="76"/>
  <c r="N80" i="76"/>
  <c r="N91" i="76"/>
  <c r="N59" i="76"/>
  <c r="N64" i="76"/>
  <c r="N69" i="76"/>
  <c r="N74" i="76"/>
  <c r="N79" i="76"/>
  <c r="N84" i="76"/>
  <c r="N53" i="76"/>
  <c r="N58" i="76"/>
  <c r="N63" i="76"/>
  <c r="N73" i="76"/>
  <c r="N83" i="76"/>
  <c r="N88" i="76"/>
  <c r="N94" i="76"/>
  <c r="N90" i="76"/>
  <c r="N78" i="76"/>
  <c r="N82" i="76"/>
  <c r="N51" i="76"/>
  <c r="N55" i="76"/>
  <c r="N86" i="76"/>
  <c r="N61" i="76"/>
  <c r="N72" i="76"/>
  <c r="P68" i="76"/>
  <c r="N68" i="76"/>
  <c r="L57" i="49"/>
  <c r="L55" i="49"/>
  <c r="L56" i="49"/>
  <c r="L59" i="49"/>
  <c r="L54" i="49"/>
  <c r="L52" i="49"/>
  <c r="L60" i="49"/>
  <c r="L53" i="49"/>
  <c r="L58" i="49"/>
  <c r="N53" i="49"/>
  <c r="N52" i="49"/>
  <c r="N59" i="49"/>
  <c r="N55" i="49"/>
  <c r="N58" i="49"/>
  <c r="N54" i="49"/>
  <c r="N57" i="49"/>
  <c r="N56" i="49"/>
  <c r="N60" i="49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0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O118" i="78"/>
  <c r="CN118" i="78"/>
  <c r="CM118" i="78"/>
  <c r="CL118" i="78"/>
  <c r="CO117" i="78"/>
  <c r="CN117" i="78"/>
  <c r="CM117" i="78"/>
  <c r="CL117" i="78"/>
  <c r="CO116" i="78"/>
  <c r="CN116" i="78"/>
  <c r="CM116" i="78"/>
  <c r="CL116" i="78"/>
  <c r="CP34" i="78"/>
  <c r="CP66" i="78" s="1"/>
  <c r="CO34" i="78"/>
  <c r="CO62" i="78" s="1"/>
  <c r="CN34" i="78"/>
  <c r="CN46" i="78" s="1"/>
  <c r="CM34" i="78"/>
  <c r="CM70" i="78" s="1"/>
  <c r="CL34" i="78"/>
  <c r="CL47" i="78" s="1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D118" i="78"/>
  <c r="CC118" i="78"/>
  <c r="CB118" i="78"/>
  <c r="CA118" i="78"/>
  <c r="CD117" i="78"/>
  <c r="CC117" i="78"/>
  <c r="CB117" i="78"/>
  <c r="CA117" i="78"/>
  <c r="CD116" i="78"/>
  <c r="CC116" i="78"/>
  <c r="CB116" i="78"/>
  <c r="CA116" i="78"/>
  <c r="CE34" i="78"/>
  <c r="CE67" i="78" s="1"/>
  <c r="CD34" i="78"/>
  <c r="CD68" i="78" s="1"/>
  <c r="CC34" i="78"/>
  <c r="CC50" i="78" s="1"/>
  <c r="CB34" i="78"/>
  <c r="CB61" i="78" s="1"/>
  <c r="CA34" i="78"/>
  <c r="CA46" i="78" s="1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S118" i="78"/>
  <c r="BR118" i="78"/>
  <c r="BQ118" i="78"/>
  <c r="BP118" i="78"/>
  <c r="BS117" i="78"/>
  <c r="BR117" i="78"/>
  <c r="BQ117" i="78"/>
  <c r="BP117" i="78"/>
  <c r="BS116" i="78"/>
  <c r="BR116" i="78"/>
  <c r="BQ116" i="78"/>
  <c r="BP116" i="78"/>
  <c r="BT34" i="78"/>
  <c r="BT66" i="78" s="1"/>
  <c r="BS34" i="78"/>
  <c r="BS68" i="78" s="1"/>
  <c r="BR34" i="78"/>
  <c r="BR68" i="78" s="1"/>
  <c r="BQ34" i="78"/>
  <c r="BQ70" i="78" s="1"/>
  <c r="BP34" i="78"/>
  <c r="BP47" i="78" s="1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H118" i="78"/>
  <c r="BG118" i="78"/>
  <c r="BF118" i="78"/>
  <c r="BE118" i="78"/>
  <c r="BH117" i="78"/>
  <c r="BG117" i="78"/>
  <c r="BF117" i="78"/>
  <c r="BE117" i="78"/>
  <c r="BH116" i="78"/>
  <c r="BG116" i="78"/>
  <c r="BF116" i="78"/>
  <c r="BE116" i="78"/>
  <c r="BI34" i="78"/>
  <c r="BI66" i="78" s="1"/>
  <c r="BH34" i="78"/>
  <c r="BH67" i="78" s="1"/>
  <c r="BG34" i="78"/>
  <c r="BG62" i="78" s="1"/>
  <c r="BF34" i="78"/>
  <c r="BF68" i="78" s="1"/>
  <c r="BE34" i="78"/>
  <c r="BE62" i="78" s="1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118" i="78"/>
  <c r="AV118" i="78"/>
  <c r="AU118" i="78"/>
  <c r="AT118" i="78"/>
  <c r="AW117" i="78"/>
  <c r="AV117" i="78"/>
  <c r="AU117" i="78"/>
  <c r="AT117" i="78"/>
  <c r="AW116" i="78"/>
  <c r="AV116" i="78"/>
  <c r="AU116" i="78"/>
  <c r="AT116" i="78"/>
  <c r="AX34" i="78"/>
  <c r="AW34" i="78"/>
  <c r="AW62" i="78" s="1"/>
  <c r="AV34" i="78"/>
  <c r="AV44" i="78" s="1"/>
  <c r="AU34" i="78"/>
  <c r="AU70" i="78" s="1"/>
  <c r="AT34" i="78"/>
  <c r="AT61" i="78" s="1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L118" i="78"/>
  <c r="AK118" i="78"/>
  <c r="AJ118" i="78"/>
  <c r="AI118" i="78"/>
  <c r="AL117" i="78"/>
  <c r="AK117" i="78"/>
  <c r="AJ117" i="78"/>
  <c r="AI117" i="78"/>
  <c r="AL116" i="78"/>
  <c r="AK116" i="78"/>
  <c r="AJ116" i="78"/>
  <c r="AI116" i="78"/>
  <c r="AM34" i="78"/>
  <c r="AM58" i="78" s="1"/>
  <c r="AL34" i="78"/>
  <c r="AL70" i="78" s="1"/>
  <c r="AK34" i="78"/>
  <c r="AK55" i="78" s="1"/>
  <c r="AJ34" i="78"/>
  <c r="AJ51" i="78" s="1"/>
  <c r="AI34" i="78"/>
  <c r="AI65" i="78" s="1"/>
  <c r="BR44" i="78" l="1"/>
  <c r="CP67" i="78"/>
  <c r="CP53" i="78"/>
  <c r="CP44" i="78"/>
  <c r="CP50" i="78"/>
  <c r="BT50" i="78"/>
  <c r="CB47" i="78"/>
  <c r="CD56" i="78"/>
  <c r="AW66" i="78"/>
  <c r="CP70" i="78"/>
  <c r="BR53" i="78"/>
  <c r="BT60" i="78"/>
  <c r="CD64" i="78"/>
  <c r="CP58" i="78"/>
  <c r="CP61" i="78"/>
  <c r="AM64" i="78"/>
  <c r="CB45" i="78"/>
  <c r="CD51" i="78"/>
  <c r="CO46" i="78"/>
  <c r="BI44" i="78"/>
  <c r="BT53" i="78"/>
  <c r="BS60" i="78"/>
  <c r="AU49" i="78"/>
  <c r="AW63" i="78"/>
  <c r="BS51" i="78"/>
  <c r="BS61" i="78"/>
  <c r="CD48" i="78"/>
  <c r="CO59" i="78"/>
  <c r="AW49" i="78"/>
  <c r="BT51" i="78"/>
  <c r="BT68" i="78"/>
  <c r="CB55" i="78"/>
  <c r="CO54" i="78"/>
  <c r="CP59" i="78"/>
  <c r="BT44" i="78"/>
  <c r="CN63" i="78"/>
  <c r="AM52" i="78"/>
  <c r="BR62" i="78"/>
  <c r="BT70" i="78"/>
  <c r="CN44" i="78"/>
  <c r="CE50" i="78"/>
  <c r="CE59" i="78"/>
  <c r="AI47" i="78"/>
  <c r="BH47" i="78"/>
  <c r="BH53" i="78"/>
  <c r="BI63" i="78"/>
  <c r="CE47" i="78"/>
  <c r="AJ47" i="78"/>
  <c r="AU46" i="78"/>
  <c r="AW56" i="78"/>
  <c r="AW67" i="78"/>
  <c r="BI53" i="78"/>
  <c r="BI58" i="78"/>
  <c r="CE44" i="78"/>
  <c r="CA65" i="78"/>
  <c r="BI54" i="78"/>
  <c r="AW64" i="78"/>
  <c r="BH45" i="78"/>
  <c r="BI50" i="78"/>
  <c r="BE66" i="78"/>
  <c r="CA49" i="78"/>
  <c r="CB53" i="78"/>
  <c r="CB62" i="78"/>
  <c r="CA67" i="78"/>
  <c r="CP52" i="78"/>
  <c r="CN55" i="78"/>
  <c r="AW51" i="78"/>
  <c r="CA62" i="78"/>
  <c r="CM55" i="78"/>
  <c r="AJ56" i="78"/>
  <c r="AW48" i="78"/>
  <c r="AW59" i="78"/>
  <c r="BI45" i="78"/>
  <c r="BI55" i="78"/>
  <c r="BT52" i="78"/>
  <c r="BT61" i="78"/>
  <c r="BS67" i="78"/>
  <c r="CB46" i="78"/>
  <c r="CE53" i="78"/>
  <c r="AV46" i="78"/>
  <c r="AM61" i="78"/>
  <c r="AW70" i="78"/>
  <c r="AI68" i="78"/>
  <c r="AM51" i="78"/>
  <c r="AM70" i="78"/>
  <c r="AW44" i="78"/>
  <c r="BT58" i="78"/>
  <c r="BT67" i="78"/>
  <c r="CD59" i="78"/>
  <c r="CM53" i="78"/>
  <c r="CO61" i="78"/>
  <c r="AK64" i="78"/>
  <c r="BF58" i="78"/>
  <c r="AL49" i="78"/>
  <c r="AK48" i="78"/>
  <c r="AI64" i="78"/>
  <c r="AU44" i="78"/>
  <c r="AU53" i="78"/>
  <c r="AU55" i="78"/>
  <c r="AU61" i="78"/>
  <c r="BF49" i="78"/>
  <c r="BF57" i="78"/>
  <c r="BF61" i="78"/>
  <c r="BF63" i="78"/>
  <c r="CE142" i="78"/>
  <c r="CG34" i="78"/>
  <c r="CI34" i="78" s="1"/>
  <c r="CI70" i="78" s="1"/>
  <c r="CI106" i="78" s="1"/>
  <c r="CE52" i="78"/>
  <c r="CE58" i="78"/>
  <c r="CE61" i="78"/>
  <c r="CM46" i="78"/>
  <c r="CM48" i="78"/>
  <c r="CL63" i="78"/>
  <c r="CN70" i="78"/>
  <c r="AM48" i="78"/>
  <c r="AL55" i="78"/>
  <c r="AL61" i="78"/>
  <c r="AJ64" i="78"/>
  <c r="AL67" i="78"/>
  <c r="AT46" i="78"/>
  <c r="AT51" i="78"/>
  <c r="AW53" i="78"/>
  <c r="AW55" i="78"/>
  <c r="AT59" i="78"/>
  <c r="AW61" i="78"/>
  <c r="BE142" i="78"/>
  <c r="BF47" i="78"/>
  <c r="BG49" i="78"/>
  <c r="BH61" i="78"/>
  <c r="BH63" i="78"/>
  <c r="BF66" i="78"/>
  <c r="BS44" i="78"/>
  <c r="BS46" i="78"/>
  <c r="BS53" i="78"/>
  <c r="BS62" i="78"/>
  <c r="BS70" i="78"/>
  <c r="CE55" i="78"/>
  <c r="CE64" i="78"/>
  <c r="CB67" i="78"/>
  <c r="CM61" i="78"/>
  <c r="CM63" i="78"/>
  <c r="CO70" i="78"/>
  <c r="AK52" i="78"/>
  <c r="AP106" i="78"/>
  <c r="AP70" i="78"/>
  <c r="BF53" i="78"/>
  <c r="AT54" i="78"/>
  <c r="CM45" i="78"/>
  <c r="AO34" i="78"/>
  <c r="AQ34" i="78" s="1"/>
  <c r="AQ70" i="78" s="1"/>
  <c r="AQ106" i="78" s="1"/>
  <c r="AM142" i="78"/>
  <c r="AL62" i="78"/>
  <c r="BA106" i="78"/>
  <c r="BA70" i="78"/>
  <c r="AU52" i="78"/>
  <c r="AU68" i="78"/>
  <c r="BQ45" i="78"/>
  <c r="BP48" i="78"/>
  <c r="BQ54" i="78"/>
  <c r="BR63" i="78"/>
  <c r="CA68" i="78"/>
  <c r="CN62" i="78"/>
  <c r="CS106" i="78"/>
  <c r="CS70" i="78"/>
  <c r="CM47" i="78"/>
  <c r="CN68" i="78"/>
  <c r="AM62" i="78"/>
  <c r="AU45" i="78"/>
  <c r="AU47" i="78"/>
  <c r="AT50" i="78"/>
  <c r="AW52" i="78"/>
  <c r="AV54" i="78"/>
  <c r="AW57" i="78"/>
  <c r="AW60" i="78"/>
  <c r="AW65" i="78"/>
  <c r="AW68" i="78"/>
  <c r="BI61" i="78"/>
  <c r="BI142" i="78"/>
  <c r="BK34" i="78"/>
  <c r="BM34" i="78" s="1"/>
  <c r="BM70" i="78" s="1"/>
  <c r="BM106" i="78" s="1"/>
  <c r="BH48" i="78"/>
  <c r="BF56" i="78"/>
  <c r="BF59" i="78"/>
  <c r="BH62" i="78"/>
  <c r="BF70" i="78"/>
  <c r="BR45" i="78"/>
  <c r="BQ48" i="78"/>
  <c r="BR54" i="78"/>
  <c r="BS59" i="78"/>
  <c r="CE45" i="78"/>
  <c r="CA54" i="78"/>
  <c r="CE60" i="78"/>
  <c r="CB63" i="78"/>
  <c r="CB66" i="78"/>
  <c r="CE68" i="78"/>
  <c r="CO45" i="78"/>
  <c r="CN47" i="78"/>
  <c r="CO51" i="78"/>
  <c r="CL54" i="78"/>
  <c r="CN60" i="78"/>
  <c r="CL62" i="78"/>
  <c r="CO68" i="78"/>
  <c r="AT64" i="78"/>
  <c r="AL59" i="78"/>
  <c r="BG68" i="78"/>
  <c r="BL70" i="78"/>
  <c r="BL106" i="78"/>
  <c r="AK56" i="78"/>
  <c r="AU62" i="78"/>
  <c r="BF48" i="78"/>
  <c r="BF64" i="78"/>
  <c r="AL47" i="78"/>
  <c r="AM56" i="78"/>
  <c r="AL65" i="78"/>
  <c r="AX52" i="78"/>
  <c r="AX142" i="78"/>
  <c r="AZ34" i="78"/>
  <c r="BB34" i="78" s="1"/>
  <c r="BB70" i="78" s="1"/>
  <c r="BB106" i="78" s="1"/>
  <c r="AV45" i="78"/>
  <c r="AW47" i="78"/>
  <c r="AU50" i="78"/>
  <c r="AT63" i="78"/>
  <c r="AT70" i="78"/>
  <c r="BH46" i="78"/>
  <c r="BF51" i="78"/>
  <c r="BG54" i="78"/>
  <c r="BH56" i="78"/>
  <c r="BI62" i="78"/>
  <c r="BF65" i="78"/>
  <c r="BH70" i="78"/>
  <c r="BV34" i="78"/>
  <c r="BX34" i="78" s="1"/>
  <c r="BX70" i="78" s="1"/>
  <c r="BX106" i="78" s="1"/>
  <c r="BT142" i="78"/>
  <c r="BS45" i="78"/>
  <c r="BS54" i="78"/>
  <c r="BT59" i="78"/>
  <c r="BP62" i="78"/>
  <c r="CC68" i="78"/>
  <c r="CH106" i="78"/>
  <c r="CH70" i="78"/>
  <c r="CE48" i="78"/>
  <c r="CE51" i="78"/>
  <c r="CB54" i="78"/>
  <c r="CA57" i="78"/>
  <c r="CE63" i="78"/>
  <c r="CE66" i="78"/>
  <c r="CP142" i="78"/>
  <c r="CR34" i="78"/>
  <c r="CP45" i="78"/>
  <c r="CP51" i="78"/>
  <c r="CM54" i="78"/>
  <c r="CL57" i="78"/>
  <c r="CO60" i="78"/>
  <c r="CM62" i="78"/>
  <c r="CL65" i="78"/>
  <c r="CP68" i="78"/>
  <c r="BF45" i="78"/>
  <c r="BF55" i="78"/>
  <c r="AT62" i="78"/>
  <c r="BF50" i="78"/>
  <c r="BQ63" i="78"/>
  <c r="AK47" i="78"/>
  <c r="AK68" i="78"/>
  <c r="AT45" i="78"/>
  <c r="AU54" i="78"/>
  <c r="AU60" i="78"/>
  <c r="BW70" i="78"/>
  <c r="BW106" i="78"/>
  <c r="CE56" i="78"/>
  <c r="CN45" i="78"/>
  <c r="CM64" i="78"/>
  <c r="AK50" i="78"/>
  <c r="AI60" i="78"/>
  <c r="AM68" i="78"/>
  <c r="AM44" i="78"/>
  <c r="AM50" i="78"/>
  <c r="AI55" i="78"/>
  <c r="AK60" i="78"/>
  <c r="AJ48" i="78"/>
  <c r="AJ55" i="78"/>
  <c r="AL57" i="78"/>
  <c r="AM60" i="78"/>
  <c r="AM66" i="78"/>
  <c r="AW45" i="78"/>
  <c r="AW50" i="78"/>
  <c r="AT53" i="78"/>
  <c r="AT55" i="78"/>
  <c r="AW58" i="78"/>
  <c r="AU63" i="78"/>
  <c r="AU66" i="78"/>
  <c r="BG44" i="78"/>
  <c r="BI46" i="78"/>
  <c r="BE49" i="78"/>
  <c r="BH51" i="78"/>
  <c r="BH54" i="78"/>
  <c r="BI70" i="78"/>
  <c r="BT45" i="78"/>
  <c r="BQ53" i="78"/>
  <c r="BQ62" i="78"/>
  <c r="BP65" i="78"/>
  <c r="CE70" i="78"/>
  <c r="CL48" i="78"/>
  <c r="CN54" i="78"/>
  <c r="CP60" i="78"/>
  <c r="CL56" i="78"/>
  <c r="CM68" i="78"/>
  <c r="CM60" i="78"/>
  <c r="CM52" i="78"/>
  <c r="CM44" i="78"/>
  <c r="CM57" i="78"/>
  <c r="CM49" i="78"/>
  <c r="CM67" i="78"/>
  <c r="CM59" i="78"/>
  <c r="CM51" i="78"/>
  <c r="CL142" i="78"/>
  <c r="CM66" i="78"/>
  <c r="CM58" i="78"/>
  <c r="CM50" i="78"/>
  <c r="CM65" i="78"/>
  <c r="CO44" i="78"/>
  <c r="CN53" i="78"/>
  <c r="CM56" i="78"/>
  <c r="CO67" i="78"/>
  <c r="CL70" i="78"/>
  <c r="CL61" i="78"/>
  <c r="CL53" i="78"/>
  <c r="CL45" i="78"/>
  <c r="CL58" i="78"/>
  <c r="CL50" i="78"/>
  <c r="CL68" i="78"/>
  <c r="CL60" i="78"/>
  <c r="CL52" i="78"/>
  <c r="CL44" i="78"/>
  <c r="CL67" i="78"/>
  <c r="CL59" i="78"/>
  <c r="CL51" i="78"/>
  <c r="CL66" i="78"/>
  <c r="CN67" i="78"/>
  <c r="CN59" i="78"/>
  <c r="CN51" i="78"/>
  <c r="CN56" i="78"/>
  <c r="CN48" i="78"/>
  <c r="CN66" i="78"/>
  <c r="CN58" i="78"/>
  <c r="CN50" i="78"/>
  <c r="CN65" i="78"/>
  <c r="CN57" i="78"/>
  <c r="CN49" i="78"/>
  <c r="CM142" i="78"/>
  <c r="CN64" i="78"/>
  <c r="CN52" i="78"/>
  <c r="CO53" i="78"/>
  <c r="CL64" i="78"/>
  <c r="CO66" i="78"/>
  <c r="CO58" i="78"/>
  <c r="CO50" i="78"/>
  <c r="CO55" i="78"/>
  <c r="CO47" i="78"/>
  <c r="CO65" i="78"/>
  <c r="CO57" i="78"/>
  <c r="CO49" i="78"/>
  <c r="CN142" i="78"/>
  <c r="CO64" i="78"/>
  <c r="CO56" i="78"/>
  <c r="CO48" i="78"/>
  <c r="CO63" i="78"/>
  <c r="CL46" i="78"/>
  <c r="CL49" i="78"/>
  <c r="CO52" i="78"/>
  <c r="CL55" i="78"/>
  <c r="CN61" i="78"/>
  <c r="CP47" i="78"/>
  <c r="CP55" i="78"/>
  <c r="CP63" i="78"/>
  <c r="CP48" i="78"/>
  <c r="CP56" i="78"/>
  <c r="CP64" i="78"/>
  <c r="CO142" i="78"/>
  <c r="CP46" i="78"/>
  <c r="CP54" i="78"/>
  <c r="CP62" i="78"/>
  <c r="CP49" i="78"/>
  <c r="CP57" i="78"/>
  <c r="CP65" i="78"/>
  <c r="CC58" i="78"/>
  <c r="CC70" i="78"/>
  <c r="CA70" i="78"/>
  <c r="CA61" i="78"/>
  <c r="CA53" i="78"/>
  <c r="CA45" i="78"/>
  <c r="CA66" i="78"/>
  <c r="CA58" i="78"/>
  <c r="CA50" i="78"/>
  <c r="CA48" i="78"/>
  <c r="CC49" i="78"/>
  <c r="CA56" i="78"/>
  <c r="CC57" i="78"/>
  <c r="CA64" i="78"/>
  <c r="CC65" i="78"/>
  <c r="CB68" i="78"/>
  <c r="CB60" i="78"/>
  <c r="CB52" i="78"/>
  <c r="CB44" i="78"/>
  <c r="CB65" i="78"/>
  <c r="CB57" i="78"/>
  <c r="CB49" i="78"/>
  <c r="CA142" i="78"/>
  <c r="CA47" i="78"/>
  <c r="CB48" i="78"/>
  <c r="CD49" i="78"/>
  <c r="CA55" i="78"/>
  <c r="CB56" i="78"/>
  <c r="CD57" i="78"/>
  <c r="CA63" i="78"/>
  <c r="CB64" i="78"/>
  <c r="CD65" i="78"/>
  <c r="CC67" i="78"/>
  <c r="CC59" i="78"/>
  <c r="CC51" i="78"/>
  <c r="CB142" i="78"/>
  <c r="CC64" i="78"/>
  <c r="CC56" i="78"/>
  <c r="CC48" i="78"/>
  <c r="CD66" i="78"/>
  <c r="CD58" i="78"/>
  <c r="CD50" i="78"/>
  <c r="CD142" i="78"/>
  <c r="CD63" i="78"/>
  <c r="CD55" i="78"/>
  <c r="CD47" i="78"/>
  <c r="CD70" i="78"/>
  <c r="CC47" i="78"/>
  <c r="CC55" i="78"/>
  <c r="CC63" i="78"/>
  <c r="CA44" i="78"/>
  <c r="CC45" i="78"/>
  <c r="CC46" i="78"/>
  <c r="CA52" i="78"/>
  <c r="CC53" i="78"/>
  <c r="CA60" i="78"/>
  <c r="CC61" i="78"/>
  <c r="CC62" i="78"/>
  <c r="CD67" i="78"/>
  <c r="CC44" i="78"/>
  <c r="CD45" i="78"/>
  <c r="CD46" i="78"/>
  <c r="CA51" i="78"/>
  <c r="CC52" i="78"/>
  <c r="CD53" i="78"/>
  <c r="CD54" i="78"/>
  <c r="CA59" i="78"/>
  <c r="CC60" i="78"/>
  <c r="CD61" i="78"/>
  <c r="CD62" i="78"/>
  <c r="CC54" i="78"/>
  <c r="CD44" i="78"/>
  <c r="CB50" i="78"/>
  <c r="CB51" i="78"/>
  <c r="CD52" i="78"/>
  <c r="CB58" i="78"/>
  <c r="CB59" i="78"/>
  <c r="CD60" i="78"/>
  <c r="CC66" i="78"/>
  <c r="CB70" i="78"/>
  <c r="CC142" i="78"/>
  <c r="CE46" i="78"/>
  <c r="CE54" i="78"/>
  <c r="CE62" i="78"/>
  <c r="CE49" i="78"/>
  <c r="CE57" i="78"/>
  <c r="CE65" i="78"/>
  <c r="BP56" i="78"/>
  <c r="BR67" i="78"/>
  <c r="BR59" i="78"/>
  <c r="BR51" i="78"/>
  <c r="BR66" i="78"/>
  <c r="BR58" i="78"/>
  <c r="BR50" i="78"/>
  <c r="BR48" i="78"/>
  <c r="BR65" i="78"/>
  <c r="BR57" i="78"/>
  <c r="BR49" i="78"/>
  <c r="BQ142" i="78"/>
  <c r="BR64" i="78"/>
  <c r="BR56" i="78"/>
  <c r="BQ47" i="78"/>
  <c r="BR52" i="78"/>
  <c r="BQ61" i="78"/>
  <c r="BP64" i="78"/>
  <c r="BS66" i="78"/>
  <c r="BS58" i="78"/>
  <c r="BS50" i="78"/>
  <c r="BS65" i="78"/>
  <c r="BS57" i="78"/>
  <c r="BS49" i="78"/>
  <c r="BS55" i="78"/>
  <c r="BS47" i="78"/>
  <c r="BR142" i="78"/>
  <c r="BS64" i="78"/>
  <c r="BS56" i="78"/>
  <c r="BS48" i="78"/>
  <c r="BS63" i="78"/>
  <c r="BP46" i="78"/>
  <c r="BR47" i="78"/>
  <c r="BP49" i="78"/>
  <c r="BS52" i="78"/>
  <c r="BP55" i="78"/>
  <c r="BR61" i="78"/>
  <c r="BQ64" i="78"/>
  <c r="BQ68" i="78"/>
  <c r="BQ60" i="78"/>
  <c r="BQ52" i="78"/>
  <c r="BQ44" i="78"/>
  <c r="BQ67" i="78"/>
  <c r="BQ59" i="78"/>
  <c r="BQ51" i="78"/>
  <c r="BQ49" i="78"/>
  <c r="BQ66" i="78"/>
  <c r="BQ58" i="78"/>
  <c r="BQ50" i="78"/>
  <c r="BQ65" i="78"/>
  <c r="BQ57" i="78"/>
  <c r="BP142" i="78"/>
  <c r="BQ56" i="78"/>
  <c r="BQ46" i="78"/>
  <c r="BQ55" i="78"/>
  <c r="BR60" i="78"/>
  <c r="BR70" i="78"/>
  <c r="BP70" i="78"/>
  <c r="BP61" i="78"/>
  <c r="BP53" i="78"/>
  <c r="BP45" i="78"/>
  <c r="BP68" i="78"/>
  <c r="BP60" i="78"/>
  <c r="BP52" i="78"/>
  <c r="BP44" i="78"/>
  <c r="BP50" i="78"/>
  <c r="BP67" i="78"/>
  <c r="BP59" i="78"/>
  <c r="BP51" i="78"/>
  <c r="BP66" i="78"/>
  <c r="BP58" i="78"/>
  <c r="BR46" i="78"/>
  <c r="BP54" i="78"/>
  <c r="BR55" i="78"/>
  <c r="BP57" i="78"/>
  <c r="BP63" i="78"/>
  <c r="BT54" i="78"/>
  <c r="BT62" i="78"/>
  <c r="BT47" i="78"/>
  <c r="BT55" i="78"/>
  <c r="BT63" i="78"/>
  <c r="BT46" i="78"/>
  <c r="BT48" i="78"/>
  <c r="BT56" i="78"/>
  <c r="BT64" i="78"/>
  <c r="BS142" i="78"/>
  <c r="BT49" i="78"/>
  <c r="BT57" i="78"/>
  <c r="BT65" i="78"/>
  <c r="BE57" i="78"/>
  <c r="BE46" i="78"/>
  <c r="BE50" i="78"/>
  <c r="BG55" i="78"/>
  <c r="BG64" i="78"/>
  <c r="BE67" i="78"/>
  <c r="BG46" i="78"/>
  <c r="BI47" i="78"/>
  <c r="BE54" i="78"/>
  <c r="BH55" i="78"/>
  <c r="BE58" i="78"/>
  <c r="BH59" i="78"/>
  <c r="BG63" i="78"/>
  <c r="BH64" i="78"/>
  <c r="BE65" i="78"/>
  <c r="BG52" i="78"/>
  <c r="BH66" i="78"/>
  <c r="BH58" i="78"/>
  <c r="BH50" i="78"/>
  <c r="BH65" i="78"/>
  <c r="BH57" i="78"/>
  <c r="BH49" i="78"/>
  <c r="BG142" i="78"/>
  <c r="BH68" i="78"/>
  <c r="BH60" i="78"/>
  <c r="BH52" i="78"/>
  <c r="BH44" i="78"/>
  <c r="BG48" i="78"/>
  <c r="BE51" i="78"/>
  <c r="BI52" i="78"/>
  <c r="BG60" i="78"/>
  <c r="BE64" i="78"/>
  <c r="BG65" i="78"/>
  <c r="BE70" i="78"/>
  <c r="BE61" i="78"/>
  <c r="BE53" i="78"/>
  <c r="BE45" i="78"/>
  <c r="BE68" i="78"/>
  <c r="BE60" i="78"/>
  <c r="BE52" i="78"/>
  <c r="BE44" i="78"/>
  <c r="BE63" i="78"/>
  <c r="BE55" i="78"/>
  <c r="BE47" i="78"/>
  <c r="BE48" i="78"/>
  <c r="BG67" i="78"/>
  <c r="BG59" i="78"/>
  <c r="BG51" i="78"/>
  <c r="BG66" i="78"/>
  <c r="BG58" i="78"/>
  <c r="BG50" i="78"/>
  <c r="BG70" i="78"/>
  <c r="BG61" i="78"/>
  <c r="BG53" i="78"/>
  <c r="BG45" i="78"/>
  <c r="BE56" i="78"/>
  <c r="BG57" i="78"/>
  <c r="BI65" i="78"/>
  <c r="BI57" i="78"/>
  <c r="BI49" i="78"/>
  <c r="BH142" i="78"/>
  <c r="BI64" i="78"/>
  <c r="BI56" i="78"/>
  <c r="BI48" i="78"/>
  <c r="BI67" i="78"/>
  <c r="BI59" i="78"/>
  <c r="BI51" i="78"/>
  <c r="BG47" i="78"/>
  <c r="BG56" i="78"/>
  <c r="BE59" i="78"/>
  <c r="BI60" i="78"/>
  <c r="BI68" i="78"/>
  <c r="BF142" i="78"/>
  <c r="BF46" i="78"/>
  <c r="BF54" i="78"/>
  <c r="BF62" i="78"/>
  <c r="BF67" i="78"/>
  <c r="BF44" i="78"/>
  <c r="BF52" i="78"/>
  <c r="BF60" i="78"/>
  <c r="AX65" i="78"/>
  <c r="AX66" i="78"/>
  <c r="AV66" i="78"/>
  <c r="AV58" i="78"/>
  <c r="AV50" i="78"/>
  <c r="AV142" i="78"/>
  <c r="AV63" i="78"/>
  <c r="AV55" i="78"/>
  <c r="AV47" i="78"/>
  <c r="AX49" i="78"/>
  <c r="AX50" i="78"/>
  <c r="AV56" i="78"/>
  <c r="AX59" i="78"/>
  <c r="AV65" i="78"/>
  <c r="AX57" i="78"/>
  <c r="AX58" i="78"/>
  <c r="AV64" i="78"/>
  <c r="AX67" i="78"/>
  <c r="AX47" i="78"/>
  <c r="AV53" i="78"/>
  <c r="AV62" i="78"/>
  <c r="AV70" i="78"/>
  <c r="AV51" i="78"/>
  <c r="AV61" i="78"/>
  <c r="AT68" i="78"/>
  <c r="AT60" i="78"/>
  <c r="AT52" i="78"/>
  <c r="AT44" i="78"/>
  <c r="AT65" i="78"/>
  <c r="AT57" i="78"/>
  <c r="AT49" i="78"/>
  <c r="AT48" i="78"/>
  <c r="AV49" i="78"/>
  <c r="AU57" i="78"/>
  <c r="AT58" i="78"/>
  <c r="AV59" i="78"/>
  <c r="AT67" i="78"/>
  <c r="AV68" i="78"/>
  <c r="AW142" i="78"/>
  <c r="AX64" i="78"/>
  <c r="AX56" i="78"/>
  <c r="AX48" i="78"/>
  <c r="AX70" i="78"/>
  <c r="AX61" i="78"/>
  <c r="AX53" i="78"/>
  <c r="AX45" i="78"/>
  <c r="AX68" i="78"/>
  <c r="AX46" i="78"/>
  <c r="AX55" i="78"/>
  <c r="AV52" i="78"/>
  <c r="AX54" i="78"/>
  <c r="AX63" i="78"/>
  <c r="AX44" i="78"/>
  <c r="AV60" i="78"/>
  <c r="AX62" i="78"/>
  <c r="AU67" i="78"/>
  <c r="AU59" i="78"/>
  <c r="AU51" i="78"/>
  <c r="AT142" i="78"/>
  <c r="AU64" i="78"/>
  <c r="AU56" i="78"/>
  <c r="AU48" i="78"/>
  <c r="AT47" i="78"/>
  <c r="AV48" i="78"/>
  <c r="AX51" i="78"/>
  <c r="AT56" i="78"/>
  <c r="AV57" i="78"/>
  <c r="AU58" i="78"/>
  <c r="AX60" i="78"/>
  <c r="AU65" i="78"/>
  <c r="AT66" i="78"/>
  <c r="AV67" i="78"/>
  <c r="AU142" i="78"/>
  <c r="AW46" i="78"/>
  <c r="AW54" i="78"/>
  <c r="AJ45" i="78"/>
  <c r="AJ54" i="78"/>
  <c r="AJ59" i="78"/>
  <c r="AJ63" i="78"/>
  <c r="AI44" i="78"/>
  <c r="AK46" i="78"/>
  <c r="AI52" i="78"/>
  <c r="AK54" i="78"/>
  <c r="AL66" i="78"/>
  <c r="AL58" i="78"/>
  <c r="AL50" i="78"/>
  <c r="AK142" i="78"/>
  <c r="AL64" i="78"/>
  <c r="AL56" i="78"/>
  <c r="AL48" i="78"/>
  <c r="AL68" i="78"/>
  <c r="AL60" i="78"/>
  <c r="AK44" i="78"/>
  <c r="AL45" i="78"/>
  <c r="AL46" i="78"/>
  <c r="AL53" i="78"/>
  <c r="AL54" i="78"/>
  <c r="AI58" i="78"/>
  <c r="AI62" i="78"/>
  <c r="AL63" i="78"/>
  <c r="AI66" i="78"/>
  <c r="AI46" i="78"/>
  <c r="AJ68" i="78"/>
  <c r="AJ60" i="78"/>
  <c r="AJ52" i="78"/>
  <c r="AJ44" i="78"/>
  <c r="AJ66" i="78"/>
  <c r="AJ58" i="78"/>
  <c r="AJ50" i="78"/>
  <c r="AJ62" i="78"/>
  <c r="AJ46" i="78"/>
  <c r="AJ53" i="78"/>
  <c r="AJ67" i="78"/>
  <c r="AK67" i="78"/>
  <c r="AK59" i="78"/>
  <c r="AK51" i="78"/>
  <c r="AK65" i="78"/>
  <c r="AK57" i="78"/>
  <c r="AK49" i="78"/>
  <c r="AJ142" i="78"/>
  <c r="AK70" i="78"/>
  <c r="AK61" i="78"/>
  <c r="AK45" i="78"/>
  <c r="AK53" i="78"/>
  <c r="AK63" i="78"/>
  <c r="AM65" i="78"/>
  <c r="AM57" i="78"/>
  <c r="AM49" i="78"/>
  <c r="AL142" i="78"/>
  <c r="AM63" i="78"/>
  <c r="AM55" i="78"/>
  <c r="AM47" i="78"/>
  <c r="AM67" i="78"/>
  <c r="AM59" i="78"/>
  <c r="AL44" i="78"/>
  <c r="AM45" i="78"/>
  <c r="AM46" i="78"/>
  <c r="AI50" i="78"/>
  <c r="AL51" i="78"/>
  <c r="AL52" i="78"/>
  <c r="AM53" i="78"/>
  <c r="AM54" i="78"/>
  <c r="AK58" i="78"/>
  <c r="AK62" i="78"/>
  <c r="AK66" i="78"/>
  <c r="AJ61" i="78"/>
  <c r="AJ70" i="78"/>
  <c r="AI70" i="78"/>
  <c r="AI61" i="78"/>
  <c r="AI53" i="78"/>
  <c r="AI45" i="78"/>
  <c r="AI67" i="78"/>
  <c r="AI59" i="78"/>
  <c r="AI51" i="78"/>
  <c r="AI63" i="78"/>
  <c r="AI54" i="78"/>
  <c r="AI49" i="78"/>
  <c r="AI57" i="78"/>
  <c r="AI48" i="78"/>
  <c r="AJ49" i="78"/>
  <c r="AI56" i="78"/>
  <c r="AJ57" i="78"/>
  <c r="AJ65" i="78"/>
  <c r="AI142" i="78"/>
  <c r="CG70" i="78" l="1"/>
  <c r="CG106" i="78" s="1"/>
  <c r="BV70" i="78"/>
  <c r="BV106" i="78" s="1"/>
  <c r="AO70" i="78"/>
  <c r="AO106" i="78" s="1"/>
  <c r="AZ70" i="78"/>
  <c r="AZ106" i="78" s="1"/>
  <c r="BK70" i="78"/>
  <c r="BK106" i="78" s="1"/>
  <c r="CR70" i="78"/>
  <c r="CR106" i="78" s="1"/>
  <c r="CT34" i="78"/>
  <c r="CT70" i="78" s="1"/>
  <c r="CT106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L46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46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4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Z46" i="52" l="1"/>
  <c r="R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Q44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40" i="76"/>
  <c r="AG40" i="76"/>
  <c r="Q40" i="76"/>
  <c r="R36" i="76"/>
  <c r="S36" i="76"/>
  <c r="T36" i="76"/>
  <c r="U36" i="76"/>
  <c r="V36" i="76"/>
  <c r="W36" i="76"/>
  <c r="X36" i="76"/>
  <c r="Y36" i="76"/>
  <c r="Z36" i="76"/>
  <c r="AA36" i="76"/>
  <c r="AB36" i="76"/>
  <c r="AC36" i="76"/>
  <c r="AD36" i="76"/>
  <c r="AE36" i="76"/>
  <c r="AF36" i="76"/>
  <c r="AG36" i="76"/>
  <c r="Q36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AE32" i="76"/>
  <c r="AF32" i="76"/>
  <c r="AG32" i="76"/>
  <c r="Q32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AE15" i="76"/>
  <c r="AF15" i="76"/>
  <c r="AG15" i="76"/>
  <c r="Q15" i="76"/>
  <c r="Q9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AE5" i="76"/>
  <c r="AF5" i="76"/>
  <c r="AG5" i="76"/>
  <c r="Q5" i="76"/>
  <c r="B47" i="18" l="1"/>
  <c r="C47" i="18"/>
  <c r="D47" i="18"/>
  <c r="E47" i="18"/>
  <c r="F47" i="18"/>
  <c r="B48" i="18"/>
  <c r="C48" i="18"/>
  <c r="D48" i="18"/>
  <c r="E48" i="18"/>
  <c r="F48" i="18"/>
  <c r="B43" i="18"/>
  <c r="C43" i="18"/>
  <c r="D43" i="18"/>
  <c r="E43" i="18"/>
  <c r="F43" i="18"/>
  <c r="B44" i="18"/>
  <c r="C44" i="18"/>
  <c r="D44" i="18"/>
  <c r="E44" i="18"/>
  <c r="F44" i="18"/>
  <c r="B39" i="18"/>
  <c r="C39" i="18"/>
  <c r="D39" i="18"/>
  <c r="E39" i="18"/>
  <c r="F39" i="18"/>
  <c r="B40" i="18"/>
  <c r="C40" i="18"/>
  <c r="D40" i="18"/>
  <c r="E40" i="18"/>
  <c r="F40" i="18"/>
  <c r="B35" i="18"/>
  <c r="C35" i="18"/>
  <c r="D35" i="18"/>
  <c r="E35" i="18"/>
  <c r="F35" i="18"/>
  <c r="B36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A30" i="18"/>
  <c r="L28" i="76" s="1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J9" i="18" s="1"/>
  <c r="F9" i="18"/>
  <c r="C8" i="18"/>
  <c r="D8" i="18"/>
  <c r="E8" i="18"/>
  <c r="F8" i="18"/>
  <c r="B8" i="18"/>
  <c r="A19" i="18"/>
  <c r="L17" i="76" s="1"/>
  <c r="A15" i="18"/>
  <c r="L13" i="76" s="1"/>
  <c r="F34" i="71"/>
  <c r="F175" i="71" s="1"/>
  <c r="B34" i="71"/>
  <c r="B175" i="71" s="1"/>
  <c r="F8" i="16" a="1"/>
  <c r="F8" i="16" s="1"/>
  <c r="E8" i="16" a="1"/>
  <c r="E8" i="16" s="1"/>
  <c r="D8" i="16" a="1"/>
  <c r="D8" i="16" s="1"/>
  <c r="C8" i="16" a="1"/>
  <c r="C8" i="16" s="1"/>
  <c r="B8" i="16" a="1"/>
  <c r="B8" i="16" s="1"/>
  <c r="B80" i="16" s="1"/>
  <c r="B104" i="71"/>
  <c r="A34" i="71"/>
  <c r="A9" i="71"/>
  <c r="A9" i="18" s="1"/>
  <c r="A10" i="71"/>
  <c r="A12" i="18" s="1"/>
  <c r="L10" i="76" s="1"/>
  <c r="A11" i="71"/>
  <c r="A13" i="18" s="1"/>
  <c r="L11" i="76" s="1"/>
  <c r="A12" i="71"/>
  <c r="A14" i="18" s="1"/>
  <c r="L12" i="76" s="1"/>
  <c r="A13" i="71"/>
  <c r="A14" i="71"/>
  <c r="A18" i="18" s="1"/>
  <c r="L16" i="76" s="1"/>
  <c r="A15" i="71"/>
  <c r="A16" i="71"/>
  <c r="A20" i="18" s="1"/>
  <c r="L18" i="76" s="1"/>
  <c r="A17" i="71"/>
  <c r="A21" i="18" s="1"/>
  <c r="L19" i="76" s="1"/>
  <c r="A18" i="71"/>
  <c r="A22" i="18" s="1"/>
  <c r="L20" i="76" s="1"/>
  <c r="A19" i="71"/>
  <c r="A20" i="71"/>
  <c r="A26" i="18" s="1"/>
  <c r="L24" i="76" s="1"/>
  <c r="A21" i="71"/>
  <c r="A29" i="18" s="1"/>
  <c r="L27" i="76" s="1"/>
  <c r="A22" i="71"/>
  <c r="A23" i="71"/>
  <c r="A31" i="18" s="1"/>
  <c r="L29" i="76" s="1"/>
  <c r="A24" i="71"/>
  <c r="A32" i="18" s="1"/>
  <c r="L30" i="76" s="1"/>
  <c r="A25" i="71"/>
  <c r="A35" i="18" s="1"/>
  <c r="L33" i="76" s="1"/>
  <c r="A26" i="71"/>
  <c r="A36" i="18" s="1"/>
  <c r="L34" i="76" s="1"/>
  <c r="A27" i="71"/>
  <c r="A39" i="18" s="1"/>
  <c r="L37" i="76" s="1"/>
  <c r="A28" i="71"/>
  <c r="A40" i="18" s="1"/>
  <c r="L38" i="76" s="1"/>
  <c r="A29" i="71"/>
  <c r="A43" i="18" s="1"/>
  <c r="L41" i="76" s="1"/>
  <c r="A30" i="71"/>
  <c r="A44" i="18" s="1"/>
  <c r="L42" i="76" s="1"/>
  <c r="A31" i="71"/>
  <c r="A47" i="18" s="1"/>
  <c r="L45" i="76" s="1"/>
  <c r="A32" i="71"/>
  <c r="A48" i="18" s="1"/>
  <c r="L46" i="76" s="1"/>
  <c r="A8" i="18"/>
  <c r="A27" i="15"/>
  <c r="B331" i="97"/>
  <c r="B323" i="97"/>
  <c r="C323" i="97"/>
  <c r="D323" i="97"/>
  <c r="E323" i="97"/>
  <c r="F323" i="97"/>
  <c r="B324" i="97"/>
  <c r="C324" i="97"/>
  <c r="D324" i="97"/>
  <c r="E324" i="97"/>
  <c r="F324" i="97"/>
  <c r="B325" i="97"/>
  <c r="C325" i="97"/>
  <c r="D325" i="97"/>
  <c r="E325" i="97"/>
  <c r="F325" i="97"/>
  <c r="B326" i="97"/>
  <c r="C326" i="97"/>
  <c r="D326" i="97"/>
  <c r="E326" i="97"/>
  <c r="F326" i="97"/>
  <c r="B327" i="97"/>
  <c r="C327" i="97"/>
  <c r="D327" i="97"/>
  <c r="E327" i="97"/>
  <c r="F327" i="97"/>
  <c r="B328" i="97"/>
  <c r="C328" i="97"/>
  <c r="D328" i="97"/>
  <c r="E328" i="97"/>
  <c r="F328" i="97"/>
  <c r="B329" i="97"/>
  <c r="C329" i="97"/>
  <c r="D329" i="97"/>
  <c r="E329" i="97"/>
  <c r="F329" i="97"/>
  <c r="B330" i="97"/>
  <c r="C330" i="97"/>
  <c r="D330" i="97"/>
  <c r="E330" i="97"/>
  <c r="F330" i="97"/>
  <c r="C331" i="97"/>
  <c r="D331" i="97"/>
  <c r="E331" i="97"/>
  <c r="F331" i="97"/>
  <c r="B247" i="97"/>
  <c r="B239" i="97"/>
  <c r="C239" i="97"/>
  <c r="D239" i="97"/>
  <c r="E239" i="97"/>
  <c r="F239" i="97"/>
  <c r="B240" i="97"/>
  <c r="C240" i="97"/>
  <c r="D240" i="97"/>
  <c r="E240" i="97"/>
  <c r="F240" i="97"/>
  <c r="B241" i="97"/>
  <c r="C241" i="97"/>
  <c r="D241" i="97"/>
  <c r="E241" i="97"/>
  <c r="F241" i="97"/>
  <c r="B242" i="97"/>
  <c r="C242" i="97"/>
  <c r="D242" i="97"/>
  <c r="E242" i="97"/>
  <c r="F242" i="97"/>
  <c r="B243" i="97"/>
  <c r="C243" i="97"/>
  <c r="D243" i="97"/>
  <c r="E243" i="97"/>
  <c r="F243" i="97"/>
  <c r="B244" i="97"/>
  <c r="C244" i="97"/>
  <c r="D244" i="97"/>
  <c r="E244" i="97"/>
  <c r="F244" i="97"/>
  <c r="B245" i="97"/>
  <c r="C245" i="97"/>
  <c r="D245" i="97"/>
  <c r="E245" i="97"/>
  <c r="F245" i="97"/>
  <c r="B246" i="97"/>
  <c r="C246" i="97"/>
  <c r="D246" i="97"/>
  <c r="E246" i="97"/>
  <c r="F246" i="97"/>
  <c r="C247" i="97"/>
  <c r="D247" i="97"/>
  <c r="E247" i="97"/>
  <c r="F247" i="97"/>
  <c r="B81" i="97"/>
  <c r="B165" i="97" s="1"/>
  <c r="F5" i="12" a="1"/>
  <c r="F5" i="12" s="1"/>
  <c r="E5" i="12" a="1"/>
  <c r="E5" i="12" s="1"/>
  <c r="D5" i="12" a="1"/>
  <c r="D5" i="12" s="1"/>
  <c r="C5" i="12" a="1"/>
  <c r="C5" i="12" s="1"/>
  <c r="B5" i="12" a="1"/>
  <c r="B8" i="12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12" i="12"/>
  <c r="A13" i="12"/>
  <c r="A21" i="15" s="1"/>
  <c r="A14" i="12"/>
  <c r="A22" i="15" s="1"/>
  <c r="A15" i="12"/>
  <c r="A23" i="15" s="1"/>
  <c r="A16" i="12"/>
  <c r="A26" i="15" s="1"/>
  <c r="A17" i="12"/>
  <c r="A18" i="12"/>
  <c r="A28" i="15" s="1"/>
  <c r="A19" i="12"/>
  <c r="A29" i="15" s="1"/>
  <c r="A20" i="12"/>
  <c r="A47" i="12" s="1"/>
  <c r="A5" i="12"/>
  <c r="F7" i="11" a="1"/>
  <c r="F8" i="11" s="1"/>
  <c r="E7" i="11" a="1"/>
  <c r="E7" i="11" s="1"/>
  <c r="D7" i="11" a="1"/>
  <c r="D7" i="11" s="1"/>
  <c r="C7" i="11" a="1"/>
  <c r="C8" i="11" s="1"/>
  <c r="B7" i="11" a="1"/>
  <c r="B7" i="11" s="1"/>
  <c r="C81" i="97"/>
  <c r="C157" i="97" s="1"/>
  <c r="D81" i="97"/>
  <c r="D160" i="97" s="1"/>
  <c r="E81" i="97"/>
  <c r="E155" i="97" s="1"/>
  <c r="F81" i="97"/>
  <c r="F158" i="97" s="1"/>
  <c r="A79" i="97"/>
  <c r="A163" i="97" s="1"/>
  <c r="A76" i="97"/>
  <c r="A160" i="97" s="1"/>
  <c r="A77" i="97"/>
  <c r="A161" i="97" s="1"/>
  <c r="A78" i="97"/>
  <c r="A162" i="97" s="1"/>
  <c r="A71" i="97"/>
  <c r="A155" i="97" s="1"/>
  <c r="A72" i="97"/>
  <c r="A156" i="97" s="1"/>
  <c r="A73" i="97"/>
  <c r="A157" i="97" s="1"/>
  <c r="A74" i="97"/>
  <c r="A158" i="97" s="1"/>
  <c r="A75" i="97"/>
  <c r="A159" i="97" s="1"/>
  <c r="M151" i="75" l="1"/>
  <c r="I20" i="11"/>
  <c r="L22" i="18"/>
  <c r="N266" i="21"/>
  <c r="H8" i="16"/>
  <c r="N151" i="75" s="1"/>
  <c r="X4" i="106"/>
  <c r="Z4" i="106"/>
  <c r="Y4" i="106"/>
  <c r="AB4" i="106"/>
  <c r="AC4" i="106"/>
  <c r="AA4" i="106"/>
  <c r="A60" i="18"/>
  <c r="L48" i="75"/>
  <c r="L7" i="76"/>
  <c r="A72" i="15"/>
  <c r="L18" i="19" s="1"/>
  <c r="L27" i="21"/>
  <c r="A59" i="18"/>
  <c r="L49" i="75"/>
  <c r="L6" i="76"/>
  <c r="A54" i="15"/>
  <c r="L36" i="19" s="1"/>
  <c r="L9" i="21"/>
  <c r="A36" i="15"/>
  <c r="A38" i="15"/>
  <c r="A37" i="15"/>
  <c r="A327" i="97"/>
  <c r="A32" i="15"/>
  <c r="A111" i="12"/>
  <c r="A331" i="97"/>
  <c r="A33" i="15"/>
  <c r="A31" i="15"/>
  <c r="A30" i="15"/>
  <c r="L30" i="18"/>
  <c r="L40" i="18"/>
  <c r="L9" i="18"/>
  <c r="L19" i="18"/>
  <c r="L13" i="18"/>
  <c r="L32" i="18"/>
  <c r="L47" i="18"/>
  <c r="L48" i="18"/>
  <c r="L12" i="18"/>
  <c r="L31" i="18"/>
  <c r="C160" i="97"/>
  <c r="K8" i="18"/>
  <c r="L8" i="18"/>
  <c r="D158" i="97"/>
  <c r="L15" i="18"/>
  <c r="L18" i="18"/>
  <c r="L36" i="18"/>
  <c r="L44" i="18"/>
  <c r="C155" i="97"/>
  <c r="L21" i="18"/>
  <c r="L29" i="18"/>
  <c r="L39" i="18"/>
  <c r="L14" i="18"/>
  <c r="L35" i="18"/>
  <c r="L43" i="18"/>
  <c r="F64" i="16"/>
  <c r="N3" i="107" s="1"/>
  <c r="L20" i="18"/>
  <c r="I8" i="18"/>
  <c r="I9" i="18"/>
  <c r="K9" i="18"/>
  <c r="H8" i="18"/>
  <c r="J8" i="18"/>
  <c r="H9" i="18"/>
  <c r="F15" i="16"/>
  <c r="F14" i="16"/>
  <c r="F13" i="16"/>
  <c r="F12" i="16"/>
  <c r="F11" i="16"/>
  <c r="F10" i="16"/>
  <c r="F9" i="16"/>
  <c r="F16" i="16"/>
  <c r="E15" i="16"/>
  <c r="E13" i="16"/>
  <c r="E12" i="16"/>
  <c r="E10" i="16"/>
  <c r="E9" i="16"/>
  <c r="E14" i="16"/>
  <c r="E11" i="16"/>
  <c r="E16" i="16"/>
  <c r="D15" i="16"/>
  <c r="D14" i="16"/>
  <c r="D13" i="16"/>
  <c r="D12" i="16"/>
  <c r="D11" i="16"/>
  <c r="D10" i="16"/>
  <c r="D9" i="16"/>
  <c r="D16" i="16"/>
  <c r="C15" i="16"/>
  <c r="C14" i="16"/>
  <c r="C13" i="16"/>
  <c r="C12" i="16"/>
  <c r="C11" i="16"/>
  <c r="C10" i="16"/>
  <c r="C9" i="16"/>
  <c r="C16" i="16"/>
  <c r="B15" i="16"/>
  <c r="B14" i="16"/>
  <c r="B86" i="16" s="1"/>
  <c r="B13" i="16"/>
  <c r="B12" i="16"/>
  <c r="B11" i="16"/>
  <c r="B10" i="16"/>
  <c r="B9" i="16"/>
  <c r="B16" i="16"/>
  <c r="A329" i="97"/>
  <c r="C158" i="97"/>
  <c r="A243" i="97"/>
  <c r="A330" i="97"/>
  <c r="A326" i="97"/>
  <c r="B158" i="97"/>
  <c r="A323" i="97"/>
  <c r="B157" i="97"/>
  <c r="A324" i="97"/>
  <c r="B162" i="97"/>
  <c r="D155" i="97"/>
  <c r="A325" i="97"/>
  <c r="B160" i="97"/>
  <c r="B155" i="97"/>
  <c r="E158" i="97"/>
  <c r="B163" i="97"/>
  <c r="B249" i="97"/>
  <c r="A328" i="97"/>
  <c r="A244" i="97"/>
  <c r="A240" i="97"/>
  <c r="E163" i="97"/>
  <c r="F156" i="97"/>
  <c r="A241" i="97"/>
  <c r="C161" i="97"/>
  <c r="F157" i="97"/>
  <c r="E162" i="97"/>
  <c r="F160" i="97"/>
  <c r="C159" i="97"/>
  <c r="E157" i="97"/>
  <c r="B156" i="97"/>
  <c r="A245" i="97"/>
  <c r="D163" i="97"/>
  <c r="E161" i="97"/>
  <c r="F159" i="97"/>
  <c r="E156" i="97"/>
  <c r="A242" i="97"/>
  <c r="F162" i="97"/>
  <c r="D159" i="97"/>
  <c r="C156" i="97"/>
  <c r="D162" i="97"/>
  <c r="E160" i="97"/>
  <c r="B159" i="97"/>
  <c r="D157" i="97"/>
  <c r="F155" i="97"/>
  <c r="A246" i="97"/>
  <c r="F163" i="97"/>
  <c r="F161" i="97"/>
  <c r="C163" i="97"/>
  <c r="D161" i="97"/>
  <c r="E159" i="97"/>
  <c r="D156" i="97"/>
  <c r="C162" i="97"/>
  <c r="A239" i="97"/>
  <c r="A247" i="97"/>
  <c r="B161" i="97"/>
  <c r="A106" i="12"/>
  <c r="A107" i="12"/>
  <c r="A108" i="12"/>
  <c r="A109" i="12"/>
  <c r="A110" i="12"/>
  <c r="A83" i="12"/>
  <c r="A79" i="12"/>
  <c r="A80" i="12"/>
  <c r="A81" i="12"/>
  <c r="A82" i="12"/>
  <c r="A84" i="12"/>
  <c r="F8" i="12"/>
  <c r="F23" i="12"/>
  <c r="F37" i="15" s="1"/>
  <c r="F15" i="12"/>
  <c r="F23" i="15" s="1"/>
  <c r="F7" i="12"/>
  <c r="F12" i="12"/>
  <c r="F19" i="12"/>
  <c r="F29" i="15" s="1"/>
  <c r="F18" i="12"/>
  <c r="F28" i="15" s="1"/>
  <c r="F25" i="12"/>
  <c r="F32" i="15" s="1"/>
  <c r="F17" i="12"/>
  <c r="F27" i="15" s="1"/>
  <c r="F16" i="12"/>
  <c r="F26" i="15" s="1"/>
  <c r="F22" i="12"/>
  <c r="F36" i="15" s="1"/>
  <c r="F14" i="12"/>
  <c r="F22" i="15" s="1"/>
  <c r="F6" i="12"/>
  <c r="F20" i="12"/>
  <c r="F30" i="15" s="1"/>
  <c r="F11" i="12"/>
  <c r="F11" i="15" s="1"/>
  <c r="F26" i="12"/>
  <c r="F33" i="15" s="1"/>
  <c r="F10" i="12"/>
  <c r="F9" i="12"/>
  <c r="F24" i="12"/>
  <c r="F38" i="15" s="1"/>
  <c r="F21" i="12"/>
  <c r="F31" i="15" s="1"/>
  <c r="F13" i="12"/>
  <c r="F21" i="15" s="1"/>
  <c r="E12" i="12"/>
  <c r="E19" i="12"/>
  <c r="E29" i="15" s="1"/>
  <c r="E10" i="12"/>
  <c r="E25" i="12"/>
  <c r="E32" i="15" s="1"/>
  <c r="E9" i="12"/>
  <c r="E24" i="12"/>
  <c r="E38" i="15" s="1"/>
  <c r="E16" i="12"/>
  <c r="E26" i="15" s="1"/>
  <c r="E8" i="12"/>
  <c r="E22" i="12"/>
  <c r="E36" i="15" s="1"/>
  <c r="E20" i="12"/>
  <c r="E30" i="15" s="1"/>
  <c r="E11" i="12"/>
  <c r="E11" i="15" s="1"/>
  <c r="E26" i="12"/>
  <c r="E33" i="15" s="1"/>
  <c r="E18" i="12"/>
  <c r="E28" i="15" s="1"/>
  <c r="E17" i="12"/>
  <c r="E27" i="15" s="1"/>
  <c r="E23" i="12"/>
  <c r="E37" i="15" s="1"/>
  <c r="E15" i="12"/>
  <c r="E23" i="15" s="1"/>
  <c r="E7" i="12"/>
  <c r="E14" i="12"/>
  <c r="E22" i="15" s="1"/>
  <c r="E6" i="12"/>
  <c r="E21" i="12"/>
  <c r="E31" i="15" s="1"/>
  <c r="E13" i="12"/>
  <c r="E21" i="15" s="1"/>
  <c r="D20" i="12"/>
  <c r="D30" i="15" s="1"/>
  <c r="D26" i="12"/>
  <c r="D18" i="12"/>
  <c r="D28" i="15" s="1"/>
  <c r="D10" i="12"/>
  <c r="D12" i="12"/>
  <c r="D9" i="12"/>
  <c r="D8" i="12"/>
  <c r="D23" i="12"/>
  <c r="D37" i="15" s="1"/>
  <c r="D15" i="12"/>
  <c r="D23" i="15" s="1"/>
  <c r="D7" i="12"/>
  <c r="D11" i="12"/>
  <c r="D11" i="15" s="1"/>
  <c r="D25" i="12"/>
  <c r="D32" i="15" s="1"/>
  <c r="D16" i="12"/>
  <c r="D26" i="15" s="1"/>
  <c r="D22" i="12"/>
  <c r="D36" i="15" s="1"/>
  <c r="D14" i="12"/>
  <c r="D22" i="15" s="1"/>
  <c r="D6" i="12"/>
  <c r="D19" i="12"/>
  <c r="D29" i="15" s="1"/>
  <c r="D17" i="12"/>
  <c r="D27" i="15" s="1"/>
  <c r="D24" i="12"/>
  <c r="D38" i="15" s="1"/>
  <c r="D21" i="12"/>
  <c r="D31" i="15" s="1"/>
  <c r="D13" i="12"/>
  <c r="D21" i="15" s="1"/>
  <c r="C20" i="12"/>
  <c r="C30" i="15" s="1"/>
  <c r="C19" i="12"/>
  <c r="C29" i="15" s="1"/>
  <c r="C11" i="12"/>
  <c r="C11" i="15" s="1"/>
  <c r="C26" i="12"/>
  <c r="C33" i="15" s="1"/>
  <c r="C18" i="12"/>
  <c r="C28" i="15" s="1"/>
  <c r="C10" i="12"/>
  <c r="C25" i="12"/>
  <c r="C32" i="15" s="1"/>
  <c r="C17" i="12"/>
  <c r="C27" i="15" s="1"/>
  <c r="C9" i="12"/>
  <c r="C24" i="12"/>
  <c r="C38" i="15" s="1"/>
  <c r="C16" i="12"/>
  <c r="C26" i="15" s="1"/>
  <c r="C8" i="12"/>
  <c r="C12" i="12"/>
  <c r="C23" i="12"/>
  <c r="C37" i="15" s="1"/>
  <c r="C15" i="12"/>
  <c r="C23" i="15" s="1"/>
  <c r="C7" i="12"/>
  <c r="C22" i="12"/>
  <c r="C36" i="15" s="1"/>
  <c r="C14" i="12"/>
  <c r="C22" i="15" s="1"/>
  <c r="C6" i="12"/>
  <c r="C21" i="12"/>
  <c r="C31" i="15" s="1"/>
  <c r="C13" i="12"/>
  <c r="C21" i="15" s="1"/>
  <c r="B23" i="12"/>
  <c r="B37" i="15" s="1"/>
  <c r="B15" i="12"/>
  <c r="B23" i="15" s="1"/>
  <c r="B7" i="12"/>
  <c r="B22" i="12"/>
  <c r="B36" i="15" s="1"/>
  <c r="B14" i="12"/>
  <c r="B22" i="15" s="1"/>
  <c r="B6" i="12"/>
  <c r="B21" i="12"/>
  <c r="B31" i="15" s="1"/>
  <c r="B13" i="12"/>
  <c r="B21" i="15" s="1"/>
  <c r="B5" i="12"/>
  <c r="B20" i="12"/>
  <c r="B30" i="15" s="1"/>
  <c r="B12" i="12"/>
  <c r="B19" i="12"/>
  <c r="B29" i="15" s="1"/>
  <c r="B11" i="12"/>
  <c r="B11" i="15" s="1"/>
  <c r="B26" i="12"/>
  <c r="B33" i="15" s="1"/>
  <c r="B18" i="12"/>
  <c r="B28" i="15" s="1"/>
  <c r="B10" i="12"/>
  <c r="B25" i="12"/>
  <c r="B32" i="15" s="1"/>
  <c r="B17" i="12"/>
  <c r="B27" i="15" s="1"/>
  <c r="B9" i="12"/>
  <c r="B24" i="12"/>
  <c r="B38" i="15" s="1"/>
  <c r="B16" i="12"/>
  <c r="B26" i="15" s="1"/>
  <c r="F7" i="11"/>
  <c r="F12" i="11"/>
  <c r="F11" i="11"/>
  <c r="F10" i="11"/>
  <c r="F9" i="11"/>
  <c r="E11" i="11"/>
  <c r="E9" i="11"/>
  <c r="E8" i="11"/>
  <c r="E12" i="11"/>
  <c r="E10" i="11"/>
  <c r="D11" i="11"/>
  <c r="D9" i="11"/>
  <c r="D8" i="11"/>
  <c r="D12" i="11"/>
  <c r="D10" i="11"/>
  <c r="C7" i="11"/>
  <c r="C12" i="11"/>
  <c r="C11" i="11"/>
  <c r="C10" i="11"/>
  <c r="C9" i="11"/>
  <c r="B12" i="11"/>
  <c r="B11" i="11"/>
  <c r="B10" i="11"/>
  <c r="B9" i="11"/>
  <c r="B8" i="11"/>
  <c r="X6" i="106" l="1"/>
  <c r="M153" i="75"/>
  <c r="M157" i="75"/>
  <c r="M154" i="75"/>
  <c r="M158" i="75"/>
  <c r="H26" i="16"/>
  <c r="M155" i="75"/>
  <c r="H10" i="11"/>
  <c r="J10" i="11" s="1"/>
  <c r="J23" i="11" s="1"/>
  <c r="X5" i="106"/>
  <c r="M156" i="75"/>
  <c r="H9" i="11"/>
  <c r="J9" i="11" s="1"/>
  <c r="I24" i="11"/>
  <c r="H23" i="11"/>
  <c r="I23" i="11"/>
  <c r="H11" i="11"/>
  <c r="J11" i="11" s="1"/>
  <c r="J24" i="11" s="1"/>
  <c r="I25" i="11"/>
  <c r="H12" i="11"/>
  <c r="J12" i="11" s="1"/>
  <c r="J25" i="11" s="1"/>
  <c r="I21" i="11"/>
  <c r="F45" i="11"/>
  <c r="H7" i="11"/>
  <c r="H22" i="11"/>
  <c r="I22" i="11"/>
  <c r="J22" i="11"/>
  <c r="H8" i="11"/>
  <c r="J8" i="11" s="1"/>
  <c r="J21" i="11" s="1"/>
  <c r="N261" i="21"/>
  <c r="N262" i="21"/>
  <c r="M159" i="75"/>
  <c r="M152" i="75"/>
  <c r="Z11" i="106"/>
  <c r="N263" i="21"/>
  <c r="N264" i="21"/>
  <c r="F46" i="11"/>
  <c r="N265" i="21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X8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H27" i="16" s="1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0" i="18" s="1"/>
  <c r="D108" i="12"/>
  <c r="B111" i="12"/>
  <c r="C109" i="12"/>
  <c r="D107" i="12"/>
  <c r="B106" i="12"/>
  <c r="F109" i="12"/>
  <c r="E109" i="12"/>
  <c r="C108" i="12"/>
  <c r="F108" i="12"/>
  <c r="E108" i="12"/>
  <c r="F107" i="12"/>
  <c r="E107" i="12"/>
  <c r="B109" i="12"/>
  <c r="D106" i="12"/>
  <c r="D111" i="12"/>
  <c r="D110" i="12"/>
  <c r="B108" i="12"/>
  <c r="E106" i="12"/>
  <c r="F106" i="12"/>
  <c r="D109" i="12"/>
  <c r="B107" i="12"/>
  <c r="C107" i="12"/>
  <c r="E111" i="12"/>
  <c r="F111" i="12"/>
  <c r="E110" i="12"/>
  <c r="F110" i="12"/>
  <c r="B110" i="12"/>
  <c r="C106" i="12"/>
  <c r="C110" i="12"/>
  <c r="B28" i="12"/>
  <c r="B35" i="12" s="1"/>
  <c r="E28" i="12"/>
  <c r="E32" i="12" s="1"/>
  <c r="F28" i="12"/>
  <c r="F32" i="12" s="1"/>
  <c r="C28" i="12"/>
  <c r="D28" i="12"/>
  <c r="D32" i="12" s="1"/>
  <c r="H21" i="11" l="1"/>
  <c r="H25" i="11"/>
  <c r="H14" i="11"/>
  <c r="J7" i="11"/>
  <c r="H20" i="11"/>
  <c r="H24" i="11"/>
  <c r="H33" i="16"/>
  <c r="N158" i="75"/>
  <c r="H29" i="16"/>
  <c r="N154" i="75"/>
  <c r="P7" i="31"/>
  <c r="N159" i="75"/>
  <c r="N152" i="75"/>
  <c r="H31" i="16"/>
  <c r="N156" i="75"/>
  <c r="H28" i="16"/>
  <c r="N153" i="75"/>
  <c r="H30" i="16"/>
  <c r="N155" i="75"/>
  <c r="H32" i="16"/>
  <c r="N157" i="75"/>
  <c r="X18" i="106"/>
  <c r="X19" i="106"/>
  <c r="Y18" i="106" s="1"/>
  <c r="H18" i="16"/>
  <c r="N161" i="75" s="1"/>
  <c r="L33" i="15"/>
  <c r="H34" i="16"/>
  <c r="I33" i="15"/>
  <c r="H60" i="18"/>
  <c r="H59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B3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J14" i="11" l="1"/>
  <c r="J20" i="11"/>
  <c r="Y19" i="106"/>
  <c r="Z18" i="106"/>
  <c r="A52" i="5"/>
  <c r="A53" i="5"/>
  <c r="A54" i="5"/>
  <c r="A55" i="5"/>
  <c r="A56" i="5"/>
  <c r="A51" i="5"/>
  <c r="B50" i="5" a="1"/>
  <c r="D50" i="5" s="1"/>
  <c r="A49" i="5"/>
  <c r="H50" i="5" l="1"/>
  <c r="G50" i="5"/>
  <c r="F50" i="5"/>
  <c r="E50" i="5"/>
  <c r="C50" i="5"/>
  <c r="J50" i="5"/>
  <c r="B50" i="5"/>
  <c r="I50" i="5"/>
  <c r="B37" i="5" a="1"/>
  <c r="B37" i="5" s="1"/>
  <c r="A36" i="5"/>
  <c r="Y37" i="5" l="1"/>
  <c r="Q37" i="5"/>
  <c r="I37" i="5"/>
  <c r="X37" i="5"/>
  <c r="P37" i="5"/>
  <c r="H37" i="5"/>
  <c r="W37" i="5"/>
  <c r="O37" i="5"/>
  <c r="G37" i="5"/>
  <c r="V37" i="5"/>
  <c r="N37" i="5"/>
  <c r="F37" i="5"/>
  <c r="U37" i="5"/>
  <c r="M37" i="5"/>
  <c r="E37" i="5"/>
  <c r="T37" i="5"/>
  <c r="L37" i="5"/>
  <c r="D37" i="5"/>
  <c r="S37" i="5"/>
  <c r="K37" i="5"/>
  <c r="C37" i="5"/>
  <c r="Z37" i="5"/>
  <c r="R37" i="5"/>
  <c r="J37" i="5"/>
  <c r="A27" i="5"/>
  <c r="A29" i="5"/>
  <c r="A30" i="5"/>
  <c r="A31" i="5"/>
  <c r="A32" i="5"/>
  <c r="A33" i="5"/>
  <c r="A28" i="5"/>
  <c r="B2" i="5" a="1"/>
  <c r="B2" i="5" s="1"/>
  <c r="A1" i="5"/>
  <c r="BT2" i="5" l="1"/>
  <c r="BD2" i="5"/>
  <c r="AN2" i="5"/>
  <c r="X2" i="5"/>
  <c r="H2" i="5"/>
  <c r="BS2" i="5"/>
  <c r="BC2" i="5"/>
  <c r="AM2" i="5"/>
  <c r="W2" i="5"/>
  <c r="G2" i="5"/>
  <c r="BR2" i="5"/>
  <c r="BB2" i="5"/>
  <c r="AL2" i="5"/>
  <c r="V2" i="5"/>
  <c r="F2" i="5"/>
  <c r="BQ2" i="5"/>
  <c r="BA2" i="5"/>
  <c r="AK2" i="5"/>
  <c r="U2" i="5"/>
  <c r="E2" i="5"/>
  <c r="BP2" i="5"/>
  <c r="AZ2" i="5"/>
  <c r="AJ2" i="5"/>
  <c r="T2" i="5"/>
  <c r="D2" i="5"/>
  <c r="BW2" i="5"/>
  <c r="BO2" i="5"/>
  <c r="BG2" i="5"/>
  <c r="AY2" i="5"/>
  <c r="AQ2" i="5"/>
  <c r="AI2" i="5"/>
  <c r="AA2" i="5"/>
  <c r="S2" i="5"/>
  <c r="K2" i="5"/>
  <c r="C2" i="5"/>
  <c r="BU2" i="5"/>
  <c r="BM2" i="5"/>
  <c r="BE2" i="5"/>
  <c r="AW2" i="5"/>
  <c r="AO2" i="5"/>
  <c r="AG2" i="5"/>
  <c r="Y2" i="5"/>
  <c r="Q2" i="5"/>
  <c r="I2" i="5"/>
  <c r="BL2" i="5"/>
  <c r="AV2" i="5"/>
  <c r="AF2" i="5"/>
  <c r="P2" i="5"/>
  <c r="BK2" i="5"/>
  <c r="AU2" i="5"/>
  <c r="AE2" i="5"/>
  <c r="O2" i="5"/>
  <c r="BJ2" i="5"/>
  <c r="AT2" i="5"/>
  <c r="AD2" i="5"/>
  <c r="N2" i="5"/>
  <c r="BI2" i="5"/>
  <c r="AS2" i="5"/>
  <c r="AC2" i="5"/>
  <c r="M2" i="5"/>
  <c r="BX2" i="5"/>
  <c r="BH2" i="5"/>
  <c r="AR2" i="5"/>
  <c r="AB2" i="5"/>
  <c r="L2" i="5"/>
  <c r="BV2" i="5"/>
  <c r="BN2" i="5"/>
  <c r="BF2" i="5"/>
  <c r="AX2" i="5"/>
  <c r="AP2" i="5"/>
  <c r="AH2" i="5"/>
  <c r="Z2" i="5"/>
  <c r="R2" i="5"/>
  <c r="J2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37" i="78" l="1"/>
  <c r="Y140" i="78"/>
  <c r="Y139" i="78"/>
  <c r="Y138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Y118" i="78"/>
  <c r="Y117" i="78"/>
  <c r="Y116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N118" i="78"/>
  <c r="N117" i="78"/>
  <c r="N116" i="78"/>
  <c r="C117" i="78"/>
  <c r="C118" i="78"/>
  <c r="C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16" i="78"/>
  <c r="C114" i="78"/>
  <c r="F81" i="78"/>
  <c r="F82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80" i="78"/>
  <c r="F78" i="78"/>
  <c r="C81" i="78"/>
  <c r="C82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80" i="78"/>
  <c r="C78" i="78"/>
  <c r="C117" i="71" l="1"/>
  <c r="C118" i="71"/>
  <c r="C119" i="71"/>
  <c r="C120" i="7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16" i="71"/>
  <c r="C114" i="71"/>
  <c r="C81" i="71"/>
  <c r="C82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80" i="71"/>
  <c r="C78" i="71"/>
  <c r="I17" i="15"/>
  <c r="F258" i="97"/>
  <c r="F259" i="97"/>
  <c r="F260" i="97"/>
  <c r="F261" i="97"/>
  <c r="F262" i="97"/>
  <c r="F263" i="97"/>
  <c r="F264" i="97"/>
  <c r="F265" i="97"/>
  <c r="F266" i="97"/>
  <c r="F267" i="97"/>
  <c r="F268" i="97"/>
  <c r="F269" i="97"/>
  <c r="F270" i="97"/>
  <c r="F271" i="97"/>
  <c r="F272" i="97"/>
  <c r="F273" i="97"/>
  <c r="F274" i="97"/>
  <c r="F275" i="97"/>
  <c r="F276" i="97"/>
  <c r="F277" i="97"/>
  <c r="F278" i="97"/>
  <c r="F279" i="97"/>
  <c r="F280" i="97"/>
  <c r="F281" i="97"/>
  <c r="F282" i="97"/>
  <c r="F283" i="97"/>
  <c r="F284" i="97"/>
  <c r="F285" i="97"/>
  <c r="F286" i="97"/>
  <c r="F287" i="97"/>
  <c r="F288" i="97"/>
  <c r="F289" i="97"/>
  <c r="F290" i="97"/>
  <c r="F291" i="97"/>
  <c r="F292" i="97"/>
  <c r="F293" i="97"/>
  <c r="F294" i="97"/>
  <c r="F295" i="97"/>
  <c r="F296" i="97"/>
  <c r="F297" i="97"/>
  <c r="F298" i="97"/>
  <c r="F299" i="97"/>
  <c r="F300" i="97"/>
  <c r="F301" i="97"/>
  <c r="F302" i="97"/>
  <c r="F303" i="97"/>
  <c r="F304" i="97"/>
  <c r="F305" i="97"/>
  <c r="F306" i="97"/>
  <c r="F307" i="97"/>
  <c r="F308" i="97"/>
  <c r="F309" i="97"/>
  <c r="F310" i="97"/>
  <c r="F311" i="97"/>
  <c r="F312" i="97"/>
  <c r="F313" i="97"/>
  <c r="F314" i="97"/>
  <c r="F315" i="97"/>
  <c r="F316" i="97"/>
  <c r="F317" i="97"/>
  <c r="F318" i="97"/>
  <c r="F319" i="97"/>
  <c r="F320" i="97"/>
  <c r="F321" i="97"/>
  <c r="F322" i="97"/>
  <c r="F257" i="97"/>
  <c r="F255" i="97"/>
  <c r="C258" i="97"/>
  <c r="C259" i="97"/>
  <c r="C260" i="97"/>
  <c r="C261" i="97"/>
  <c r="C262" i="97"/>
  <c r="C263" i="97"/>
  <c r="C264" i="97"/>
  <c r="C265" i="97"/>
  <c r="C266" i="97"/>
  <c r="C267" i="97"/>
  <c r="C268" i="97"/>
  <c r="C269" i="97"/>
  <c r="C270" i="97"/>
  <c r="C271" i="97"/>
  <c r="C272" i="97"/>
  <c r="C273" i="97"/>
  <c r="C274" i="97"/>
  <c r="C275" i="97"/>
  <c r="C276" i="97"/>
  <c r="C277" i="97"/>
  <c r="C278" i="97"/>
  <c r="C279" i="97"/>
  <c r="C280" i="97"/>
  <c r="C281" i="97"/>
  <c r="C282" i="97"/>
  <c r="C283" i="97"/>
  <c r="C284" i="97"/>
  <c r="C285" i="97"/>
  <c r="C286" i="97"/>
  <c r="C287" i="97"/>
  <c r="C288" i="97"/>
  <c r="C289" i="97"/>
  <c r="C290" i="97"/>
  <c r="C291" i="97"/>
  <c r="C292" i="97"/>
  <c r="C293" i="97"/>
  <c r="C294" i="97"/>
  <c r="C295" i="97"/>
  <c r="C296" i="97"/>
  <c r="C297" i="97"/>
  <c r="C298" i="97"/>
  <c r="C299" i="97"/>
  <c r="C300" i="97"/>
  <c r="C301" i="97"/>
  <c r="C302" i="97"/>
  <c r="C303" i="97"/>
  <c r="C304" i="97"/>
  <c r="C305" i="97"/>
  <c r="C306" i="97"/>
  <c r="C307" i="97"/>
  <c r="C308" i="97"/>
  <c r="C309" i="97"/>
  <c r="C310" i="97"/>
  <c r="C311" i="97"/>
  <c r="C312" i="97"/>
  <c r="C313" i="97"/>
  <c r="C314" i="97"/>
  <c r="C315" i="97"/>
  <c r="C316" i="97"/>
  <c r="C317" i="97"/>
  <c r="C318" i="97"/>
  <c r="C319" i="97"/>
  <c r="C320" i="97"/>
  <c r="C321" i="97"/>
  <c r="C322" i="97"/>
  <c r="C257" i="97"/>
  <c r="C255" i="97"/>
  <c r="F174" i="97"/>
  <c r="F175" i="97"/>
  <c r="F176" i="97"/>
  <c r="F177" i="97"/>
  <c r="F178" i="97"/>
  <c r="F179" i="97"/>
  <c r="F180" i="97"/>
  <c r="F181" i="97"/>
  <c r="F182" i="97"/>
  <c r="F183" i="97"/>
  <c r="F184" i="97"/>
  <c r="F185" i="97"/>
  <c r="F186" i="97"/>
  <c r="F187" i="97"/>
  <c r="F188" i="97"/>
  <c r="F189" i="97"/>
  <c r="F190" i="97"/>
  <c r="F191" i="97"/>
  <c r="F192" i="97"/>
  <c r="F193" i="97"/>
  <c r="F194" i="97"/>
  <c r="F195" i="97"/>
  <c r="F196" i="97"/>
  <c r="F197" i="97"/>
  <c r="F198" i="97"/>
  <c r="F199" i="97"/>
  <c r="F200" i="97"/>
  <c r="F201" i="97"/>
  <c r="F202" i="97"/>
  <c r="F203" i="97"/>
  <c r="F204" i="97"/>
  <c r="F205" i="97"/>
  <c r="F206" i="97"/>
  <c r="F207" i="97"/>
  <c r="F208" i="97"/>
  <c r="F209" i="97"/>
  <c r="F210" i="97"/>
  <c r="F211" i="97"/>
  <c r="F212" i="97"/>
  <c r="F213" i="97"/>
  <c r="F214" i="97"/>
  <c r="F215" i="97"/>
  <c r="F216" i="97"/>
  <c r="F217" i="97"/>
  <c r="F218" i="97"/>
  <c r="F219" i="97"/>
  <c r="F220" i="97"/>
  <c r="F221" i="97"/>
  <c r="F222" i="97"/>
  <c r="F223" i="97"/>
  <c r="F224" i="97"/>
  <c r="F225" i="97"/>
  <c r="F226" i="97"/>
  <c r="F227" i="97"/>
  <c r="F228" i="97"/>
  <c r="F229" i="97"/>
  <c r="F230" i="97"/>
  <c r="F231" i="97"/>
  <c r="F232" i="97"/>
  <c r="F233" i="97"/>
  <c r="F234" i="97"/>
  <c r="F235" i="97"/>
  <c r="F236" i="97"/>
  <c r="F237" i="97"/>
  <c r="F238" i="97"/>
  <c r="F173" i="97"/>
  <c r="F171" i="97"/>
  <c r="C174" i="97"/>
  <c r="C175" i="97"/>
  <c r="C176" i="97"/>
  <c r="C177" i="97"/>
  <c r="C178" i="97"/>
  <c r="C179" i="97"/>
  <c r="C180" i="97"/>
  <c r="C181" i="97"/>
  <c r="C182" i="97"/>
  <c r="C183" i="97"/>
  <c r="C184" i="97"/>
  <c r="C185" i="97"/>
  <c r="C186" i="97"/>
  <c r="C187" i="97"/>
  <c r="C188" i="97"/>
  <c r="C189" i="97"/>
  <c r="C190" i="97"/>
  <c r="C191" i="97"/>
  <c r="C192" i="97"/>
  <c r="C193" i="97"/>
  <c r="C194" i="97"/>
  <c r="C195" i="97"/>
  <c r="C196" i="97"/>
  <c r="C197" i="97"/>
  <c r="C198" i="97"/>
  <c r="C199" i="97"/>
  <c r="C200" i="97"/>
  <c r="C201" i="97"/>
  <c r="C202" i="97"/>
  <c r="C203" i="97"/>
  <c r="C204" i="97"/>
  <c r="C205" i="97"/>
  <c r="C206" i="97"/>
  <c r="C207" i="97"/>
  <c r="C208" i="97"/>
  <c r="C209" i="97"/>
  <c r="C210" i="97"/>
  <c r="C211" i="97"/>
  <c r="C212" i="97"/>
  <c r="C213" i="97"/>
  <c r="C214" i="97"/>
  <c r="C215" i="97"/>
  <c r="C216" i="97"/>
  <c r="C217" i="97"/>
  <c r="C218" i="97"/>
  <c r="C219" i="97"/>
  <c r="C220" i="97"/>
  <c r="C221" i="97"/>
  <c r="C222" i="97"/>
  <c r="C223" i="97"/>
  <c r="C224" i="97"/>
  <c r="C225" i="97"/>
  <c r="C226" i="97"/>
  <c r="C227" i="97"/>
  <c r="C228" i="97"/>
  <c r="C229" i="97"/>
  <c r="C230" i="97"/>
  <c r="C231" i="97"/>
  <c r="C232" i="97"/>
  <c r="C233" i="97"/>
  <c r="C234" i="97"/>
  <c r="C235" i="97"/>
  <c r="C236" i="97"/>
  <c r="C237" i="97"/>
  <c r="C238" i="97"/>
  <c r="C173" i="97"/>
  <c r="C171" i="97"/>
  <c r="C4" i="13" l="1"/>
  <c r="D12" i="13" l="1"/>
  <c r="E12" i="13"/>
  <c r="F12" i="13"/>
  <c r="G12" i="13"/>
  <c r="C12" i="13"/>
  <c r="G39" i="49" l="1"/>
  <c r="D39" i="49"/>
  <c r="F39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K30" i="79"/>
  <c r="K31" i="79"/>
  <c r="K32" i="79"/>
  <c r="AE16" i="79" l="1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I45" i="71" l="1"/>
  <c r="I81" i="71"/>
  <c r="J9" i="71"/>
  <c r="Q38" i="31" s="1"/>
  <c r="M8" i="49" a="1"/>
  <c r="M10" i="49" s="1"/>
  <c r="I8" i="71"/>
  <c r="I92" i="71"/>
  <c r="I56" i="71"/>
  <c r="E116" i="49"/>
  <c r="E88" i="49"/>
  <c r="E60" i="49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E32" i="49" l="1"/>
  <c r="M13" i="49"/>
  <c r="M9" i="49"/>
  <c r="M8" i="49"/>
  <c r="M11" i="49"/>
  <c r="M14" i="49"/>
  <c r="M12" i="49"/>
  <c r="M16" i="49"/>
  <c r="M15" i="49"/>
  <c r="I44" i="71"/>
  <c r="I80" i="71"/>
  <c r="J8" i="71"/>
  <c r="I59" i="78"/>
  <c r="I95" i="78"/>
  <c r="T103" i="78"/>
  <c r="T67" i="78"/>
  <c r="T51" i="78"/>
  <c r="T87" i="78"/>
  <c r="I58" i="78"/>
  <c r="I94" i="78"/>
  <c r="T102" i="78"/>
  <c r="T66" i="78"/>
  <c r="T86" i="78"/>
  <c r="T50" i="78"/>
  <c r="I101" i="78"/>
  <c r="I65" i="78"/>
  <c r="T65" i="78"/>
  <c r="T101" i="78"/>
  <c r="T85" i="78"/>
  <c r="T49" i="78"/>
  <c r="I56" i="78"/>
  <c r="I92" i="78"/>
  <c r="T64" i="78"/>
  <c r="T100" i="78"/>
  <c r="T84" i="78"/>
  <c r="T48" i="78"/>
  <c r="I99" i="78"/>
  <c r="I63" i="78"/>
  <c r="T99" i="78"/>
  <c r="T63" i="78"/>
  <c r="T83" i="78"/>
  <c r="T47" i="78"/>
  <c r="I103" i="78"/>
  <c r="I67" i="78"/>
  <c r="I87" i="78"/>
  <c r="I51" i="78"/>
  <c r="T95" i="78"/>
  <c r="T59" i="78"/>
  <c r="I66" i="78"/>
  <c r="I102" i="78"/>
  <c r="I50" i="78"/>
  <c r="I86" i="78"/>
  <c r="T58" i="78"/>
  <c r="T94" i="78"/>
  <c r="I93" i="78"/>
  <c r="I57" i="78"/>
  <c r="I85" i="78"/>
  <c r="I49" i="78"/>
  <c r="T57" i="78"/>
  <c r="T93" i="78"/>
  <c r="I100" i="78"/>
  <c r="I64" i="78"/>
  <c r="I84" i="78"/>
  <c r="I48" i="78"/>
  <c r="T92" i="78"/>
  <c r="T56" i="78"/>
  <c r="I91" i="78"/>
  <c r="I55" i="78"/>
  <c r="I83" i="78"/>
  <c r="I47" i="78"/>
  <c r="T91" i="78"/>
  <c r="T55" i="78"/>
  <c r="I98" i="78"/>
  <c r="I62" i="78"/>
  <c r="I54" i="78"/>
  <c r="I90" i="78"/>
  <c r="I82" i="78"/>
  <c r="I46" i="78"/>
  <c r="T98" i="78"/>
  <c r="T62" i="78"/>
  <c r="T54" i="78"/>
  <c r="T90" i="78"/>
  <c r="T82" i="78"/>
  <c r="T46" i="78"/>
  <c r="I97" i="78"/>
  <c r="I61" i="78"/>
  <c r="I53" i="78"/>
  <c r="I89" i="78"/>
  <c r="I45" i="78"/>
  <c r="I81" i="78"/>
  <c r="T61" i="78"/>
  <c r="T97" i="78"/>
  <c r="T89" i="78"/>
  <c r="T53" i="78"/>
  <c r="T81" i="78"/>
  <c r="T45" i="78"/>
  <c r="I104" i="78"/>
  <c r="I68" i="78"/>
  <c r="I96" i="78"/>
  <c r="I60" i="78"/>
  <c r="I88" i="78"/>
  <c r="I52" i="78"/>
  <c r="T68" i="78"/>
  <c r="T104" i="78"/>
  <c r="T96" i="78"/>
  <c r="T60" i="78"/>
  <c r="T88" i="78"/>
  <c r="T52" i="78"/>
  <c r="I34" i="78"/>
  <c r="S4" i="78"/>
  <c r="AD4" i="78" s="1"/>
  <c r="AO4" i="78" s="1"/>
  <c r="AZ4" i="78" s="1"/>
  <c r="BK4" i="78" s="1"/>
  <c r="BV4" i="78" s="1"/>
  <c r="CG4" i="78" s="1"/>
  <c r="CR4" i="78" s="1"/>
  <c r="B116" i="49"/>
  <c r="B88" i="49"/>
  <c r="C60" i="49"/>
  <c r="B60" i="49"/>
  <c r="G34" i="49"/>
  <c r="G118" i="49" s="1"/>
  <c r="G202" i="49" s="1"/>
  <c r="G62" i="49"/>
  <c r="G146" i="49" s="1"/>
  <c r="G230" i="49" s="1"/>
  <c r="G90" i="49"/>
  <c r="G174" i="49" s="1"/>
  <c r="G258" i="49" s="1"/>
  <c r="B32" i="49" l="1"/>
  <c r="J44" i="71"/>
  <c r="J80" i="71" s="1"/>
  <c r="Q37" i="31"/>
  <c r="A90" i="49"/>
  <c r="A62" i="49"/>
  <c r="A34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93" i="49"/>
  <c r="G92" i="49"/>
  <c r="G91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4" i="49"/>
  <c r="G63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40" i="49"/>
  <c r="G38" i="49"/>
  <c r="G37" i="49"/>
  <c r="G36" i="49"/>
  <c r="G35" i="49"/>
  <c r="A6" i="49"/>
  <c r="D35" i="49"/>
  <c r="I10" i="71"/>
  <c r="I13" i="71"/>
  <c r="I14" i="71"/>
  <c r="I15" i="71"/>
  <c r="I18" i="71"/>
  <c r="I22" i="71"/>
  <c r="I23" i="71"/>
  <c r="I26" i="71"/>
  <c r="I29" i="71"/>
  <c r="I30" i="71"/>
  <c r="I31" i="71"/>
  <c r="I94" i="71" l="1"/>
  <c r="I58" i="71"/>
  <c r="I54" i="71"/>
  <c r="I90" i="71"/>
  <c r="I87" i="71"/>
  <c r="I51" i="71"/>
  <c r="I86" i="71"/>
  <c r="I50" i="71"/>
  <c r="I85" i="71"/>
  <c r="I49" i="71"/>
  <c r="I101" i="71"/>
  <c r="I65" i="71"/>
  <c r="I46" i="71"/>
  <c r="I82" i="71"/>
  <c r="I67" i="71"/>
  <c r="I103" i="71"/>
  <c r="I102" i="71"/>
  <c r="I66" i="71"/>
  <c r="I62" i="71"/>
  <c r="I98" i="71"/>
  <c r="I59" i="71"/>
  <c r="I95" i="71"/>
  <c r="K8" i="49" a="1"/>
  <c r="K11" i="49" s="1"/>
  <c r="J8" i="49" a="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G31" i="49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60" i="71" l="1"/>
  <c r="I96" i="71"/>
  <c r="I64" i="71"/>
  <c r="I100" i="71"/>
  <c r="I97" i="71"/>
  <c r="I61" i="71"/>
  <c r="I91" i="71"/>
  <c r="I55" i="71"/>
  <c r="I68" i="71"/>
  <c r="I104" i="71"/>
  <c r="K12" i="49"/>
  <c r="I99" i="71"/>
  <c r="I63" i="71"/>
  <c r="K15" i="49"/>
  <c r="I52" i="71"/>
  <c r="I88" i="71"/>
  <c r="I89" i="71"/>
  <c r="I53" i="71"/>
  <c r="I93" i="71"/>
  <c r="I57" i="71"/>
  <c r="I83" i="71"/>
  <c r="I47" i="71"/>
  <c r="K8" i="49"/>
  <c r="I84" i="71"/>
  <c r="I48" i="71"/>
  <c r="K13" i="49"/>
  <c r="K16" i="49"/>
  <c r="K10" i="49"/>
  <c r="K14" i="49"/>
  <c r="K9" i="49"/>
  <c r="J8" i="49"/>
  <c r="J12" i="49"/>
  <c r="J11" i="49"/>
  <c r="J10" i="49"/>
  <c r="J9" i="49"/>
  <c r="J15" i="49"/>
  <c r="J14" i="49"/>
  <c r="J16" i="49"/>
  <c r="J13" i="49"/>
  <c r="I34" i="71"/>
  <c r="I8" i="16" a="1"/>
  <c r="I8" i="16" l="1"/>
  <c r="I26" i="16" s="1"/>
  <c r="I9" i="16"/>
  <c r="I27" i="16" s="1"/>
  <c r="I11" i="16"/>
  <c r="I29" i="16" s="1"/>
  <c r="I16" i="16"/>
  <c r="I15" i="16"/>
  <c r="I14" i="16"/>
  <c r="I32" i="16" s="1"/>
  <c r="I13" i="16"/>
  <c r="I31" i="16" s="1"/>
  <c r="I12" i="16"/>
  <c r="I30" i="16" s="1"/>
  <c r="I10" i="16"/>
  <c r="I28" i="16" s="1"/>
  <c r="F249" i="97"/>
  <c r="C249" i="97"/>
  <c r="B333" i="97"/>
  <c r="F333" i="97"/>
  <c r="C333" i="97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J16" i="16" l="1"/>
  <c r="I34" i="16"/>
  <c r="I33" i="16"/>
  <c r="AM4" i="21"/>
  <c r="O2" i="21" s="1"/>
  <c r="C3" i="12"/>
  <c r="D3" i="12"/>
  <c r="E3" i="12"/>
  <c r="F3" i="12"/>
  <c r="B3" i="12"/>
  <c r="D5" i="11"/>
  <c r="E5" i="11"/>
  <c r="F5" i="11"/>
  <c r="C5" i="11"/>
  <c r="B5" i="11"/>
  <c r="A1" i="12" l="1"/>
  <c r="H3" i="11"/>
  <c r="L1" i="11"/>
  <c r="A1" i="21"/>
  <c r="A1" i="1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7" i="11"/>
  <c r="R10" i="11"/>
  <c r="B33" i="11"/>
  <c r="R4" i="11"/>
  <c r="N260" i="21" s="1"/>
  <c r="B39" i="11"/>
  <c r="B34" i="11"/>
  <c r="B35" i="11"/>
  <c r="B36" i="11"/>
  <c r="B38" i="11"/>
  <c r="B37" i="11"/>
  <c r="F83" i="12"/>
  <c r="E80" i="12"/>
  <c r="F81" i="12"/>
  <c r="E83" i="12"/>
  <c r="F80" i="12"/>
  <c r="E82" i="12"/>
  <c r="E79" i="12"/>
  <c r="F82" i="12"/>
  <c r="E84" i="12"/>
  <c r="F79" i="12"/>
  <c r="F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F89" i="12"/>
  <c r="C89" i="12"/>
  <c r="F61" i="12"/>
  <c r="C61" i="12"/>
  <c r="F97" i="12"/>
  <c r="F70" i="12"/>
  <c r="C97" i="12"/>
  <c r="C71" i="12"/>
  <c r="C63" i="12"/>
  <c r="F73" i="12"/>
  <c r="C91" i="12"/>
  <c r="C67" i="12" l="1"/>
  <c r="C78" i="12"/>
  <c r="F91" i="12"/>
  <c r="F95" i="12"/>
  <c r="C96" i="12"/>
  <c r="C100" i="12"/>
  <c r="F99" i="12"/>
  <c r="F103" i="12"/>
  <c r="F74" i="12"/>
  <c r="C75" i="12"/>
  <c r="F96" i="12"/>
  <c r="C92" i="12"/>
  <c r="C72" i="12"/>
  <c r="F67" i="12"/>
  <c r="F65" i="12"/>
  <c r="F77" i="12"/>
  <c r="C95" i="12"/>
  <c r="F66" i="12"/>
  <c r="C103" i="12"/>
  <c r="F98" i="12"/>
  <c r="F72" i="12"/>
  <c r="C99" i="12"/>
  <c r="F102" i="12"/>
  <c r="C68" i="12"/>
  <c r="C104" i="12"/>
  <c r="F92" i="12"/>
  <c r="F76" i="12"/>
  <c r="F71" i="12"/>
  <c r="C69" i="12"/>
  <c r="F69" i="12"/>
  <c r="C74" i="12"/>
  <c r="C66" i="12"/>
  <c r="F68" i="12"/>
  <c r="C73" i="12"/>
  <c r="C101" i="12"/>
  <c r="C105" i="12"/>
  <c r="F100" i="12"/>
  <c r="F104" i="12"/>
  <c r="F64" i="12"/>
  <c r="C65" i="12"/>
  <c r="C76" i="12"/>
  <c r="C93" i="12"/>
  <c r="C94" i="12"/>
  <c r="C102" i="12"/>
  <c r="C98" i="12"/>
  <c r="F105" i="12"/>
  <c r="F101" i="12"/>
  <c r="F63" i="12"/>
  <c r="C77" i="12"/>
  <c r="C64" i="12"/>
  <c r="C90" i="12"/>
  <c r="F93" i="12"/>
  <c r="F78" i="12"/>
  <c r="F90" i="12"/>
  <c r="F94" i="12"/>
  <c r="F75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4" i="5" l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3" i="5"/>
  <c r="E180" i="97"/>
  <c r="E265" i="97"/>
  <c r="E183" i="97"/>
  <c r="E269" i="97"/>
  <c r="E187" i="97"/>
  <c r="E188" i="97"/>
  <c r="E288" i="97"/>
  <c r="E295" i="97"/>
  <c r="E296" i="97"/>
  <c r="E213" i="97"/>
  <c r="E217" i="97"/>
  <c r="F136" i="97"/>
  <c r="E305" i="97"/>
  <c r="E225" i="97"/>
  <c r="F142" i="97"/>
  <c r="F143" i="97"/>
  <c r="E312" i="97"/>
  <c r="E229" i="97"/>
  <c r="F147" i="97"/>
  <c r="F150" i="97"/>
  <c r="E319" i="97"/>
  <c r="E236" i="97"/>
  <c r="E237" i="97"/>
  <c r="E260" i="97"/>
  <c r="D177" i="97"/>
  <c r="E262" i="97"/>
  <c r="E263" i="97"/>
  <c r="D265" i="97"/>
  <c r="D186" i="97"/>
  <c r="E192" i="97"/>
  <c r="E277" i="97"/>
  <c r="D194" i="97"/>
  <c r="E195" i="97"/>
  <c r="E281" i="97"/>
  <c r="E200" i="97"/>
  <c r="D201" i="97"/>
  <c r="D286" i="97"/>
  <c r="D289" i="97"/>
  <c r="E292" i="97"/>
  <c r="E209" i="97"/>
  <c r="E210" i="97"/>
  <c r="D300" i="97"/>
  <c r="E133" i="97"/>
  <c r="D219" i="97"/>
  <c r="E137" i="97"/>
  <c r="E224" i="97"/>
  <c r="D309" i="97"/>
  <c r="E142" i="97"/>
  <c r="D227" i="97"/>
  <c r="E232" i="97"/>
  <c r="E149" i="97"/>
  <c r="D234" i="97"/>
  <c r="E151" i="97"/>
  <c r="D321" i="97"/>
  <c r="D94" i="97"/>
  <c r="D96" i="97"/>
  <c r="D105" i="97"/>
  <c r="D275" i="97"/>
  <c r="D283" i="97"/>
  <c r="D126" i="97"/>
  <c r="D295" i="97"/>
  <c r="D297" i="97"/>
  <c r="D304" i="97"/>
  <c r="D147" i="97"/>
  <c r="D232" i="97"/>
  <c r="D236" i="97"/>
  <c r="B90" i="97"/>
  <c r="B91" i="97"/>
  <c r="B92" i="97"/>
  <c r="B93" i="97"/>
  <c r="B94" i="97"/>
  <c r="B95" i="97"/>
  <c r="B96" i="97"/>
  <c r="B97" i="97"/>
  <c r="B98" i="97"/>
  <c r="B99" i="97"/>
  <c r="B100" i="97"/>
  <c r="B101" i="97"/>
  <c r="B102" i="97"/>
  <c r="B103" i="97"/>
  <c r="B104" i="97"/>
  <c r="B105" i="97"/>
  <c r="B106" i="97"/>
  <c r="B107" i="97"/>
  <c r="B108" i="97"/>
  <c r="B109" i="97"/>
  <c r="B110" i="97"/>
  <c r="B111" i="97"/>
  <c r="B112" i="97"/>
  <c r="B113" i="97"/>
  <c r="B114" i="97"/>
  <c r="B115" i="97"/>
  <c r="B116" i="97"/>
  <c r="B117" i="97"/>
  <c r="B118" i="97"/>
  <c r="B119" i="97"/>
  <c r="B120" i="97"/>
  <c r="B121" i="97"/>
  <c r="B122" i="97"/>
  <c r="B123" i="97"/>
  <c r="B124" i="97"/>
  <c r="B125" i="97"/>
  <c r="B126" i="97"/>
  <c r="B127" i="97"/>
  <c r="B128" i="97"/>
  <c r="B129" i="97"/>
  <c r="B130" i="97"/>
  <c r="B131" i="97"/>
  <c r="B132" i="97"/>
  <c r="B133" i="97"/>
  <c r="B134" i="97"/>
  <c r="B135" i="97"/>
  <c r="B136" i="97"/>
  <c r="B137" i="97"/>
  <c r="B138" i="97"/>
  <c r="B139" i="97"/>
  <c r="B140" i="97"/>
  <c r="B141" i="97"/>
  <c r="B142" i="97"/>
  <c r="B143" i="97"/>
  <c r="B144" i="97"/>
  <c r="B145" i="97"/>
  <c r="B146" i="97"/>
  <c r="B147" i="97"/>
  <c r="B148" i="97"/>
  <c r="B149" i="97"/>
  <c r="B150" i="97"/>
  <c r="B151" i="97"/>
  <c r="B152" i="97"/>
  <c r="B153" i="97"/>
  <c r="B154" i="97"/>
  <c r="B89" i="97"/>
  <c r="C89" i="97"/>
  <c r="B259" i="97"/>
  <c r="B260" i="97"/>
  <c r="B178" i="97"/>
  <c r="B180" i="97"/>
  <c r="B181" i="97"/>
  <c r="B268" i="97"/>
  <c r="C102" i="97"/>
  <c r="B272" i="97"/>
  <c r="B273" i="97"/>
  <c r="B194" i="97"/>
  <c r="B195" i="97"/>
  <c r="B280" i="97"/>
  <c r="B281" i="97"/>
  <c r="C116" i="97"/>
  <c r="B202" i="97"/>
  <c r="B203" i="97"/>
  <c r="B204" i="97"/>
  <c r="B289" i="97"/>
  <c r="B291" i="97"/>
  <c r="C124" i="97"/>
  <c r="C127" i="97"/>
  <c r="C128" i="97"/>
  <c r="C129" i="97"/>
  <c r="B216" i="97"/>
  <c r="C134" i="97"/>
  <c r="B304" i="97"/>
  <c r="B305" i="97"/>
  <c r="B308" i="97"/>
  <c r="C143" i="97"/>
  <c r="B228" i="97"/>
  <c r="B229" i="97"/>
  <c r="C148" i="97"/>
  <c r="C150" i="97"/>
  <c r="B236" i="97"/>
  <c r="C153" i="97"/>
  <c r="B322" i="97"/>
  <c r="B179" i="97"/>
  <c r="B267" i="97"/>
  <c r="B187" i="97"/>
  <c r="B275" i="97"/>
  <c r="B283" i="97"/>
  <c r="B211" i="97"/>
  <c r="B300" i="97"/>
  <c r="B217" i="97"/>
  <c r="B302" i="97"/>
  <c r="B220" i="97"/>
  <c r="B225" i="97"/>
  <c r="B231" i="97"/>
  <c r="B233" i="97"/>
  <c r="B318" i="97"/>
  <c r="D322" i="97"/>
  <c r="E322" i="97"/>
  <c r="B238" i="97"/>
  <c r="D238" i="97"/>
  <c r="E238" i="97"/>
  <c r="C151" i="97"/>
  <c r="D151" i="97"/>
  <c r="E152" i="97"/>
  <c r="E153" i="97"/>
  <c r="C154" i="97"/>
  <c r="D154" i="97"/>
  <c r="E154" i="97"/>
  <c r="F154" i="97"/>
  <c r="B314" i="97"/>
  <c r="D314" i="97"/>
  <c r="E314" i="97"/>
  <c r="B315" i="97"/>
  <c r="D315" i="97"/>
  <c r="E315" i="97"/>
  <c r="D316" i="97"/>
  <c r="E316" i="97"/>
  <c r="B317" i="97"/>
  <c r="D318" i="97"/>
  <c r="E318" i="97"/>
  <c r="B298" i="97"/>
  <c r="D298" i="97"/>
  <c r="E298" i="97"/>
  <c r="B299" i="97"/>
  <c r="D299" i="97"/>
  <c r="E299" i="97"/>
  <c r="E300" i="97"/>
  <c r="B301" i="97"/>
  <c r="D301" i="97"/>
  <c r="E301" i="97"/>
  <c r="E304" i="97"/>
  <c r="B306" i="97"/>
  <c r="D306" i="97"/>
  <c r="E306" i="97"/>
  <c r="B307" i="97"/>
  <c r="D307" i="97"/>
  <c r="E307" i="97"/>
  <c r="E308" i="97"/>
  <c r="B309" i="97"/>
  <c r="E310" i="97"/>
  <c r="D312" i="97"/>
  <c r="D231" i="97"/>
  <c r="E231" i="97"/>
  <c r="D233" i="97"/>
  <c r="E233" i="97"/>
  <c r="B214" i="97"/>
  <c r="D214" i="97"/>
  <c r="E214" i="97"/>
  <c r="B215" i="97"/>
  <c r="D215" i="97"/>
  <c r="E215" i="97"/>
  <c r="D216" i="97"/>
  <c r="E216" i="97"/>
  <c r="D217" i="97"/>
  <c r="B222" i="97"/>
  <c r="D222" i="97"/>
  <c r="E222" i="97"/>
  <c r="B223" i="97"/>
  <c r="D223" i="97"/>
  <c r="E223" i="97"/>
  <c r="B224" i="97"/>
  <c r="D226" i="97"/>
  <c r="E228" i="97"/>
  <c r="B230" i="97"/>
  <c r="D230" i="97"/>
  <c r="E230" i="97"/>
  <c r="C130" i="97"/>
  <c r="D130" i="97"/>
  <c r="E130" i="97"/>
  <c r="F130" i="97"/>
  <c r="C131" i="97"/>
  <c r="D131" i="97"/>
  <c r="E131" i="97"/>
  <c r="F131" i="97"/>
  <c r="E132" i="97"/>
  <c r="F132" i="97"/>
  <c r="C133" i="97"/>
  <c r="D133" i="97"/>
  <c r="C135" i="97"/>
  <c r="D135" i="97"/>
  <c r="F135" i="97"/>
  <c r="E136" i="97"/>
  <c r="C138" i="97"/>
  <c r="D138" i="97"/>
  <c r="E138" i="97"/>
  <c r="F138" i="97"/>
  <c r="C139" i="97"/>
  <c r="D139" i="97"/>
  <c r="E139" i="97"/>
  <c r="F139" i="97"/>
  <c r="C140" i="97"/>
  <c r="E140" i="97"/>
  <c r="F140" i="97"/>
  <c r="C141" i="97"/>
  <c r="D141" i="97"/>
  <c r="F141" i="97"/>
  <c r="C142" i="97"/>
  <c r="D142" i="97"/>
  <c r="E143" i="97"/>
  <c r="C144" i="97"/>
  <c r="E144" i="97"/>
  <c r="F144" i="97"/>
  <c r="E145" i="97"/>
  <c r="C146" i="97"/>
  <c r="D146" i="97"/>
  <c r="E146" i="97"/>
  <c r="F146" i="97"/>
  <c r="C147" i="97"/>
  <c r="E147" i="97"/>
  <c r="D148" i="97"/>
  <c r="E148" i="97"/>
  <c r="F148" i="97"/>
  <c r="C149" i="97"/>
  <c r="D149" i="97"/>
  <c r="F149" i="97"/>
  <c r="D150" i="97"/>
  <c r="A169" i="97"/>
  <c r="A81" i="97"/>
  <c r="A165" i="97" s="1"/>
  <c r="A69" i="97"/>
  <c r="A321" i="97" s="1"/>
  <c r="A70" i="97"/>
  <c r="A322" i="97" s="1"/>
  <c r="A64" i="97"/>
  <c r="A316" i="97" s="1"/>
  <c r="A65" i="97"/>
  <c r="A317" i="97" s="1"/>
  <c r="A66" i="97"/>
  <c r="A318" i="97" s="1"/>
  <c r="A67" i="97"/>
  <c r="A319" i="97" s="1"/>
  <c r="A68" i="97"/>
  <c r="A320" i="97" s="1"/>
  <c r="A46" i="97"/>
  <c r="A298" i="97" s="1"/>
  <c r="A47" i="97"/>
  <c r="A299" i="97" s="1"/>
  <c r="A48" i="97"/>
  <c r="A300" i="97" s="1"/>
  <c r="A49" i="97"/>
  <c r="A301" i="97" s="1"/>
  <c r="A50" i="97"/>
  <c r="A302" i="97" s="1"/>
  <c r="A51" i="97"/>
  <c r="A303" i="97" s="1"/>
  <c r="A52" i="97"/>
  <c r="A304" i="97" s="1"/>
  <c r="A53" i="97"/>
  <c r="A305" i="97" s="1"/>
  <c r="A54" i="97"/>
  <c r="A306" i="97" s="1"/>
  <c r="A55" i="97"/>
  <c r="A307" i="97" s="1"/>
  <c r="A56" i="97"/>
  <c r="A308" i="97" s="1"/>
  <c r="A57" i="97"/>
  <c r="A309" i="97" s="1"/>
  <c r="A58" i="97"/>
  <c r="A310" i="97" s="1"/>
  <c r="A59" i="97"/>
  <c r="A311" i="97" s="1"/>
  <c r="A60" i="97"/>
  <c r="A312" i="97" s="1"/>
  <c r="A61" i="97"/>
  <c r="A313" i="97" s="1"/>
  <c r="A62" i="97"/>
  <c r="A314" i="97" s="1"/>
  <c r="A63" i="97"/>
  <c r="A315" i="97" s="1"/>
  <c r="A6" i="97"/>
  <c r="A258" i="97" s="1"/>
  <c r="A7" i="97"/>
  <c r="A259" i="97" s="1"/>
  <c r="A8" i="97"/>
  <c r="A260" i="97" s="1"/>
  <c r="A9" i="97"/>
  <c r="A10" i="97"/>
  <c r="A262" i="97" s="1"/>
  <c r="A11" i="97"/>
  <c r="A263" i="97" s="1"/>
  <c r="A12" i="97"/>
  <c r="A264" i="97" s="1"/>
  <c r="A13" i="97"/>
  <c r="A14" i="97"/>
  <c r="A266" i="97" s="1"/>
  <c r="A15" i="97"/>
  <c r="A267" i="97" s="1"/>
  <c r="A16" i="97"/>
  <c r="A268" i="97" s="1"/>
  <c r="A17" i="97"/>
  <c r="A18" i="97"/>
  <c r="A270" i="97" s="1"/>
  <c r="A19" i="97"/>
  <c r="A271" i="97" s="1"/>
  <c r="A20" i="97"/>
  <c r="A272" i="97" s="1"/>
  <c r="A21" i="97"/>
  <c r="A273" i="97" s="1"/>
  <c r="A22" i="97"/>
  <c r="A23" i="97"/>
  <c r="A24" i="97"/>
  <c r="A276" i="97" s="1"/>
  <c r="A25" i="97"/>
  <c r="A26" i="97"/>
  <c r="A27" i="97"/>
  <c r="A28" i="97"/>
  <c r="A29" i="97"/>
  <c r="A281" i="97" s="1"/>
  <c r="A30" i="97"/>
  <c r="A282" i="97" s="1"/>
  <c r="A31" i="97"/>
  <c r="A283" i="97" s="1"/>
  <c r="A32" i="97"/>
  <c r="A33" i="97"/>
  <c r="A285" i="97" s="1"/>
  <c r="A34" i="97"/>
  <c r="A286" i="97" s="1"/>
  <c r="A35" i="97"/>
  <c r="A287" i="97" s="1"/>
  <c r="A36" i="97"/>
  <c r="A37" i="97"/>
  <c r="A289" i="97" s="1"/>
  <c r="A38" i="97"/>
  <c r="A290" i="97" s="1"/>
  <c r="A39" i="97"/>
  <c r="A291" i="97" s="1"/>
  <c r="A40" i="97"/>
  <c r="A41" i="97"/>
  <c r="A293" i="97" s="1"/>
  <c r="A42" i="97"/>
  <c r="A294" i="97" s="1"/>
  <c r="A43" i="97"/>
  <c r="A295" i="97" s="1"/>
  <c r="A44" i="97"/>
  <c r="A296" i="97" s="1"/>
  <c r="A45" i="97"/>
  <c r="A297" i="97" s="1"/>
  <c r="A5" i="97"/>
  <c r="A257" i="97" s="1"/>
  <c r="E297" i="97"/>
  <c r="B297" i="97"/>
  <c r="E293" i="97"/>
  <c r="E291" i="97"/>
  <c r="D291" i="97"/>
  <c r="E290" i="97"/>
  <c r="D290" i="97"/>
  <c r="B290" i="97"/>
  <c r="B288" i="97"/>
  <c r="D285" i="97"/>
  <c r="E284" i="97"/>
  <c r="B284" i="97"/>
  <c r="E283" i="97"/>
  <c r="E282" i="97"/>
  <c r="D282" i="97"/>
  <c r="B282" i="97"/>
  <c r="E276" i="97"/>
  <c r="B276" i="97"/>
  <c r="E275" i="97"/>
  <c r="E274" i="97"/>
  <c r="D274" i="97"/>
  <c r="B274" i="97"/>
  <c r="E268" i="97"/>
  <c r="E267" i="97"/>
  <c r="D267" i="97"/>
  <c r="E266" i="97"/>
  <c r="D266" i="97"/>
  <c r="B266" i="97"/>
  <c r="B265" i="97"/>
  <c r="E264" i="97"/>
  <c r="D262" i="97"/>
  <c r="E259" i="97"/>
  <c r="D259" i="97"/>
  <c r="E258" i="97"/>
  <c r="D258" i="97"/>
  <c r="B258" i="97"/>
  <c r="E257" i="97"/>
  <c r="D257" i="97"/>
  <c r="B257" i="97"/>
  <c r="E255" i="97"/>
  <c r="D255" i="97"/>
  <c r="B255" i="97"/>
  <c r="D212" i="97"/>
  <c r="B212" i="97"/>
  <c r="D210" i="97"/>
  <c r="B210" i="97"/>
  <c r="E208" i="97"/>
  <c r="D208" i="97"/>
  <c r="E207" i="97"/>
  <c r="D207" i="97"/>
  <c r="B207" i="97"/>
  <c r="E206" i="97"/>
  <c r="D206" i="97"/>
  <c r="B206" i="97"/>
  <c r="E204" i="97"/>
  <c r="D204" i="97"/>
  <c r="D202" i="97"/>
  <c r="D200" i="97"/>
  <c r="E199" i="97"/>
  <c r="B199" i="97"/>
  <c r="E198" i="97"/>
  <c r="D198" i="97"/>
  <c r="B198" i="97"/>
  <c r="E196" i="97"/>
  <c r="D196" i="97"/>
  <c r="E191" i="97"/>
  <c r="D191" i="97"/>
  <c r="B191" i="97"/>
  <c r="E190" i="97"/>
  <c r="D190" i="97"/>
  <c r="B190" i="97"/>
  <c r="E189" i="97"/>
  <c r="B186" i="97"/>
  <c r="E184" i="97"/>
  <c r="D183" i="97"/>
  <c r="B183" i="97"/>
  <c r="E182" i="97"/>
  <c r="D182" i="97"/>
  <c r="B182" i="97"/>
  <c r="D178" i="97"/>
  <c r="E175" i="97"/>
  <c r="D175" i="97"/>
  <c r="B175" i="97"/>
  <c r="E174" i="97"/>
  <c r="D174" i="97"/>
  <c r="B174" i="97"/>
  <c r="E173" i="97"/>
  <c r="D173" i="97"/>
  <c r="B173" i="97"/>
  <c r="E171" i="97"/>
  <c r="D171" i="97"/>
  <c r="B171" i="97"/>
  <c r="D165" i="97"/>
  <c r="C165" i="97"/>
  <c r="C126" i="97"/>
  <c r="D125" i="97"/>
  <c r="C125" i="97"/>
  <c r="D122" i="97"/>
  <c r="C122" i="97"/>
  <c r="D118" i="97"/>
  <c r="C118" i="97"/>
  <c r="D117" i="97"/>
  <c r="C117" i="97"/>
  <c r="D114" i="97"/>
  <c r="C114" i="97"/>
  <c r="C113" i="97"/>
  <c r="D110" i="97"/>
  <c r="D109" i="97"/>
  <c r="C109" i="97"/>
  <c r="C108" i="97"/>
  <c r="D106" i="97"/>
  <c r="C106" i="97"/>
  <c r="C104" i="97"/>
  <c r="D102" i="97"/>
  <c r="D101" i="97"/>
  <c r="C101" i="97"/>
  <c r="D100" i="97"/>
  <c r="C100" i="97"/>
  <c r="D98" i="97"/>
  <c r="C98" i="97"/>
  <c r="C94" i="97"/>
  <c r="D93" i="97"/>
  <c r="C93" i="97"/>
  <c r="D92" i="97"/>
  <c r="D90" i="97"/>
  <c r="C90" i="97"/>
  <c r="D89" i="97"/>
  <c r="F87" i="97"/>
  <c r="E87" i="97"/>
  <c r="D87" i="97"/>
  <c r="C87" i="97"/>
  <c r="B87" i="97"/>
  <c r="E129" i="97"/>
  <c r="D127" i="97"/>
  <c r="A204" i="97" l="1"/>
  <c r="A288" i="97"/>
  <c r="A193" i="97"/>
  <c r="A277" i="97"/>
  <c r="A185" i="97"/>
  <c r="A269" i="97"/>
  <c r="A177" i="97"/>
  <c r="A261" i="97"/>
  <c r="A196" i="97"/>
  <c r="A280" i="97"/>
  <c r="A195" i="97"/>
  <c r="A279" i="97"/>
  <c r="A194" i="97"/>
  <c r="A278" i="97"/>
  <c r="A208" i="97"/>
  <c r="A292" i="97"/>
  <c r="A200" i="97"/>
  <c r="A284" i="97"/>
  <c r="A181" i="97"/>
  <c r="A265" i="97"/>
  <c r="A191" i="97"/>
  <c r="A275" i="97"/>
  <c r="A190" i="97"/>
  <c r="A274" i="97"/>
  <c r="A205" i="97"/>
  <c r="A105" i="97"/>
  <c r="A189" i="97"/>
  <c r="A147" i="97"/>
  <c r="A231" i="97"/>
  <c r="A153" i="97"/>
  <c r="A237" i="97"/>
  <c r="A188" i="97"/>
  <c r="A146" i="97"/>
  <c r="A230" i="97"/>
  <c r="A203" i="97"/>
  <c r="A95" i="97"/>
  <c r="A179" i="97"/>
  <c r="A178" i="97"/>
  <c r="A144" i="97"/>
  <c r="A228" i="97"/>
  <c r="A151" i="97"/>
  <c r="A235" i="97"/>
  <c r="A201" i="97"/>
  <c r="A143" i="97"/>
  <c r="A227" i="97"/>
  <c r="A135" i="97"/>
  <c r="A219" i="97"/>
  <c r="A108" i="97"/>
  <c r="A192" i="97"/>
  <c r="A100" i="97"/>
  <c r="A184" i="97"/>
  <c r="A92" i="97"/>
  <c r="A176" i="97"/>
  <c r="A142" i="97"/>
  <c r="A226" i="97"/>
  <c r="A134" i="97"/>
  <c r="A218" i="97"/>
  <c r="A149" i="97"/>
  <c r="A233" i="97"/>
  <c r="A131" i="97"/>
  <c r="A215" i="97"/>
  <c r="A212" i="97"/>
  <c r="A96" i="97"/>
  <c r="A180" i="97"/>
  <c r="A138" i="97"/>
  <c r="A222" i="97"/>
  <c r="A130" i="97"/>
  <c r="A214" i="97"/>
  <c r="A211" i="97"/>
  <c r="A187" i="97"/>
  <c r="A145" i="97"/>
  <c r="A229" i="97"/>
  <c r="A137" i="97"/>
  <c r="A221" i="97"/>
  <c r="A152" i="97"/>
  <c r="A236" i="97"/>
  <c r="A126" i="97"/>
  <c r="A210" i="97"/>
  <c r="A118" i="97"/>
  <c r="A202" i="97"/>
  <c r="A102" i="97"/>
  <c r="A186" i="97"/>
  <c r="A136" i="97"/>
  <c r="A220" i="97"/>
  <c r="A125" i="97"/>
  <c r="A209" i="97"/>
  <c r="A150" i="97"/>
  <c r="A234" i="97"/>
  <c r="A123" i="97"/>
  <c r="A207" i="97"/>
  <c r="A115" i="97"/>
  <c r="A199" i="97"/>
  <c r="A183" i="97"/>
  <c r="A175" i="97"/>
  <c r="A141" i="97"/>
  <c r="A225" i="97"/>
  <c r="A133" i="97"/>
  <c r="A217" i="97"/>
  <c r="A148" i="97"/>
  <c r="A232" i="97"/>
  <c r="A129" i="97"/>
  <c r="A213" i="97"/>
  <c r="A197" i="97"/>
  <c r="A139" i="97"/>
  <c r="A223" i="97"/>
  <c r="A173" i="97"/>
  <c r="A206" i="97"/>
  <c r="A198" i="97"/>
  <c r="A182" i="97"/>
  <c r="A90" i="97"/>
  <c r="A174" i="97"/>
  <c r="A140" i="97"/>
  <c r="A224" i="97"/>
  <c r="A132" i="97"/>
  <c r="A216" i="97"/>
  <c r="A154" i="97"/>
  <c r="A238" i="97"/>
  <c r="E197" i="97"/>
  <c r="E221" i="97"/>
  <c r="F153" i="97"/>
  <c r="E272" i="97"/>
  <c r="E321" i="97"/>
  <c r="E273" i="97"/>
  <c r="E181" i="97"/>
  <c r="E280" i="97"/>
  <c r="E287" i="97"/>
  <c r="F134" i="97"/>
  <c r="E313" i="97"/>
  <c r="E302" i="97"/>
  <c r="E203" i="97"/>
  <c r="F133" i="97"/>
  <c r="F151" i="97"/>
  <c r="E320" i="97"/>
  <c r="E220" i="97"/>
  <c r="F152" i="97"/>
  <c r="E212" i="97"/>
  <c r="E270" i="97"/>
  <c r="F145" i="97"/>
  <c r="F137" i="97"/>
  <c r="D294" i="97"/>
  <c r="E150" i="97"/>
  <c r="E177" i="97"/>
  <c r="E185" i="97"/>
  <c r="D193" i="97"/>
  <c r="E201" i="97"/>
  <c r="D261" i="97"/>
  <c r="D278" i="97"/>
  <c r="E286" i="97"/>
  <c r="E141" i="97"/>
  <c r="D218" i="97"/>
  <c r="E234" i="97"/>
  <c r="D302" i="97"/>
  <c r="D287" i="97"/>
  <c r="E193" i="97"/>
  <c r="E205" i="97"/>
  <c r="E261" i="97"/>
  <c r="D270" i="97"/>
  <c r="E278" i="97"/>
  <c r="D293" i="97"/>
  <c r="E226" i="97"/>
  <c r="E311" i="97"/>
  <c r="D319" i="97"/>
  <c r="D308" i="97"/>
  <c r="D263" i="97"/>
  <c r="E135" i="97"/>
  <c r="E235" i="97"/>
  <c r="D271" i="97"/>
  <c r="E186" i="97"/>
  <c r="E194" i="97"/>
  <c r="D277" i="97"/>
  <c r="E294" i="97"/>
  <c r="D225" i="97"/>
  <c r="E309" i="97"/>
  <c r="E317" i="97"/>
  <c r="E176" i="97"/>
  <c r="E179" i="97"/>
  <c r="D195" i="97"/>
  <c r="D209" i="97"/>
  <c r="E211" i="97"/>
  <c r="D269" i="97"/>
  <c r="E289" i="97"/>
  <c r="E227" i="97"/>
  <c r="E303" i="97"/>
  <c r="D317" i="97"/>
  <c r="E279" i="97"/>
  <c r="E178" i="97"/>
  <c r="E202" i="97"/>
  <c r="E271" i="97"/>
  <c r="E219" i="97"/>
  <c r="E285" i="97"/>
  <c r="D185" i="97"/>
  <c r="E134" i="97"/>
  <c r="E218" i="97"/>
  <c r="D180" i="97"/>
  <c r="D188" i="97"/>
  <c r="D264" i="97"/>
  <c r="D272" i="97"/>
  <c r="D280" i="97"/>
  <c r="D296" i="97"/>
  <c r="D137" i="97"/>
  <c r="D184" i="97"/>
  <c r="D192" i="97"/>
  <c r="D288" i="97"/>
  <c r="D143" i="97"/>
  <c r="D132" i="97"/>
  <c r="D229" i="97"/>
  <c r="D224" i="97"/>
  <c r="D305" i="97"/>
  <c r="D303" i="97"/>
  <c r="D153" i="97"/>
  <c r="D237" i="97"/>
  <c r="D235" i="97"/>
  <c r="D320" i="97"/>
  <c r="D176" i="97"/>
  <c r="D203" i="97"/>
  <c r="D205" i="97"/>
  <c r="D211" i="97"/>
  <c r="D260" i="97"/>
  <c r="D268" i="97"/>
  <c r="D276" i="97"/>
  <c r="D284" i="97"/>
  <c r="D292" i="97"/>
  <c r="D145" i="97"/>
  <c r="D134" i="97"/>
  <c r="D220" i="97"/>
  <c r="D313" i="97"/>
  <c r="D311" i="97"/>
  <c r="D221" i="97"/>
  <c r="D129" i="97"/>
  <c r="D197" i="97"/>
  <c r="D213" i="97"/>
  <c r="D136" i="97"/>
  <c r="D97" i="97"/>
  <c r="D121" i="97"/>
  <c r="D179" i="97"/>
  <c r="D181" i="97"/>
  <c r="D187" i="97"/>
  <c r="D189" i="97"/>
  <c r="D273" i="97"/>
  <c r="D279" i="97"/>
  <c r="D281" i="97"/>
  <c r="D140" i="97"/>
  <c r="D228" i="97"/>
  <c r="D152" i="97"/>
  <c r="D113" i="97"/>
  <c r="D199" i="97"/>
  <c r="D144" i="97"/>
  <c r="D310" i="97"/>
  <c r="B312" i="97"/>
  <c r="C96" i="97"/>
  <c r="C105" i="97"/>
  <c r="C121" i="97"/>
  <c r="B264" i="97"/>
  <c r="B296" i="97"/>
  <c r="C145" i="97"/>
  <c r="C136" i="97"/>
  <c r="B321" i="97"/>
  <c r="B197" i="97"/>
  <c r="C92" i="97"/>
  <c r="C110" i="97"/>
  <c r="B292" i="97"/>
  <c r="C132" i="97"/>
  <c r="B234" i="97"/>
  <c r="B232" i="97"/>
  <c r="C152" i="97"/>
  <c r="B188" i="97"/>
  <c r="B221" i="97"/>
  <c r="B313" i="97"/>
  <c r="B320" i="97"/>
  <c r="B205" i="97"/>
  <c r="C112" i="97"/>
  <c r="B196" i="97"/>
  <c r="C137" i="97"/>
  <c r="B189" i="97"/>
  <c r="C120" i="97"/>
  <c r="C97" i="97"/>
  <c r="B227" i="97"/>
  <c r="B219" i="97"/>
  <c r="B185" i="97"/>
  <c r="B193" i="97"/>
  <c r="B310" i="97"/>
  <c r="B176" i="97"/>
  <c r="B184" i="97"/>
  <c r="B192" i="97"/>
  <c r="B200" i="97"/>
  <c r="B208" i="97"/>
  <c r="B311" i="97"/>
  <c r="B303" i="97"/>
  <c r="B316" i="97"/>
  <c r="B213" i="97"/>
  <c r="B261" i="97"/>
  <c r="B269" i="97"/>
  <c r="B277" i="97"/>
  <c r="B285" i="97"/>
  <c r="B293" i="97"/>
  <c r="B226" i="97"/>
  <c r="B218" i="97"/>
  <c r="B237" i="97"/>
  <c r="B263" i="97"/>
  <c r="B271" i="97"/>
  <c r="B279" i="97"/>
  <c r="B287" i="97"/>
  <c r="B295" i="97"/>
  <c r="B235" i="97"/>
  <c r="B319" i="97"/>
  <c r="B177" i="97"/>
  <c r="B201" i="97"/>
  <c r="B209" i="97"/>
  <c r="B262" i="97"/>
  <c r="B270" i="97"/>
  <c r="B278" i="97"/>
  <c r="B286" i="97"/>
  <c r="B294" i="97"/>
  <c r="A89" i="97"/>
  <c r="A98" i="97"/>
  <c r="A106" i="97"/>
  <c r="A124" i="97"/>
  <c r="A99" i="97"/>
  <c r="A114" i="97"/>
  <c r="A122" i="97"/>
  <c r="A116" i="97"/>
  <c r="A91" i="97"/>
  <c r="A101" i="97"/>
  <c r="A93" i="97"/>
  <c r="A109" i="97"/>
  <c r="A333" i="97"/>
  <c r="A107" i="97"/>
  <c r="A117" i="97"/>
  <c r="A249" i="97"/>
  <c r="A121" i="97"/>
  <c r="A97" i="97"/>
  <c r="A113" i="97"/>
  <c r="E95" i="97"/>
  <c r="E115" i="97"/>
  <c r="E119" i="97"/>
  <c r="E127" i="97"/>
  <c r="F91" i="97"/>
  <c r="F95" i="97"/>
  <c r="F99" i="97"/>
  <c r="F103" i="97"/>
  <c r="A112" i="97"/>
  <c r="E114" i="97"/>
  <c r="E118" i="97"/>
  <c r="E126" i="97"/>
  <c r="E165" i="97"/>
  <c r="F90" i="97"/>
  <c r="F94" i="97"/>
  <c r="F165" i="97"/>
  <c r="E89" i="97"/>
  <c r="E93" i="97"/>
  <c r="E101" i="97"/>
  <c r="A111" i="97"/>
  <c r="A119" i="97"/>
  <c r="E121" i="97"/>
  <c r="E125" i="97"/>
  <c r="F89" i="97"/>
  <c r="F93" i="97"/>
  <c r="F97" i="97"/>
  <c r="F101" i="97"/>
  <c r="D104" i="97"/>
  <c r="F105" i="97"/>
  <c r="D108" i="97"/>
  <c r="F109" i="97"/>
  <c r="D112" i="97"/>
  <c r="F113" i="97"/>
  <c r="D116" i="97"/>
  <c r="F117" i="97"/>
  <c r="D120" i="97"/>
  <c r="F121" i="97"/>
  <c r="D124" i="97"/>
  <c r="F125" i="97"/>
  <c r="D128" i="97"/>
  <c r="F129" i="97"/>
  <c r="D333" i="97"/>
  <c r="E111" i="97"/>
  <c r="F107" i="97"/>
  <c r="F111" i="97"/>
  <c r="F115" i="97"/>
  <c r="E94" i="97"/>
  <c r="A104" i="97"/>
  <c r="E106" i="97"/>
  <c r="E110" i="97"/>
  <c r="A128" i="97"/>
  <c r="F98" i="97"/>
  <c r="F106" i="97"/>
  <c r="F110" i="97"/>
  <c r="F114" i="97"/>
  <c r="F118" i="97"/>
  <c r="A103" i="97"/>
  <c r="E105" i="97"/>
  <c r="A127" i="97"/>
  <c r="E249" i="97"/>
  <c r="C91" i="97"/>
  <c r="E92" i="97"/>
  <c r="A94" i="97"/>
  <c r="C95" i="97"/>
  <c r="E96" i="97"/>
  <c r="C99" i="97"/>
  <c r="E100" i="97"/>
  <c r="C103" i="97"/>
  <c r="E104" i="97"/>
  <c r="C107" i="97"/>
  <c r="E108" i="97"/>
  <c r="A110" i="97"/>
  <c r="C111" i="97"/>
  <c r="E112" i="97"/>
  <c r="C115" i="97"/>
  <c r="E116" i="97"/>
  <c r="C119" i="97"/>
  <c r="E120" i="97"/>
  <c r="C123" i="97"/>
  <c r="E124" i="97"/>
  <c r="E128" i="97"/>
  <c r="A253" i="97"/>
  <c r="E333" i="97"/>
  <c r="E91" i="97"/>
  <c r="E99" i="97"/>
  <c r="E103" i="97"/>
  <c r="E107" i="97"/>
  <c r="E123" i="97"/>
  <c r="F119" i="97"/>
  <c r="F123" i="97"/>
  <c r="F127" i="97"/>
  <c r="A85" i="97"/>
  <c r="E90" i="97"/>
  <c r="E98" i="97"/>
  <c r="E102" i="97"/>
  <c r="A120" i="97"/>
  <c r="E122" i="97"/>
  <c r="F102" i="97"/>
  <c r="F122" i="97"/>
  <c r="F126" i="97"/>
  <c r="D249" i="97"/>
  <c r="E97" i="97"/>
  <c r="E109" i="97"/>
  <c r="E113" i="97"/>
  <c r="E117" i="97"/>
  <c r="D91" i="97"/>
  <c r="F92" i="97"/>
  <c r="D95" i="97"/>
  <c r="F96" i="97"/>
  <c r="D99" i="97"/>
  <c r="F100" i="97"/>
  <c r="D103" i="97"/>
  <c r="F104" i="97"/>
  <c r="D107" i="97"/>
  <c r="F108" i="97"/>
  <c r="D111" i="97"/>
  <c r="F112" i="97"/>
  <c r="D115" i="97"/>
  <c r="F116" i="97"/>
  <c r="D119" i="97"/>
  <c r="F120" i="97"/>
  <c r="D123" i="97"/>
  <c r="F124" i="97"/>
  <c r="F128" i="97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Z55" i="93" s="1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G55" i="93" s="1"/>
  <c r="AF69" i="93"/>
  <c r="AD69" i="93"/>
  <c r="AC69" i="93"/>
  <c r="AB69" i="93"/>
  <c r="AA69" i="93"/>
  <c r="Z69" i="93"/>
  <c r="X69" i="93"/>
  <c r="W69" i="93"/>
  <c r="W55" i="93" s="1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D55" i="93" s="1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H7" i="93" l="1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P6" i="78"/>
  <c r="AA6" i="78" s="1"/>
  <c r="AL6" i="78" s="1"/>
  <c r="Q6" i="78"/>
  <c r="M6" i="78"/>
  <c r="L1" i="78" s="1"/>
  <c r="Q114" i="78" l="1"/>
  <c r="AW6" i="78"/>
  <c r="AL42" i="78"/>
  <c r="AB6" i="78"/>
  <c r="AM6" i="78" s="1"/>
  <c r="AL90" i="78" s="1"/>
  <c r="Q101" i="78"/>
  <c r="Q93" i="78"/>
  <c r="Q85" i="78"/>
  <c r="Q100" i="78"/>
  <c r="Q92" i="78"/>
  <c r="Q84" i="78"/>
  <c r="Q97" i="78"/>
  <c r="Q89" i="78"/>
  <c r="Q81" i="78"/>
  <c r="Q103" i="78"/>
  <c r="Q90" i="78"/>
  <c r="Q102" i="78"/>
  <c r="Q88" i="78"/>
  <c r="Q99" i="78"/>
  <c r="Q87" i="78"/>
  <c r="Q96" i="78"/>
  <c r="Q83" i="78"/>
  <c r="Q95" i="78"/>
  <c r="Q82" i="78"/>
  <c r="Q104" i="78"/>
  <c r="Q91" i="78"/>
  <c r="Q98" i="78"/>
  <c r="Q94" i="78"/>
  <c r="Q86" i="78"/>
  <c r="Q80" i="78"/>
  <c r="Z6" i="78"/>
  <c r="N102" i="78"/>
  <c r="N94" i="78"/>
  <c r="N86" i="78"/>
  <c r="N101" i="78"/>
  <c r="N93" i="78"/>
  <c r="N85" i="78"/>
  <c r="N98" i="78"/>
  <c r="N90" i="78"/>
  <c r="N82" i="78"/>
  <c r="N92" i="78"/>
  <c r="N80" i="78"/>
  <c r="N89" i="78"/>
  <c r="N104" i="78"/>
  <c r="N91" i="78"/>
  <c r="N103" i="78"/>
  <c r="N99" i="78"/>
  <c r="N87" i="78"/>
  <c r="N97" i="78"/>
  <c r="N84" i="78"/>
  <c r="N100" i="78"/>
  <c r="N95" i="78"/>
  <c r="N96" i="78"/>
  <c r="N88" i="78"/>
  <c r="N83" i="78"/>
  <c r="N81" i="78"/>
  <c r="Y6" i="78"/>
  <c r="AJ6" i="78" s="1"/>
  <c r="N78" i="78"/>
  <c r="N114" i="78"/>
  <c r="Q78" i="78"/>
  <c r="X6" i="78"/>
  <c r="W1" i="78" s="1"/>
  <c r="AI6" i="78" l="1"/>
  <c r="AH1" i="78" s="1"/>
  <c r="AL86" i="78"/>
  <c r="AL87" i="78"/>
  <c r="AL93" i="78"/>
  <c r="AL99" i="78"/>
  <c r="AL85" i="78"/>
  <c r="AL88" i="78"/>
  <c r="AK6" i="78"/>
  <c r="AM114" i="78" s="1"/>
  <c r="AB114" i="78"/>
  <c r="AL81" i="78"/>
  <c r="AL103" i="78"/>
  <c r="AL83" i="78"/>
  <c r="AL114" i="78"/>
  <c r="AL94" i="78"/>
  <c r="AL78" i="78"/>
  <c r="AL101" i="78"/>
  <c r="AL95" i="78"/>
  <c r="AL106" i="78"/>
  <c r="AL102" i="78"/>
  <c r="AL80" i="78"/>
  <c r="AL89" i="78"/>
  <c r="AL84" i="78"/>
  <c r="AL92" i="78"/>
  <c r="AL96" i="78"/>
  <c r="AL82" i="78"/>
  <c r="AL97" i="78"/>
  <c r="AL98" i="78"/>
  <c r="AX6" i="78"/>
  <c r="AW89" i="78" s="1"/>
  <c r="AM42" i="78"/>
  <c r="AL91" i="78"/>
  <c r="AL104" i="78"/>
  <c r="AL100" i="78"/>
  <c r="BH6" i="78"/>
  <c r="AW42" i="78"/>
  <c r="AK85" i="78"/>
  <c r="AK91" i="78"/>
  <c r="AM98" i="78"/>
  <c r="AM87" i="78"/>
  <c r="AM82" i="78"/>
  <c r="AM81" i="78"/>
  <c r="AM95" i="78"/>
  <c r="AM78" i="78"/>
  <c r="AU6" i="78"/>
  <c r="AM90" i="78"/>
  <c r="AJ42" i="78"/>
  <c r="AM101" i="78"/>
  <c r="AM92" i="78"/>
  <c r="AM96" i="78"/>
  <c r="AM97" i="78"/>
  <c r="AM94" i="78"/>
  <c r="AM99" i="78"/>
  <c r="AM85" i="78"/>
  <c r="AM102" i="78"/>
  <c r="AM93" i="78"/>
  <c r="AM84" i="78"/>
  <c r="AM88" i="78"/>
  <c r="AM103" i="78"/>
  <c r="AM106" i="78"/>
  <c r="AM83" i="78"/>
  <c r="AM80" i="78"/>
  <c r="AM86" i="78"/>
  <c r="AM100" i="78"/>
  <c r="AM104" i="78"/>
  <c r="AM89" i="78"/>
  <c r="AM91" i="78"/>
  <c r="AI102" i="78"/>
  <c r="AI95" i="78"/>
  <c r="AT6" i="78"/>
  <c r="AS1" i="78" s="1"/>
  <c r="AI87" i="78"/>
  <c r="AI106" i="78"/>
  <c r="AI84" i="78"/>
  <c r="AI97" i="78"/>
  <c r="AI80" i="78"/>
  <c r="AI99" i="78"/>
  <c r="AI101" i="78"/>
  <c r="AI83" i="78"/>
  <c r="AI94" i="78"/>
  <c r="AI78" i="78"/>
  <c r="AI85" i="78"/>
  <c r="AI89" i="78"/>
  <c r="AI81" i="78"/>
  <c r="AI91" i="78"/>
  <c r="AI42" i="78"/>
  <c r="AI98" i="78"/>
  <c r="AI88" i="78"/>
  <c r="AI96" i="78"/>
  <c r="AI104" i="78"/>
  <c r="AI93" i="78"/>
  <c r="AI100" i="78"/>
  <c r="AI82" i="78"/>
  <c r="AI86" i="78"/>
  <c r="AI114" i="78"/>
  <c r="AI92" i="78"/>
  <c r="AI90" i="78"/>
  <c r="AI103" i="78"/>
  <c r="Y78" i="78"/>
  <c r="AB78" i="78"/>
  <c r="Y114" i="78"/>
  <c r="Y99" i="78"/>
  <c r="Y91" i="78"/>
  <c r="Y83" i="78"/>
  <c r="Y98" i="78"/>
  <c r="Y90" i="78"/>
  <c r="Y82" i="78"/>
  <c r="Y103" i="78"/>
  <c r="Y95" i="78"/>
  <c r="Y87" i="78"/>
  <c r="Y101" i="78"/>
  <c r="Y88" i="78"/>
  <c r="Y100" i="78"/>
  <c r="Y86" i="78"/>
  <c r="Y97" i="78"/>
  <c r="Y85" i="78"/>
  <c r="Y94" i="78"/>
  <c r="Y81" i="78"/>
  <c r="Y93" i="78"/>
  <c r="Y80" i="78"/>
  <c r="Y92" i="78"/>
  <c r="Y84" i="78"/>
  <c r="Y89" i="78"/>
  <c r="Y102" i="78"/>
  <c r="Y104" i="78"/>
  <c r="Y96" i="78"/>
  <c r="AB99" i="78"/>
  <c r="AB91" i="78"/>
  <c r="AB83" i="78"/>
  <c r="AB81" i="78"/>
  <c r="AB98" i="78"/>
  <c r="AB90" i="78"/>
  <c r="AB82" i="78"/>
  <c r="AB103" i="78"/>
  <c r="AB95" i="78"/>
  <c r="AB87" i="78"/>
  <c r="AB100" i="78"/>
  <c r="AB86" i="78"/>
  <c r="AB97" i="78"/>
  <c r="AB85" i="78"/>
  <c r="AB96" i="78"/>
  <c r="AB84" i="78"/>
  <c r="AB93" i="78"/>
  <c r="AB104" i="78"/>
  <c r="AB92" i="78"/>
  <c r="AB94" i="78"/>
  <c r="AB89" i="78"/>
  <c r="AB88" i="78"/>
  <c r="AB80" i="78"/>
  <c r="AB101" i="78"/>
  <c r="AB102" i="78"/>
  <c r="C34" i="79"/>
  <c r="D34" i="79"/>
  <c r="B34" i="79"/>
  <c r="M8" i="79" s="1"/>
  <c r="AB34" i="78"/>
  <c r="AA34" i="78"/>
  <c r="Z34" i="78"/>
  <c r="Y34" i="78"/>
  <c r="X34" i="78"/>
  <c r="Q34" i="78"/>
  <c r="P34" i="78"/>
  <c r="O34" i="78"/>
  <c r="N34" i="78"/>
  <c r="M34" i="78"/>
  <c r="C34" i="78"/>
  <c r="D34" i="78"/>
  <c r="E34" i="78"/>
  <c r="F34" i="78"/>
  <c r="B34" i="78"/>
  <c r="B45" i="78" s="1"/>
  <c r="AJ104" i="78" l="1"/>
  <c r="AJ100" i="78"/>
  <c r="AJ91" i="78"/>
  <c r="AJ101" i="78"/>
  <c r="AK42" i="78"/>
  <c r="AK100" i="78"/>
  <c r="AW86" i="78"/>
  <c r="AW93" i="78"/>
  <c r="AW99" i="78"/>
  <c r="AW104" i="78"/>
  <c r="AW78" i="78"/>
  <c r="AW106" i="78"/>
  <c r="AW91" i="78"/>
  <c r="AW92" i="78"/>
  <c r="AW83" i="78"/>
  <c r="AW81" i="78"/>
  <c r="AJ97" i="78"/>
  <c r="AJ84" i="78"/>
  <c r="AK83" i="78"/>
  <c r="AK114" i="78"/>
  <c r="AJ106" i="78"/>
  <c r="AK94" i="78"/>
  <c r="AK86" i="78"/>
  <c r="AJ98" i="78"/>
  <c r="AJ87" i="78"/>
  <c r="AJ85" i="78"/>
  <c r="AK92" i="78"/>
  <c r="AK103" i="78"/>
  <c r="AJ81" i="78"/>
  <c r="AK90" i="78"/>
  <c r="AJ114" i="78"/>
  <c r="AK89" i="78"/>
  <c r="AV6" i="78"/>
  <c r="AX114" i="78" s="1"/>
  <c r="AJ96" i="78"/>
  <c r="AK87" i="78"/>
  <c r="AJ94" i="78"/>
  <c r="AJ95" i="78"/>
  <c r="AK78" i="78"/>
  <c r="AK95" i="78"/>
  <c r="F142" i="78"/>
  <c r="H34" i="78"/>
  <c r="Q142" i="78"/>
  <c r="S34" i="78"/>
  <c r="S70" i="78" s="1"/>
  <c r="S106" i="78" s="1"/>
  <c r="AJ99" i="78"/>
  <c r="AJ86" i="78"/>
  <c r="AJ103" i="78"/>
  <c r="AJ92" i="78"/>
  <c r="AJ88" i="78"/>
  <c r="AK101" i="78"/>
  <c r="AK104" i="78"/>
  <c r="AK98" i="78"/>
  <c r="AK97" i="78"/>
  <c r="AW95" i="78"/>
  <c r="AW82" i="78"/>
  <c r="AW96" i="78"/>
  <c r="AW85" i="78"/>
  <c r="H70" i="78"/>
  <c r="H106" i="78" s="1"/>
  <c r="I106" i="78"/>
  <c r="I70" i="78"/>
  <c r="AE106" i="78"/>
  <c r="AE70" i="78"/>
  <c r="AW87" i="78"/>
  <c r="AD34" i="78"/>
  <c r="AF34" i="78" s="1"/>
  <c r="AF70" i="78" s="1"/>
  <c r="AF106" i="78" s="1"/>
  <c r="AB142" i="78"/>
  <c r="AJ82" i="78"/>
  <c r="AK96" i="78"/>
  <c r="AK102" i="78"/>
  <c r="AK99" i="78"/>
  <c r="AK93" i="78"/>
  <c r="AW114" i="78"/>
  <c r="AW97" i="78"/>
  <c r="AW102" i="78"/>
  <c r="AW103" i="78"/>
  <c r="AW98" i="78"/>
  <c r="AJ78" i="78"/>
  <c r="AJ89" i="78"/>
  <c r="AJ83" i="78"/>
  <c r="AK80" i="78"/>
  <c r="AK106" i="78"/>
  <c r="AK84" i="78"/>
  <c r="AW84" i="78"/>
  <c r="AW88" i="78"/>
  <c r="AW90" i="78"/>
  <c r="AW100" i="78"/>
  <c r="AJ102" i="78"/>
  <c r="AJ90" i="78"/>
  <c r="AJ80" i="78"/>
  <c r="AJ93" i="78"/>
  <c r="AK88" i="78"/>
  <c r="AK82" i="78"/>
  <c r="AK81" i="78"/>
  <c r="AW80" i="78"/>
  <c r="AW101" i="78"/>
  <c r="AW94" i="78"/>
  <c r="BI6" i="78"/>
  <c r="BH96" i="78" s="1"/>
  <c r="AX42" i="78"/>
  <c r="BH42" i="78"/>
  <c r="BS6" i="78"/>
  <c r="BF6" i="78"/>
  <c r="AX106" i="78"/>
  <c r="AX86" i="78"/>
  <c r="AX89" i="78"/>
  <c r="AX95" i="78"/>
  <c r="AU42" i="78"/>
  <c r="AX101" i="78"/>
  <c r="AX92" i="78"/>
  <c r="AX104" i="78"/>
  <c r="AX78" i="78"/>
  <c r="AX87" i="78"/>
  <c r="AX93" i="78"/>
  <c r="AX98" i="78"/>
  <c r="AX96" i="78"/>
  <c r="AX97" i="78"/>
  <c r="AX88" i="78"/>
  <c r="AX83" i="78"/>
  <c r="AX81" i="78"/>
  <c r="AX103" i="78"/>
  <c r="AX84" i="78"/>
  <c r="AX99" i="78"/>
  <c r="AX94" i="78"/>
  <c r="AX100" i="78"/>
  <c r="AX82" i="78"/>
  <c r="AX80" i="78"/>
  <c r="AX102" i="78"/>
  <c r="AX90" i="78"/>
  <c r="AX91" i="78"/>
  <c r="AX85" i="78"/>
  <c r="AH37" i="78"/>
  <c r="AH73" i="78"/>
  <c r="AH109" i="78"/>
  <c r="BE6" i="78"/>
  <c r="BD1" i="78" s="1"/>
  <c r="AT42" i="78"/>
  <c r="AT98" i="78"/>
  <c r="AT88" i="78"/>
  <c r="AT82" i="78"/>
  <c r="AT99" i="78"/>
  <c r="AT106" i="78"/>
  <c r="AT102" i="78"/>
  <c r="AT91" i="78"/>
  <c r="AT80" i="78"/>
  <c r="AT100" i="78"/>
  <c r="AT89" i="78"/>
  <c r="AT95" i="78"/>
  <c r="AT81" i="78"/>
  <c r="AT90" i="78"/>
  <c r="AT92" i="78"/>
  <c r="AT97" i="78"/>
  <c r="AT94" i="78"/>
  <c r="AT86" i="78"/>
  <c r="AT83" i="78"/>
  <c r="AT101" i="78"/>
  <c r="AT93" i="78"/>
  <c r="AT104" i="78"/>
  <c r="AT85" i="78"/>
  <c r="AT103" i="78"/>
  <c r="AT114" i="78"/>
  <c r="AT96" i="78"/>
  <c r="AT84" i="78"/>
  <c r="AT87" i="78"/>
  <c r="AT78" i="78"/>
  <c r="C142" i="78"/>
  <c r="AB106" i="78"/>
  <c r="F106" i="78"/>
  <c r="C106" i="78"/>
  <c r="Y142" i="78"/>
  <c r="N106" i="78"/>
  <c r="Q106" i="78"/>
  <c r="Y106" i="78"/>
  <c r="N142" i="78"/>
  <c r="K34" i="79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AE26" i="76"/>
  <c r="AF26" i="76"/>
  <c r="AG26" i="76"/>
  <c r="Q26" i="76"/>
  <c r="AE22" i="76"/>
  <c r="AF22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E9" i="76"/>
  <c r="AF9" i="76"/>
  <c r="AG9" i="76"/>
  <c r="X22" i="76" l="1"/>
  <c r="W22" i="76"/>
  <c r="Y22" i="76"/>
  <c r="V22" i="76"/>
  <c r="AG22" i="76"/>
  <c r="AG48" i="76" s="1"/>
  <c r="T22" i="76"/>
  <c r="T48" i="76" s="1"/>
  <c r="T72" i="76" s="1"/>
  <c r="AC22" i="76"/>
  <c r="Q22" i="76"/>
  <c r="R22" i="76"/>
  <c r="R48" i="76" s="1"/>
  <c r="AB22" i="76"/>
  <c r="AB48" i="76" s="1"/>
  <c r="AB72" i="76" s="1"/>
  <c r="U22" i="76"/>
  <c r="U48" i="76" s="1"/>
  <c r="U72" i="76" s="1"/>
  <c r="AD22" i="76"/>
  <c r="AA22" i="76"/>
  <c r="S22" i="76"/>
  <c r="Z22" i="76"/>
  <c r="BH92" i="78"/>
  <c r="BH102" i="78"/>
  <c r="BH83" i="78"/>
  <c r="AV93" i="78"/>
  <c r="AV89" i="78"/>
  <c r="BH99" i="78"/>
  <c r="BH85" i="78"/>
  <c r="AU102" i="78"/>
  <c r="AU99" i="78"/>
  <c r="AV114" i="78"/>
  <c r="AU86" i="78"/>
  <c r="AU94" i="78"/>
  <c r="BG6" i="78"/>
  <c r="BI114" i="78" s="1"/>
  <c r="AV94" i="78"/>
  <c r="BH90" i="78"/>
  <c r="AU101" i="78"/>
  <c r="AV92" i="78"/>
  <c r="AU103" i="78"/>
  <c r="AV95" i="78"/>
  <c r="BH97" i="78"/>
  <c r="AV101" i="78"/>
  <c r="BH98" i="78"/>
  <c r="AU85" i="78"/>
  <c r="AU98" i="78"/>
  <c r="AU78" i="78"/>
  <c r="AV88" i="78"/>
  <c r="AV99" i="78"/>
  <c r="AU88" i="78"/>
  <c r="AU90" i="78"/>
  <c r="AU87" i="78"/>
  <c r="AV86" i="78"/>
  <c r="AV78" i="78"/>
  <c r="AU84" i="78"/>
  <c r="AV42" i="78"/>
  <c r="AV103" i="78"/>
  <c r="AV82" i="78"/>
  <c r="AV81" i="78"/>
  <c r="AU96" i="78"/>
  <c r="AU104" i="78"/>
  <c r="AU93" i="78"/>
  <c r="AU83" i="78"/>
  <c r="AV96" i="78"/>
  <c r="AV84" i="78"/>
  <c r="AV90" i="78"/>
  <c r="AV98" i="78"/>
  <c r="BH106" i="78"/>
  <c r="BH84" i="78"/>
  <c r="AU114" i="78"/>
  <c r="AU89" i="78"/>
  <c r="AU81" i="78"/>
  <c r="AV80" i="78"/>
  <c r="AV106" i="78"/>
  <c r="AV100" i="78"/>
  <c r="BH91" i="78"/>
  <c r="BH93" i="78"/>
  <c r="BH101" i="78"/>
  <c r="AU92" i="78"/>
  <c r="AU95" i="78"/>
  <c r="AU97" i="78"/>
  <c r="AV91" i="78"/>
  <c r="AV83" i="78"/>
  <c r="AV97" i="78"/>
  <c r="BH81" i="78"/>
  <c r="BH88" i="78"/>
  <c r="BH78" i="78"/>
  <c r="BH104" i="78"/>
  <c r="AU80" i="78"/>
  <c r="AU100" i="78"/>
  <c r="AU106" i="78"/>
  <c r="AU82" i="78"/>
  <c r="AU91" i="78"/>
  <c r="AV104" i="78"/>
  <c r="AV87" i="78"/>
  <c r="AV85" i="78"/>
  <c r="AV102" i="78"/>
  <c r="BH94" i="78"/>
  <c r="BH114" i="78"/>
  <c r="BH86" i="78"/>
  <c r="BH82" i="78"/>
  <c r="AE48" i="76"/>
  <c r="AE72" i="76" s="1"/>
  <c r="AD70" i="78"/>
  <c r="AD106" i="78" s="1"/>
  <c r="BH89" i="78"/>
  <c r="BH80" i="78"/>
  <c r="BH87" i="78"/>
  <c r="BH95" i="78"/>
  <c r="V8" i="79"/>
  <c r="AD34" i="79"/>
  <c r="Z34" i="79"/>
  <c r="AE34" i="79"/>
  <c r="Y34" i="79"/>
  <c r="AF34" i="79"/>
  <c r="AG34" i="79"/>
  <c r="AB34" i="79"/>
  <c r="AC34" i="79"/>
  <c r="AA34" i="79"/>
  <c r="BH100" i="78"/>
  <c r="BH103" i="78"/>
  <c r="BT6" i="78"/>
  <c r="BS106" i="78" s="1"/>
  <c r="BI42" i="78"/>
  <c r="CD6" i="78"/>
  <c r="BS42" i="78"/>
  <c r="BQ6" i="78"/>
  <c r="BI95" i="78"/>
  <c r="BI81" i="78"/>
  <c r="BI101" i="78"/>
  <c r="BI92" i="78"/>
  <c r="BI88" i="78"/>
  <c r="BI90" i="78"/>
  <c r="BI89" i="78"/>
  <c r="BI97" i="78"/>
  <c r="BI91" i="78"/>
  <c r="BI104" i="78"/>
  <c r="BI106" i="78"/>
  <c r="BI98" i="78"/>
  <c r="BF42" i="78"/>
  <c r="BI94" i="78"/>
  <c r="BI87" i="78"/>
  <c r="BI78" i="78"/>
  <c r="BI102" i="78"/>
  <c r="BI93" i="78"/>
  <c r="BI84" i="78"/>
  <c r="BI80" i="78"/>
  <c r="BI85" i="78"/>
  <c r="BI99" i="78"/>
  <c r="BI86" i="78"/>
  <c r="BI100" i="78"/>
  <c r="BI96" i="78"/>
  <c r="BI82" i="78"/>
  <c r="BI83" i="78"/>
  <c r="BI103" i="78"/>
  <c r="BE114" i="78"/>
  <c r="BE83" i="78"/>
  <c r="BE96" i="78"/>
  <c r="BE103" i="78"/>
  <c r="BE101" i="78"/>
  <c r="BE93" i="78"/>
  <c r="BE86" i="78"/>
  <c r="BE85" i="78"/>
  <c r="BE42" i="78"/>
  <c r="BE104" i="78"/>
  <c r="BE88" i="78"/>
  <c r="BE95" i="78"/>
  <c r="BE102" i="78"/>
  <c r="BE99" i="78"/>
  <c r="BE91" i="78"/>
  <c r="BE87" i="78"/>
  <c r="BP6" i="78"/>
  <c r="BO1" i="78" s="1"/>
  <c r="BE94" i="78"/>
  <c r="BE78" i="78"/>
  <c r="BE80" i="78"/>
  <c r="BE98" i="78"/>
  <c r="BE82" i="78"/>
  <c r="BE106" i="78"/>
  <c r="BE100" i="78"/>
  <c r="BE90" i="78"/>
  <c r="BE97" i="78"/>
  <c r="BE81" i="78"/>
  <c r="BE84" i="78"/>
  <c r="BE92" i="78"/>
  <c r="BE89" i="78"/>
  <c r="AS109" i="78"/>
  <c r="AS73" i="78"/>
  <c r="AS37" i="78"/>
  <c r="W48" i="76"/>
  <c r="W72" i="76" s="1"/>
  <c r="AF48" i="76"/>
  <c r="AF68" i="76" s="1"/>
  <c r="X48" i="76"/>
  <c r="B20" i="52"/>
  <c r="Z48" i="76"/>
  <c r="AA48" i="76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33" i="21"/>
  <c r="AF33" i="21"/>
  <c r="AE33" i="21"/>
  <c r="AD33" i="21"/>
  <c r="AD38" i="21" s="1"/>
  <c r="AC33" i="21"/>
  <c r="AB33" i="21"/>
  <c r="AA33" i="21"/>
  <c r="Z33" i="21"/>
  <c r="Y33" i="21"/>
  <c r="X33" i="21"/>
  <c r="W33" i="21"/>
  <c r="V33" i="21"/>
  <c r="U33" i="21"/>
  <c r="T33" i="21"/>
  <c r="S33" i="21"/>
  <c r="R33" i="21"/>
  <c r="Q33" i="21"/>
  <c r="AG18" i="21"/>
  <c r="AF18" i="21"/>
  <c r="AE18" i="21"/>
  <c r="AC18" i="21"/>
  <c r="AB18" i="21"/>
  <c r="AA18" i="21"/>
  <c r="Z18" i="21"/>
  <c r="Y18" i="21"/>
  <c r="X18" i="21"/>
  <c r="W18" i="21"/>
  <c r="V18" i="21"/>
  <c r="U18" i="21"/>
  <c r="T18" i="21"/>
  <c r="S18" i="21"/>
  <c r="R18" i="21"/>
  <c r="Q18" i="21"/>
  <c r="AG11" i="21"/>
  <c r="AF11" i="21"/>
  <c r="AE11" i="21"/>
  <c r="AC11" i="21"/>
  <c r="AB11" i="21"/>
  <c r="AA11" i="21"/>
  <c r="Z11" i="21"/>
  <c r="Y11" i="21"/>
  <c r="X11" i="21"/>
  <c r="W11" i="21"/>
  <c r="V11" i="21"/>
  <c r="U11" i="21"/>
  <c r="T11" i="21"/>
  <c r="S11" i="21"/>
  <c r="R11" i="21"/>
  <c r="Q11" i="21"/>
  <c r="C34" i="71"/>
  <c r="C175" i="71" s="1"/>
  <c r="D34" i="71"/>
  <c r="E34" i="71"/>
  <c r="E175" i="71" s="1"/>
  <c r="D175" i="71" l="1"/>
  <c r="H175" i="71" s="1"/>
  <c r="M7" i="75" s="1"/>
  <c r="M107" i="75"/>
  <c r="I175" i="71"/>
  <c r="N7" i="75" s="1"/>
  <c r="W55" i="76"/>
  <c r="AF72" i="76"/>
  <c r="AE55" i="76"/>
  <c r="AG64" i="76"/>
  <c r="AG69" i="76"/>
  <c r="AG79" i="76"/>
  <c r="AG59" i="76"/>
  <c r="AG74" i="76"/>
  <c r="AG73" i="76"/>
  <c r="AG53" i="76"/>
  <c r="AG58" i="76"/>
  <c r="AG63" i="76"/>
  <c r="AG52" i="76"/>
  <c r="AG57" i="76"/>
  <c r="AG62" i="76"/>
  <c r="AG66" i="76"/>
  <c r="AG76" i="76"/>
  <c r="AG87" i="76"/>
  <c r="AG92" i="76"/>
  <c r="AG56" i="76"/>
  <c r="AG65" i="76"/>
  <c r="AG80" i="76"/>
  <c r="AG83" i="76"/>
  <c r="AG70" i="76"/>
  <c r="AG91" i="76"/>
  <c r="AG84" i="76"/>
  <c r="AG94" i="76"/>
  <c r="AG75" i="76"/>
  <c r="AG88" i="76"/>
  <c r="AG78" i="76"/>
  <c r="AG86" i="76"/>
  <c r="AG82" i="76"/>
  <c r="AG90" i="76"/>
  <c r="AG61" i="76"/>
  <c r="AG51" i="76"/>
  <c r="AE59" i="76"/>
  <c r="AE64" i="76"/>
  <c r="AE69" i="76"/>
  <c r="AE74" i="76"/>
  <c r="AE79" i="76"/>
  <c r="AE84" i="76"/>
  <c r="AE53" i="76"/>
  <c r="AE58" i="76"/>
  <c r="AE63" i="76"/>
  <c r="AE73" i="76"/>
  <c r="AE52" i="76"/>
  <c r="AE57" i="76"/>
  <c r="AE62" i="76"/>
  <c r="AE66" i="76"/>
  <c r="AE76" i="76"/>
  <c r="AE87" i="76"/>
  <c r="AE92" i="76"/>
  <c r="AE65" i="76"/>
  <c r="AE70" i="76"/>
  <c r="AE56" i="76"/>
  <c r="AE75" i="76"/>
  <c r="AE80" i="76"/>
  <c r="AE83" i="76"/>
  <c r="AE91" i="76"/>
  <c r="AE94" i="76"/>
  <c r="AE88" i="76"/>
  <c r="AE61" i="76"/>
  <c r="AE86" i="76"/>
  <c r="AE82" i="76"/>
  <c r="AE78" i="76"/>
  <c r="AE51" i="76"/>
  <c r="AE90" i="76"/>
  <c r="AG55" i="76"/>
  <c r="U74" i="76"/>
  <c r="U59" i="76"/>
  <c r="U64" i="76"/>
  <c r="U69" i="76"/>
  <c r="U79" i="76"/>
  <c r="U73" i="76"/>
  <c r="U53" i="76"/>
  <c r="U58" i="76"/>
  <c r="U63" i="76"/>
  <c r="U52" i="76"/>
  <c r="U57" i="76"/>
  <c r="U62" i="76"/>
  <c r="U66" i="76"/>
  <c r="U76" i="76"/>
  <c r="U87" i="76"/>
  <c r="U92" i="76"/>
  <c r="U56" i="76"/>
  <c r="U65" i="76"/>
  <c r="U70" i="76"/>
  <c r="U84" i="76"/>
  <c r="U83" i="76"/>
  <c r="U94" i="76"/>
  <c r="U88" i="76"/>
  <c r="U75" i="76"/>
  <c r="U80" i="76"/>
  <c r="U91" i="76"/>
  <c r="U78" i="76"/>
  <c r="U51" i="76"/>
  <c r="U82" i="76"/>
  <c r="U61" i="76"/>
  <c r="U86" i="76"/>
  <c r="U90" i="76"/>
  <c r="U68" i="76"/>
  <c r="T68" i="76"/>
  <c r="AA66" i="76"/>
  <c r="AA52" i="76"/>
  <c r="AA57" i="76"/>
  <c r="AA62" i="76"/>
  <c r="AA76" i="76"/>
  <c r="AA75" i="76"/>
  <c r="AA80" i="76"/>
  <c r="AA56" i="76"/>
  <c r="AA65" i="76"/>
  <c r="AA70" i="76"/>
  <c r="AA59" i="76"/>
  <c r="AA64" i="76"/>
  <c r="AA69" i="76"/>
  <c r="AA74" i="76"/>
  <c r="AA79" i="76"/>
  <c r="AA84" i="76"/>
  <c r="AA53" i="76"/>
  <c r="AA58" i="76"/>
  <c r="AA63" i="76"/>
  <c r="AA91" i="76"/>
  <c r="AA94" i="76"/>
  <c r="AA73" i="76"/>
  <c r="AA88" i="76"/>
  <c r="AA83" i="76"/>
  <c r="AA92" i="76"/>
  <c r="AA87" i="76"/>
  <c r="AA86" i="76"/>
  <c r="AA82" i="76"/>
  <c r="AA90" i="76"/>
  <c r="AA78" i="76"/>
  <c r="AA51" i="76"/>
  <c r="AA61" i="76"/>
  <c r="R53" i="76"/>
  <c r="R58" i="76"/>
  <c r="R63" i="76"/>
  <c r="R73" i="76"/>
  <c r="R83" i="76"/>
  <c r="R52" i="76"/>
  <c r="R66" i="76"/>
  <c r="R57" i="76"/>
  <c r="R62" i="76"/>
  <c r="R76" i="76"/>
  <c r="R56" i="76"/>
  <c r="R65" i="76"/>
  <c r="R70" i="76"/>
  <c r="R75" i="76"/>
  <c r="R80" i="76"/>
  <c r="R91" i="76"/>
  <c r="R59" i="76"/>
  <c r="R64" i="76"/>
  <c r="R69" i="76"/>
  <c r="R84" i="76"/>
  <c r="R94" i="76"/>
  <c r="R88" i="76"/>
  <c r="R74" i="76"/>
  <c r="R87" i="76"/>
  <c r="R79" i="76"/>
  <c r="R92" i="76"/>
  <c r="R90" i="76"/>
  <c r="R82" i="76"/>
  <c r="R78" i="76"/>
  <c r="R51" i="76"/>
  <c r="R61" i="76"/>
  <c r="R86" i="76"/>
  <c r="AB68" i="76"/>
  <c r="AG72" i="76"/>
  <c r="U55" i="76"/>
  <c r="AG68" i="76"/>
  <c r="AB53" i="76"/>
  <c r="AB58" i="76"/>
  <c r="AB63" i="76"/>
  <c r="AB73" i="76"/>
  <c r="AB83" i="76"/>
  <c r="AB88" i="76"/>
  <c r="AB94" i="76"/>
  <c r="AB52" i="76"/>
  <c r="AB57" i="76"/>
  <c r="AB62" i="76"/>
  <c r="AB66" i="76"/>
  <c r="AB76" i="76"/>
  <c r="AB56" i="76"/>
  <c r="AB65" i="76"/>
  <c r="AB70" i="76"/>
  <c r="AB75" i="76"/>
  <c r="AB80" i="76"/>
  <c r="AB91" i="76"/>
  <c r="AB69" i="76"/>
  <c r="AB74" i="76"/>
  <c r="AB59" i="76"/>
  <c r="AB64" i="76"/>
  <c r="AB87" i="76"/>
  <c r="AB84" i="76"/>
  <c r="AB79" i="76"/>
  <c r="AB92" i="76"/>
  <c r="AB86" i="76"/>
  <c r="AB78" i="76"/>
  <c r="AB90" i="76"/>
  <c r="AB61" i="76"/>
  <c r="AB82" i="76"/>
  <c r="AB51" i="76"/>
  <c r="AC48" i="76"/>
  <c r="AA72" i="76"/>
  <c r="R72" i="76"/>
  <c r="AA55" i="76"/>
  <c r="W68" i="76"/>
  <c r="X70" i="76"/>
  <c r="X75" i="76"/>
  <c r="X80" i="76"/>
  <c r="X56" i="76"/>
  <c r="X65" i="76"/>
  <c r="X64" i="76"/>
  <c r="X69" i="76"/>
  <c r="X79" i="76"/>
  <c r="X59" i="76"/>
  <c r="X74" i="76"/>
  <c r="X53" i="76"/>
  <c r="X58" i="76"/>
  <c r="X63" i="76"/>
  <c r="X73" i="76"/>
  <c r="X83" i="76"/>
  <c r="X88" i="76"/>
  <c r="X94" i="76"/>
  <c r="X52" i="76"/>
  <c r="X57" i="76"/>
  <c r="X62" i="76"/>
  <c r="X66" i="76"/>
  <c r="X76" i="76"/>
  <c r="X91" i="76"/>
  <c r="X92" i="76"/>
  <c r="X84" i="76"/>
  <c r="X87" i="76"/>
  <c r="X61" i="76"/>
  <c r="X86" i="76"/>
  <c r="X90" i="76"/>
  <c r="X82" i="76"/>
  <c r="X51" i="76"/>
  <c r="X78" i="76"/>
  <c r="AD48" i="76"/>
  <c r="AD68" i="76" s="1"/>
  <c r="AA68" i="76"/>
  <c r="R68" i="76"/>
  <c r="T59" i="76"/>
  <c r="T64" i="76"/>
  <c r="T69" i="76"/>
  <c r="T74" i="76"/>
  <c r="T79" i="76"/>
  <c r="T84" i="76"/>
  <c r="T53" i="76"/>
  <c r="T58" i="76"/>
  <c r="T63" i="76"/>
  <c r="T73" i="76"/>
  <c r="T83" i="76"/>
  <c r="T88" i="76"/>
  <c r="T94" i="76"/>
  <c r="T52" i="76"/>
  <c r="T57" i="76"/>
  <c r="T62" i="76"/>
  <c r="T66" i="76"/>
  <c r="T76" i="76"/>
  <c r="T87" i="76"/>
  <c r="T92" i="76"/>
  <c r="T56" i="76"/>
  <c r="T65" i="76"/>
  <c r="T70" i="76"/>
  <c r="T75" i="76"/>
  <c r="T80" i="76"/>
  <c r="T91" i="76"/>
  <c r="T61" i="76"/>
  <c r="T82" i="76"/>
  <c r="T86" i="76"/>
  <c r="T90" i="76"/>
  <c r="T78" i="76"/>
  <c r="T51" i="76"/>
  <c r="AF59" i="76"/>
  <c r="AF64" i="76"/>
  <c r="AF69" i="76"/>
  <c r="AF74" i="76"/>
  <c r="AF79" i="76"/>
  <c r="AF84" i="76"/>
  <c r="AF53" i="76"/>
  <c r="AF58" i="76"/>
  <c r="AF63" i="76"/>
  <c r="AF73" i="76"/>
  <c r="AF83" i="76"/>
  <c r="AF88" i="76"/>
  <c r="AF94" i="76"/>
  <c r="AF52" i="76"/>
  <c r="AF57" i="76"/>
  <c r="AF62" i="76"/>
  <c r="AF66" i="76"/>
  <c r="AF76" i="76"/>
  <c r="AF87" i="76"/>
  <c r="AF92" i="76"/>
  <c r="AF56" i="76"/>
  <c r="AF65" i="76"/>
  <c r="AF70" i="76"/>
  <c r="AF75" i="76"/>
  <c r="AF80" i="76"/>
  <c r="AF91" i="76"/>
  <c r="AF86" i="76"/>
  <c r="AF90" i="76"/>
  <c r="AF82" i="76"/>
  <c r="AF78" i="76"/>
  <c r="AF61" i="76"/>
  <c r="AF51" i="76"/>
  <c r="T55" i="76"/>
  <c r="X55" i="76"/>
  <c r="X72" i="76"/>
  <c r="Z52" i="76"/>
  <c r="Z57" i="76"/>
  <c r="Z62" i="76"/>
  <c r="Z66" i="76"/>
  <c r="Z76" i="76"/>
  <c r="Z87" i="76"/>
  <c r="Z92" i="76"/>
  <c r="Z56" i="76"/>
  <c r="Z65" i="76"/>
  <c r="Z70" i="76"/>
  <c r="Z75" i="76"/>
  <c r="Z80" i="76"/>
  <c r="Z91" i="76"/>
  <c r="Z59" i="76"/>
  <c r="Z64" i="76"/>
  <c r="Z69" i="76"/>
  <c r="Z74" i="76"/>
  <c r="Z79" i="76"/>
  <c r="Z84" i="76"/>
  <c r="Z53" i="76"/>
  <c r="Z58" i="76"/>
  <c r="Z63" i="76"/>
  <c r="Z73" i="76"/>
  <c r="Z83" i="76"/>
  <c r="Z88" i="76"/>
  <c r="Z94" i="76"/>
  <c r="Z61" i="76"/>
  <c r="Z51" i="76"/>
  <c r="Z86" i="76"/>
  <c r="Z82" i="76"/>
  <c r="Z78" i="76"/>
  <c r="Z90" i="76"/>
  <c r="AB55" i="76"/>
  <c r="W56" i="76"/>
  <c r="W65" i="76"/>
  <c r="W70" i="76"/>
  <c r="W75" i="76"/>
  <c r="W80" i="76"/>
  <c r="W91" i="76"/>
  <c r="W59" i="76"/>
  <c r="W64" i="76"/>
  <c r="W69" i="76"/>
  <c r="W74" i="76"/>
  <c r="W79" i="76"/>
  <c r="W84" i="76"/>
  <c r="W53" i="76"/>
  <c r="W58" i="76"/>
  <c r="W63" i="76"/>
  <c r="W73" i="76"/>
  <c r="W83" i="76"/>
  <c r="W88" i="76"/>
  <c r="W94" i="76"/>
  <c r="W52" i="76"/>
  <c r="W57" i="76"/>
  <c r="W62" i="76"/>
  <c r="W66" i="76"/>
  <c r="W76" i="76"/>
  <c r="W87" i="76"/>
  <c r="W92" i="76"/>
  <c r="W82" i="76"/>
  <c r="W51" i="76"/>
  <c r="W86" i="76"/>
  <c r="W78" i="76"/>
  <c r="W61" i="76"/>
  <c r="W90" i="76"/>
  <c r="Z72" i="76"/>
  <c r="AF55" i="76"/>
  <c r="Z55" i="76"/>
  <c r="X68" i="76"/>
  <c r="V48" i="76"/>
  <c r="S48" i="76"/>
  <c r="Y48" i="76"/>
  <c r="Z68" i="76"/>
  <c r="Q48" i="76"/>
  <c r="Q68" i="76" s="1"/>
  <c r="AE68" i="76"/>
  <c r="R55" i="76"/>
  <c r="BF106" i="78"/>
  <c r="BG91" i="78"/>
  <c r="BG42" i="78"/>
  <c r="BF97" i="78"/>
  <c r="BF99" i="78"/>
  <c r="BG98" i="78"/>
  <c r="BF78" i="78"/>
  <c r="BG95" i="78"/>
  <c r="BF90" i="78"/>
  <c r="BF114" i="78"/>
  <c r="BF89" i="78"/>
  <c r="BF102" i="78"/>
  <c r="BG80" i="78"/>
  <c r="BG97" i="78"/>
  <c r="BG82" i="78"/>
  <c r="BF81" i="78"/>
  <c r="BG88" i="78"/>
  <c r="BG92" i="78"/>
  <c r="BG101" i="78"/>
  <c r="BF88" i="78"/>
  <c r="BG99" i="78"/>
  <c r="BF98" i="78"/>
  <c r="BF103" i="78"/>
  <c r="BF91" i="78"/>
  <c r="BF80" i="78"/>
  <c r="BF85" i="78"/>
  <c r="BF86" i="78"/>
  <c r="BG86" i="78"/>
  <c r="BG78" i="78"/>
  <c r="BG84" i="78"/>
  <c r="BF104" i="78"/>
  <c r="BF82" i="78"/>
  <c r="BF92" i="78"/>
  <c r="BG87" i="78"/>
  <c r="BG102" i="78"/>
  <c r="BG90" i="78"/>
  <c r="BR6" i="78"/>
  <c r="BR106" i="78" s="1"/>
  <c r="BF95" i="78"/>
  <c r="BG106" i="78"/>
  <c r="BG103" i="78"/>
  <c r="BF101" i="78"/>
  <c r="BF100" i="78"/>
  <c r="BG114" i="78"/>
  <c r="BG81" i="78"/>
  <c r="BG85" i="78"/>
  <c r="BG83" i="78"/>
  <c r="BF87" i="78"/>
  <c r="BF93" i="78"/>
  <c r="BG104" i="78"/>
  <c r="BG100" i="78"/>
  <c r="BF96" i="78"/>
  <c r="BF94" i="78"/>
  <c r="BF84" i="78"/>
  <c r="BF83" i="78"/>
  <c r="BG96" i="78"/>
  <c r="BG93" i="78"/>
  <c r="BG94" i="78"/>
  <c r="BG89" i="78"/>
  <c r="BS85" i="78"/>
  <c r="BS86" i="78"/>
  <c r="BS82" i="78"/>
  <c r="BS90" i="78"/>
  <c r="BS92" i="78"/>
  <c r="BS96" i="78"/>
  <c r="BS104" i="78"/>
  <c r="BS80" i="78"/>
  <c r="BS89" i="78"/>
  <c r="BS84" i="78"/>
  <c r="BS101" i="78"/>
  <c r="BS95" i="78"/>
  <c r="BS114" i="78"/>
  <c r="BS97" i="78"/>
  <c r="BS93" i="78"/>
  <c r="BS91" i="78"/>
  <c r="BS102" i="78"/>
  <c r="BS99" i="78"/>
  <c r="BS81" i="78"/>
  <c r="BS78" i="78"/>
  <c r="BS100" i="78"/>
  <c r="BS87" i="78"/>
  <c r="BS94" i="78"/>
  <c r="BS103" i="78"/>
  <c r="BS83" i="78"/>
  <c r="BS98" i="78"/>
  <c r="BS88" i="78"/>
  <c r="F106" i="71"/>
  <c r="H34" i="71"/>
  <c r="F142" i="71"/>
  <c r="N107" i="75" s="1"/>
  <c r="I70" i="71"/>
  <c r="I106" i="71"/>
  <c r="B106" i="71"/>
  <c r="B142" i="71"/>
  <c r="CE6" i="78"/>
  <c r="CD78" i="78" s="1"/>
  <c r="BT42" i="78"/>
  <c r="CO6" i="78"/>
  <c r="CD42" i="78"/>
  <c r="CB6" i="78"/>
  <c r="BT104" i="78"/>
  <c r="BT82" i="78"/>
  <c r="BT95" i="78"/>
  <c r="BT81" i="78"/>
  <c r="BT101" i="78"/>
  <c r="BT90" i="78"/>
  <c r="BQ42" i="78"/>
  <c r="BT89" i="78"/>
  <c r="BT88" i="78"/>
  <c r="BT87" i="78"/>
  <c r="BT106" i="78"/>
  <c r="BT86" i="78"/>
  <c r="BT92" i="78"/>
  <c r="BT91" i="78"/>
  <c r="BT85" i="78"/>
  <c r="BT83" i="78"/>
  <c r="BT93" i="78"/>
  <c r="BT84" i="78"/>
  <c r="BT80" i="78"/>
  <c r="BT96" i="78"/>
  <c r="BT98" i="78"/>
  <c r="BT103" i="78"/>
  <c r="BT94" i="78"/>
  <c r="BT100" i="78"/>
  <c r="BT97" i="78"/>
  <c r="BT78" i="78"/>
  <c r="BT102" i="78"/>
  <c r="BT99" i="78"/>
  <c r="BD73" i="78"/>
  <c r="BD109" i="78"/>
  <c r="BD37" i="78"/>
  <c r="BP114" i="78"/>
  <c r="BP102" i="78"/>
  <c r="BP91" i="78"/>
  <c r="BP100" i="78"/>
  <c r="CA6" i="78"/>
  <c r="BZ1" i="78" s="1"/>
  <c r="BP94" i="78"/>
  <c r="BP86" i="78"/>
  <c r="BP83" i="78"/>
  <c r="BP93" i="78"/>
  <c r="BP85" i="78"/>
  <c r="BP101" i="78"/>
  <c r="BP78" i="78"/>
  <c r="BP103" i="78"/>
  <c r="BP95" i="78"/>
  <c r="BP92" i="78"/>
  <c r="BP87" i="78"/>
  <c r="BP84" i="78"/>
  <c r="BP99" i="78"/>
  <c r="BP104" i="78"/>
  <c r="BP106" i="78"/>
  <c r="BP98" i="78"/>
  <c r="BP89" i="78"/>
  <c r="BP97" i="78"/>
  <c r="BP80" i="78"/>
  <c r="BP81" i="78"/>
  <c r="BP82" i="78"/>
  <c r="BP90" i="78"/>
  <c r="BP42" i="78"/>
  <c r="BP88" i="78"/>
  <c r="BP96" i="78"/>
  <c r="Q38" i="21"/>
  <c r="B8" i="52"/>
  <c r="C142" i="71"/>
  <c r="C106" i="71"/>
  <c r="P8" i="52"/>
  <c r="N8" i="52"/>
  <c r="L8" i="52"/>
  <c r="K8" i="52"/>
  <c r="J8" i="52"/>
  <c r="H8" i="52"/>
  <c r="G8" i="52"/>
  <c r="H70" i="71" l="1"/>
  <c r="H106" i="71" s="1"/>
  <c r="P63" i="31"/>
  <c r="Y52" i="76"/>
  <c r="Y57" i="76"/>
  <c r="Y62" i="76"/>
  <c r="Y66" i="76"/>
  <c r="Y76" i="76"/>
  <c r="Y87" i="76"/>
  <c r="Y92" i="76"/>
  <c r="Y56" i="76"/>
  <c r="Y65" i="76"/>
  <c r="Y70" i="76"/>
  <c r="Y75" i="76"/>
  <c r="Y59" i="76"/>
  <c r="Y64" i="76"/>
  <c r="Y69" i="76"/>
  <c r="Y74" i="76"/>
  <c r="Y79" i="76"/>
  <c r="Y84" i="76"/>
  <c r="Y63" i="76"/>
  <c r="Y53" i="76"/>
  <c r="Y58" i="76"/>
  <c r="Y73" i="76"/>
  <c r="Y83" i="76"/>
  <c r="Y80" i="76"/>
  <c r="Y91" i="76"/>
  <c r="Y88" i="76"/>
  <c r="Y94" i="76"/>
  <c r="Y78" i="76"/>
  <c r="Y90" i="76"/>
  <c r="Y51" i="76"/>
  <c r="Y61" i="76"/>
  <c r="Y82" i="76"/>
  <c r="Y86" i="76"/>
  <c r="Y55" i="76"/>
  <c r="Y72" i="76"/>
  <c r="S59" i="76"/>
  <c r="S64" i="76"/>
  <c r="S69" i="76"/>
  <c r="S74" i="76"/>
  <c r="S79" i="76"/>
  <c r="S84" i="76"/>
  <c r="S53" i="76"/>
  <c r="S58" i="76"/>
  <c r="S63" i="76"/>
  <c r="S73" i="76"/>
  <c r="S52" i="76"/>
  <c r="S57" i="76"/>
  <c r="S62" i="76"/>
  <c r="S66" i="76"/>
  <c r="S76" i="76"/>
  <c r="S87" i="76"/>
  <c r="S92" i="76"/>
  <c r="S80" i="76"/>
  <c r="S56" i="76"/>
  <c r="S65" i="76"/>
  <c r="S70" i="76"/>
  <c r="S94" i="76"/>
  <c r="S83" i="76"/>
  <c r="S88" i="76"/>
  <c r="S75" i="76"/>
  <c r="S91" i="76"/>
  <c r="S82" i="76"/>
  <c r="S78" i="76"/>
  <c r="S51" i="76"/>
  <c r="S86" i="76"/>
  <c r="S90" i="76"/>
  <c r="S61" i="76"/>
  <c r="S72" i="76"/>
  <c r="S55" i="76"/>
  <c r="S68" i="76"/>
  <c r="V56" i="76"/>
  <c r="V65" i="76"/>
  <c r="V70" i="76"/>
  <c r="V75" i="76"/>
  <c r="V80" i="76"/>
  <c r="V91" i="76"/>
  <c r="V59" i="76"/>
  <c r="V64" i="76"/>
  <c r="V69" i="76"/>
  <c r="V74" i="76"/>
  <c r="V53" i="76"/>
  <c r="V58" i="76"/>
  <c r="V63" i="76"/>
  <c r="V73" i="76"/>
  <c r="V83" i="76"/>
  <c r="V88" i="76"/>
  <c r="V94" i="76"/>
  <c r="V52" i="76"/>
  <c r="V76" i="76"/>
  <c r="V57" i="76"/>
  <c r="V62" i="76"/>
  <c r="V66" i="76"/>
  <c r="V87" i="76"/>
  <c r="V84" i="76"/>
  <c r="V79" i="76"/>
  <c r="V92" i="76"/>
  <c r="V86" i="76"/>
  <c r="V82" i="76"/>
  <c r="V61" i="76"/>
  <c r="V90" i="76"/>
  <c r="V78" i="76"/>
  <c r="V51" i="76"/>
  <c r="V55" i="76"/>
  <c r="V72" i="76"/>
  <c r="V68" i="76"/>
  <c r="AD63" i="76"/>
  <c r="AD73" i="76"/>
  <c r="AD53" i="76"/>
  <c r="AD58" i="76"/>
  <c r="AD76" i="76"/>
  <c r="AD52" i="76"/>
  <c r="AD57" i="76"/>
  <c r="AD62" i="76"/>
  <c r="AD66" i="76"/>
  <c r="AD56" i="76"/>
  <c r="AD65" i="76"/>
  <c r="AD70" i="76"/>
  <c r="AD75" i="76"/>
  <c r="AD80" i="76"/>
  <c r="AD91" i="76"/>
  <c r="AD59" i="76"/>
  <c r="AD64" i="76"/>
  <c r="AD92" i="76"/>
  <c r="AD69" i="76"/>
  <c r="AD87" i="76"/>
  <c r="AD94" i="76"/>
  <c r="AD84" i="76"/>
  <c r="AD74" i="76"/>
  <c r="AD79" i="76"/>
  <c r="AD88" i="76"/>
  <c r="AD83" i="76"/>
  <c r="AD78" i="76"/>
  <c r="AD82" i="76"/>
  <c r="AD90" i="76"/>
  <c r="AD61" i="76"/>
  <c r="AD51" i="76"/>
  <c r="AD86" i="76"/>
  <c r="AD72" i="76"/>
  <c r="AD55" i="76"/>
  <c r="Q53" i="76"/>
  <c r="Q58" i="76"/>
  <c r="Q63" i="76"/>
  <c r="Q73" i="76"/>
  <c r="Q83" i="76"/>
  <c r="Q88" i="76"/>
  <c r="Q94" i="76"/>
  <c r="Q52" i="76"/>
  <c r="Q57" i="76"/>
  <c r="Q62" i="76"/>
  <c r="Q66" i="76"/>
  <c r="Q76" i="76"/>
  <c r="Q87" i="76"/>
  <c r="Q92" i="76"/>
  <c r="Q56" i="76"/>
  <c r="Q65" i="76"/>
  <c r="Q70" i="76"/>
  <c r="Q75" i="76"/>
  <c r="Q80" i="76"/>
  <c r="Q91" i="76"/>
  <c r="Q59" i="76"/>
  <c r="Q64" i="76"/>
  <c r="Q69" i="76"/>
  <c r="Q74" i="76"/>
  <c r="Q79" i="76"/>
  <c r="Q84" i="76"/>
  <c r="Q55" i="76"/>
  <c r="Q82" i="76"/>
  <c r="Q51" i="76"/>
  <c r="Q90" i="76"/>
  <c r="Q61" i="76"/>
  <c r="Q78" i="76"/>
  <c r="Q86" i="76"/>
  <c r="Q72" i="76"/>
  <c r="AC53" i="76"/>
  <c r="AC58" i="76"/>
  <c r="AC63" i="76"/>
  <c r="AC73" i="76"/>
  <c r="AC83" i="76"/>
  <c r="AC88" i="76"/>
  <c r="AC94" i="76"/>
  <c r="AC52" i="76"/>
  <c r="AC57" i="76"/>
  <c r="AC62" i="76"/>
  <c r="AC66" i="76"/>
  <c r="AC76" i="76"/>
  <c r="AC87" i="76"/>
  <c r="AC92" i="76"/>
  <c r="AC56" i="76"/>
  <c r="AC65" i="76"/>
  <c r="AC70" i="76"/>
  <c r="AC75" i="76"/>
  <c r="AC80" i="76"/>
  <c r="AC91" i="76"/>
  <c r="AC59" i="76"/>
  <c r="AC64" i="76"/>
  <c r="AC69" i="76"/>
  <c r="AC74" i="76"/>
  <c r="AC79" i="76"/>
  <c r="AC84" i="76"/>
  <c r="AC82" i="76"/>
  <c r="AC90" i="76"/>
  <c r="AC86" i="76"/>
  <c r="AC61" i="76"/>
  <c r="AC78" i="76"/>
  <c r="AC51" i="76"/>
  <c r="AC72" i="76"/>
  <c r="AC55" i="76"/>
  <c r="Y68" i="76"/>
  <c r="AC68" i="76"/>
  <c r="BQ83" i="78"/>
  <c r="BQ94" i="78"/>
  <c r="BR97" i="78"/>
  <c r="BQ93" i="78"/>
  <c r="BR84" i="78"/>
  <c r="BQ97" i="78"/>
  <c r="BR93" i="78"/>
  <c r="BQ100" i="78"/>
  <c r="BR87" i="78"/>
  <c r="BR90" i="78"/>
  <c r="BQ87" i="78"/>
  <c r="BQ95" i="78"/>
  <c r="BQ99" i="78"/>
  <c r="BR99" i="78"/>
  <c r="BQ81" i="78"/>
  <c r="BQ91" i="78"/>
  <c r="BR83" i="78"/>
  <c r="BR102" i="78"/>
  <c r="BQ104" i="78"/>
  <c r="BR100" i="78"/>
  <c r="BR85" i="78"/>
  <c r="BQ80" i="78"/>
  <c r="BQ88" i="78"/>
  <c r="BQ85" i="78"/>
  <c r="BR103" i="78"/>
  <c r="CC6" i="78"/>
  <c r="CC78" i="78" s="1"/>
  <c r="BQ102" i="78"/>
  <c r="BQ86" i="78"/>
  <c r="BQ89" i="78"/>
  <c r="BQ92" i="78"/>
  <c r="BR98" i="78"/>
  <c r="BR101" i="78"/>
  <c r="BR81" i="78"/>
  <c r="BR96" i="78"/>
  <c r="BR86" i="78"/>
  <c r="BQ90" i="78"/>
  <c r="BQ114" i="78"/>
  <c r="BQ101" i="78"/>
  <c r="BQ84" i="78"/>
  <c r="BR89" i="78"/>
  <c r="BR114" i="78"/>
  <c r="BR92" i="78"/>
  <c r="BR104" i="78"/>
  <c r="BR88" i="78"/>
  <c r="BQ98" i="78"/>
  <c r="BQ103" i="78"/>
  <c r="BQ96" i="78"/>
  <c r="BR95" i="78"/>
  <c r="BR42" i="78"/>
  <c r="BR94" i="78"/>
  <c r="BR91" i="78"/>
  <c r="BT114" i="78"/>
  <c r="BQ78" i="78"/>
  <c r="BQ82" i="78"/>
  <c r="BQ106" i="78"/>
  <c r="BR78" i="78"/>
  <c r="BR82" i="78"/>
  <c r="BR80" i="78"/>
  <c r="CD87" i="78"/>
  <c r="CD84" i="78"/>
  <c r="CD114" i="78"/>
  <c r="CD106" i="78"/>
  <c r="CD82" i="78"/>
  <c r="CD97" i="78"/>
  <c r="CE114" i="78"/>
  <c r="CD102" i="78"/>
  <c r="CD104" i="78"/>
  <c r="CD93" i="78"/>
  <c r="CD91" i="78"/>
  <c r="CD103" i="78"/>
  <c r="CD83" i="78"/>
  <c r="CD81" i="78"/>
  <c r="CD98" i="78"/>
  <c r="CD100" i="78"/>
  <c r="CD99" i="78"/>
  <c r="CD94" i="78"/>
  <c r="CD96" i="78"/>
  <c r="CD95" i="78"/>
  <c r="CD85" i="78"/>
  <c r="CD89" i="78"/>
  <c r="CD101" i="78"/>
  <c r="CD90" i="78"/>
  <c r="CD86" i="78"/>
  <c r="CD80" i="78"/>
  <c r="CD92" i="78"/>
  <c r="CD88" i="78"/>
  <c r="CE42" i="78"/>
  <c r="CP6" i="78"/>
  <c r="CP42" i="78" s="1"/>
  <c r="CO42" i="78"/>
  <c r="CB42" i="78"/>
  <c r="CM6" i="78"/>
  <c r="CE103" i="78"/>
  <c r="CE96" i="78"/>
  <c r="CE82" i="78"/>
  <c r="CE85" i="78"/>
  <c r="CE97" i="78"/>
  <c r="CE99" i="78"/>
  <c r="CE80" i="78"/>
  <c r="CE104" i="78"/>
  <c r="CE102" i="78"/>
  <c r="CE93" i="78"/>
  <c r="CE83" i="78"/>
  <c r="CE106" i="78"/>
  <c r="CE94" i="78"/>
  <c r="CE87" i="78"/>
  <c r="CE92" i="78"/>
  <c r="CB85" i="78"/>
  <c r="CE95" i="78"/>
  <c r="CE84" i="78"/>
  <c r="CE98" i="78"/>
  <c r="CE100" i="78"/>
  <c r="CE78" i="78"/>
  <c r="CE90" i="78"/>
  <c r="CE88" i="78"/>
  <c r="CE101" i="78"/>
  <c r="CE91" i="78"/>
  <c r="CE81" i="78"/>
  <c r="CE86" i="78"/>
  <c r="CE89" i="78"/>
  <c r="BO37" i="78"/>
  <c r="BO73" i="78"/>
  <c r="BO109" i="78"/>
  <c r="CA81" i="78"/>
  <c r="CA83" i="78"/>
  <c r="CL6" i="78"/>
  <c r="CK1" i="78" s="1"/>
  <c r="CA99" i="78"/>
  <c r="CA91" i="78"/>
  <c r="CA80" i="78"/>
  <c r="CA42" i="78"/>
  <c r="CA78" i="78"/>
  <c r="CA96" i="78"/>
  <c r="CA101" i="78"/>
  <c r="CA90" i="78"/>
  <c r="CA100" i="78"/>
  <c r="CA102" i="78"/>
  <c r="CA92" i="78"/>
  <c r="CA86" i="78"/>
  <c r="CA98" i="78"/>
  <c r="CA106" i="78"/>
  <c r="CA87" i="78"/>
  <c r="CA94" i="78"/>
  <c r="CA82" i="78"/>
  <c r="CA114" i="78"/>
  <c r="CA93" i="78"/>
  <c r="CA84" i="78"/>
  <c r="CA97" i="78"/>
  <c r="CA85" i="78"/>
  <c r="CA95" i="78"/>
  <c r="CA89" i="78"/>
  <c r="CA88" i="78"/>
  <c r="CA104" i="78"/>
  <c r="CA103" i="78"/>
  <c r="C8" i="52"/>
  <c r="D8" i="52"/>
  <c r="CB106" i="78" l="1"/>
  <c r="CB96" i="78"/>
  <c r="CC81" i="78"/>
  <c r="CC90" i="78"/>
  <c r="CC93" i="78"/>
  <c r="CC84" i="78"/>
  <c r="CC95" i="78"/>
  <c r="CB104" i="78"/>
  <c r="CB94" i="78"/>
  <c r="CC104" i="78"/>
  <c r="CN6" i="78"/>
  <c r="CP114" i="78" s="1"/>
  <c r="CC106" i="78"/>
  <c r="CB98" i="78"/>
  <c r="CC100" i="78"/>
  <c r="CB88" i="78"/>
  <c r="CB81" i="78"/>
  <c r="CC96" i="78"/>
  <c r="CB95" i="78"/>
  <c r="CB82" i="78"/>
  <c r="CB90" i="78"/>
  <c r="CB87" i="78"/>
  <c r="CC102" i="78"/>
  <c r="CB92" i="78"/>
  <c r="CB93" i="78"/>
  <c r="CB99" i="78"/>
  <c r="CC114" i="78"/>
  <c r="CC80" i="78"/>
  <c r="CC98" i="78"/>
  <c r="CB86" i="78"/>
  <c r="CB97" i="78"/>
  <c r="CC94" i="78"/>
  <c r="CC92" i="78"/>
  <c r="CC101" i="78"/>
  <c r="CC82" i="78"/>
  <c r="CB80" i="78"/>
  <c r="CB89" i="78"/>
  <c r="CB101" i="78"/>
  <c r="CB91" i="78"/>
  <c r="CC99" i="78"/>
  <c r="CC83" i="78"/>
  <c r="CC85" i="78"/>
  <c r="CC97" i="78"/>
  <c r="CB84" i="78"/>
  <c r="CB83" i="78"/>
  <c r="CC87" i="78"/>
  <c r="CC91" i="78"/>
  <c r="CC88" i="78"/>
  <c r="CC89" i="78"/>
  <c r="CB114" i="78"/>
  <c r="CB100" i="78"/>
  <c r="CB78" i="78"/>
  <c r="CB102" i="78"/>
  <c r="CB103" i="78"/>
  <c r="CC86" i="78"/>
  <c r="CC103" i="78"/>
  <c r="CC42" i="78"/>
  <c r="CO84" i="78"/>
  <c r="CO86" i="78"/>
  <c r="CO101" i="78"/>
  <c r="CO88" i="78"/>
  <c r="CO81" i="78"/>
  <c r="CO93" i="78"/>
  <c r="CO103" i="78"/>
  <c r="CO97" i="78"/>
  <c r="CO87" i="78"/>
  <c r="CO90" i="78"/>
  <c r="CO102" i="78"/>
  <c r="CO104" i="78"/>
  <c r="CO106" i="78"/>
  <c r="CO85" i="78"/>
  <c r="CO91" i="78"/>
  <c r="CO80" i="78"/>
  <c r="CO99" i="78"/>
  <c r="CO98" i="78"/>
  <c r="CO96" i="78"/>
  <c r="CO95" i="78"/>
  <c r="CO114" i="78"/>
  <c r="CO89" i="78"/>
  <c r="CO78" i="78"/>
  <c r="CO100" i="78"/>
  <c r="CO94" i="78"/>
  <c r="CO82" i="78"/>
  <c r="CO83" i="78"/>
  <c r="CO92" i="78"/>
  <c r="CP82" i="78"/>
  <c r="CP87" i="78"/>
  <c r="CP78" i="78"/>
  <c r="CP96" i="78"/>
  <c r="CP95" i="78"/>
  <c r="CP104" i="78"/>
  <c r="CP94" i="78"/>
  <c r="CP92" i="78"/>
  <c r="CP93" i="78"/>
  <c r="CP90" i="78"/>
  <c r="CP81" i="78"/>
  <c r="CP103" i="78"/>
  <c r="CP106" i="78"/>
  <c r="CP86" i="78"/>
  <c r="CP84" i="78"/>
  <c r="CP89" i="78"/>
  <c r="CP80" i="78"/>
  <c r="CP88" i="78"/>
  <c r="CP99" i="78"/>
  <c r="CP85" i="78"/>
  <c r="CM42" i="78"/>
  <c r="CP91" i="78"/>
  <c r="CP102" i="78"/>
  <c r="CP100" i="78"/>
  <c r="CP98" i="78"/>
  <c r="CP97" i="78"/>
  <c r="CP101" i="78"/>
  <c r="CP83" i="78"/>
  <c r="CL114" i="78"/>
  <c r="CL87" i="78"/>
  <c r="CL103" i="78"/>
  <c r="CL78" i="78"/>
  <c r="CL102" i="78"/>
  <c r="CL100" i="78"/>
  <c r="CL83" i="78"/>
  <c r="CL86" i="78"/>
  <c r="CL85" i="78"/>
  <c r="CL93" i="78"/>
  <c r="CL95" i="78"/>
  <c r="CL101" i="78"/>
  <c r="CL94" i="78"/>
  <c r="CL91" i="78"/>
  <c r="CL84" i="78"/>
  <c r="CL92" i="78"/>
  <c r="CL99" i="78"/>
  <c r="CL106" i="78"/>
  <c r="CL82" i="78"/>
  <c r="CL81" i="78"/>
  <c r="CL42" i="78"/>
  <c r="CL80" i="78"/>
  <c r="CL90" i="78"/>
  <c r="CL104" i="78"/>
  <c r="CL88" i="78"/>
  <c r="CL96" i="78"/>
  <c r="CL98" i="78"/>
  <c r="CL89" i="78"/>
  <c r="CL97" i="78"/>
  <c r="BZ37" i="78"/>
  <c r="BZ73" i="78"/>
  <c r="BZ109" i="78"/>
  <c r="I39" i="18"/>
  <c r="CM91" i="78" l="1"/>
  <c r="CN86" i="78"/>
  <c r="CN101" i="78"/>
  <c r="CM93" i="78"/>
  <c r="CN80" i="78"/>
  <c r="CM103" i="78"/>
  <c r="CM84" i="78"/>
  <c r="CN98" i="78"/>
  <c r="CM97" i="78"/>
  <c r="CM88" i="78"/>
  <c r="CN91" i="78"/>
  <c r="CN103" i="78"/>
  <c r="CM81" i="78"/>
  <c r="CM96" i="78"/>
  <c r="CN88" i="78"/>
  <c r="CN82" i="78"/>
  <c r="CM87" i="78"/>
  <c r="CM106" i="78"/>
  <c r="CN102" i="78"/>
  <c r="CN93" i="78"/>
  <c r="CM104" i="78"/>
  <c r="CN96" i="78"/>
  <c r="CN85" i="78"/>
  <c r="CM100" i="78"/>
  <c r="CM114" i="78"/>
  <c r="CN84" i="78"/>
  <c r="CN95" i="78"/>
  <c r="CM98" i="78"/>
  <c r="CM80" i="78"/>
  <c r="CM99" i="78"/>
  <c r="CM83" i="78"/>
  <c r="CN92" i="78"/>
  <c r="CN78" i="78"/>
  <c r="CN94" i="78"/>
  <c r="CM95" i="78"/>
  <c r="CM86" i="78"/>
  <c r="CM90" i="78"/>
  <c r="CN114" i="78"/>
  <c r="CN87" i="78"/>
  <c r="CN89" i="78"/>
  <c r="CN106" i="78"/>
  <c r="CM78" i="78"/>
  <c r="CM102" i="78"/>
  <c r="CM89" i="78"/>
  <c r="CM92" i="78"/>
  <c r="CM101" i="78"/>
  <c r="CN90" i="78"/>
  <c r="CN104" i="78"/>
  <c r="CN81" i="78"/>
  <c r="CN100" i="78"/>
  <c r="CM82" i="78"/>
  <c r="CM85" i="78"/>
  <c r="CM94" i="78"/>
  <c r="CN83" i="78"/>
  <c r="CN97" i="78"/>
  <c r="CN42" i="78"/>
  <c r="CN99" i="78"/>
  <c r="CK109" i="78"/>
  <c r="CK37" i="78"/>
  <c r="CK73" i="78"/>
  <c r="I40" i="18"/>
  <c r="H40" i="18"/>
  <c r="K39" i="18"/>
  <c r="H39" i="18"/>
  <c r="J40" i="18"/>
  <c r="K40" i="18"/>
  <c r="J39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34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4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34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4" i="80"/>
  <c r="H32" i="80"/>
  <c r="H31" i="80"/>
  <c r="H30" i="80"/>
  <c r="H29" i="80"/>
  <c r="H28" i="80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N28" i="80"/>
  <c r="O28" i="80" s="1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4" i="78" l="1"/>
  <c r="AS34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4" i="78" l="1"/>
  <c r="AS70" i="78"/>
  <c r="AS106" i="78"/>
  <c r="AS142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4" i="78"/>
  <c r="AH34" i="78" s="1"/>
  <c r="AH106" i="78" l="1"/>
  <c r="AH70" i="78"/>
  <c r="BD34" i="78"/>
  <c r="AH142" i="78"/>
  <c r="BO70" i="78"/>
  <c r="BO142" i="78"/>
  <c r="CK34" i="78"/>
  <c r="BO106" i="78"/>
  <c r="C6" i="16"/>
  <c r="D6" i="16"/>
  <c r="E6" i="16"/>
  <c r="F6" i="16"/>
  <c r="B6" i="16"/>
  <c r="M150" i="75" l="1"/>
  <c r="L1" i="16"/>
  <c r="L39" i="16" s="1"/>
  <c r="H80" i="16"/>
  <c r="M50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477" i="76"/>
  <c r="AB3" i="106"/>
  <c r="X3" i="106"/>
  <c r="W1" i="106" s="1"/>
  <c r="Z3" i="106"/>
  <c r="AC3" i="106"/>
  <c r="X1" i="106" s="1"/>
  <c r="A1" i="16"/>
  <c r="CK70" i="78"/>
  <c r="CK142" i="78"/>
  <c r="CK106" i="78"/>
  <c r="BD70" i="78"/>
  <c r="BZ34" i="78"/>
  <c r="BD142" i="78"/>
  <c r="BD106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6" i="75" s="1"/>
  <c r="H52" i="16"/>
  <c r="F53" i="16"/>
  <c r="H53" i="16"/>
  <c r="F48" i="16"/>
  <c r="F46" i="16"/>
  <c r="I80" i="16" s="1"/>
  <c r="N50" i="75" s="1"/>
  <c r="F49" i="16"/>
  <c r="H54" i="16"/>
  <c r="I46" i="16"/>
  <c r="J54" i="16"/>
  <c r="I53" i="16"/>
  <c r="H82" i="16"/>
  <c r="M40" i="75" s="1"/>
  <c r="H84" i="16"/>
  <c r="M29" i="75" s="1"/>
  <c r="H85" i="16"/>
  <c r="M23" i="75" s="1"/>
  <c r="H83" i="16"/>
  <c r="M33" i="75" s="1"/>
  <c r="F62" i="16"/>
  <c r="N1" i="107" s="1"/>
  <c r="A1" i="107" s="1"/>
  <c r="H87" i="16"/>
  <c r="M15" i="75" s="1"/>
  <c r="H81" i="16"/>
  <c r="M46" i="75" s="1"/>
  <c r="H88" i="16"/>
  <c r="M11" i="75" s="1"/>
  <c r="F44" i="16"/>
  <c r="I79" i="16" s="1"/>
  <c r="H86" i="16"/>
  <c r="M19" i="75" s="1"/>
  <c r="H4" i="16"/>
  <c r="N150" i="75" s="1"/>
  <c r="C44" i="16"/>
  <c r="C62" i="16"/>
  <c r="A150" i="75" l="1"/>
  <c r="P4" i="31"/>
  <c r="A1" i="31" s="1"/>
  <c r="P35" i="31"/>
  <c r="A34" i="31" s="1"/>
  <c r="A1" i="106"/>
  <c r="BZ106" i="78"/>
  <c r="BZ70" i="78"/>
  <c r="BZ142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E18" i="16"/>
  <c r="C18" i="16"/>
  <c r="Q39" i="80"/>
  <c r="E39" i="80"/>
  <c r="B40" i="80"/>
  <c r="B39" i="80"/>
  <c r="M161" i="75" l="1"/>
  <c r="H36" i="16"/>
  <c r="H27" i="11"/>
  <c r="J27" i="11"/>
  <c r="I27" i="11"/>
  <c r="AB14" i="106"/>
  <c r="Y14" i="106"/>
  <c r="C50" i="18"/>
  <c r="X14" i="106"/>
  <c r="AC14" i="106"/>
  <c r="AA14" i="106"/>
  <c r="E50" i="18"/>
  <c r="K60" i="18" s="1"/>
  <c r="Z14" i="106"/>
  <c r="F52" i="11"/>
  <c r="F41" i="11"/>
  <c r="I59" i="18"/>
  <c r="I60" i="18"/>
  <c r="D33" i="16"/>
  <c r="H56" i="16"/>
  <c r="D50" i="18"/>
  <c r="H90" i="16"/>
  <c r="F74" i="16"/>
  <c r="N13" i="107" s="1"/>
  <c r="F50" i="18"/>
  <c r="F56" i="16"/>
  <c r="C86" i="12"/>
  <c r="F86" i="12"/>
  <c r="C113" i="12"/>
  <c r="C74" i="16"/>
  <c r="C56" i="16"/>
  <c r="F113" i="12"/>
  <c r="C52" i="11"/>
  <c r="C41" i="11"/>
  <c r="K59" i="18" l="1"/>
  <c r="L50" i="18"/>
  <c r="L60" i="18"/>
  <c r="L59" i="18"/>
  <c r="J60" i="18"/>
  <c r="J59" i="18"/>
  <c r="C116" i="49"/>
  <c r="D113" i="49"/>
  <c r="D114" i="49"/>
  <c r="D109" i="49"/>
  <c r="D110" i="49"/>
  <c r="D106" i="49"/>
  <c r="D100" i="49"/>
  <c r="D101" i="49"/>
  <c r="D95" i="49"/>
  <c r="C88" i="49"/>
  <c r="C32" i="49" s="1"/>
  <c r="D85" i="49"/>
  <c r="D86" i="49"/>
  <c r="D81" i="49"/>
  <c r="D82" i="49"/>
  <c r="D78" i="49"/>
  <c r="D72" i="49"/>
  <c r="D73" i="49"/>
  <c r="D67" i="49"/>
  <c r="D57" i="49"/>
  <c r="D58" i="49"/>
  <c r="D53" i="49"/>
  <c r="D54" i="49"/>
  <c r="D50" i="49"/>
  <c r="D44" i="49"/>
  <c r="D45" i="49"/>
  <c r="A94" i="49"/>
  <c r="A178" i="49" s="1"/>
  <c r="A262" i="49" s="1"/>
  <c r="A68" i="49"/>
  <c r="A152" i="49" s="1"/>
  <c r="A236" i="49" s="1"/>
  <c r="A46" i="49"/>
  <c r="A130" i="49" s="1"/>
  <c r="A214" i="49" s="1"/>
  <c r="A48" i="49"/>
  <c r="A132" i="49" s="1"/>
  <c r="A216" i="49" s="1"/>
  <c r="A79" i="49"/>
  <c r="A163" i="49" s="1"/>
  <c r="A247" i="49" s="1"/>
  <c r="A82" i="49"/>
  <c r="A166" i="49" s="1"/>
  <c r="A250" i="49" s="1"/>
  <c r="A84" i="49"/>
  <c r="A168" i="49" s="1"/>
  <c r="A252" i="49" s="1"/>
  <c r="D25" i="49" l="1"/>
  <c r="D26" i="49"/>
  <c r="D30" i="49"/>
  <c r="D22" i="49"/>
  <c r="D29" i="49"/>
  <c r="D17" i="49"/>
  <c r="D11" i="49"/>
  <c r="D16" i="49"/>
  <c r="A74" i="49"/>
  <c r="A158" i="49" s="1"/>
  <c r="A242" i="49" s="1"/>
  <c r="A54" i="49"/>
  <c r="A138" i="49" s="1"/>
  <c r="A222" i="49" s="1"/>
  <c r="A110" i="49"/>
  <c r="A194" i="49" s="1"/>
  <c r="A278" i="49" s="1"/>
  <c r="A99" i="49"/>
  <c r="A183" i="49" s="1"/>
  <c r="A267" i="49" s="1"/>
  <c r="A66" i="49"/>
  <c r="A150" i="49" s="1"/>
  <c r="A234" i="49" s="1"/>
  <c r="F78" i="49"/>
  <c r="F72" i="49"/>
  <c r="F54" i="49"/>
  <c r="F67" i="49"/>
  <c r="F73" i="49"/>
  <c r="F114" i="49"/>
  <c r="F82" i="49"/>
  <c r="F101" i="49"/>
  <c r="F109" i="49"/>
  <c r="F44" i="49"/>
  <c r="F113" i="49"/>
  <c r="F57" i="49"/>
  <c r="F110" i="49"/>
  <c r="A70" i="49"/>
  <c r="A154" i="49" s="1"/>
  <c r="A238" i="49" s="1"/>
  <c r="F58" i="49"/>
  <c r="F95" i="49"/>
  <c r="F50" i="49"/>
  <c r="F81" i="49"/>
  <c r="A102" i="49"/>
  <c r="A186" i="49" s="1"/>
  <c r="A270" i="49" s="1"/>
  <c r="F100" i="49"/>
  <c r="F86" i="49"/>
  <c r="A86" i="49"/>
  <c r="A170" i="49" s="1"/>
  <c r="A254" i="49" s="1"/>
  <c r="A38" i="49"/>
  <c r="A122" i="49" s="1"/>
  <c r="A206" i="49" s="1"/>
  <c r="F45" i="49"/>
  <c r="F53" i="49"/>
  <c r="F85" i="49"/>
  <c r="F106" i="49"/>
  <c r="A112" i="49"/>
  <c r="A196" i="49" s="1"/>
  <c r="A280" i="49" s="1"/>
  <c r="A104" i="49"/>
  <c r="A188" i="49" s="1"/>
  <c r="A272" i="49" s="1"/>
  <c r="A96" i="49"/>
  <c r="A180" i="49" s="1"/>
  <c r="A264" i="49" s="1"/>
  <c r="A76" i="49"/>
  <c r="A160" i="49" s="1"/>
  <c r="A244" i="49" s="1"/>
  <c r="A51" i="49"/>
  <c r="A135" i="49" s="1"/>
  <c r="A219" i="49" s="1"/>
  <c r="A107" i="49"/>
  <c r="A191" i="49" s="1"/>
  <c r="A275" i="49" s="1"/>
  <c r="A50" i="49"/>
  <c r="A134" i="49" s="1"/>
  <c r="A218" i="49" s="1"/>
  <c r="A87" i="49"/>
  <c r="A171" i="49" s="1"/>
  <c r="A255" i="49" s="1"/>
  <c r="A71" i="49"/>
  <c r="A155" i="49" s="1"/>
  <c r="A239" i="49" s="1"/>
  <c r="A106" i="49"/>
  <c r="A190" i="49" s="1"/>
  <c r="A274" i="49" s="1"/>
  <c r="A59" i="49"/>
  <c r="A143" i="49" s="1"/>
  <c r="A227" i="49" s="1"/>
  <c r="A43" i="49"/>
  <c r="A127" i="49" s="1"/>
  <c r="A211" i="49" s="1"/>
  <c r="A98" i="49"/>
  <c r="A182" i="49" s="1"/>
  <c r="A266" i="49" s="1"/>
  <c r="A58" i="49"/>
  <c r="A142" i="49" s="1"/>
  <c r="A226" i="49" s="1"/>
  <c r="A42" i="49"/>
  <c r="A126" i="49" s="1"/>
  <c r="A210" i="49" s="1"/>
  <c r="A115" i="49"/>
  <c r="A199" i="49" s="1"/>
  <c r="A283" i="49" s="1"/>
  <c r="A56" i="49"/>
  <c r="A140" i="49" s="1"/>
  <c r="A224" i="49" s="1"/>
  <c r="A40" i="49"/>
  <c r="A124" i="49" s="1"/>
  <c r="A208" i="49" s="1"/>
  <c r="A78" i="49"/>
  <c r="A162" i="49" s="1"/>
  <c r="A246" i="49" s="1"/>
  <c r="A114" i="49"/>
  <c r="A198" i="49" s="1"/>
  <c r="A282" i="49" s="1"/>
  <c r="A53" i="49"/>
  <c r="A137" i="49" s="1"/>
  <c r="A221" i="49" s="1"/>
  <c r="A45" i="49"/>
  <c r="A129" i="49" s="1"/>
  <c r="A213" i="49" s="1"/>
  <c r="A37" i="49"/>
  <c r="A121" i="49" s="1"/>
  <c r="A205" i="49" s="1"/>
  <c r="A81" i="49"/>
  <c r="A165" i="49" s="1"/>
  <c r="A249" i="49" s="1"/>
  <c r="A73" i="49"/>
  <c r="A157" i="49" s="1"/>
  <c r="A241" i="49" s="1"/>
  <c r="A65" i="49"/>
  <c r="A149" i="49" s="1"/>
  <c r="A233" i="49" s="1"/>
  <c r="A109" i="49"/>
  <c r="A193" i="49" s="1"/>
  <c r="A277" i="49" s="1"/>
  <c r="A101" i="49"/>
  <c r="A185" i="49" s="1"/>
  <c r="A269" i="49" s="1"/>
  <c r="A93" i="49"/>
  <c r="A177" i="49" s="1"/>
  <c r="A261" i="49" s="1"/>
  <c r="A52" i="49"/>
  <c r="A136" i="49" s="1"/>
  <c r="A220" i="49" s="1"/>
  <c r="A44" i="49"/>
  <c r="A128" i="49" s="1"/>
  <c r="A212" i="49" s="1"/>
  <c r="A36" i="49"/>
  <c r="A120" i="49" s="1"/>
  <c r="A204" i="49" s="1"/>
  <c r="A80" i="49"/>
  <c r="A164" i="49" s="1"/>
  <c r="A248" i="49" s="1"/>
  <c r="A72" i="49"/>
  <c r="A156" i="49" s="1"/>
  <c r="A240" i="49" s="1"/>
  <c r="A64" i="49"/>
  <c r="A148" i="49" s="1"/>
  <c r="A232" i="49" s="1"/>
  <c r="A108" i="49"/>
  <c r="A192" i="49" s="1"/>
  <c r="A276" i="49" s="1"/>
  <c r="A100" i="49"/>
  <c r="A184" i="49" s="1"/>
  <c r="A268" i="49" s="1"/>
  <c r="A92" i="49"/>
  <c r="A176" i="49" s="1"/>
  <c r="A260" i="49" s="1"/>
  <c r="A57" i="49"/>
  <c r="A141" i="49" s="1"/>
  <c r="A225" i="49" s="1"/>
  <c r="A49" i="49"/>
  <c r="A133" i="49" s="1"/>
  <c r="A217" i="49" s="1"/>
  <c r="A41" i="49"/>
  <c r="A125" i="49" s="1"/>
  <c r="A209" i="49" s="1"/>
  <c r="A85" i="49"/>
  <c r="A169" i="49" s="1"/>
  <c r="A253" i="49" s="1"/>
  <c r="A77" i="49"/>
  <c r="A161" i="49" s="1"/>
  <c r="A245" i="49" s="1"/>
  <c r="A69" i="49"/>
  <c r="A153" i="49" s="1"/>
  <c r="A237" i="49" s="1"/>
  <c r="A113" i="49"/>
  <c r="A197" i="49" s="1"/>
  <c r="A281" i="49" s="1"/>
  <c r="A105" i="49"/>
  <c r="A189" i="49" s="1"/>
  <c r="A273" i="49" s="1"/>
  <c r="A97" i="49"/>
  <c r="A181" i="49" s="1"/>
  <c r="A265" i="49" s="1"/>
  <c r="A55" i="49"/>
  <c r="A139" i="49" s="1"/>
  <c r="A223" i="49" s="1"/>
  <c r="A47" i="49"/>
  <c r="A131" i="49" s="1"/>
  <c r="A215" i="49" s="1"/>
  <c r="A39" i="49"/>
  <c r="A123" i="49" s="1"/>
  <c r="A207" i="49" s="1"/>
  <c r="A83" i="49"/>
  <c r="A167" i="49" s="1"/>
  <c r="A251" i="49" s="1"/>
  <c r="A75" i="49"/>
  <c r="A159" i="49" s="1"/>
  <c r="A243" i="49" s="1"/>
  <c r="A67" i="49"/>
  <c r="A151" i="49" s="1"/>
  <c r="A235" i="49" s="1"/>
  <c r="A111" i="49"/>
  <c r="A195" i="49" s="1"/>
  <c r="A279" i="49" s="1"/>
  <c r="A103" i="49"/>
  <c r="A187" i="49" s="1"/>
  <c r="A271" i="49" s="1"/>
  <c r="A95" i="49"/>
  <c r="A179" i="49" s="1"/>
  <c r="A263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6" i="71"/>
  <c r="A117" i="71"/>
  <c r="A82" i="71"/>
  <c r="A83" i="71"/>
  <c r="A66" i="18"/>
  <c r="A49" i="71"/>
  <c r="A86" i="71"/>
  <c r="A123" i="71"/>
  <c r="A72" i="18"/>
  <c r="A73" i="18"/>
  <c r="A91" i="71"/>
  <c r="A128" i="71"/>
  <c r="A94" i="71"/>
  <c r="A131" i="71"/>
  <c r="A60" i="71"/>
  <c r="A133" i="71"/>
  <c r="A136" i="71"/>
  <c r="A102" i="71"/>
  <c r="A139" i="71"/>
  <c r="A116" i="71"/>
  <c r="A18" i="16"/>
  <c r="A50" i="18" s="1"/>
  <c r="L48" i="76" s="1"/>
  <c r="A9" i="16"/>
  <c r="A10" i="16"/>
  <c r="A11" i="16"/>
  <c r="A12" i="16"/>
  <c r="A13" i="16"/>
  <c r="A14" i="16"/>
  <c r="A15" i="16"/>
  <c r="A16" i="16"/>
  <c r="A8" i="16"/>
  <c r="A55" i="71" l="1"/>
  <c r="A48" i="71"/>
  <c r="L14" i="75"/>
  <c r="A101" i="71"/>
  <c r="A88" i="71"/>
  <c r="A85" i="71"/>
  <c r="A130" i="71"/>
  <c r="A64" i="71"/>
  <c r="A138" i="71"/>
  <c r="A56" i="71"/>
  <c r="A100" i="71"/>
  <c r="A132" i="71"/>
  <c r="A122" i="71"/>
  <c r="A140" i="71"/>
  <c r="A84" i="71"/>
  <c r="A70" i="71"/>
  <c r="A104" i="71"/>
  <c r="A44" i="71"/>
  <c r="A53" i="71"/>
  <c r="A129" i="71"/>
  <c r="A142" i="71"/>
  <c r="A68" i="71"/>
  <c r="A52" i="71"/>
  <c r="A97" i="71"/>
  <c r="A81" i="71"/>
  <c r="A127" i="71"/>
  <c r="A65" i="18"/>
  <c r="A96" i="71"/>
  <c r="A124" i="71"/>
  <c r="A63" i="71"/>
  <c r="A47" i="71"/>
  <c r="A93" i="71"/>
  <c r="A25" i="18"/>
  <c r="L23" i="76" s="1"/>
  <c r="A61" i="71"/>
  <c r="A45" i="71"/>
  <c r="A92" i="71"/>
  <c r="A137" i="71"/>
  <c r="A121" i="71"/>
  <c r="A80" i="71"/>
  <c r="A89" i="71"/>
  <c r="A135" i="71"/>
  <c r="A119" i="71"/>
  <c r="A63" i="18"/>
  <c r="A71" i="18"/>
  <c r="A62" i="71"/>
  <c r="A54" i="71"/>
  <c r="A46" i="71"/>
  <c r="A99" i="71"/>
  <c r="A120" i="71"/>
  <c r="A70" i="18"/>
  <c r="A134" i="71"/>
  <c r="A126" i="71"/>
  <c r="A118" i="71"/>
  <c r="A64" i="18"/>
  <c r="A67" i="71"/>
  <c r="A59" i="71"/>
  <c r="A51" i="71"/>
  <c r="A125" i="71"/>
  <c r="A98" i="71"/>
  <c r="A90" i="71"/>
  <c r="A66" i="71"/>
  <c r="A58" i="71"/>
  <c r="A50" i="71"/>
  <c r="A103" i="71"/>
  <c r="A95" i="71"/>
  <c r="A87" i="71"/>
  <c r="A65" i="71"/>
  <c r="A57" i="71"/>
  <c r="L22" i="75" l="1"/>
  <c r="A86" i="18"/>
  <c r="A94" i="18"/>
  <c r="L18" i="75"/>
  <c r="A90" i="18"/>
  <c r="L17" i="75"/>
  <c r="A91" i="18"/>
  <c r="A80" i="18"/>
  <c r="L28" i="75"/>
  <c r="A98" i="18"/>
  <c r="L10" i="75"/>
  <c r="A76" i="18"/>
  <c r="L32" i="75"/>
  <c r="A69" i="18"/>
  <c r="L39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6" i="80" l="1"/>
  <c r="A65" i="80"/>
  <c r="A64" i="80"/>
  <c r="A63" i="80"/>
  <c r="A62" i="80"/>
  <c r="A61" i="80"/>
  <c r="A60" i="80"/>
  <c r="A58" i="80"/>
  <c r="A57" i="80"/>
  <c r="A56" i="80"/>
  <c r="A55" i="80"/>
  <c r="A54" i="80"/>
  <c r="A53" i="80"/>
  <c r="A52" i="80"/>
  <c r="A50" i="80"/>
  <c r="A49" i="80"/>
  <c r="A48" i="80"/>
  <c r="A47" i="80"/>
  <c r="A46" i="80"/>
  <c r="A45" i="80"/>
  <c r="A44" i="80"/>
  <c r="A43" i="80"/>
  <c r="A69" i="80"/>
  <c r="I40" i="80"/>
  <c r="C40" i="80"/>
  <c r="A40" i="80"/>
  <c r="N39" i="80"/>
  <c r="K39" i="80"/>
  <c r="H39" i="80"/>
  <c r="K38" i="80"/>
  <c r="A34" i="80"/>
  <c r="AT14" i="80"/>
  <c r="AT12" i="80"/>
  <c r="AT10" i="80"/>
  <c r="AT8" i="80"/>
  <c r="L5" i="80"/>
  <c r="O5" i="80" s="1"/>
  <c r="R5" i="80" s="1"/>
  <c r="F5" i="80"/>
  <c r="F40" i="80" s="1"/>
  <c r="E5" i="80"/>
  <c r="E40" i="80" s="1"/>
  <c r="H54" i="80" l="1"/>
  <c r="I62" i="80"/>
  <c r="R64" i="80"/>
  <c r="I45" i="80"/>
  <c r="I64" i="80"/>
  <c r="H64" i="80"/>
  <c r="R67" i="80"/>
  <c r="R59" i="80"/>
  <c r="R58" i="80"/>
  <c r="R51" i="80"/>
  <c r="R50" i="80"/>
  <c r="I60" i="80"/>
  <c r="I52" i="80"/>
  <c r="I44" i="80"/>
  <c r="R62" i="80"/>
  <c r="H56" i="80"/>
  <c r="H50" i="80"/>
  <c r="I46" i="80"/>
  <c r="R65" i="80"/>
  <c r="R66" i="80"/>
  <c r="R49" i="80"/>
  <c r="I61" i="80"/>
  <c r="I57" i="80"/>
  <c r="I53" i="80"/>
  <c r="H66" i="80"/>
  <c r="R60" i="80"/>
  <c r="R61" i="80"/>
  <c r="H57" i="80"/>
  <c r="I55" i="80"/>
  <c r="R54" i="80"/>
  <c r="I54" i="80"/>
  <c r="R53" i="80"/>
  <c r="R52" i="80"/>
  <c r="R46" i="80"/>
  <c r="I47" i="80"/>
  <c r="R45" i="80"/>
  <c r="I50" i="80"/>
  <c r="I58" i="80"/>
  <c r="I66" i="80"/>
  <c r="R47" i="80"/>
  <c r="R55" i="80"/>
  <c r="R63" i="80"/>
  <c r="I63" i="80"/>
  <c r="I56" i="80"/>
  <c r="I49" i="80"/>
  <c r="F63" i="80"/>
  <c r="I51" i="80"/>
  <c r="I59" i="80"/>
  <c r="I67" i="80"/>
  <c r="R48" i="80"/>
  <c r="R56" i="80"/>
  <c r="I48" i="80"/>
  <c r="H58" i="80"/>
  <c r="C60" i="80"/>
  <c r="I65" i="80"/>
  <c r="H61" i="80"/>
  <c r="R57" i="80"/>
  <c r="H48" i="80"/>
  <c r="H47" i="80"/>
  <c r="H59" i="80"/>
  <c r="H51" i="80"/>
  <c r="H67" i="80"/>
  <c r="H65" i="80"/>
  <c r="H46" i="80"/>
  <c r="H49" i="80"/>
  <c r="H55" i="80"/>
  <c r="H62" i="80"/>
  <c r="H53" i="80"/>
  <c r="H44" i="80"/>
  <c r="H52" i="80"/>
  <c r="H60" i="80"/>
  <c r="H45" i="80"/>
  <c r="H63" i="80"/>
  <c r="H5" i="80"/>
  <c r="H40" i="80" s="1"/>
  <c r="I39" i="80"/>
  <c r="A36" i="80" s="1"/>
  <c r="A51" i="80"/>
  <c r="A59" i="80"/>
  <c r="A67" i="80"/>
  <c r="I4" i="80"/>
  <c r="A1" i="80" s="1"/>
  <c r="L40" i="80"/>
  <c r="O40" i="80" s="1"/>
  <c r="R40" i="80" s="1"/>
  <c r="A36" i="79"/>
  <c r="A109" i="78"/>
  <c r="Z129" i="78"/>
  <c r="Z117" i="78"/>
  <c r="X117" i="78"/>
  <c r="M129" i="78"/>
  <c r="O123" i="78"/>
  <c r="M118" i="78"/>
  <c r="D93" i="78"/>
  <c r="E82" i="78"/>
  <c r="B123" i="78"/>
  <c r="B121" i="78"/>
  <c r="D118" i="78"/>
  <c r="Z93" i="78"/>
  <c r="Y42" i="78"/>
  <c r="A104" i="78"/>
  <c r="L104" i="78" s="1"/>
  <c r="AH104" i="78" s="1"/>
  <c r="BD104" i="78" s="1"/>
  <c r="BZ104" i="78" s="1"/>
  <c r="A139" i="78"/>
  <c r="L139" i="78" s="1"/>
  <c r="AH139" i="78" s="1"/>
  <c r="BD139" i="78" s="1"/>
  <c r="BZ139" i="78" s="1"/>
  <c r="A101" i="78"/>
  <c r="W101" i="78" s="1"/>
  <c r="AS101" i="78" s="1"/>
  <c r="BO101" i="78" s="1"/>
  <c r="CK101" i="78" s="1"/>
  <c r="A62" i="78"/>
  <c r="L62" i="78" s="1"/>
  <c r="AH62" i="78" s="1"/>
  <c r="BD62" i="78" s="1"/>
  <c r="BZ62" i="78" s="1"/>
  <c r="A96" i="78"/>
  <c r="L96" i="78" s="1"/>
  <c r="AH96" i="78" s="1"/>
  <c r="BD96" i="78" s="1"/>
  <c r="BZ96" i="78" s="1"/>
  <c r="A93" i="78"/>
  <c r="W93" i="78" s="1"/>
  <c r="AS93" i="78" s="1"/>
  <c r="BO93" i="78" s="1"/>
  <c r="CK93" i="78" s="1"/>
  <c r="A54" i="78"/>
  <c r="L54" i="78" s="1"/>
  <c r="AH54" i="78" s="1"/>
  <c r="BD54" i="78" s="1"/>
  <c r="BZ54" i="78" s="1"/>
  <c r="A88" i="78"/>
  <c r="L88" i="78" s="1"/>
  <c r="AH88" i="78" s="1"/>
  <c r="BD88" i="78" s="1"/>
  <c r="BZ88" i="78" s="1"/>
  <c r="A123" i="78"/>
  <c r="L123" i="78" s="1"/>
  <c r="AH123" i="78" s="1"/>
  <c r="BD123" i="78" s="1"/>
  <c r="BZ123" i="78" s="1"/>
  <c r="A85" i="78"/>
  <c r="W85" i="78" s="1"/>
  <c r="AS85" i="78" s="1"/>
  <c r="BO85" i="78" s="1"/>
  <c r="CK85" i="78" s="1"/>
  <c r="A46" i="78"/>
  <c r="L46" i="78" s="1"/>
  <c r="AH46" i="78" s="1"/>
  <c r="BD46" i="78" s="1"/>
  <c r="BZ46" i="78" s="1"/>
  <c r="A81" i="78"/>
  <c r="L81" i="78" s="1"/>
  <c r="AH81" i="78" s="1"/>
  <c r="BD81" i="78" s="1"/>
  <c r="BZ81" i="78" s="1"/>
  <c r="A116" i="78"/>
  <c r="L116" i="78" s="1"/>
  <c r="AH116" i="78" s="1"/>
  <c r="BD116" i="78" s="1"/>
  <c r="BZ116" i="78" s="1"/>
  <c r="W142" i="78"/>
  <c r="L142" i="78"/>
  <c r="A142" i="78"/>
  <c r="Z130" i="78"/>
  <c r="AA128" i="78"/>
  <c r="M123" i="78"/>
  <c r="O121" i="78"/>
  <c r="AA116" i="78"/>
  <c r="X116" i="78"/>
  <c r="Z114" i="78"/>
  <c r="E114" i="78"/>
  <c r="W106" i="78"/>
  <c r="L106" i="78"/>
  <c r="A106" i="78"/>
  <c r="Z94" i="78"/>
  <c r="O85" i="78"/>
  <c r="Z82" i="78"/>
  <c r="E78" i="78"/>
  <c r="W70" i="78"/>
  <c r="L70" i="78"/>
  <c r="A70" i="78"/>
  <c r="AA42" i="78"/>
  <c r="Z42" i="78"/>
  <c r="U42" i="78"/>
  <c r="U78" i="78" s="1"/>
  <c r="T42" i="78"/>
  <c r="T78" i="78" s="1"/>
  <c r="S42" i="78"/>
  <c r="S78" i="78" s="1"/>
  <c r="P42" i="78"/>
  <c r="O42" i="78"/>
  <c r="J42" i="78"/>
  <c r="J78" i="78" s="1"/>
  <c r="I42" i="78"/>
  <c r="I78" i="78" s="1"/>
  <c r="H42" i="78"/>
  <c r="H78" i="78" s="1"/>
  <c r="F42" i="78"/>
  <c r="E42" i="78"/>
  <c r="D42" i="78"/>
  <c r="U41" i="78"/>
  <c r="U77" i="78" s="1"/>
  <c r="T41" i="78"/>
  <c r="T77" i="78" s="1"/>
  <c r="S41" i="78"/>
  <c r="S77" i="78" s="1"/>
  <c r="J41" i="78"/>
  <c r="J77" i="78" s="1"/>
  <c r="I41" i="78"/>
  <c r="I77" i="78" s="1"/>
  <c r="H41" i="78"/>
  <c r="H77" i="78" s="1"/>
  <c r="H76" i="78"/>
  <c r="Z78" i="78" l="1"/>
  <c r="X85" i="78"/>
  <c r="AB42" i="78"/>
  <c r="AA94" i="78"/>
  <c r="AA114" i="78"/>
  <c r="P80" i="78"/>
  <c r="Q42" i="78"/>
  <c r="W73" i="78"/>
  <c r="AA92" i="78"/>
  <c r="AA78" i="78"/>
  <c r="AA93" i="78"/>
  <c r="P114" i="78"/>
  <c r="X42" i="78"/>
  <c r="M42" i="78"/>
  <c r="M114" i="78"/>
  <c r="X80" i="78"/>
  <c r="X114" i="78"/>
  <c r="X78" i="78"/>
  <c r="AA84" i="78"/>
  <c r="A125" i="78"/>
  <c r="L125" i="78" s="1"/>
  <c r="AH125" i="78" s="1"/>
  <c r="BD125" i="78" s="1"/>
  <c r="BZ125" i="78" s="1"/>
  <c r="A133" i="78"/>
  <c r="L133" i="78" s="1"/>
  <c r="AH133" i="78" s="1"/>
  <c r="BD133" i="78" s="1"/>
  <c r="BZ133" i="78" s="1"/>
  <c r="W116" i="78"/>
  <c r="AS116" i="78" s="1"/>
  <c r="BO116" i="78" s="1"/>
  <c r="CK116" i="78" s="1"/>
  <c r="A124" i="78"/>
  <c r="W124" i="78" s="1"/>
  <c r="AS124" i="78" s="1"/>
  <c r="BO124" i="78" s="1"/>
  <c r="CK124" i="78" s="1"/>
  <c r="A132" i="78"/>
  <c r="W132" i="78" s="1"/>
  <c r="AS132" i="78" s="1"/>
  <c r="BO132" i="78" s="1"/>
  <c r="CK132" i="78" s="1"/>
  <c r="W81" i="78"/>
  <c r="AS81" i="78" s="1"/>
  <c r="BO81" i="78" s="1"/>
  <c r="CK81" i="78" s="1"/>
  <c r="L85" i="78"/>
  <c r="AH85" i="78" s="1"/>
  <c r="BD85" i="78" s="1"/>
  <c r="BZ85" i="78" s="1"/>
  <c r="W96" i="78"/>
  <c r="AS96" i="78" s="1"/>
  <c r="BO96" i="78" s="1"/>
  <c r="CK96" i="78" s="1"/>
  <c r="A117" i="78"/>
  <c r="L117" i="78" s="1"/>
  <c r="AH117" i="78" s="1"/>
  <c r="BD117" i="78" s="1"/>
  <c r="BZ117" i="78" s="1"/>
  <c r="W104" i="78"/>
  <c r="AS104" i="78" s="1"/>
  <c r="BO104" i="78" s="1"/>
  <c r="CK104" i="78" s="1"/>
  <c r="A83" i="78"/>
  <c r="L83" i="78" s="1"/>
  <c r="AH83" i="78" s="1"/>
  <c r="BD83" i="78" s="1"/>
  <c r="BZ83" i="78" s="1"/>
  <c r="L93" i="78"/>
  <c r="AH93" i="78" s="1"/>
  <c r="BD93" i="78" s="1"/>
  <c r="BZ93" i="78" s="1"/>
  <c r="A90" i="78"/>
  <c r="L90" i="78" s="1"/>
  <c r="AH90" i="78" s="1"/>
  <c r="BD90" i="78" s="1"/>
  <c r="BZ90" i="78" s="1"/>
  <c r="A127" i="78"/>
  <c r="L101" i="78"/>
  <c r="AH101" i="78" s="1"/>
  <c r="BD101" i="78" s="1"/>
  <c r="BZ101" i="78" s="1"/>
  <c r="W88" i="78"/>
  <c r="AS88" i="78" s="1"/>
  <c r="BO88" i="78" s="1"/>
  <c r="CK88" i="78" s="1"/>
  <c r="A135" i="78"/>
  <c r="A82" i="78"/>
  <c r="L82" i="78" s="1"/>
  <c r="AH82" i="78" s="1"/>
  <c r="BD82" i="78" s="1"/>
  <c r="BZ82" i="78" s="1"/>
  <c r="W46" i="78"/>
  <c r="AS46" i="78" s="1"/>
  <c r="BO46" i="78" s="1"/>
  <c r="CK46" i="78" s="1"/>
  <c r="W54" i="78"/>
  <c r="AS54" i="78" s="1"/>
  <c r="BO54" i="78" s="1"/>
  <c r="CK54" i="78" s="1"/>
  <c r="A119" i="78"/>
  <c r="W62" i="78"/>
  <c r="AS62" i="78" s="1"/>
  <c r="BO62" i="78" s="1"/>
  <c r="CK62" i="78" s="1"/>
  <c r="A55" i="78"/>
  <c r="A140" i="78"/>
  <c r="L140" i="78" s="1"/>
  <c r="AH140" i="78" s="1"/>
  <c r="BD140" i="78" s="1"/>
  <c r="BZ140" i="78" s="1"/>
  <c r="A102" i="78"/>
  <c r="A138" i="78"/>
  <c r="A51" i="78"/>
  <c r="A59" i="78"/>
  <c r="A67" i="78"/>
  <c r="W139" i="78"/>
  <c r="AS139" i="78" s="1"/>
  <c r="BO139" i="78" s="1"/>
  <c r="CK139" i="78" s="1"/>
  <c r="A122" i="78"/>
  <c r="A94" i="78"/>
  <c r="A130" i="78"/>
  <c r="A131" i="78"/>
  <c r="W123" i="78"/>
  <c r="AS123" i="78" s="1"/>
  <c r="BO123" i="78" s="1"/>
  <c r="CK123" i="78" s="1"/>
  <c r="A47" i="78"/>
  <c r="A91" i="78"/>
  <c r="A118" i="78"/>
  <c r="A126" i="78"/>
  <c r="A134" i="78"/>
  <c r="A63" i="78"/>
  <c r="A99" i="78"/>
  <c r="A120" i="78"/>
  <c r="A128" i="78"/>
  <c r="A136" i="78"/>
  <c r="A98" i="78"/>
  <c r="A121" i="78"/>
  <c r="A129" i="78"/>
  <c r="A137" i="78"/>
  <c r="F45" i="80"/>
  <c r="F56" i="80"/>
  <c r="F60" i="80"/>
  <c r="F44" i="80"/>
  <c r="F46" i="80"/>
  <c r="F48" i="80"/>
  <c r="K60" i="80"/>
  <c r="K47" i="80"/>
  <c r="L47" i="80" s="1"/>
  <c r="K52" i="80"/>
  <c r="C58" i="80"/>
  <c r="K58" i="80"/>
  <c r="K67" i="80"/>
  <c r="K65" i="80"/>
  <c r="C44" i="80"/>
  <c r="K61" i="80"/>
  <c r="K64" i="80"/>
  <c r="C66" i="80"/>
  <c r="K55" i="80"/>
  <c r="L55" i="80" s="1"/>
  <c r="K57" i="80"/>
  <c r="N57" i="80" s="1"/>
  <c r="O57" i="80" s="1"/>
  <c r="K48" i="80"/>
  <c r="C48" i="80"/>
  <c r="K53" i="80"/>
  <c r="K54" i="80"/>
  <c r="N54" i="80" s="1"/>
  <c r="O54" i="80" s="1"/>
  <c r="K62" i="80"/>
  <c r="L62" i="80" s="1"/>
  <c r="K66" i="80"/>
  <c r="C61" i="80"/>
  <c r="K49" i="80"/>
  <c r="H69" i="80"/>
  <c r="K50" i="80"/>
  <c r="C54" i="80"/>
  <c r="C53" i="80"/>
  <c r="C62" i="80"/>
  <c r="C51" i="80"/>
  <c r="K44" i="80"/>
  <c r="K46" i="80"/>
  <c r="K56" i="80"/>
  <c r="K59" i="80"/>
  <c r="N59" i="80" s="1"/>
  <c r="O59" i="80" s="1"/>
  <c r="C67" i="80"/>
  <c r="X13" i="79"/>
  <c r="AA123" i="78"/>
  <c r="AA121" i="78"/>
  <c r="AA118" i="78"/>
  <c r="Z81" i="78"/>
  <c r="Z123" i="78"/>
  <c r="X122" i="78"/>
  <c r="X92" i="78"/>
  <c r="O93" i="78"/>
  <c r="P116" i="78"/>
  <c r="O116" i="78"/>
  <c r="M128" i="78"/>
  <c r="E128" i="78"/>
  <c r="E121" i="78"/>
  <c r="E118" i="78"/>
  <c r="E117" i="78"/>
  <c r="E129" i="78"/>
  <c r="D121" i="78"/>
  <c r="B130" i="78"/>
  <c r="B117" i="78"/>
  <c r="B128" i="78"/>
  <c r="D78" i="78"/>
  <c r="B42" i="78"/>
  <c r="B81" i="78"/>
  <c r="P94" i="78"/>
  <c r="P78" i="78"/>
  <c r="O78" i="78"/>
  <c r="O80" i="78"/>
  <c r="O114" i="78"/>
  <c r="P86" i="78"/>
  <c r="L37" i="78"/>
  <c r="M82" i="78"/>
  <c r="X22" i="79"/>
  <c r="AA129" i="78"/>
  <c r="AA82" i="78"/>
  <c r="AA117" i="78"/>
  <c r="AA81" i="78"/>
  <c r="Z118" i="78"/>
  <c r="Z86" i="78"/>
  <c r="Z122" i="78"/>
  <c r="X128" i="78"/>
  <c r="X87" i="78"/>
  <c r="X123" i="78"/>
  <c r="X81" i="78"/>
  <c r="P89" i="78"/>
  <c r="P128" i="78"/>
  <c r="O129" i="78"/>
  <c r="O128" i="78"/>
  <c r="M121" i="78"/>
  <c r="E130" i="78"/>
  <c r="E123" i="78"/>
  <c r="E122" i="78"/>
  <c r="E116" i="78"/>
  <c r="D130" i="78"/>
  <c r="E92" i="78"/>
  <c r="D122" i="78"/>
  <c r="D117" i="78"/>
  <c r="E81" i="78"/>
  <c r="D129" i="78"/>
  <c r="D128" i="78"/>
  <c r="D123" i="78"/>
  <c r="B129" i="78"/>
  <c r="B122" i="78"/>
  <c r="B85" i="78"/>
  <c r="B118" i="78"/>
  <c r="E87" i="78"/>
  <c r="D85" i="78"/>
  <c r="E93" i="78"/>
  <c r="E85" i="78"/>
  <c r="E86" i="78"/>
  <c r="E94" i="78"/>
  <c r="D87" i="78"/>
  <c r="D81" i="78"/>
  <c r="D94" i="78"/>
  <c r="D92" i="78"/>
  <c r="D82" i="78"/>
  <c r="D86" i="78"/>
  <c r="B114" i="78"/>
  <c r="B93" i="78"/>
  <c r="C42" i="78"/>
  <c r="B86" i="78"/>
  <c r="B92" i="78"/>
  <c r="B94" i="78"/>
  <c r="B87" i="78"/>
  <c r="B82" i="78"/>
  <c r="K45" i="80"/>
  <c r="K63" i="80"/>
  <c r="N63" i="80" s="1"/>
  <c r="O63" i="80" s="1"/>
  <c r="C59" i="80"/>
  <c r="F47" i="80"/>
  <c r="C65" i="80"/>
  <c r="C45" i="80"/>
  <c r="C52" i="80"/>
  <c r="F50" i="80"/>
  <c r="C69" i="80"/>
  <c r="I69" i="80"/>
  <c r="C64" i="80"/>
  <c r="C49" i="80"/>
  <c r="C57" i="80"/>
  <c r="C63" i="80"/>
  <c r="C46" i="80"/>
  <c r="K51" i="80"/>
  <c r="F65" i="80"/>
  <c r="F64" i="80"/>
  <c r="F62" i="80"/>
  <c r="F58" i="80"/>
  <c r="F67" i="80"/>
  <c r="F61" i="80"/>
  <c r="F53" i="80"/>
  <c r="F52" i="80"/>
  <c r="F69" i="80"/>
  <c r="F57" i="80"/>
  <c r="F59" i="80"/>
  <c r="F54" i="80"/>
  <c r="F66" i="80"/>
  <c r="F51" i="80"/>
  <c r="C55" i="80"/>
  <c r="F49" i="80"/>
  <c r="C50" i="80"/>
  <c r="F55" i="80"/>
  <c r="C56" i="80"/>
  <c r="C47" i="80"/>
  <c r="K5" i="80"/>
  <c r="N5" i="80" s="1"/>
  <c r="Q5" i="80" s="1"/>
  <c r="Q40" i="80" s="1"/>
  <c r="D91" i="78"/>
  <c r="M138" i="78"/>
  <c r="M131" i="78"/>
  <c r="P132" i="78"/>
  <c r="AA133" i="78"/>
  <c r="O124" i="78"/>
  <c r="M139" i="78"/>
  <c r="P127" i="78"/>
  <c r="O100" i="78"/>
  <c r="P83" i="78"/>
  <c r="O140" i="78"/>
  <c r="K40" i="80"/>
  <c r="N40" i="80" s="1"/>
  <c r="X124" i="78"/>
  <c r="X100" i="78"/>
  <c r="B100" i="78"/>
  <c r="X88" i="78"/>
  <c r="AA89" i="78"/>
  <c r="X136" i="78"/>
  <c r="O134" i="78"/>
  <c r="AA127" i="78"/>
  <c r="Z136" i="78"/>
  <c r="D126" i="78"/>
  <c r="O137" i="78"/>
  <c r="X139" i="78"/>
  <c r="D104" i="78"/>
  <c r="P119" i="78"/>
  <c r="O104" i="78"/>
  <c r="X133" i="78"/>
  <c r="AA137" i="78"/>
  <c r="X99" i="78"/>
  <c r="P120" i="78"/>
  <c r="O101" i="78"/>
  <c r="B120" i="78"/>
  <c r="B124" i="78"/>
  <c r="B132" i="78"/>
  <c r="B136" i="78"/>
  <c r="E127" i="78"/>
  <c r="E131" i="78"/>
  <c r="E139" i="78"/>
  <c r="M136" i="78"/>
  <c r="B89" i="78"/>
  <c r="F54" i="78"/>
  <c r="X125" i="78"/>
  <c r="D88" i="78"/>
  <c r="B90" i="78"/>
  <c r="B98" i="78"/>
  <c r="E89" i="78"/>
  <c r="E101" i="78"/>
  <c r="M137" i="78"/>
  <c r="O84" i="78"/>
  <c r="P135" i="78"/>
  <c r="AA97" i="78"/>
  <c r="X104" i="78"/>
  <c r="Z95" i="78"/>
  <c r="B95" i="78"/>
  <c r="B135" i="78"/>
  <c r="E138" i="78"/>
  <c r="B84" i="78"/>
  <c r="B88" i="78"/>
  <c r="B96" i="78"/>
  <c r="E91" i="78"/>
  <c r="E99" i="78"/>
  <c r="E103" i="78"/>
  <c r="X28" i="79"/>
  <c r="D89" i="78"/>
  <c r="E137" i="78"/>
  <c r="P104" i="78"/>
  <c r="P140" i="78"/>
  <c r="D125" i="78"/>
  <c r="E125" i="78"/>
  <c r="X96" i="78"/>
  <c r="X132" i="78"/>
  <c r="Z100" i="78"/>
  <c r="X103" i="78"/>
  <c r="AA140" i="78"/>
  <c r="O88" i="78"/>
  <c r="O127" i="78"/>
  <c r="P91" i="78"/>
  <c r="Z101" i="78"/>
  <c r="B126" i="78"/>
  <c r="B134" i="78"/>
  <c r="B102" i="78"/>
  <c r="X84" i="78"/>
  <c r="AA124" i="78"/>
  <c r="X135" i="78"/>
  <c r="AA136" i="78"/>
  <c r="B83" i="78"/>
  <c r="B99" i="78"/>
  <c r="E90" i="78"/>
  <c r="D138" i="78"/>
  <c r="O135" i="78"/>
  <c r="M102" i="78"/>
  <c r="M119" i="78"/>
  <c r="O131" i="78"/>
  <c r="M134" i="78"/>
  <c r="D133" i="78"/>
  <c r="E119" i="78"/>
  <c r="B138" i="78"/>
  <c r="Z97" i="78"/>
  <c r="AA139" i="78"/>
  <c r="B101" i="78"/>
  <c r="E88" i="78"/>
  <c r="X18" i="79"/>
  <c r="O28" i="79"/>
  <c r="D83" i="78"/>
  <c r="D136" i="78"/>
  <c r="E100" i="78"/>
  <c r="D98" i="78"/>
  <c r="P99" i="78"/>
  <c r="X83" i="78"/>
  <c r="X119" i="78"/>
  <c r="D84" i="78"/>
  <c r="D99" i="78"/>
  <c r="B125" i="78"/>
  <c r="B133" i="78"/>
  <c r="E120" i="78"/>
  <c r="E124" i="78"/>
  <c r="E136" i="78"/>
  <c r="E140" i="78"/>
  <c r="D102" i="78"/>
  <c r="D124" i="78"/>
  <c r="O83" i="78"/>
  <c r="D120" i="78"/>
  <c r="D132" i="78"/>
  <c r="E96" i="78"/>
  <c r="E104" i="78"/>
  <c r="D140" i="78"/>
  <c r="E102" i="78"/>
  <c r="D96" i="78"/>
  <c r="D90" i="78"/>
  <c r="D103" i="78"/>
  <c r="M126" i="78"/>
  <c r="M90" i="78"/>
  <c r="Z137" i="78"/>
  <c r="AA101" i="78"/>
  <c r="E132" i="78"/>
  <c r="B137" i="78"/>
  <c r="B103" i="78"/>
  <c r="E98" i="78"/>
  <c r="D134" i="78"/>
  <c r="M98" i="78"/>
  <c r="Z102" i="78"/>
  <c r="B127" i="78"/>
  <c r="B131" i="78"/>
  <c r="B139" i="78"/>
  <c r="E126" i="78"/>
  <c r="E134" i="78"/>
  <c r="E84" i="78"/>
  <c r="B91" i="78"/>
  <c r="B97" i="78"/>
  <c r="D100" i="78"/>
  <c r="B119" i="78"/>
  <c r="M120" i="78"/>
  <c r="P124" i="78"/>
  <c r="O132" i="78"/>
  <c r="M29" i="79"/>
  <c r="D139" i="78"/>
  <c r="D119" i="78"/>
  <c r="D127" i="78"/>
  <c r="D131" i="78"/>
  <c r="D95" i="78"/>
  <c r="D97" i="78"/>
  <c r="B104" i="78"/>
  <c r="D135" i="78"/>
  <c r="O139" i="78"/>
  <c r="P100" i="78"/>
  <c r="Z133" i="78"/>
  <c r="D59" i="78"/>
  <c r="D137" i="78"/>
  <c r="C65" i="78"/>
  <c r="B140" i="78"/>
  <c r="E135" i="78"/>
  <c r="E83" i="78"/>
  <c r="E95" i="78"/>
  <c r="E97" i="78"/>
  <c r="E133" i="78"/>
  <c r="AA120" i="78"/>
  <c r="AA126" i="78"/>
  <c r="Z89" i="78"/>
  <c r="X91" i="78"/>
  <c r="Z138" i="78"/>
  <c r="X140" i="78"/>
  <c r="N49" i="78"/>
  <c r="AA131" i="78"/>
  <c r="AA134" i="78"/>
  <c r="M133" i="78"/>
  <c r="P97" i="78"/>
  <c r="P102" i="78"/>
  <c r="AA90" i="78"/>
  <c r="X131" i="78"/>
  <c r="AA103" i="78"/>
  <c r="D101" i="78"/>
  <c r="Z126" i="78"/>
  <c r="Z90" i="78"/>
  <c r="X89" i="78"/>
  <c r="Z125" i="78"/>
  <c r="X127" i="78"/>
  <c r="Z120" i="78"/>
  <c r="X120" i="78"/>
  <c r="AA125" i="78"/>
  <c r="Z134" i="78"/>
  <c r="AA100" i="78"/>
  <c r="Z80" i="78"/>
  <c r="Z56" i="78"/>
  <c r="X118" i="78"/>
  <c r="X82" i="78"/>
  <c r="AA83" i="78"/>
  <c r="Z83" i="78"/>
  <c r="Z119" i="78"/>
  <c r="X121" i="78"/>
  <c r="AA86" i="78"/>
  <c r="AA122" i="78"/>
  <c r="Z88" i="78"/>
  <c r="X90" i="78"/>
  <c r="Z127" i="78"/>
  <c r="AA91" i="78"/>
  <c r="Z91" i="78"/>
  <c r="X93" i="78"/>
  <c r="X129" i="78"/>
  <c r="AA130" i="78"/>
  <c r="Z96" i="78"/>
  <c r="X98" i="78"/>
  <c r="Z135" i="78"/>
  <c r="AA99" i="78"/>
  <c r="Z99" i="78"/>
  <c r="X137" i="78"/>
  <c r="X101" i="78"/>
  <c r="AA138" i="78"/>
  <c r="AA102" i="78"/>
  <c r="Z104" i="78"/>
  <c r="Z116" i="78"/>
  <c r="Z124" i="78"/>
  <c r="X126" i="78"/>
  <c r="Z132" i="78"/>
  <c r="Z85" i="78"/>
  <c r="X95" i="78"/>
  <c r="AA119" i="78"/>
  <c r="Z84" i="78"/>
  <c r="AA85" i="78"/>
  <c r="Z92" i="78"/>
  <c r="AA96" i="78"/>
  <c r="X102" i="78"/>
  <c r="Z103" i="78"/>
  <c r="X138" i="78"/>
  <c r="Z139" i="78"/>
  <c r="Z140" i="78"/>
  <c r="AA104" i="78"/>
  <c r="Z121" i="78"/>
  <c r="X134" i="78"/>
  <c r="AA80" i="78"/>
  <c r="X94" i="78"/>
  <c r="AA95" i="78"/>
  <c r="X97" i="78"/>
  <c r="Z128" i="78"/>
  <c r="Z131" i="78"/>
  <c r="AA132" i="78"/>
  <c r="AA135" i="78"/>
  <c r="X86" i="78"/>
  <c r="Z87" i="78"/>
  <c r="AA88" i="78"/>
  <c r="Z98" i="78"/>
  <c r="X130" i="78"/>
  <c r="AA87" i="78"/>
  <c r="AA98" i="78"/>
  <c r="O99" i="78"/>
  <c r="O119" i="78"/>
  <c r="O96" i="78"/>
  <c r="P88" i="78"/>
  <c r="P96" i="78"/>
  <c r="P136" i="78"/>
  <c r="Q61" i="78"/>
  <c r="M132" i="78"/>
  <c r="O117" i="78"/>
  <c r="M99" i="78"/>
  <c r="O89" i="78"/>
  <c r="O102" i="78"/>
  <c r="P84" i="78"/>
  <c r="P82" i="78"/>
  <c r="M86" i="78"/>
  <c r="P90" i="78"/>
  <c r="M68" i="78"/>
  <c r="M80" i="78"/>
  <c r="M127" i="78"/>
  <c r="O86" i="78"/>
  <c r="M116" i="78"/>
  <c r="O81" i="78"/>
  <c r="M122" i="78"/>
  <c r="P123" i="78"/>
  <c r="P92" i="78"/>
  <c r="P131" i="78"/>
  <c r="O97" i="78"/>
  <c r="P139" i="78"/>
  <c r="O122" i="78"/>
  <c r="O130" i="78"/>
  <c r="O138" i="78"/>
  <c r="O91" i="78"/>
  <c r="P122" i="78"/>
  <c r="P130" i="78"/>
  <c r="P138" i="78"/>
  <c r="D114" i="78"/>
  <c r="S76" i="78"/>
  <c r="H40" i="78"/>
  <c r="B78" i="78"/>
  <c r="S40" i="78"/>
  <c r="D80" i="78"/>
  <c r="E80" i="78"/>
  <c r="D116" i="78"/>
  <c r="M81" i="78"/>
  <c r="O87" i="78"/>
  <c r="P93" i="78"/>
  <c r="M97" i="78"/>
  <c r="O103" i="78"/>
  <c r="M135" i="78"/>
  <c r="O82" i="78"/>
  <c r="P87" i="78"/>
  <c r="O92" i="78"/>
  <c r="M96" i="78"/>
  <c r="O98" i="78"/>
  <c r="P103" i="78"/>
  <c r="O120" i="78"/>
  <c r="P121" i="78"/>
  <c r="P129" i="78"/>
  <c r="O136" i="78"/>
  <c r="P137" i="78"/>
  <c r="M117" i="78"/>
  <c r="P81" i="78"/>
  <c r="O118" i="78"/>
  <c r="P85" i="78"/>
  <c r="M89" i="78"/>
  <c r="M94" i="78"/>
  <c r="O95" i="78"/>
  <c r="P101" i="78"/>
  <c r="P118" i="78"/>
  <c r="O125" i="78"/>
  <c r="P126" i="78"/>
  <c r="O133" i="78"/>
  <c r="P134" i="78"/>
  <c r="M125" i="78"/>
  <c r="O126" i="78"/>
  <c r="M140" i="78"/>
  <c r="M88" i="78"/>
  <c r="O90" i="78"/>
  <c r="P95" i="78"/>
  <c r="M104" i="78"/>
  <c r="P117" i="78"/>
  <c r="P125" i="78"/>
  <c r="M130" i="78"/>
  <c r="P133" i="78"/>
  <c r="P98" i="78"/>
  <c r="M124" i="78"/>
  <c r="O94" i="78"/>
  <c r="M78" i="78"/>
  <c r="M87" i="78"/>
  <c r="M95" i="78"/>
  <c r="M103" i="78"/>
  <c r="N42" i="78"/>
  <c r="M85" i="78"/>
  <c r="M93" i="78"/>
  <c r="M101" i="78"/>
  <c r="M84" i="78"/>
  <c r="M92" i="78"/>
  <c r="M100" i="78"/>
  <c r="M83" i="78"/>
  <c r="M91" i="78"/>
  <c r="A48" i="78"/>
  <c r="A64" i="78"/>
  <c r="A49" i="78"/>
  <c r="A57" i="78"/>
  <c r="A65" i="78"/>
  <c r="A84" i="78"/>
  <c r="A92" i="78"/>
  <c r="A100" i="78"/>
  <c r="A44" i="78"/>
  <c r="A52" i="78"/>
  <c r="A60" i="78"/>
  <c r="A68" i="78"/>
  <c r="A87" i="78"/>
  <c r="A95" i="78"/>
  <c r="A103" i="78"/>
  <c r="A45" i="78"/>
  <c r="A53" i="78"/>
  <c r="A61" i="78"/>
  <c r="A80" i="78"/>
  <c r="A56" i="78"/>
  <c r="A50" i="78"/>
  <c r="A58" i="78"/>
  <c r="A66" i="78"/>
  <c r="A86" i="78"/>
  <c r="A89" i="78"/>
  <c r="A97" i="78"/>
  <c r="A73" i="78"/>
  <c r="A37" i="78"/>
  <c r="L124" i="78" l="1"/>
  <c r="AH124" i="78" s="1"/>
  <c r="BD124" i="78" s="1"/>
  <c r="BZ124" i="78" s="1"/>
  <c r="W83" i="78"/>
  <c r="AS83" i="78" s="1"/>
  <c r="BO83" i="78" s="1"/>
  <c r="CK83" i="78" s="1"/>
  <c r="W109" i="78"/>
  <c r="W37" i="78"/>
  <c r="W133" i="78"/>
  <c r="AS133" i="78" s="1"/>
  <c r="BO133" i="78" s="1"/>
  <c r="CK133" i="78" s="1"/>
  <c r="W125" i="78"/>
  <c r="AS125" i="78" s="1"/>
  <c r="BO125" i="78" s="1"/>
  <c r="CK125" i="78" s="1"/>
  <c r="W117" i="78"/>
  <c r="AS117" i="78" s="1"/>
  <c r="BO117" i="78" s="1"/>
  <c r="CK117" i="78" s="1"/>
  <c r="W82" i="78"/>
  <c r="AS82" i="78" s="1"/>
  <c r="BO82" i="78" s="1"/>
  <c r="CK82" i="78" s="1"/>
  <c r="L132" i="78"/>
  <c r="AH132" i="78" s="1"/>
  <c r="BD132" i="78" s="1"/>
  <c r="BZ132" i="78" s="1"/>
  <c r="W140" i="78"/>
  <c r="AS140" i="78" s="1"/>
  <c r="BO140" i="78" s="1"/>
  <c r="CK140" i="78" s="1"/>
  <c r="W135" i="78"/>
  <c r="AS135" i="78" s="1"/>
  <c r="BO135" i="78" s="1"/>
  <c r="CK135" i="78" s="1"/>
  <c r="L135" i="78"/>
  <c r="AH135" i="78" s="1"/>
  <c r="BD135" i="78" s="1"/>
  <c r="BZ135" i="78" s="1"/>
  <c r="W119" i="78"/>
  <c r="AS119" i="78" s="1"/>
  <c r="BO119" i="78" s="1"/>
  <c r="CK119" i="78" s="1"/>
  <c r="L119" i="78"/>
  <c r="AH119" i="78" s="1"/>
  <c r="BD119" i="78" s="1"/>
  <c r="BZ119" i="78" s="1"/>
  <c r="W90" i="78"/>
  <c r="AS90" i="78" s="1"/>
  <c r="BO90" i="78" s="1"/>
  <c r="CK90" i="78" s="1"/>
  <c r="W127" i="78"/>
  <c r="AS127" i="78" s="1"/>
  <c r="BO127" i="78" s="1"/>
  <c r="CK127" i="78" s="1"/>
  <c r="L127" i="78"/>
  <c r="AH127" i="78" s="1"/>
  <c r="BD127" i="78" s="1"/>
  <c r="BZ127" i="78" s="1"/>
  <c r="L55" i="78"/>
  <c r="AH55" i="78" s="1"/>
  <c r="BD55" i="78" s="1"/>
  <c r="BZ55" i="78" s="1"/>
  <c r="W55" i="78"/>
  <c r="AS55" i="78" s="1"/>
  <c r="BO55" i="78" s="1"/>
  <c r="CK55" i="78" s="1"/>
  <c r="L80" i="78"/>
  <c r="AH80" i="78" s="1"/>
  <c r="BD80" i="78" s="1"/>
  <c r="BZ80" i="78" s="1"/>
  <c r="W80" i="78"/>
  <c r="AS80" i="78" s="1"/>
  <c r="BO80" i="78" s="1"/>
  <c r="CK80" i="78" s="1"/>
  <c r="W49" i="78"/>
  <c r="AS49" i="78" s="1"/>
  <c r="BO49" i="78" s="1"/>
  <c r="CK49" i="78" s="1"/>
  <c r="L49" i="78"/>
  <c r="AH49" i="78" s="1"/>
  <c r="BD49" i="78" s="1"/>
  <c r="BZ49" i="78" s="1"/>
  <c r="L63" i="78"/>
  <c r="AH63" i="78" s="1"/>
  <c r="BD63" i="78" s="1"/>
  <c r="BZ63" i="78" s="1"/>
  <c r="W63" i="78"/>
  <c r="AS63" i="78" s="1"/>
  <c r="BO63" i="78" s="1"/>
  <c r="CK63" i="78" s="1"/>
  <c r="L126" i="78"/>
  <c r="AH126" i="78" s="1"/>
  <c r="BD126" i="78" s="1"/>
  <c r="BZ126" i="78" s="1"/>
  <c r="W126" i="78"/>
  <c r="AS126" i="78" s="1"/>
  <c r="BO126" i="78" s="1"/>
  <c r="CK126" i="78" s="1"/>
  <c r="L51" i="78"/>
  <c r="AH51" i="78" s="1"/>
  <c r="BD51" i="78" s="1"/>
  <c r="BZ51" i="78" s="1"/>
  <c r="W51" i="78"/>
  <c r="AS51" i="78" s="1"/>
  <c r="BO51" i="78" s="1"/>
  <c r="CK51" i="78" s="1"/>
  <c r="L86" i="78"/>
  <c r="AH86" i="78" s="1"/>
  <c r="BD86" i="78" s="1"/>
  <c r="BZ86" i="78" s="1"/>
  <c r="W86" i="78"/>
  <c r="AS86" i="78" s="1"/>
  <c r="BO86" i="78" s="1"/>
  <c r="CK86" i="78" s="1"/>
  <c r="W87" i="78"/>
  <c r="AS87" i="78" s="1"/>
  <c r="BO87" i="78" s="1"/>
  <c r="CK87" i="78" s="1"/>
  <c r="L87" i="78"/>
  <c r="AH87" i="78" s="1"/>
  <c r="BD87" i="78" s="1"/>
  <c r="BZ87" i="78" s="1"/>
  <c r="W100" i="78"/>
  <c r="AS100" i="78" s="1"/>
  <c r="BO100" i="78" s="1"/>
  <c r="CK100" i="78" s="1"/>
  <c r="L100" i="78"/>
  <c r="AH100" i="78" s="1"/>
  <c r="BD100" i="78" s="1"/>
  <c r="BZ100" i="78" s="1"/>
  <c r="L118" i="78"/>
  <c r="AH118" i="78" s="1"/>
  <c r="BD118" i="78" s="1"/>
  <c r="BZ118" i="78" s="1"/>
  <c r="W118" i="78"/>
  <c r="AS118" i="78" s="1"/>
  <c r="BO118" i="78" s="1"/>
  <c r="CK118" i="78" s="1"/>
  <c r="W122" i="78"/>
  <c r="AS122" i="78" s="1"/>
  <c r="BO122" i="78" s="1"/>
  <c r="CK122" i="78" s="1"/>
  <c r="L122" i="78"/>
  <c r="AH122" i="78" s="1"/>
  <c r="BD122" i="78" s="1"/>
  <c r="BZ122" i="78" s="1"/>
  <c r="L56" i="78"/>
  <c r="AH56" i="78" s="1"/>
  <c r="BD56" i="78" s="1"/>
  <c r="BZ56" i="78" s="1"/>
  <c r="W56" i="78"/>
  <c r="AS56" i="78" s="1"/>
  <c r="BO56" i="78" s="1"/>
  <c r="CK56" i="78" s="1"/>
  <c r="W129" i="78"/>
  <c r="AS129" i="78" s="1"/>
  <c r="BO129" i="78" s="1"/>
  <c r="CK129" i="78" s="1"/>
  <c r="L129" i="78"/>
  <c r="AH129" i="78" s="1"/>
  <c r="BD129" i="78" s="1"/>
  <c r="BZ129" i="78" s="1"/>
  <c r="L97" i="78"/>
  <c r="AH97" i="78" s="1"/>
  <c r="BD97" i="78" s="1"/>
  <c r="BZ97" i="78" s="1"/>
  <c r="W97" i="78"/>
  <c r="AS97" i="78" s="1"/>
  <c r="BO97" i="78" s="1"/>
  <c r="CK97" i="78" s="1"/>
  <c r="W57" i="78"/>
  <c r="AS57" i="78" s="1"/>
  <c r="BO57" i="78" s="1"/>
  <c r="CK57" i="78" s="1"/>
  <c r="L57" i="78"/>
  <c r="AH57" i="78" s="1"/>
  <c r="BD57" i="78" s="1"/>
  <c r="BZ57" i="78" s="1"/>
  <c r="L99" i="78"/>
  <c r="AH99" i="78" s="1"/>
  <c r="BD99" i="78" s="1"/>
  <c r="BZ99" i="78" s="1"/>
  <c r="W99" i="78"/>
  <c r="AS99" i="78" s="1"/>
  <c r="BO99" i="78" s="1"/>
  <c r="CK99" i="78" s="1"/>
  <c r="L89" i="78"/>
  <c r="AH89" i="78" s="1"/>
  <c r="BD89" i="78" s="1"/>
  <c r="BZ89" i="78" s="1"/>
  <c r="W89" i="78"/>
  <c r="AS89" i="78" s="1"/>
  <c r="BO89" i="78" s="1"/>
  <c r="CK89" i="78" s="1"/>
  <c r="L61" i="78"/>
  <c r="AH61" i="78" s="1"/>
  <c r="BD61" i="78" s="1"/>
  <c r="BZ61" i="78" s="1"/>
  <c r="W61" i="78"/>
  <c r="AS61" i="78" s="1"/>
  <c r="BO61" i="78" s="1"/>
  <c r="CK61" i="78" s="1"/>
  <c r="W92" i="78"/>
  <c r="AS92" i="78" s="1"/>
  <c r="BO92" i="78" s="1"/>
  <c r="CK92" i="78" s="1"/>
  <c r="L92" i="78"/>
  <c r="AH92" i="78" s="1"/>
  <c r="BD92" i="78" s="1"/>
  <c r="BZ92" i="78" s="1"/>
  <c r="L91" i="78"/>
  <c r="AH91" i="78" s="1"/>
  <c r="BD91" i="78" s="1"/>
  <c r="BZ91" i="78" s="1"/>
  <c r="W91" i="78"/>
  <c r="AS91" i="78" s="1"/>
  <c r="BO91" i="78" s="1"/>
  <c r="CK91" i="78" s="1"/>
  <c r="L66" i="78"/>
  <c r="AH66" i="78" s="1"/>
  <c r="BD66" i="78" s="1"/>
  <c r="BZ66" i="78" s="1"/>
  <c r="W66" i="78"/>
  <c r="AS66" i="78" s="1"/>
  <c r="BO66" i="78" s="1"/>
  <c r="CK66" i="78" s="1"/>
  <c r="L53" i="78"/>
  <c r="AH53" i="78" s="1"/>
  <c r="BD53" i="78" s="1"/>
  <c r="BZ53" i="78" s="1"/>
  <c r="W53" i="78"/>
  <c r="AS53" i="78" s="1"/>
  <c r="BO53" i="78" s="1"/>
  <c r="CK53" i="78" s="1"/>
  <c r="W84" i="78"/>
  <c r="AS84" i="78" s="1"/>
  <c r="BO84" i="78" s="1"/>
  <c r="CK84" i="78" s="1"/>
  <c r="L84" i="78"/>
  <c r="AH84" i="78" s="1"/>
  <c r="BD84" i="78" s="1"/>
  <c r="BZ84" i="78" s="1"/>
  <c r="L64" i="78"/>
  <c r="AH64" i="78" s="1"/>
  <c r="BD64" i="78" s="1"/>
  <c r="BZ64" i="78" s="1"/>
  <c r="W64" i="78"/>
  <c r="AS64" i="78" s="1"/>
  <c r="BO64" i="78" s="1"/>
  <c r="CK64" i="78" s="1"/>
  <c r="L47" i="78"/>
  <c r="AH47" i="78" s="1"/>
  <c r="BD47" i="78" s="1"/>
  <c r="BZ47" i="78" s="1"/>
  <c r="W47" i="78"/>
  <c r="AS47" i="78" s="1"/>
  <c r="BO47" i="78" s="1"/>
  <c r="CK47" i="78" s="1"/>
  <c r="W94" i="78"/>
  <c r="AS94" i="78" s="1"/>
  <c r="BO94" i="78" s="1"/>
  <c r="CK94" i="78" s="1"/>
  <c r="L94" i="78"/>
  <c r="AH94" i="78" s="1"/>
  <c r="BD94" i="78" s="1"/>
  <c r="BZ94" i="78" s="1"/>
  <c r="W65" i="78"/>
  <c r="AS65" i="78" s="1"/>
  <c r="BO65" i="78" s="1"/>
  <c r="CK65" i="78" s="1"/>
  <c r="L65" i="78"/>
  <c r="AH65" i="78" s="1"/>
  <c r="BD65" i="78" s="1"/>
  <c r="BZ65" i="78" s="1"/>
  <c r="L120" i="78"/>
  <c r="AH120" i="78" s="1"/>
  <c r="BD120" i="78" s="1"/>
  <c r="BZ120" i="78" s="1"/>
  <c r="W120" i="78"/>
  <c r="AS120" i="78" s="1"/>
  <c r="BO120" i="78" s="1"/>
  <c r="CK120" i="78" s="1"/>
  <c r="W59" i="78"/>
  <c r="AS59" i="78" s="1"/>
  <c r="BO59" i="78" s="1"/>
  <c r="CK59" i="78" s="1"/>
  <c r="L59" i="78"/>
  <c r="AH59" i="78" s="1"/>
  <c r="BD59" i="78" s="1"/>
  <c r="BZ59" i="78" s="1"/>
  <c r="W103" i="78"/>
  <c r="AS103" i="78" s="1"/>
  <c r="BO103" i="78" s="1"/>
  <c r="CK103" i="78" s="1"/>
  <c r="L103" i="78"/>
  <c r="AH103" i="78" s="1"/>
  <c r="BD103" i="78" s="1"/>
  <c r="BZ103" i="78" s="1"/>
  <c r="L134" i="78"/>
  <c r="AH134" i="78" s="1"/>
  <c r="BD134" i="78" s="1"/>
  <c r="BZ134" i="78" s="1"/>
  <c r="W134" i="78"/>
  <c r="AS134" i="78" s="1"/>
  <c r="BO134" i="78" s="1"/>
  <c r="CK134" i="78" s="1"/>
  <c r="W95" i="78"/>
  <c r="AS95" i="78" s="1"/>
  <c r="BO95" i="78" s="1"/>
  <c r="CK95" i="78" s="1"/>
  <c r="L95" i="78"/>
  <c r="AH95" i="78" s="1"/>
  <c r="BD95" i="78" s="1"/>
  <c r="BZ95" i="78" s="1"/>
  <c r="W130" i="78"/>
  <c r="AS130" i="78" s="1"/>
  <c r="BO130" i="78" s="1"/>
  <c r="CK130" i="78" s="1"/>
  <c r="L130" i="78"/>
  <c r="AH130" i="78" s="1"/>
  <c r="BD130" i="78" s="1"/>
  <c r="BZ130" i="78" s="1"/>
  <c r="W58" i="78"/>
  <c r="AS58" i="78" s="1"/>
  <c r="BO58" i="78" s="1"/>
  <c r="CK58" i="78" s="1"/>
  <c r="L58" i="78"/>
  <c r="AH58" i="78" s="1"/>
  <c r="BD58" i="78" s="1"/>
  <c r="BZ58" i="78" s="1"/>
  <c r="L45" i="78"/>
  <c r="AH45" i="78" s="1"/>
  <c r="BD45" i="78" s="1"/>
  <c r="BZ45" i="78" s="1"/>
  <c r="W45" i="78"/>
  <c r="AS45" i="78" s="1"/>
  <c r="BO45" i="78" s="1"/>
  <c r="CK45" i="78" s="1"/>
  <c r="W68" i="78"/>
  <c r="AS68" i="78" s="1"/>
  <c r="BO68" i="78" s="1"/>
  <c r="CK68" i="78" s="1"/>
  <c r="L68" i="78"/>
  <c r="AH68" i="78" s="1"/>
  <c r="BD68" i="78" s="1"/>
  <c r="BZ68" i="78" s="1"/>
  <c r="L48" i="78"/>
  <c r="AH48" i="78" s="1"/>
  <c r="BD48" i="78" s="1"/>
  <c r="BZ48" i="78" s="1"/>
  <c r="W48" i="78"/>
  <c r="AS48" i="78" s="1"/>
  <c r="BO48" i="78" s="1"/>
  <c r="CK48" i="78" s="1"/>
  <c r="L98" i="78"/>
  <c r="AH98" i="78" s="1"/>
  <c r="BD98" i="78" s="1"/>
  <c r="BZ98" i="78" s="1"/>
  <c r="W98" i="78"/>
  <c r="AS98" i="78" s="1"/>
  <c r="BO98" i="78" s="1"/>
  <c r="CK98" i="78" s="1"/>
  <c r="W136" i="78"/>
  <c r="AS136" i="78" s="1"/>
  <c r="BO136" i="78" s="1"/>
  <c r="CK136" i="78" s="1"/>
  <c r="L136" i="78"/>
  <c r="AH136" i="78" s="1"/>
  <c r="BD136" i="78" s="1"/>
  <c r="BZ136" i="78" s="1"/>
  <c r="L67" i="78"/>
  <c r="AH67" i="78" s="1"/>
  <c r="BD67" i="78" s="1"/>
  <c r="BZ67" i="78" s="1"/>
  <c r="W67" i="78"/>
  <c r="AS67" i="78" s="1"/>
  <c r="BO67" i="78" s="1"/>
  <c r="CK67" i="78" s="1"/>
  <c r="W138" i="78"/>
  <c r="AS138" i="78" s="1"/>
  <c r="BO138" i="78" s="1"/>
  <c r="CK138" i="78" s="1"/>
  <c r="L138" i="78"/>
  <c r="AH138" i="78" s="1"/>
  <c r="BD138" i="78" s="1"/>
  <c r="BZ138" i="78" s="1"/>
  <c r="W52" i="78"/>
  <c r="AS52" i="78" s="1"/>
  <c r="BO52" i="78" s="1"/>
  <c r="CK52" i="78" s="1"/>
  <c r="L52" i="78"/>
  <c r="AH52" i="78" s="1"/>
  <c r="BD52" i="78" s="1"/>
  <c r="BZ52" i="78" s="1"/>
  <c r="L131" i="78"/>
  <c r="AH131" i="78" s="1"/>
  <c r="BD131" i="78" s="1"/>
  <c r="BZ131" i="78" s="1"/>
  <c r="W131" i="78"/>
  <c r="AS131" i="78" s="1"/>
  <c r="BO131" i="78" s="1"/>
  <c r="CK131" i="78" s="1"/>
  <c r="W44" i="78"/>
  <c r="AS44" i="78" s="1"/>
  <c r="BO44" i="78" s="1"/>
  <c r="CK44" i="78" s="1"/>
  <c r="L44" i="78"/>
  <c r="AH44" i="78" s="1"/>
  <c r="BD44" i="78" s="1"/>
  <c r="BZ44" i="78" s="1"/>
  <c r="L121" i="78"/>
  <c r="AH121" i="78" s="1"/>
  <c r="BD121" i="78" s="1"/>
  <c r="BZ121" i="78" s="1"/>
  <c r="W121" i="78"/>
  <c r="AS121" i="78" s="1"/>
  <c r="BO121" i="78" s="1"/>
  <c r="CK121" i="78" s="1"/>
  <c r="W50" i="78"/>
  <c r="AS50" i="78" s="1"/>
  <c r="BO50" i="78" s="1"/>
  <c r="CK50" i="78" s="1"/>
  <c r="L50" i="78"/>
  <c r="AH50" i="78" s="1"/>
  <c r="BD50" i="78" s="1"/>
  <c r="BZ50" i="78" s="1"/>
  <c r="W60" i="78"/>
  <c r="AS60" i="78" s="1"/>
  <c r="BO60" i="78" s="1"/>
  <c r="CK60" i="78" s="1"/>
  <c r="L60" i="78"/>
  <c r="AH60" i="78" s="1"/>
  <c r="BD60" i="78" s="1"/>
  <c r="BZ60" i="78" s="1"/>
  <c r="L137" i="78"/>
  <c r="AH137" i="78" s="1"/>
  <c r="BD137" i="78" s="1"/>
  <c r="BZ137" i="78" s="1"/>
  <c r="W137" i="78"/>
  <c r="AS137" i="78" s="1"/>
  <c r="BO137" i="78" s="1"/>
  <c r="CK137" i="78" s="1"/>
  <c r="W128" i="78"/>
  <c r="AS128" i="78" s="1"/>
  <c r="BO128" i="78" s="1"/>
  <c r="CK128" i="78" s="1"/>
  <c r="L128" i="78"/>
  <c r="AH128" i="78" s="1"/>
  <c r="BD128" i="78" s="1"/>
  <c r="BZ128" i="78" s="1"/>
  <c r="L102" i="78"/>
  <c r="AH102" i="78" s="1"/>
  <c r="BD102" i="78" s="1"/>
  <c r="BZ102" i="78" s="1"/>
  <c r="W102" i="78"/>
  <c r="AS102" i="78" s="1"/>
  <c r="BO102" i="78" s="1"/>
  <c r="CK102" i="78" s="1"/>
  <c r="L65" i="80"/>
  <c r="N61" i="80"/>
  <c r="O61" i="80" s="1"/>
  <c r="L60" i="80"/>
  <c r="N60" i="80"/>
  <c r="O60" i="80" s="1"/>
  <c r="N65" i="80"/>
  <c r="O65" i="80" s="1"/>
  <c r="N47" i="80"/>
  <c r="O47" i="80" s="1"/>
  <c r="N52" i="80"/>
  <c r="O52" i="80" s="1"/>
  <c r="L52" i="80"/>
  <c r="L46" i="80"/>
  <c r="N67" i="80"/>
  <c r="O67" i="80" s="1"/>
  <c r="N53" i="80"/>
  <c r="O53" i="80" s="1"/>
  <c r="N58" i="80"/>
  <c r="O58" i="80" s="1"/>
  <c r="L50" i="80"/>
  <c r="L44" i="80"/>
  <c r="L58" i="80"/>
  <c r="N55" i="80"/>
  <c r="O55" i="80" s="1"/>
  <c r="L67" i="80"/>
  <c r="L48" i="80"/>
  <c r="L49" i="80"/>
  <c r="N64" i="80"/>
  <c r="O64" i="80" s="1"/>
  <c r="N62" i="80"/>
  <c r="O62" i="80" s="1"/>
  <c r="N44" i="80"/>
  <c r="O44" i="80" s="1"/>
  <c r="N49" i="80"/>
  <c r="O49" i="80" s="1"/>
  <c r="N48" i="80"/>
  <c r="O48" i="80" s="1"/>
  <c r="L61" i="80"/>
  <c r="N50" i="80"/>
  <c r="O50" i="80" s="1"/>
  <c r="L53" i="80"/>
  <c r="L57" i="80"/>
  <c r="L64" i="80"/>
  <c r="L54" i="80"/>
  <c r="N46" i="80"/>
  <c r="O46" i="80" s="1"/>
  <c r="N66" i="80"/>
  <c r="O66" i="80" s="1"/>
  <c r="L66" i="80"/>
  <c r="L63" i="80"/>
  <c r="L59" i="80"/>
  <c r="L56" i="80"/>
  <c r="N45" i="80"/>
  <c r="O45" i="80" s="1"/>
  <c r="N56" i="80"/>
  <c r="O56" i="80" s="1"/>
  <c r="X21" i="79"/>
  <c r="X14" i="79"/>
  <c r="X15" i="79"/>
  <c r="N9" i="79"/>
  <c r="X10" i="79"/>
  <c r="X20" i="79"/>
  <c r="C70" i="78"/>
  <c r="L73" i="78"/>
  <c r="L109" i="78"/>
  <c r="X9" i="79"/>
  <c r="Z54" i="78"/>
  <c r="F57" i="78"/>
  <c r="L45" i="80"/>
  <c r="L51" i="80"/>
  <c r="N51" i="80"/>
  <c r="O51" i="80" s="1"/>
  <c r="F53" i="78"/>
  <c r="N19" i="79"/>
  <c r="O16" i="79"/>
  <c r="M53" i="78"/>
  <c r="N16" i="79"/>
  <c r="P60" i="78"/>
  <c r="D64" i="78"/>
  <c r="O12" i="79"/>
  <c r="N31" i="79"/>
  <c r="F70" i="78"/>
  <c r="F65" i="78"/>
  <c r="F50" i="78"/>
  <c r="N15" i="79"/>
  <c r="F48" i="78"/>
  <c r="N25" i="79"/>
  <c r="F49" i="78"/>
  <c r="N8" i="79"/>
  <c r="N29" i="79"/>
  <c r="N26" i="79"/>
  <c r="N66" i="78"/>
  <c r="N34" i="79"/>
  <c r="O60" i="78"/>
  <c r="F61" i="78"/>
  <c r="F51" i="78"/>
  <c r="O63" i="78"/>
  <c r="O64" i="78"/>
  <c r="P56" i="78"/>
  <c r="O55" i="78"/>
  <c r="D70" i="78"/>
  <c r="F59" i="78"/>
  <c r="F56" i="78"/>
  <c r="B70" i="78"/>
  <c r="D45" i="78"/>
  <c r="F55" i="78"/>
  <c r="F66" i="78"/>
  <c r="D68" i="78"/>
  <c r="D106" i="78"/>
  <c r="F47" i="78"/>
  <c r="F64" i="78"/>
  <c r="Q56" i="78"/>
  <c r="N62" i="78"/>
  <c r="Q46" i="78"/>
  <c r="D55" i="78"/>
  <c r="N13" i="79"/>
  <c r="F46" i="78"/>
  <c r="N14" i="79"/>
  <c r="F44" i="78"/>
  <c r="N53" i="78"/>
  <c r="F67" i="78"/>
  <c r="N22" i="79"/>
  <c r="N32" i="79"/>
  <c r="N21" i="79"/>
  <c r="F62" i="78"/>
  <c r="N56" i="78"/>
  <c r="Q54" i="78"/>
  <c r="N18" i="79"/>
  <c r="N17" i="79"/>
  <c r="D67" i="78"/>
  <c r="X30" i="79"/>
  <c r="F63" i="78"/>
  <c r="N24" i="79"/>
  <c r="F58" i="78"/>
  <c r="N30" i="79"/>
  <c r="N10" i="79"/>
  <c r="N20" i="79"/>
  <c r="Z57" i="78"/>
  <c r="D63" i="78"/>
  <c r="N28" i="79"/>
  <c r="X27" i="79"/>
  <c r="N12" i="79"/>
  <c r="N27" i="79"/>
  <c r="F60" i="78"/>
  <c r="F45" i="78"/>
  <c r="N11" i="79"/>
  <c r="N23" i="79"/>
  <c r="B63" i="78"/>
  <c r="O44" i="78"/>
  <c r="M27" i="79"/>
  <c r="B68" i="78"/>
  <c r="M44" i="78"/>
  <c r="P57" i="78"/>
  <c r="O54" i="78"/>
  <c r="O68" i="78"/>
  <c r="D65" i="78"/>
  <c r="C54" i="78"/>
  <c r="F68" i="78"/>
  <c r="F52" i="78"/>
  <c r="O47" i="78"/>
  <c r="O59" i="78"/>
  <c r="O57" i="78"/>
  <c r="O51" i="78"/>
  <c r="O58" i="78"/>
  <c r="O46" i="78"/>
  <c r="N51" i="78"/>
  <c r="Z60" i="78"/>
  <c r="O50" i="78"/>
  <c r="O49" i="78"/>
  <c r="B52" i="78"/>
  <c r="N63" i="78"/>
  <c r="O45" i="78"/>
  <c r="O48" i="78"/>
  <c r="O61" i="78"/>
  <c r="O67" i="78"/>
  <c r="O62" i="78"/>
  <c r="O52" i="78"/>
  <c r="AA68" i="78"/>
  <c r="Z65" i="78"/>
  <c r="Z68" i="78"/>
  <c r="X31" i="79"/>
  <c r="O65" i="78"/>
  <c r="O66" i="78"/>
  <c r="N68" i="78"/>
  <c r="B142" i="78"/>
  <c r="O56" i="78"/>
  <c r="O70" i="78"/>
  <c r="M25" i="79"/>
  <c r="P63" i="78"/>
  <c r="P53" i="78"/>
  <c r="C44" i="78"/>
  <c r="P58" i="78"/>
  <c r="O142" i="78"/>
  <c r="P65" i="78"/>
  <c r="P47" i="78"/>
  <c r="O24" i="79"/>
  <c r="C55" i="78"/>
  <c r="P48" i="78"/>
  <c r="P66" i="78"/>
  <c r="P44" i="78"/>
  <c r="P68" i="78"/>
  <c r="P51" i="78"/>
  <c r="P55" i="78"/>
  <c r="P67" i="78"/>
  <c r="O30" i="79"/>
  <c r="C53" i="78"/>
  <c r="P70" i="78"/>
  <c r="P54" i="78"/>
  <c r="P45" i="78"/>
  <c r="P59" i="78"/>
  <c r="P49" i="78"/>
  <c r="P64" i="78"/>
  <c r="P50" i="78"/>
  <c r="P52" i="78"/>
  <c r="P62" i="78"/>
  <c r="P61" i="78"/>
  <c r="P46" i="78"/>
  <c r="AA47" i="78"/>
  <c r="AA63" i="78"/>
  <c r="AA57" i="78"/>
  <c r="X29" i="79"/>
  <c r="X23" i="79"/>
  <c r="N65" i="78"/>
  <c r="D57" i="78"/>
  <c r="D56" i="78"/>
  <c r="D51" i="78"/>
  <c r="D47" i="78"/>
  <c r="D53" i="78"/>
  <c r="D49" i="78"/>
  <c r="D48" i="78"/>
  <c r="D44" i="78"/>
  <c r="D60" i="78"/>
  <c r="D58" i="78"/>
  <c r="D66" i="78"/>
  <c r="D62" i="78"/>
  <c r="D50" i="78"/>
  <c r="D54" i="78"/>
  <c r="D52" i="78"/>
  <c r="D61" i="78"/>
  <c r="D46" i="78"/>
  <c r="X26" i="79"/>
  <c r="X46" i="78"/>
  <c r="N64" i="78"/>
  <c r="N46" i="78"/>
  <c r="N67" i="78"/>
  <c r="N44" i="78"/>
  <c r="N50" i="78"/>
  <c r="N61" i="78"/>
  <c r="N45" i="78"/>
  <c r="N52" i="78"/>
  <c r="N55" i="78"/>
  <c r="N58" i="78"/>
  <c r="N54" i="78"/>
  <c r="N70" i="78"/>
  <c r="N57" i="78"/>
  <c r="N47" i="78"/>
  <c r="V23" i="79"/>
  <c r="X11" i="79"/>
  <c r="N48" i="78"/>
  <c r="X12" i="79"/>
  <c r="E65" i="78"/>
  <c r="E56" i="78"/>
  <c r="E49" i="78"/>
  <c r="E58" i="78"/>
  <c r="E51" i="78"/>
  <c r="E57" i="78"/>
  <c r="E106" i="78"/>
  <c r="E50" i="78"/>
  <c r="E66" i="78"/>
  <c r="E55" i="78"/>
  <c r="E47" i="78"/>
  <c r="E61" i="78"/>
  <c r="E54" i="78"/>
  <c r="E53" i="78"/>
  <c r="E46" i="78"/>
  <c r="E59" i="78"/>
  <c r="E45" i="78"/>
  <c r="E63" i="78"/>
  <c r="E52" i="78"/>
  <c r="E60" i="78"/>
  <c r="E62" i="78"/>
  <c r="E67" i="78"/>
  <c r="E68" i="78"/>
  <c r="E64" i="78"/>
  <c r="N60" i="78"/>
  <c r="M47" i="78"/>
  <c r="M45" i="78"/>
  <c r="N59" i="78"/>
  <c r="X25" i="79"/>
  <c r="E48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4" i="79"/>
  <c r="M23" i="79"/>
  <c r="Z44" i="78"/>
  <c r="O18" i="79"/>
  <c r="M31" i="79"/>
  <c r="M11" i="79"/>
  <c r="C47" i="78"/>
  <c r="B47" i="78"/>
  <c r="X19" i="79"/>
  <c r="B106" i="78"/>
  <c r="B54" i="78"/>
  <c r="B48" i="78"/>
  <c r="B58" i="78"/>
  <c r="B66" i="78"/>
  <c r="B62" i="78"/>
  <c r="B51" i="78"/>
  <c r="B56" i="78"/>
  <c r="B67" i="78"/>
  <c r="B57" i="78"/>
  <c r="B50" i="78"/>
  <c r="B46" i="78"/>
  <c r="B64" i="78"/>
  <c r="B49" i="78"/>
  <c r="X17" i="79"/>
  <c r="X32" i="79"/>
  <c r="O26" i="79"/>
  <c r="C56" i="78"/>
  <c r="C49" i="78"/>
  <c r="C46" i="78"/>
  <c r="C66" i="78"/>
  <c r="C51" i="78"/>
  <c r="C48" i="78"/>
  <c r="C58" i="78"/>
  <c r="C61" i="78"/>
  <c r="C57" i="78"/>
  <c r="C50" i="78"/>
  <c r="C60" i="78"/>
  <c r="C45" i="78"/>
  <c r="C52" i="78"/>
  <c r="C68" i="78"/>
  <c r="C64" i="78"/>
  <c r="C67" i="78"/>
  <c r="C59" i="78"/>
  <c r="B61" i="78"/>
  <c r="O19" i="79"/>
  <c r="M19" i="79"/>
  <c r="O11" i="79"/>
  <c r="C62" i="78"/>
  <c r="B65" i="78"/>
  <c r="B53" i="78"/>
  <c r="B59" i="78"/>
  <c r="X16" i="79"/>
  <c r="O8" i="79"/>
  <c r="O22" i="79"/>
  <c r="O20" i="79"/>
  <c r="O14" i="79"/>
  <c r="O10" i="79"/>
  <c r="O34" i="79"/>
  <c r="O31" i="79"/>
  <c r="O27" i="79"/>
  <c r="O23" i="79"/>
  <c r="O15" i="79"/>
  <c r="O13" i="79"/>
  <c r="O17" i="79"/>
  <c r="O25" i="79"/>
  <c r="O21" i="79"/>
  <c r="O29" i="79"/>
  <c r="O9" i="79"/>
  <c r="B44" i="78"/>
  <c r="Y59" i="78"/>
  <c r="M17" i="79"/>
  <c r="B60" i="78"/>
  <c r="M26" i="79"/>
  <c r="B55" i="78"/>
  <c r="C63" i="78"/>
  <c r="O32" i="79"/>
  <c r="X24" i="79"/>
  <c r="X56" i="78"/>
  <c r="X64" i="78"/>
  <c r="Z48" i="78"/>
  <c r="X67" i="78"/>
  <c r="X59" i="78"/>
  <c r="X50" i="78"/>
  <c r="X62" i="78"/>
  <c r="Z62" i="78"/>
  <c r="X66" i="78"/>
  <c r="X58" i="78"/>
  <c r="AB56" i="78"/>
  <c r="AB53" i="78"/>
  <c r="AB65" i="78"/>
  <c r="AB59" i="78"/>
  <c r="AB45" i="78"/>
  <c r="AB60" i="78"/>
  <c r="AB51" i="78"/>
  <c r="AB52" i="78"/>
  <c r="AB48" i="78"/>
  <c r="AB57" i="78"/>
  <c r="AB70" i="78"/>
  <c r="AB49" i="78"/>
  <c r="AB44" i="78"/>
  <c r="AB58" i="78"/>
  <c r="AA142" i="78"/>
  <c r="AB67" i="78"/>
  <c r="AB61" i="78"/>
  <c r="AB64" i="78"/>
  <c r="AB47" i="78"/>
  <c r="AB66" i="78"/>
  <c r="AB50" i="78"/>
  <c r="Y70" i="78"/>
  <c r="Y55" i="78"/>
  <c r="Y52" i="78"/>
  <c r="Y50" i="78"/>
  <c r="Y64" i="78"/>
  <c r="Y58" i="78"/>
  <c r="Y44" i="78"/>
  <c r="Y56" i="78"/>
  <c r="Y48" i="78"/>
  <c r="X142" i="78"/>
  <c r="Y47" i="78"/>
  <c r="Y53" i="78"/>
  <c r="Y68" i="78"/>
  <c r="Y57" i="78"/>
  <c r="Y51" i="78"/>
  <c r="Y46" i="78"/>
  <c r="Y66" i="78"/>
  <c r="Y60" i="78"/>
  <c r="Y63" i="78"/>
  <c r="Y49" i="78"/>
  <c r="AA59" i="78"/>
  <c r="AA51" i="78"/>
  <c r="AB68" i="78"/>
  <c r="Y62" i="78"/>
  <c r="X70" i="78"/>
  <c r="X55" i="78"/>
  <c r="X52" i="78"/>
  <c r="X49" i="78"/>
  <c r="X47" i="78"/>
  <c r="X65" i="78"/>
  <c r="X106" i="78"/>
  <c r="X61" i="78"/>
  <c r="X44" i="78"/>
  <c r="X68" i="78"/>
  <c r="X45" i="78"/>
  <c r="X53" i="78"/>
  <c r="X63" i="78"/>
  <c r="X57" i="78"/>
  <c r="X51" i="78"/>
  <c r="X54" i="78"/>
  <c r="X48" i="78"/>
  <c r="X60" i="78"/>
  <c r="AB63" i="78"/>
  <c r="Y67" i="78"/>
  <c r="AA67" i="78"/>
  <c r="AA65" i="78"/>
  <c r="Y65" i="78"/>
  <c r="Z106" i="78"/>
  <c r="Z61" i="78"/>
  <c r="Z58" i="78"/>
  <c r="Z59" i="78"/>
  <c r="Z45" i="78"/>
  <c r="Z67" i="78"/>
  <c r="Z47" i="78"/>
  <c r="Z53" i="78"/>
  <c r="Z50" i="78"/>
  <c r="Z63" i="78"/>
  <c r="Z51" i="78"/>
  <c r="Z66" i="78"/>
  <c r="Z49" i="78"/>
  <c r="Z46" i="78"/>
  <c r="Z52" i="78"/>
  <c r="Z70" i="78"/>
  <c r="Z55" i="78"/>
  <c r="Z142" i="78"/>
  <c r="AA54" i="78"/>
  <c r="AA62" i="78"/>
  <c r="AA56" i="78"/>
  <c r="AA53" i="78"/>
  <c r="AA50" i="78"/>
  <c r="AA66" i="78"/>
  <c r="AA70" i="78"/>
  <c r="AA45" i="78"/>
  <c r="AA48" i="78"/>
  <c r="AA46" i="78"/>
  <c r="AA58" i="78"/>
  <c r="AA44" i="78"/>
  <c r="AA64" i="78"/>
  <c r="AA55" i="78"/>
  <c r="AA49" i="78"/>
  <c r="AA61" i="78"/>
  <c r="AA52" i="78"/>
  <c r="AA106" i="78"/>
  <c r="AB62" i="78"/>
  <c r="AB55" i="78"/>
  <c r="AB46" i="78"/>
  <c r="Z64" i="78"/>
  <c r="Y61" i="78"/>
  <c r="Y54" i="78"/>
  <c r="AA60" i="78"/>
  <c r="Y45" i="78"/>
  <c r="AB54" i="78"/>
  <c r="Q45" i="78"/>
  <c r="M66" i="78"/>
  <c r="M55" i="78"/>
  <c r="O53" i="78"/>
  <c r="O106" i="78"/>
  <c r="Q64" i="78"/>
  <c r="Q48" i="78"/>
  <c r="M60" i="78"/>
  <c r="M142" i="78"/>
  <c r="M61" i="78"/>
  <c r="Q49" i="78"/>
  <c r="M52" i="78"/>
  <c r="Q47" i="78"/>
  <c r="Q44" i="78"/>
  <c r="Q50" i="78"/>
  <c r="Q68" i="78"/>
  <c r="Q63" i="78"/>
  <c r="Q60" i="78"/>
  <c r="Q52" i="78"/>
  <c r="P142" i="78"/>
  <c r="Q66" i="78"/>
  <c r="Q70" i="78"/>
  <c r="Q59" i="78"/>
  <c r="Q55" i="78"/>
  <c r="Q58" i="78"/>
  <c r="P106" i="78"/>
  <c r="Q53" i="78"/>
  <c r="Q57" i="78"/>
  <c r="Q62" i="78"/>
  <c r="Q51" i="78"/>
  <c r="M50" i="78"/>
  <c r="Q67" i="78"/>
  <c r="M59" i="78"/>
  <c r="M54" i="78"/>
  <c r="M106" i="78"/>
  <c r="M70" i="78"/>
  <c r="M48" i="78"/>
  <c r="M51" i="78"/>
  <c r="M63" i="78"/>
  <c r="M64" i="78"/>
  <c r="M62" i="78"/>
  <c r="M65" i="78"/>
  <c r="M46" i="78"/>
  <c r="M56" i="78"/>
  <c r="M67" i="78"/>
  <c r="M58" i="78"/>
  <c r="M57" i="78"/>
  <c r="M49" i="78"/>
  <c r="Q65" i="78"/>
  <c r="E70" i="78"/>
  <c r="E44" i="78"/>
  <c r="D142" i="78"/>
  <c r="E142" i="78"/>
  <c r="V32" i="79" l="1"/>
  <c r="V29" i="79"/>
  <c r="V12" i="79"/>
  <c r="V26" i="79"/>
  <c r="V11" i="79"/>
  <c r="V22" i="79"/>
  <c r="V20" i="79"/>
  <c r="V14" i="79"/>
  <c r="V10" i="79"/>
  <c r="X34" i="79"/>
  <c r="V21" i="79"/>
  <c r="V15" i="79"/>
  <c r="V13" i="79"/>
  <c r="V9" i="79"/>
  <c r="V34" i="79"/>
  <c r="V27" i="79"/>
  <c r="V28" i="79"/>
  <c r="V30" i="79"/>
  <c r="V18" i="79"/>
  <c r="V31" i="79"/>
  <c r="V25" i="79"/>
  <c r="V24" i="79"/>
  <c r="V16" i="79"/>
  <c r="V17" i="79"/>
  <c r="V19" i="79"/>
  <c r="O2" i="76"/>
  <c r="A116" i="76" l="1"/>
  <c r="A58" i="76"/>
  <c r="A442" i="76"/>
  <c r="A407" i="76"/>
  <c r="A372" i="76"/>
  <c r="A267" i="76"/>
  <c r="A337" i="76"/>
  <c r="A302" i="76"/>
  <c r="A232" i="76"/>
  <c r="A197" i="76"/>
  <c r="A162" i="76"/>
  <c r="A1" i="76"/>
  <c r="J12" i="78"/>
  <c r="J48" i="78" s="1"/>
  <c r="J84" i="78" s="1"/>
  <c r="U18" i="78"/>
  <c r="U54" i="78" s="1"/>
  <c r="U90" i="78" s="1"/>
  <c r="J18" i="78"/>
  <c r="J54" i="78" s="1"/>
  <c r="J90" i="78" s="1"/>
  <c r="J17" i="78"/>
  <c r="J53" i="78" s="1"/>
  <c r="J89" i="78" s="1"/>
  <c r="J31" i="78"/>
  <c r="J67" i="78" s="1"/>
  <c r="J103" i="78" s="1"/>
  <c r="J23" i="78"/>
  <c r="J59" i="78" s="1"/>
  <c r="J95" i="78" s="1"/>
  <c r="L42" i="75"/>
  <c r="L43" i="75"/>
  <c r="L44" i="75"/>
  <c r="L45" i="75"/>
  <c r="L35" i="75"/>
  <c r="L36" i="75"/>
  <c r="L37" i="75"/>
  <c r="L38" i="75"/>
  <c r="L31" i="75"/>
  <c r="L25" i="75"/>
  <c r="L26" i="75"/>
  <c r="L27" i="75"/>
  <c r="L21" i="75"/>
  <c r="L13" i="75"/>
  <c r="L9" i="75"/>
  <c r="J26" i="78" l="1"/>
  <c r="J62" i="78" s="1"/>
  <c r="J98" i="78" s="1"/>
  <c r="U26" i="78"/>
  <c r="U62" i="78" s="1"/>
  <c r="U98" i="78" s="1"/>
  <c r="J30" i="78"/>
  <c r="J66" i="78" s="1"/>
  <c r="J102" i="78" s="1"/>
  <c r="J27" i="78"/>
  <c r="J63" i="78" s="1"/>
  <c r="J99" i="78" s="1"/>
  <c r="U31" i="78"/>
  <c r="U67" i="78" s="1"/>
  <c r="U103" i="78" s="1"/>
  <c r="U12" i="78"/>
  <c r="U48" i="78" s="1"/>
  <c r="U84" i="78" s="1"/>
  <c r="A99" i="18"/>
  <c r="A95" i="18"/>
  <c r="A87" i="18"/>
  <c r="A83" i="18"/>
  <c r="A82" i="18"/>
  <c r="A81" i="18"/>
  <c r="A77" i="18"/>
  <c r="F26" i="18"/>
  <c r="E26" i="18"/>
  <c r="C26" i="18"/>
  <c r="F25" i="18"/>
  <c r="E25" i="18"/>
  <c r="C25" i="18"/>
  <c r="B25" i="18"/>
  <c r="B26" i="18"/>
  <c r="I47" i="18" l="1"/>
  <c r="I13" i="18"/>
  <c r="I48" i="18"/>
  <c r="I20" i="18"/>
  <c r="D26" i="18"/>
  <c r="I26" i="18" s="1"/>
  <c r="I19" i="18"/>
  <c r="I18" i="18"/>
  <c r="I12" i="18"/>
  <c r="U23" i="78"/>
  <c r="U59" i="78" s="1"/>
  <c r="U95" i="78" s="1"/>
  <c r="I35" i="18"/>
  <c r="I22" i="18"/>
  <c r="I32" i="18"/>
  <c r="U30" i="78"/>
  <c r="U66" i="78" s="1"/>
  <c r="U102" i="78" s="1"/>
  <c r="I21" i="18"/>
  <c r="U27" i="78"/>
  <c r="U63" i="78" s="1"/>
  <c r="U99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8" i="71"/>
  <c r="D118" i="71"/>
  <c r="B118" i="71"/>
  <c r="E117" i="71"/>
  <c r="D117" i="71"/>
  <c r="B117" i="71"/>
  <c r="E116" i="71"/>
  <c r="D116" i="71"/>
  <c r="B116" i="71"/>
  <c r="E114" i="71"/>
  <c r="D114" i="71"/>
  <c r="B114" i="71"/>
  <c r="E104" i="71"/>
  <c r="D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B82" i="71"/>
  <c r="E81" i="71"/>
  <c r="D81" i="71"/>
  <c r="B81" i="71"/>
  <c r="E80" i="71"/>
  <c r="D80" i="71"/>
  <c r="B80" i="71"/>
  <c r="E78" i="71"/>
  <c r="D78" i="71"/>
  <c r="B78" i="71"/>
  <c r="D70" i="71"/>
  <c r="D68" i="71"/>
  <c r="D67" i="71"/>
  <c r="D66" i="71"/>
  <c r="D65" i="71"/>
  <c r="D64" i="71"/>
  <c r="E63" i="71"/>
  <c r="D63" i="71"/>
  <c r="D62" i="71"/>
  <c r="D61" i="71"/>
  <c r="D60" i="71"/>
  <c r="D59" i="71"/>
  <c r="D58" i="71"/>
  <c r="D57" i="71"/>
  <c r="D56" i="71"/>
  <c r="D55" i="71"/>
  <c r="D54" i="71"/>
  <c r="E53" i="71"/>
  <c r="D53" i="71"/>
  <c r="D52" i="71"/>
  <c r="D51" i="71"/>
  <c r="D50" i="71"/>
  <c r="D49" i="71"/>
  <c r="B49" i="71"/>
  <c r="D48" i="71"/>
  <c r="D47" i="71"/>
  <c r="D46" i="71"/>
  <c r="D45" i="71"/>
  <c r="D44" i="71"/>
  <c r="J42" i="71"/>
  <c r="J78" i="71" s="1"/>
  <c r="I42" i="71"/>
  <c r="I78" i="71" s="1"/>
  <c r="H42" i="71"/>
  <c r="H78" i="71" s="1"/>
  <c r="F42" i="71"/>
  <c r="E42" i="71"/>
  <c r="D42" i="71"/>
  <c r="C42" i="71"/>
  <c r="B42" i="71"/>
  <c r="J41" i="71"/>
  <c r="J77" i="71" s="1"/>
  <c r="I41" i="71"/>
  <c r="I77" i="71" s="1"/>
  <c r="H41" i="71"/>
  <c r="H77" i="71" s="1"/>
  <c r="H40" i="71"/>
  <c r="A109" i="71"/>
  <c r="L25" i="18" l="1"/>
  <c r="L26" i="18"/>
  <c r="I44" i="18"/>
  <c r="I43" i="18"/>
  <c r="I14" i="18"/>
  <c r="H76" i="71"/>
  <c r="C51" i="71"/>
  <c r="B57" i="71"/>
  <c r="E49" i="71"/>
  <c r="C67" i="71"/>
  <c r="E66" i="71"/>
  <c r="E44" i="71"/>
  <c r="E62" i="71"/>
  <c r="E50" i="71"/>
  <c r="C55" i="71"/>
  <c r="E58" i="71"/>
  <c r="E70" i="71"/>
  <c r="E55" i="71"/>
  <c r="E48" i="71"/>
  <c r="E59" i="71"/>
  <c r="E68" i="71"/>
  <c r="E52" i="71"/>
  <c r="E56" i="71"/>
  <c r="E60" i="71"/>
  <c r="E65" i="71"/>
  <c r="C46" i="71"/>
  <c r="C49" i="71"/>
  <c r="C65" i="71"/>
  <c r="C45" i="71"/>
  <c r="C47" i="71"/>
  <c r="C44" i="71"/>
  <c r="C70" i="71"/>
  <c r="C53" i="71"/>
  <c r="C48" i="71"/>
  <c r="E47" i="71"/>
  <c r="E45" i="71"/>
  <c r="F53" i="71"/>
  <c r="F56" i="71"/>
  <c r="F63" i="71"/>
  <c r="D142" i="71"/>
  <c r="E51" i="71"/>
  <c r="E54" i="71"/>
  <c r="E64" i="71"/>
  <c r="E67" i="71"/>
  <c r="E46" i="71"/>
  <c r="E57" i="71"/>
  <c r="E61" i="71"/>
  <c r="D106" i="71"/>
  <c r="F60" i="71"/>
  <c r="F66" i="71"/>
  <c r="F65" i="71"/>
  <c r="F49" i="71"/>
  <c r="F55" i="71"/>
  <c r="F61" i="71"/>
  <c r="F45" i="71"/>
  <c r="F47" i="71"/>
  <c r="F51" i="71"/>
  <c r="F58" i="71"/>
  <c r="F68" i="71"/>
  <c r="F54" i="71"/>
  <c r="F52" i="71"/>
  <c r="F59" i="71"/>
  <c r="F70" i="71"/>
  <c r="E106" i="71"/>
  <c r="F64" i="71"/>
  <c r="E142" i="71"/>
  <c r="F44" i="71"/>
  <c r="F46" i="71"/>
  <c r="F48" i="71"/>
  <c r="F50" i="71"/>
  <c r="F62" i="71"/>
  <c r="F57" i="71"/>
  <c r="F67" i="71"/>
  <c r="C57" i="71"/>
  <c r="C59" i="71"/>
  <c r="C61" i="71"/>
  <c r="C63" i="71"/>
  <c r="B65" i="71"/>
  <c r="C50" i="71"/>
  <c r="C52" i="71"/>
  <c r="C54" i="71"/>
  <c r="C56" i="71"/>
  <c r="C58" i="71"/>
  <c r="C60" i="71"/>
  <c r="C62" i="71"/>
  <c r="C64" i="71"/>
  <c r="C66" i="71"/>
  <c r="C68" i="71"/>
  <c r="B51" i="71"/>
  <c r="B59" i="71"/>
  <c r="B67" i="71"/>
  <c r="B48" i="71"/>
  <c r="B56" i="71"/>
  <c r="B64" i="71"/>
  <c r="B54" i="71"/>
  <c r="B62" i="71"/>
  <c r="B50" i="71"/>
  <c r="B58" i="71"/>
  <c r="B66" i="71"/>
  <c r="B46" i="71"/>
  <c r="B45" i="71"/>
  <c r="B53" i="71"/>
  <c r="B61" i="71"/>
  <c r="B47" i="71"/>
  <c r="B55" i="71"/>
  <c r="B63" i="71"/>
  <c r="B70" i="71"/>
  <c r="B44" i="71"/>
  <c r="B52" i="71"/>
  <c r="B60" i="71"/>
  <c r="B68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3" i="71"/>
  <c r="A37" i="71"/>
  <c r="J54" i="71" l="1"/>
  <c r="J90" i="71" s="1"/>
  <c r="Q47" i="31"/>
  <c r="J62" i="71"/>
  <c r="J98" i="71" s="1"/>
  <c r="Q55" i="31"/>
  <c r="J53" i="71"/>
  <c r="J89" i="71" s="1"/>
  <c r="Q46" i="31"/>
  <c r="J63" i="71"/>
  <c r="J99" i="71" s="1"/>
  <c r="Q56" i="31"/>
  <c r="J67" i="71"/>
  <c r="J103" i="71" s="1"/>
  <c r="Q60" i="31"/>
  <c r="J59" i="71"/>
  <c r="J95" i="71" s="1"/>
  <c r="Q52" i="31"/>
  <c r="J66" i="71"/>
  <c r="J102" i="71" s="1"/>
  <c r="Q59" i="31"/>
  <c r="J48" i="71"/>
  <c r="J84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DD58" i="60"/>
  <c r="DJ58" i="60" s="1"/>
  <c r="DP58" i="60" s="1"/>
  <c r="CX58" i="60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M6" i="49"/>
  <c r="N6" i="49"/>
  <c r="J6" i="49"/>
  <c r="Y6" i="49" s="1"/>
  <c r="D92" i="49" l="1"/>
  <c r="D93" i="49"/>
  <c r="D94" i="49"/>
  <c r="D96" i="49"/>
  <c r="D97" i="49"/>
  <c r="D98" i="49"/>
  <c r="D99" i="49"/>
  <c r="D102" i="49"/>
  <c r="D103" i="49"/>
  <c r="D104" i="49"/>
  <c r="D105" i="49"/>
  <c r="D107" i="49"/>
  <c r="D108" i="49"/>
  <c r="D111" i="49"/>
  <c r="D112" i="49"/>
  <c r="D115" i="49"/>
  <c r="D91" i="49"/>
  <c r="D64" i="49"/>
  <c r="D65" i="49"/>
  <c r="D66" i="49"/>
  <c r="D68" i="49"/>
  <c r="D69" i="49"/>
  <c r="D70" i="49"/>
  <c r="D71" i="49"/>
  <c r="D74" i="49"/>
  <c r="D75" i="49"/>
  <c r="D76" i="49"/>
  <c r="D77" i="49"/>
  <c r="D79" i="49"/>
  <c r="D80" i="49"/>
  <c r="D83" i="49"/>
  <c r="D84" i="49"/>
  <c r="D87" i="49"/>
  <c r="D63" i="49"/>
  <c r="D7" i="49" s="1"/>
  <c r="D36" i="49"/>
  <c r="D37" i="49"/>
  <c r="D38" i="49"/>
  <c r="D40" i="49"/>
  <c r="D41" i="49"/>
  <c r="D42" i="49"/>
  <c r="D43" i="49"/>
  <c r="D46" i="49"/>
  <c r="D47" i="49"/>
  <c r="D48" i="49"/>
  <c r="D49" i="49"/>
  <c r="D51" i="49"/>
  <c r="D52" i="49"/>
  <c r="D55" i="49"/>
  <c r="D56" i="49"/>
  <c r="D59" i="49"/>
  <c r="C90" i="49"/>
  <c r="C174" i="49" s="1"/>
  <c r="C258" i="49" s="1"/>
  <c r="D90" i="49"/>
  <c r="D174" i="49" s="1"/>
  <c r="D258" i="49" s="1"/>
  <c r="E90" i="49"/>
  <c r="E174" i="49" s="1"/>
  <c r="E258" i="49" s="1"/>
  <c r="F90" i="49"/>
  <c r="F174" i="49" s="1"/>
  <c r="F258" i="49" s="1"/>
  <c r="B90" i="49"/>
  <c r="B174" i="49" s="1"/>
  <c r="B258" i="49" s="1"/>
  <c r="C62" i="49"/>
  <c r="C146" i="49" s="1"/>
  <c r="C230" i="49" s="1"/>
  <c r="D62" i="49"/>
  <c r="D146" i="49" s="1"/>
  <c r="D230" i="49" s="1"/>
  <c r="E62" i="49"/>
  <c r="E146" i="49" s="1"/>
  <c r="E230" i="49" s="1"/>
  <c r="F62" i="49"/>
  <c r="F146" i="49" s="1"/>
  <c r="F230" i="49" s="1"/>
  <c r="B62" i="49"/>
  <c r="B146" i="49" s="1"/>
  <c r="B230" i="49" s="1"/>
  <c r="C34" i="49"/>
  <c r="D34" i="49"/>
  <c r="D118" i="49" s="1"/>
  <c r="D202" i="49" s="1"/>
  <c r="E34" i="49"/>
  <c r="E118" i="49" s="1"/>
  <c r="E202" i="49" s="1"/>
  <c r="F34" i="49"/>
  <c r="F118" i="49" s="1"/>
  <c r="F202" i="49" s="1"/>
  <c r="B34" i="49"/>
  <c r="A32" i="49"/>
  <c r="D13" i="49" l="1"/>
  <c r="D12" i="49"/>
  <c r="D31" i="49"/>
  <c r="C118" i="49"/>
  <c r="C202" i="49" s="1"/>
  <c r="R34" i="49"/>
  <c r="B118" i="49"/>
  <c r="B202" i="49" s="1"/>
  <c r="Q34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L41" i="49" a="1"/>
  <c r="L30" i="49" a="1"/>
  <c r="L19" i="49" a="1"/>
  <c r="D116" i="49"/>
  <c r="D60" i="49"/>
  <c r="D88" i="49"/>
  <c r="G32" i="49"/>
  <c r="F98" i="49"/>
  <c r="A116" i="49"/>
  <c r="A200" i="49" s="1"/>
  <c r="A284" i="49" s="1"/>
  <c r="F80" i="49"/>
  <c r="F77" i="49"/>
  <c r="F74" i="49"/>
  <c r="F93" i="49"/>
  <c r="F84" i="49"/>
  <c r="F40" i="49"/>
  <c r="F56" i="49"/>
  <c r="F55" i="49"/>
  <c r="F51" i="49"/>
  <c r="F48" i="49"/>
  <c r="F49" i="49"/>
  <c r="F47" i="49"/>
  <c r="F43" i="49"/>
  <c r="F37" i="49"/>
  <c r="F70" i="49"/>
  <c r="F68" i="49"/>
  <c r="F65" i="49"/>
  <c r="F112" i="49"/>
  <c r="F108" i="49"/>
  <c r="F105" i="49"/>
  <c r="F103" i="49"/>
  <c r="F96" i="49"/>
  <c r="F42" i="49"/>
  <c r="F41" i="49"/>
  <c r="F87" i="49"/>
  <c r="F83" i="49"/>
  <c r="F79" i="49"/>
  <c r="F76" i="49"/>
  <c r="F75" i="49"/>
  <c r="F92" i="49"/>
  <c r="F102" i="49"/>
  <c r="F99" i="49"/>
  <c r="F94" i="49"/>
  <c r="F59" i="49"/>
  <c r="F52" i="49"/>
  <c r="F46" i="49"/>
  <c r="F38" i="49"/>
  <c r="F71" i="49"/>
  <c r="F69" i="49"/>
  <c r="F66" i="49"/>
  <c r="F64" i="49"/>
  <c r="F115" i="49"/>
  <c r="F111" i="49"/>
  <c r="F107" i="49"/>
  <c r="F104" i="49"/>
  <c r="F97" i="49"/>
  <c r="A35" i="49"/>
  <c r="A119" i="49" s="1"/>
  <c r="A203" i="49" s="1"/>
  <c r="A91" i="49"/>
  <c r="A175" i="49" s="1"/>
  <c r="A259" i="49" s="1"/>
  <c r="A88" i="49"/>
  <c r="A172" i="49" s="1"/>
  <c r="A256" i="49" s="1"/>
  <c r="A63" i="49"/>
  <c r="A147" i="49" s="1"/>
  <c r="A231" i="49" s="1"/>
  <c r="A60" i="49"/>
  <c r="A144" i="49" s="1"/>
  <c r="A228" i="49" s="1"/>
  <c r="F36" i="49"/>
  <c r="F91" i="49"/>
  <c r="F63" i="49"/>
  <c r="F35" i="49"/>
  <c r="D32" i="49" l="1"/>
  <c r="F9" i="49"/>
  <c r="F10" i="49"/>
  <c r="F18" i="49"/>
  <c r="F13" i="49"/>
  <c r="F19" i="49"/>
  <c r="F24" i="49"/>
  <c r="F14" i="49"/>
  <c r="F21" i="49"/>
  <c r="F31" i="49"/>
  <c r="F20" i="49"/>
  <c r="F8" i="49"/>
  <c r="F23" i="49"/>
  <c r="F27" i="49"/>
  <c r="F15" i="49"/>
  <c r="F7" i="49"/>
  <c r="F28" i="49"/>
  <c r="F12" i="49"/>
  <c r="N30" i="49" a="1"/>
  <c r="N34" i="49" s="1"/>
  <c r="N41" i="49" a="1"/>
  <c r="L47" i="49"/>
  <c r="L43" i="49"/>
  <c r="L44" i="49"/>
  <c r="L49" i="49"/>
  <c r="L41" i="49"/>
  <c r="L46" i="49"/>
  <c r="L42" i="49"/>
  <c r="L45" i="49"/>
  <c r="L48" i="49"/>
  <c r="L36" i="49"/>
  <c r="L34" i="49"/>
  <c r="L33" i="49"/>
  <c r="L35" i="49"/>
  <c r="L32" i="49"/>
  <c r="L31" i="49"/>
  <c r="L37" i="49"/>
  <c r="L30" i="49"/>
  <c r="L38" i="49"/>
  <c r="N19" i="49" a="1"/>
  <c r="L26" i="49"/>
  <c r="L25" i="49"/>
  <c r="L24" i="49"/>
  <c r="L27" i="49"/>
  <c r="L19" i="49"/>
  <c r="L23" i="49"/>
  <c r="L22" i="49"/>
  <c r="L21" i="49"/>
  <c r="L20" i="49"/>
  <c r="L8" i="49" a="1"/>
  <c r="F116" i="49"/>
  <c r="F60" i="49"/>
  <c r="F88" i="49"/>
  <c r="N38" i="49" l="1"/>
  <c r="N33" i="49"/>
  <c r="N32" i="49"/>
  <c r="F32" i="49"/>
  <c r="N36" i="49"/>
  <c r="N37" i="49"/>
  <c r="N30" i="49"/>
  <c r="N31" i="49"/>
  <c r="N35" i="49"/>
  <c r="N42" i="49"/>
  <c r="N41" i="49"/>
  <c r="N48" i="49"/>
  <c r="N47" i="49"/>
  <c r="N46" i="49"/>
  <c r="N44" i="49"/>
  <c r="N49" i="49"/>
  <c r="N45" i="49"/>
  <c r="N43" i="49"/>
  <c r="N8" i="49" a="1"/>
  <c r="N12" i="49" s="1"/>
  <c r="N26" i="49"/>
  <c r="N25" i="49"/>
  <c r="N24" i="49"/>
  <c r="N20" i="49"/>
  <c r="N27" i="49"/>
  <c r="N23" i="49"/>
  <c r="N22" i="49"/>
  <c r="N21" i="49"/>
  <c r="N19" i="49"/>
  <c r="L14" i="49"/>
  <c r="L11" i="49"/>
  <c r="L12" i="49"/>
  <c r="L10" i="49"/>
  <c r="L13" i="49"/>
  <c r="L15" i="49"/>
  <c r="L16" i="49"/>
  <c r="L8" i="49"/>
  <c r="L9" i="49"/>
  <c r="N8" i="49" l="1"/>
  <c r="N10" i="49"/>
  <c r="N15" i="49"/>
  <c r="N11" i="49"/>
  <c r="N13" i="49"/>
  <c r="N9" i="49"/>
  <c r="N16" i="49"/>
  <c r="N14" i="49"/>
  <c r="A17" i="52" l="1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R38" i="21"/>
  <c r="S38" i="21"/>
  <c r="T38" i="21"/>
  <c r="U38" i="21"/>
  <c r="V38" i="21"/>
  <c r="W38" i="21"/>
  <c r="X38" i="21"/>
  <c r="Y38" i="21"/>
  <c r="Z38" i="21"/>
  <c r="AA38" i="21"/>
  <c r="AB38" i="21"/>
  <c r="AC38" i="21"/>
  <c r="AE38" i="21"/>
  <c r="AF38" i="21"/>
  <c r="AG38" i="2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F3" i="44" s="1"/>
  <c r="D5" i="18"/>
  <c r="F11" i="18"/>
  <c r="D11" i="18"/>
  <c r="F17" i="18"/>
  <c r="D17" i="18"/>
  <c r="F24" i="18"/>
  <c r="D24" i="18"/>
  <c r="F28" i="18"/>
  <c r="D28" i="18"/>
  <c r="F34" i="18"/>
  <c r="D34" i="18"/>
  <c r="F38" i="18"/>
  <c r="D38" i="18"/>
  <c r="F42" i="18"/>
  <c r="D42" i="18"/>
  <c r="F46" i="18"/>
  <c r="D46" i="18"/>
  <c r="D5" i="15"/>
  <c r="D7" i="15"/>
  <c r="J54" i="15" s="1"/>
  <c r="F7" i="15"/>
  <c r="D8" i="15"/>
  <c r="F8" i="15"/>
  <c r="D9" i="15"/>
  <c r="F9" i="15"/>
  <c r="L9" i="15" s="1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M2" i="51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3" i="44" s="1"/>
  <c r="E18" i="44" s="1"/>
  <c r="E11" i="18"/>
  <c r="C5" i="18"/>
  <c r="C11" i="18"/>
  <c r="E17" i="18"/>
  <c r="C17" i="18"/>
  <c r="E24" i="18"/>
  <c r="C24" i="18"/>
  <c r="E28" i="18"/>
  <c r="C28" i="18"/>
  <c r="E34" i="18"/>
  <c r="C34" i="18"/>
  <c r="E38" i="18"/>
  <c r="C38" i="18"/>
  <c r="E42" i="18"/>
  <c r="C42" i="18"/>
  <c r="E46" i="18"/>
  <c r="C46" i="18"/>
  <c r="J26" i="18"/>
  <c r="A11" i="18"/>
  <c r="L9" i="76" s="1"/>
  <c r="A17" i="18"/>
  <c r="L15" i="76" s="1"/>
  <c r="A24" i="18"/>
  <c r="L22" i="76" s="1"/>
  <c r="A28" i="18"/>
  <c r="L26" i="76" s="1"/>
  <c r="A34" i="18"/>
  <c r="L32" i="76" s="1"/>
  <c r="A38" i="18"/>
  <c r="L36" i="76" s="1"/>
  <c r="A42" i="18"/>
  <c r="L40" i="76" s="1"/>
  <c r="A46" i="18"/>
  <c r="L44" i="76" s="1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6" i="18"/>
  <c r="B42" i="18"/>
  <c r="B38" i="18"/>
  <c r="B34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" i="15"/>
  <c r="A10" i="15"/>
  <c r="A14" i="15"/>
  <c r="A15" i="15"/>
  <c r="A16" i="15"/>
  <c r="A40" i="15"/>
  <c r="A122" i="15" s="1"/>
  <c r="A7" i="18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0" i="75" s="1"/>
  <c r="I83" i="16"/>
  <c r="N33" i="75" s="1"/>
  <c r="I84" i="16"/>
  <c r="N29" i="75" s="1"/>
  <c r="I85" i="16"/>
  <c r="N23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D37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N233" i="21" s="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39" i="5"/>
  <c r="A40" i="5"/>
  <c r="A41" i="5"/>
  <c r="A42" i="5"/>
  <c r="A43" i="5"/>
  <c r="A44" i="5"/>
  <c r="A45" i="5"/>
  <c r="A46" i="5"/>
  <c r="A38" i="5"/>
  <c r="N230" i="21" l="1"/>
  <c r="H17" i="11"/>
  <c r="A505" i="76"/>
  <c r="C118" i="15"/>
  <c r="N11" i="19" s="1"/>
  <c r="C113" i="15"/>
  <c r="N16" i="19" s="1"/>
  <c r="C109" i="15"/>
  <c r="N20" i="19" s="1"/>
  <c r="C104" i="15"/>
  <c r="N25" i="19" s="1"/>
  <c r="C98" i="15"/>
  <c r="N31" i="19" s="1"/>
  <c r="C93" i="15"/>
  <c r="N36" i="19" s="1"/>
  <c r="C89" i="15"/>
  <c r="N40" i="19" s="1"/>
  <c r="C122" i="15"/>
  <c r="N7" i="19" s="1"/>
  <c r="C117" i="15"/>
  <c r="N12" i="19" s="1"/>
  <c r="C112" i="15"/>
  <c r="N17" i="19" s="1"/>
  <c r="C108" i="15"/>
  <c r="N21" i="19" s="1"/>
  <c r="C103" i="15"/>
  <c r="N26" i="19" s="1"/>
  <c r="C97" i="15"/>
  <c r="N32" i="19" s="1"/>
  <c r="C92" i="15"/>
  <c r="N37" i="19" s="1"/>
  <c r="C114" i="15"/>
  <c r="N15" i="19" s="1"/>
  <c r="C105" i="15"/>
  <c r="N24" i="19" s="1"/>
  <c r="C95" i="15"/>
  <c r="N34" i="19" s="1"/>
  <c r="C120" i="15"/>
  <c r="N9" i="19" s="1"/>
  <c r="C115" i="15"/>
  <c r="N14" i="19" s="1"/>
  <c r="C111" i="15"/>
  <c r="N18" i="19" s="1"/>
  <c r="C107" i="15"/>
  <c r="N22" i="19" s="1"/>
  <c r="C102" i="15"/>
  <c r="N27" i="19" s="1"/>
  <c r="C96" i="15"/>
  <c r="N33" i="19" s="1"/>
  <c r="C91" i="15"/>
  <c r="N38" i="19" s="1"/>
  <c r="C119" i="15"/>
  <c r="N10" i="19" s="1"/>
  <c r="C110" i="15"/>
  <c r="N19" i="19" s="1"/>
  <c r="C100" i="15"/>
  <c r="N29" i="19" s="1"/>
  <c r="C90" i="15"/>
  <c r="N39" i="19" s="1"/>
  <c r="C3" i="44"/>
  <c r="C18" i="44" s="1"/>
  <c r="B58" i="18"/>
  <c r="L15" i="15"/>
  <c r="B3" i="44"/>
  <c r="A1" i="44" s="1"/>
  <c r="A1" i="18"/>
  <c r="F13" i="44"/>
  <c r="F12" i="44"/>
  <c r="F11" i="44"/>
  <c r="F10" i="44"/>
  <c r="F9" i="44"/>
  <c r="F8" i="44"/>
  <c r="F7" i="44"/>
  <c r="F6" i="44"/>
  <c r="F5" i="44"/>
  <c r="A58" i="18"/>
  <c r="L50" i="75"/>
  <c r="L5" i="76"/>
  <c r="F18" i="44"/>
  <c r="L5" i="15"/>
  <c r="F48" i="15" s="1"/>
  <c r="C87" i="15" s="1"/>
  <c r="N6" i="19" s="1"/>
  <c r="L40" i="15"/>
  <c r="L18" i="15"/>
  <c r="L13" i="15"/>
  <c r="L7" i="18"/>
  <c r="B18" i="44"/>
  <c r="E46" i="44"/>
  <c r="E32" i="44"/>
  <c r="C12" i="44"/>
  <c r="B11" i="44"/>
  <c r="B8" i="44"/>
  <c r="B10" i="44"/>
  <c r="B6" i="44"/>
  <c r="B13" i="44"/>
  <c r="B5" i="44"/>
  <c r="B12" i="44"/>
  <c r="L5" i="18"/>
  <c r="F56" i="18" s="1"/>
  <c r="D3" i="44"/>
  <c r="C32" i="44" s="1"/>
  <c r="E6" i="44"/>
  <c r="E8" i="44"/>
  <c r="E10" i="44"/>
  <c r="E12" i="44"/>
  <c r="E9" i="44"/>
  <c r="E13" i="44"/>
  <c r="E41" i="44" s="1"/>
  <c r="E7" i="44"/>
  <c r="E11" i="44"/>
  <c r="E5" i="44"/>
  <c r="L38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6" i="18"/>
  <c r="I74" i="15"/>
  <c r="I76" i="15"/>
  <c r="I73" i="15"/>
  <c r="I72" i="15"/>
  <c r="I75" i="15"/>
  <c r="L42" i="18"/>
  <c r="L24" i="18"/>
  <c r="F62" i="18"/>
  <c r="F71" i="18"/>
  <c r="F81" i="18"/>
  <c r="F91" i="18"/>
  <c r="F58" i="18"/>
  <c r="F63" i="18"/>
  <c r="F72" i="18"/>
  <c r="F82" i="18"/>
  <c r="F93" i="18"/>
  <c r="F64" i="18"/>
  <c r="F73" i="18"/>
  <c r="F83" i="18"/>
  <c r="F94" i="18"/>
  <c r="F65" i="18"/>
  <c r="F75" i="18"/>
  <c r="F85" i="18"/>
  <c r="F95" i="18"/>
  <c r="F66" i="18"/>
  <c r="F76" i="18"/>
  <c r="F86" i="18"/>
  <c r="F97" i="18"/>
  <c r="F68" i="18"/>
  <c r="F77" i="18"/>
  <c r="F87" i="18"/>
  <c r="F98" i="18"/>
  <c r="F59" i="18"/>
  <c r="F69" i="18"/>
  <c r="F79" i="18"/>
  <c r="F89" i="18"/>
  <c r="F99" i="18"/>
  <c r="F60" i="18"/>
  <c r="F70" i="18"/>
  <c r="F80" i="18"/>
  <c r="F90" i="18"/>
  <c r="F101" i="18"/>
  <c r="K75" i="15"/>
  <c r="K73" i="15"/>
  <c r="K72" i="15"/>
  <c r="K74" i="15"/>
  <c r="K76" i="15"/>
  <c r="A52" i="18"/>
  <c r="B99" i="18"/>
  <c r="B59" i="18"/>
  <c r="B60" i="18"/>
  <c r="D60" i="18"/>
  <c r="D59" i="18"/>
  <c r="C60" i="18"/>
  <c r="C59" i="18"/>
  <c r="E59" i="18"/>
  <c r="E60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8" i="18"/>
  <c r="L72" i="18"/>
  <c r="I34" i="18"/>
  <c r="I11" i="18"/>
  <c r="I56" i="18"/>
  <c r="I5" i="18"/>
  <c r="C56" i="18" s="1"/>
  <c r="L83" i="15"/>
  <c r="J101" i="18"/>
  <c r="I50" i="18"/>
  <c r="I7" i="18"/>
  <c r="C64" i="18"/>
  <c r="C73" i="18"/>
  <c r="C79" i="18"/>
  <c r="C95" i="18"/>
  <c r="C58" i="18"/>
  <c r="C65" i="18"/>
  <c r="C80" i="18"/>
  <c r="C66" i="18"/>
  <c r="C75" i="18"/>
  <c r="C81" i="18"/>
  <c r="C89" i="18"/>
  <c r="C62" i="18"/>
  <c r="C71" i="18"/>
  <c r="C86" i="18"/>
  <c r="C93" i="18"/>
  <c r="C99" i="18"/>
  <c r="C68" i="18"/>
  <c r="C82" i="18"/>
  <c r="C69" i="18"/>
  <c r="C83" i="18"/>
  <c r="C97" i="18"/>
  <c r="C70" i="18"/>
  <c r="C85" i="18"/>
  <c r="C98" i="18"/>
  <c r="C72" i="18"/>
  <c r="C76" i="18"/>
  <c r="C101" i="18"/>
  <c r="C77" i="18"/>
  <c r="C91" i="18"/>
  <c r="C63" i="18"/>
  <c r="C94" i="18"/>
  <c r="C90" i="18"/>
  <c r="C87" i="18"/>
  <c r="I28" i="18"/>
  <c r="I48" i="15"/>
  <c r="I5" i="15"/>
  <c r="C48" i="15" s="1"/>
  <c r="I38" i="15"/>
  <c r="I28" i="15"/>
  <c r="I23" i="15"/>
  <c r="I18" i="15"/>
  <c r="I13" i="15"/>
  <c r="I7" i="15"/>
  <c r="J94" i="18"/>
  <c r="I42" i="18"/>
  <c r="I24" i="18"/>
  <c r="L48" i="15"/>
  <c r="J70" i="18"/>
  <c r="I17" i="18"/>
  <c r="L101" i="18"/>
  <c r="J83" i="15"/>
  <c r="I40" i="15"/>
  <c r="I46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6" i="18"/>
  <c r="K11" i="18"/>
  <c r="K66" i="18"/>
  <c r="J11" i="18"/>
  <c r="J66" i="18"/>
  <c r="I66" i="18"/>
  <c r="H11" i="18"/>
  <c r="H66" i="18"/>
  <c r="H63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1" i="18"/>
  <c r="L90" i="18"/>
  <c r="K90" i="18"/>
  <c r="K91" i="18"/>
  <c r="J86" i="18"/>
  <c r="J91" i="18"/>
  <c r="J90" i="18"/>
  <c r="I91" i="18"/>
  <c r="I90" i="18"/>
  <c r="H90" i="18"/>
  <c r="H91" i="18"/>
  <c r="E91" i="18"/>
  <c r="E90" i="18"/>
  <c r="D91" i="18"/>
  <c r="D90" i="18"/>
  <c r="B90" i="18"/>
  <c r="B91" i="18"/>
  <c r="I68" i="15"/>
  <c r="K21" i="15"/>
  <c r="J36" i="15"/>
  <c r="J58" i="15"/>
  <c r="J79" i="15"/>
  <c r="J15" i="15"/>
  <c r="J38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7" i="18"/>
  <c r="J25" i="15"/>
  <c r="J70" i="15"/>
  <c r="J71" i="15"/>
  <c r="J69" i="15"/>
  <c r="J66" i="15"/>
  <c r="L82" i="18"/>
  <c r="L83" i="18"/>
  <c r="L73" i="18"/>
  <c r="K85" i="18"/>
  <c r="K82" i="18"/>
  <c r="K83" i="18"/>
  <c r="J24" i="18"/>
  <c r="K73" i="18"/>
  <c r="J95" i="18"/>
  <c r="J82" i="18"/>
  <c r="J83" i="18"/>
  <c r="J76" i="18"/>
  <c r="J73" i="18"/>
  <c r="J64" i="18"/>
  <c r="I94" i="18"/>
  <c r="I82" i="18"/>
  <c r="I83" i="18"/>
  <c r="I79" i="18"/>
  <c r="I73" i="18"/>
  <c r="H82" i="18"/>
  <c r="H83" i="18"/>
  <c r="H73" i="18"/>
  <c r="L11" i="75"/>
  <c r="A97" i="18"/>
  <c r="L15" i="75"/>
  <c r="A93" i="18"/>
  <c r="L19" i="75"/>
  <c r="A89" i="18"/>
  <c r="L23" i="75"/>
  <c r="A85" i="18"/>
  <c r="L29" i="75"/>
  <c r="A79" i="18"/>
  <c r="L33" i="75"/>
  <c r="A75" i="18"/>
  <c r="L40" i="75"/>
  <c r="A68" i="18"/>
  <c r="L46" i="75"/>
  <c r="A62" i="18"/>
  <c r="K56" i="18"/>
  <c r="E82" i="18"/>
  <c r="E73" i="18"/>
  <c r="E83" i="18"/>
  <c r="E66" i="18"/>
  <c r="J56" i="18"/>
  <c r="D82" i="18"/>
  <c r="D73" i="18"/>
  <c r="D83" i="18"/>
  <c r="D66" i="18"/>
  <c r="B73" i="18"/>
  <c r="B66" i="18"/>
  <c r="B82" i="18"/>
  <c r="B83" i="18"/>
  <c r="K26" i="15"/>
  <c r="K38" i="15"/>
  <c r="J16" i="15"/>
  <c r="J23" i="15"/>
  <c r="J10" i="15"/>
  <c r="K68" i="15"/>
  <c r="J57" i="15"/>
  <c r="I63" i="15"/>
  <c r="I78" i="15"/>
  <c r="L7" i="75"/>
  <c r="A101" i="18"/>
  <c r="K5" i="15"/>
  <c r="E48" i="15" s="1"/>
  <c r="J72" i="18"/>
  <c r="K87" i="18"/>
  <c r="J71" i="18"/>
  <c r="I64" i="18"/>
  <c r="J34" i="18"/>
  <c r="J69" i="18"/>
  <c r="J63" i="18"/>
  <c r="K34" i="18"/>
  <c r="J87" i="18"/>
  <c r="J77" i="18"/>
  <c r="J62" i="18"/>
  <c r="K81" i="18"/>
  <c r="J99" i="18"/>
  <c r="J89" i="18"/>
  <c r="K12" i="18"/>
  <c r="J19" i="18"/>
  <c r="L76" i="18"/>
  <c r="J50" i="18"/>
  <c r="K101" i="18"/>
  <c r="J21" i="18"/>
  <c r="L99" i="18"/>
  <c r="L81" i="18"/>
  <c r="D89" i="18"/>
  <c r="J47" i="18"/>
  <c r="J65" i="18"/>
  <c r="J85" i="18"/>
  <c r="D68" i="18"/>
  <c r="J12" i="18"/>
  <c r="J46" i="18"/>
  <c r="L98" i="18"/>
  <c r="L77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4" i="18"/>
  <c r="J43" i="18"/>
  <c r="J36" i="18"/>
  <c r="J80" i="18"/>
  <c r="J14" i="18"/>
  <c r="L70" i="18"/>
  <c r="L64" i="18"/>
  <c r="J42" i="18"/>
  <c r="K77" i="18"/>
  <c r="J98" i="18"/>
  <c r="J97" i="18"/>
  <c r="J81" i="18"/>
  <c r="P12" i="31"/>
  <c r="P15" i="31"/>
  <c r="K5" i="18"/>
  <c r="E56" i="18" s="1"/>
  <c r="D85" i="18"/>
  <c r="D97" i="18"/>
  <c r="D79" i="18"/>
  <c r="D93" i="18"/>
  <c r="D75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1" i="18"/>
  <c r="I58" i="18"/>
  <c r="A51" i="52"/>
  <c r="A53" i="52"/>
  <c r="A55" i="52"/>
  <c r="A57" i="52"/>
  <c r="A59" i="52"/>
  <c r="C46" i="52"/>
  <c r="K46" i="52"/>
  <c r="J53" i="15"/>
  <c r="J52" i="15"/>
  <c r="J50" i="15"/>
  <c r="I75" i="18"/>
  <c r="J61" i="15"/>
  <c r="I50" i="15"/>
  <c r="I56" i="15"/>
  <c r="I61" i="15"/>
  <c r="J56" i="15"/>
  <c r="J63" i="15"/>
  <c r="J68" i="18"/>
  <c r="J75" i="18"/>
  <c r="J79" i="18"/>
  <c r="J93" i="18"/>
  <c r="K30" i="18"/>
  <c r="E80" i="15"/>
  <c r="O268" i="21"/>
  <c r="H29" i="18"/>
  <c r="H20" i="18"/>
  <c r="H18" i="18"/>
  <c r="J5" i="18"/>
  <c r="D56" i="18" s="1"/>
  <c r="H56" i="18"/>
  <c r="H5" i="18"/>
  <c r="B56" i="18" s="1"/>
  <c r="A1" i="75" s="1"/>
  <c r="O260" i="21"/>
  <c r="J5" i="15"/>
  <c r="D48" i="15" s="1"/>
  <c r="H7" i="18"/>
  <c r="J40" i="15"/>
  <c r="K56" i="15"/>
  <c r="K43" i="18"/>
  <c r="K36" i="18"/>
  <c r="K76" i="18"/>
  <c r="K8" i="15"/>
  <c r="L75" i="18"/>
  <c r="K50" i="15"/>
  <c r="I89" i="18"/>
  <c r="J30" i="18"/>
  <c r="E63" i="18"/>
  <c r="K93" i="18"/>
  <c r="K38" i="18"/>
  <c r="K89" i="18"/>
  <c r="J28" i="18"/>
  <c r="K79" i="18"/>
  <c r="K75" i="18"/>
  <c r="J17" i="18"/>
  <c r="K68" i="18"/>
  <c r="K72" i="18"/>
  <c r="K70" i="18"/>
  <c r="D64" i="18"/>
  <c r="D69" i="18"/>
  <c r="D71" i="18"/>
  <c r="D76" i="18"/>
  <c r="D80" i="18"/>
  <c r="E95" i="18"/>
  <c r="E98" i="18"/>
  <c r="B63" i="18"/>
  <c r="B65" i="18"/>
  <c r="B70" i="18"/>
  <c r="B72" i="18"/>
  <c r="B77" i="18"/>
  <c r="B81" i="18"/>
  <c r="B87" i="18"/>
  <c r="B95" i="18"/>
  <c r="K22" i="15"/>
  <c r="K16" i="15"/>
  <c r="J7" i="18"/>
  <c r="I95" i="18"/>
  <c r="I80" i="18"/>
  <c r="I65" i="18"/>
  <c r="K46" i="18"/>
  <c r="K58" i="18"/>
  <c r="J7" i="15"/>
  <c r="I68" i="18"/>
  <c r="E77" i="18"/>
  <c r="L63" i="18"/>
  <c r="K98" i="18"/>
  <c r="K29" i="18"/>
  <c r="K71" i="18"/>
  <c r="J18" i="18"/>
  <c r="K24" i="18"/>
  <c r="E75" i="18"/>
  <c r="K17" i="18"/>
  <c r="I97" i="18"/>
  <c r="I99" i="18"/>
  <c r="B89" i="18"/>
  <c r="H28" i="18"/>
  <c r="I81" i="18"/>
  <c r="B79" i="18"/>
  <c r="H17" i="18"/>
  <c r="I62" i="18"/>
  <c r="I63" i="18"/>
  <c r="L69" i="15"/>
  <c r="L57" i="15"/>
  <c r="K14" i="15"/>
  <c r="I81" i="15"/>
  <c r="L71" i="15"/>
  <c r="L59" i="15"/>
  <c r="L58" i="15"/>
  <c r="K79" i="15"/>
  <c r="E56" i="15"/>
  <c r="L80" i="18"/>
  <c r="K21" i="18"/>
  <c r="L79" i="18"/>
  <c r="K7" i="18"/>
  <c r="J58" i="18"/>
  <c r="I98" i="18"/>
  <c r="I93" i="18"/>
  <c r="B62" i="18"/>
  <c r="B75" i="18"/>
  <c r="B85" i="18"/>
  <c r="B93" i="18"/>
  <c r="B64" i="18"/>
  <c r="B69" i="18"/>
  <c r="B71" i="18"/>
  <c r="B76" i="18"/>
  <c r="B80" i="18"/>
  <c r="B86" i="18"/>
  <c r="B94" i="18"/>
  <c r="B98" i="18"/>
  <c r="K37" i="15"/>
  <c r="L61" i="15"/>
  <c r="K59" i="15"/>
  <c r="K63" i="15"/>
  <c r="I71" i="15"/>
  <c r="I70" i="15"/>
  <c r="I53" i="15"/>
  <c r="K19" i="18"/>
  <c r="K14" i="18"/>
  <c r="K13" i="18"/>
  <c r="K99" i="18"/>
  <c r="K86" i="18"/>
  <c r="H42" i="18"/>
  <c r="E93" i="18"/>
  <c r="E85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6" i="18"/>
  <c r="K26" i="18"/>
  <c r="J44" i="18"/>
  <c r="K95" i="18"/>
  <c r="K35" i="18"/>
  <c r="J29" i="18"/>
  <c r="K80" i="18"/>
  <c r="E80" i="18"/>
  <c r="J25" i="18"/>
  <c r="K20" i="18"/>
  <c r="J20" i="18"/>
  <c r="E71" i="18"/>
  <c r="K18" i="18"/>
  <c r="K69" i="18"/>
  <c r="E69" i="18"/>
  <c r="J13" i="18"/>
  <c r="H44" i="18"/>
  <c r="K42" i="18"/>
  <c r="L95" i="18"/>
  <c r="L94" i="18"/>
  <c r="K28" i="18"/>
  <c r="E87" i="18"/>
  <c r="E65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8" i="18"/>
  <c r="L87" i="18"/>
  <c r="K25" i="18"/>
  <c r="L69" i="18"/>
  <c r="L65" i="18"/>
  <c r="J48" i="18"/>
  <c r="K47" i="18"/>
  <c r="K44" i="18"/>
  <c r="J35" i="18"/>
  <c r="K64" i="18"/>
  <c r="I86" i="18"/>
  <c r="I76" i="18"/>
  <c r="I69" i="18"/>
  <c r="H47" i="18"/>
  <c r="H43" i="18"/>
  <c r="H94" i="18"/>
  <c r="H35" i="18"/>
  <c r="H25" i="18"/>
  <c r="H13" i="18"/>
  <c r="L71" i="18"/>
  <c r="E62" i="18"/>
  <c r="K62" i="18"/>
  <c r="K63" i="18"/>
  <c r="K65" i="18"/>
  <c r="B97" i="18"/>
  <c r="I85" i="18"/>
  <c r="I87" i="18"/>
  <c r="H24" i="18"/>
  <c r="I77" i="18"/>
  <c r="I72" i="18"/>
  <c r="I71" i="18"/>
  <c r="I70" i="18"/>
  <c r="B68" i="18"/>
  <c r="H34" i="18"/>
  <c r="L56" i="18"/>
  <c r="E99" i="18"/>
  <c r="E97" i="18"/>
  <c r="E94" i="18"/>
  <c r="E89" i="18"/>
  <c r="E86" i="18"/>
  <c r="E81" i="18"/>
  <c r="E79" i="18"/>
  <c r="E76" i="18"/>
  <c r="E72" i="18"/>
  <c r="E70" i="18"/>
  <c r="E68" i="18"/>
  <c r="E64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1" i="18"/>
  <c r="L58" i="18"/>
  <c r="K50" i="18"/>
  <c r="L62" i="18"/>
  <c r="L68" i="18"/>
  <c r="L85" i="18"/>
  <c r="L89" i="18"/>
  <c r="L93" i="18"/>
  <c r="L97" i="18"/>
  <c r="E79" i="15"/>
  <c r="H36" i="18"/>
  <c r="H21" i="18"/>
  <c r="H14" i="18"/>
  <c r="H12" i="18"/>
  <c r="H76" i="18"/>
  <c r="K69" i="15"/>
  <c r="K66" i="15"/>
  <c r="I79" i="15"/>
  <c r="H48" i="18"/>
  <c r="H26" i="18"/>
  <c r="H86" i="18"/>
  <c r="H64" i="18"/>
  <c r="D86" i="18"/>
  <c r="D94" i="18"/>
  <c r="D98" i="18"/>
  <c r="D101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8" i="18"/>
  <c r="H46" i="18"/>
  <c r="H81" i="18"/>
  <c r="H87" i="18"/>
  <c r="H95" i="18"/>
  <c r="H72" i="18"/>
  <c r="D58" i="18"/>
  <c r="E50" i="15"/>
  <c r="D52" i="15"/>
  <c r="D53" i="15"/>
  <c r="D58" i="15"/>
  <c r="D59" i="15"/>
  <c r="D64" i="15"/>
  <c r="D65" i="15"/>
  <c r="D71" i="15"/>
  <c r="D78" i="15"/>
  <c r="D63" i="18"/>
  <c r="D65" i="18"/>
  <c r="D70" i="18"/>
  <c r="D72" i="18"/>
  <c r="D77" i="18"/>
  <c r="D81" i="18"/>
  <c r="D87" i="18"/>
  <c r="D95" i="18"/>
  <c r="D99" i="18"/>
  <c r="D62" i="18"/>
  <c r="L47" i="52"/>
  <c r="X47" i="52" s="1"/>
  <c r="AJ47" i="52" s="1"/>
  <c r="L89" i="52"/>
  <c r="X89" i="52" s="1"/>
  <c r="AJ89" i="52" s="1"/>
  <c r="H65" i="18"/>
  <c r="H69" i="18"/>
  <c r="H80" i="18"/>
  <c r="H98" i="18"/>
  <c r="H99" i="18"/>
  <c r="H70" i="18"/>
  <c r="E58" i="18"/>
  <c r="D56" i="15"/>
  <c r="D61" i="15"/>
  <c r="D66" i="15"/>
  <c r="D81" i="15"/>
  <c r="H77" i="18"/>
  <c r="H71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L234" i="21" l="1"/>
  <c r="L264" i="21" s="1"/>
  <c r="A107" i="21"/>
  <c r="L235" i="21"/>
  <c r="L265" i="21" s="1"/>
  <c r="A77" i="21"/>
  <c r="L233" i="21"/>
  <c r="L263" i="21" s="1"/>
  <c r="A137" i="21"/>
  <c r="L232" i="21"/>
  <c r="L262" i="21" s="1"/>
  <c r="A167" i="21"/>
  <c r="L236" i="21"/>
  <c r="L266" i="21" s="1"/>
  <c r="A47" i="21"/>
  <c r="L231" i="21"/>
  <c r="L261" i="21" s="1"/>
  <c r="A197" i="21"/>
  <c r="C10" i="44"/>
  <c r="B32" i="44"/>
  <c r="C8" i="44"/>
  <c r="C6" i="44"/>
  <c r="B48" i="44" s="1"/>
  <c r="C13" i="44"/>
  <c r="B41" i="44" s="1"/>
  <c r="B46" i="44"/>
  <c r="C11" i="44"/>
  <c r="B53" i="44" s="1"/>
  <c r="C9" i="44"/>
  <c r="B7" i="44"/>
  <c r="C7" i="44"/>
  <c r="B9" i="44"/>
  <c r="C5" i="44"/>
  <c r="B47" i="44" s="1"/>
  <c r="B40" i="44"/>
  <c r="E37" i="44"/>
  <c r="B36" i="44"/>
  <c r="B38" i="44"/>
  <c r="E35" i="44"/>
  <c r="F15" i="44"/>
  <c r="F19" i="44" s="1"/>
  <c r="E47" i="44"/>
  <c r="E52" i="44"/>
  <c r="E50" i="44"/>
  <c r="E39" i="44"/>
  <c r="E54" i="44"/>
  <c r="E40" i="44"/>
  <c r="E55" i="44"/>
  <c r="E48" i="44"/>
  <c r="E34" i="44"/>
  <c r="B54" i="44"/>
  <c r="E33" i="44"/>
  <c r="D5" i="44"/>
  <c r="F33" i="44" s="1"/>
  <c r="D11" i="44"/>
  <c r="D53" i="44" s="1"/>
  <c r="D13" i="44"/>
  <c r="C41" i="44" s="1"/>
  <c r="D7" i="44"/>
  <c r="F49" i="44" s="1"/>
  <c r="D9" i="44"/>
  <c r="D6" i="44"/>
  <c r="D48" i="44" s="1"/>
  <c r="D8" i="44"/>
  <c r="F50" i="44" s="1"/>
  <c r="D10" i="44"/>
  <c r="F52" i="44" s="1"/>
  <c r="D12" i="44"/>
  <c r="F40" i="44" s="1"/>
  <c r="F46" i="44"/>
  <c r="F32" i="44"/>
  <c r="D32" i="44"/>
  <c r="D46" i="44"/>
  <c r="D18" i="44"/>
  <c r="C46" i="44"/>
  <c r="E53" i="44"/>
  <c r="B52" i="44"/>
  <c r="E49" i="44"/>
  <c r="E15" i="44"/>
  <c r="E25" i="44" s="1"/>
  <c r="E36" i="44"/>
  <c r="B55" i="44"/>
  <c r="E38" i="44"/>
  <c r="E51" i="44"/>
  <c r="B34" i="44"/>
  <c r="B39" i="44"/>
  <c r="B50" i="44"/>
  <c r="J11" i="78"/>
  <c r="J47" i="78" s="1"/>
  <c r="J83" i="78" s="1"/>
  <c r="U28" i="78"/>
  <c r="U64" i="78" s="1"/>
  <c r="U100" i="78" s="1"/>
  <c r="U11" i="78"/>
  <c r="U47" i="78" s="1"/>
  <c r="U83" i="78" s="1"/>
  <c r="U32" i="78"/>
  <c r="U68" i="78" s="1"/>
  <c r="U104" i="78" s="1"/>
  <c r="J24" i="78"/>
  <c r="J60" i="78" s="1"/>
  <c r="J96" i="78" s="1"/>
  <c r="U24" i="78"/>
  <c r="U60" i="78" s="1"/>
  <c r="U96" i="78" s="1"/>
  <c r="J19" i="78"/>
  <c r="J55" i="78" s="1"/>
  <c r="J91" i="78" s="1"/>
  <c r="J16" i="78"/>
  <c r="J52" i="78" s="1"/>
  <c r="J88" i="78" s="1"/>
  <c r="U19" i="78"/>
  <c r="U55" i="78" s="1"/>
  <c r="U91" i="78" s="1"/>
  <c r="U16" i="78"/>
  <c r="U52" i="78" s="1"/>
  <c r="U88" i="78" s="1"/>
  <c r="J28" i="78"/>
  <c r="J64" i="78" s="1"/>
  <c r="J100" i="78" s="1"/>
  <c r="U17" i="78"/>
  <c r="U53" i="78" s="1"/>
  <c r="U89" i="78" s="1"/>
  <c r="B35" i="44" l="1"/>
  <c r="B15" i="44"/>
  <c r="B21" i="44" s="1"/>
  <c r="B37" i="44"/>
  <c r="B51" i="44"/>
  <c r="C15" i="44"/>
  <c r="C20" i="44" s="1"/>
  <c r="B49" i="44"/>
  <c r="B33" i="44"/>
  <c r="C37" i="44"/>
  <c r="F21" i="44"/>
  <c r="C25" i="44"/>
  <c r="D34" i="44"/>
  <c r="D36" i="44"/>
  <c r="C39" i="44"/>
  <c r="D39" i="44"/>
  <c r="F26" i="44"/>
  <c r="F23" i="44"/>
  <c r="F20" i="44"/>
  <c r="F24" i="44"/>
  <c r="C24" i="44"/>
  <c r="C27" i="44"/>
  <c r="F53" i="44"/>
  <c r="D55" i="44"/>
  <c r="F38" i="44"/>
  <c r="C38" i="44"/>
  <c r="C19" i="44"/>
  <c r="F27" i="44"/>
  <c r="D54" i="44"/>
  <c r="C40" i="44"/>
  <c r="D47" i="44"/>
  <c r="D52" i="44"/>
  <c r="C33" i="44"/>
  <c r="F22" i="44"/>
  <c r="B23" i="44"/>
  <c r="F51" i="44"/>
  <c r="C26" i="44"/>
  <c r="C22" i="44"/>
  <c r="F55" i="44"/>
  <c r="D37" i="44"/>
  <c r="C35" i="44"/>
  <c r="F35" i="44"/>
  <c r="D38" i="44"/>
  <c r="E24" i="44"/>
  <c r="E29" i="44"/>
  <c r="E21" i="44"/>
  <c r="E20" i="44"/>
  <c r="B20" i="44"/>
  <c r="C51" i="44"/>
  <c r="F37" i="44"/>
  <c r="B26" i="44"/>
  <c r="D49" i="44"/>
  <c r="C36" i="44"/>
  <c r="D35" i="44"/>
  <c r="C53" i="44"/>
  <c r="D50" i="44"/>
  <c r="F25" i="44"/>
  <c r="E57" i="44"/>
  <c r="E43" i="44"/>
  <c r="F29" i="44"/>
  <c r="B27" i="44"/>
  <c r="B29" i="44"/>
  <c r="C48" i="44"/>
  <c r="F34" i="44"/>
  <c r="E22" i="44"/>
  <c r="E26" i="44"/>
  <c r="C54" i="44"/>
  <c r="D40" i="44"/>
  <c r="D15" i="44"/>
  <c r="D22" i="44" s="1"/>
  <c r="C47" i="44"/>
  <c r="E23" i="44"/>
  <c r="F54" i="44"/>
  <c r="F39" i="44"/>
  <c r="F47" i="44"/>
  <c r="C50" i="44"/>
  <c r="F36" i="44"/>
  <c r="B22" i="44"/>
  <c r="C49" i="44"/>
  <c r="B24" i="44"/>
  <c r="C55" i="44"/>
  <c r="D41" i="44"/>
  <c r="F41" i="44"/>
  <c r="E19" i="44"/>
  <c r="C34" i="44"/>
  <c r="C52" i="44"/>
  <c r="B19" i="44"/>
  <c r="C23" i="44"/>
  <c r="B57" i="44"/>
  <c r="C29" i="44"/>
  <c r="B43" i="44"/>
  <c r="F48" i="44"/>
  <c r="D51" i="44"/>
  <c r="C21" i="44"/>
  <c r="E27" i="44"/>
  <c r="B25" i="44"/>
  <c r="D33" i="44"/>
  <c r="J19" i="71"/>
  <c r="J16" i="71"/>
  <c r="J11" i="71"/>
  <c r="J32" i="78"/>
  <c r="J68" i="78" s="1"/>
  <c r="J104" i="78" s="1"/>
  <c r="J24" i="71"/>
  <c r="J28" i="71"/>
  <c r="J22" i="78"/>
  <c r="J58" i="78" s="1"/>
  <c r="J94" i="78" s="1"/>
  <c r="U29" i="78"/>
  <c r="U65" i="78" s="1"/>
  <c r="U101" i="78" s="1"/>
  <c r="U22" i="78"/>
  <c r="U58" i="78" s="1"/>
  <c r="U94" i="78" s="1"/>
  <c r="J9" i="78"/>
  <c r="J45" i="78" s="1"/>
  <c r="J81" i="78" s="1"/>
  <c r="U15" i="78"/>
  <c r="U51" i="78" s="1"/>
  <c r="U87" i="78" s="1"/>
  <c r="J10" i="78"/>
  <c r="J46" i="78" s="1"/>
  <c r="J82" i="78" s="1"/>
  <c r="U25" i="78"/>
  <c r="U61" i="78" s="1"/>
  <c r="U97" i="78" s="1"/>
  <c r="J14" i="78"/>
  <c r="J50" i="78" s="1"/>
  <c r="J86" i="78" s="1"/>
  <c r="U21" i="78"/>
  <c r="U57" i="78" s="1"/>
  <c r="U93" i="78" s="1"/>
  <c r="U13" i="78"/>
  <c r="U49" i="78" s="1"/>
  <c r="U85" i="78" s="1"/>
  <c r="J13" i="78"/>
  <c r="J49" i="78" s="1"/>
  <c r="J85" i="78" s="1"/>
  <c r="J21" i="78"/>
  <c r="J57" i="78" s="1"/>
  <c r="J93" i="78" s="1"/>
  <c r="J25" i="78"/>
  <c r="J61" i="78" s="1"/>
  <c r="J97" i="78" s="1"/>
  <c r="U14" i="78"/>
  <c r="U50" i="78" s="1"/>
  <c r="U86" i="78" s="1"/>
  <c r="U9" i="78"/>
  <c r="U45" i="78" s="1"/>
  <c r="U81" i="78" s="1"/>
  <c r="T34" i="78"/>
  <c r="J29" i="78"/>
  <c r="J65" i="78" s="1"/>
  <c r="J101" i="78" s="1"/>
  <c r="J15" i="78"/>
  <c r="J51" i="78" s="1"/>
  <c r="J87" i="78" s="1"/>
  <c r="U20" i="78"/>
  <c r="U56" i="78" s="1"/>
  <c r="U92" i="78" s="1"/>
  <c r="J20" i="78"/>
  <c r="J56" i="78" s="1"/>
  <c r="J92" i="78" s="1"/>
  <c r="U10" i="78"/>
  <c r="U46" i="78" s="1"/>
  <c r="U82" i="78" s="1"/>
  <c r="J52" i="71" l="1"/>
  <c r="J88" i="71" s="1"/>
  <c r="Q45" i="31"/>
  <c r="J64" i="71"/>
  <c r="J100" i="71" s="1"/>
  <c r="Q57" i="31"/>
  <c r="J60" i="71"/>
  <c r="J96" i="71" s="1"/>
  <c r="Q53" i="31"/>
  <c r="J47" i="71"/>
  <c r="J83" i="71" s="1"/>
  <c r="Q40" i="31"/>
  <c r="J55" i="71"/>
  <c r="J91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0" i="78"/>
  <c r="T106" i="78"/>
  <c r="J32" i="71"/>
  <c r="U34" i="78"/>
  <c r="U70" i="78" s="1"/>
  <c r="U106" i="78" s="1"/>
  <c r="J21" i="71"/>
  <c r="J14" i="71"/>
  <c r="J29" i="71"/>
  <c r="J22" i="71"/>
  <c r="J20" i="71"/>
  <c r="J10" i="71"/>
  <c r="J25" i="71"/>
  <c r="J13" i="71"/>
  <c r="J15" i="71"/>
  <c r="J56" i="71" l="1"/>
  <c r="J92" i="71" s="1"/>
  <c r="Q49" i="31"/>
  <c r="J65" i="71"/>
  <c r="J101" i="71" s="1"/>
  <c r="Q58" i="31"/>
  <c r="J58" i="71"/>
  <c r="J94" i="71" s="1"/>
  <c r="Q51" i="31"/>
  <c r="J57" i="71"/>
  <c r="J93" i="71" s="1"/>
  <c r="Q50" i="31"/>
  <c r="J50" i="71"/>
  <c r="J86" i="71" s="1"/>
  <c r="Q43" i="31"/>
  <c r="J49" i="71"/>
  <c r="J85" i="71" s="1"/>
  <c r="Q42" i="31"/>
  <c r="J68" i="71"/>
  <c r="J104" i="71" s="1"/>
  <c r="Q61" i="31"/>
  <c r="J51" i="71"/>
  <c r="J87" i="71" s="1"/>
  <c r="Q44" i="31"/>
  <c r="J61" i="71"/>
  <c r="J97" i="71" s="1"/>
  <c r="Q54" i="31"/>
  <c r="J46" i="71"/>
  <c r="J82" i="71" s="1"/>
  <c r="Q39" i="31"/>
  <c r="J45" i="71"/>
  <c r="J81" i="71" s="1"/>
  <c r="J34" i="78"/>
  <c r="J70" i="78" s="1"/>
  <c r="J106" i="78" s="1"/>
  <c r="J34" i="71"/>
  <c r="J70" i="71" l="1"/>
  <c r="J106" i="71" s="1"/>
  <c r="Q63" i="31"/>
  <c r="I47" i="16" l="1"/>
  <c r="I50" i="16"/>
  <c r="I52" i="16"/>
  <c r="I49" i="16"/>
  <c r="I54" i="16"/>
  <c r="C85" i="60"/>
  <c r="I85" i="60" s="1"/>
  <c r="O85" i="60" s="1"/>
  <c r="U85" i="60" s="1"/>
  <c r="J8" i="16" l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J46" i="16" l="1"/>
  <c r="J26" i="16"/>
  <c r="I56" i="16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59" i="12"/>
  <c r="B87" i="15" l="1"/>
  <c r="M6" i="19" s="1"/>
  <c r="B119" i="15"/>
  <c r="M10" i="19" s="1"/>
  <c r="B93" i="15"/>
  <c r="M36" i="19" s="1"/>
  <c r="B114" i="15"/>
  <c r="M15" i="19" s="1"/>
  <c r="B110" i="15"/>
  <c r="M19" i="19" s="1"/>
  <c r="B105" i="15"/>
  <c r="M24" i="19" s="1"/>
  <c r="B112" i="15"/>
  <c r="M17" i="19" s="1"/>
  <c r="B108" i="15"/>
  <c r="M21" i="19" s="1"/>
  <c r="B103" i="15"/>
  <c r="M26" i="19" s="1"/>
  <c r="B113" i="15"/>
  <c r="M16" i="19" s="1"/>
  <c r="B118" i="15"/>
  <c r="M11" i="19" s="1"/>
  <c r="B109" i="15"/>
  <c r="M20" i="19" s="1"/>
  <c r="B120" i="15"/>
  <c r="M9" i="19" s="1"/>
  <c r="B104" i="15"/>
  <c r="M25" i="19" s="1"/>
  <c r="B115" i="15"/>
  <c r="M14" i="19" s="1"/>
  <c r="B111" i="15"/>
  <c r="M18" i="19" s="1"/>
  <c r="B65" i="15"/>
  <c r="A1" i="15"/>
  <c r="A44" i="15" s="1"/>
  <c r="A227" i="21"/>
  <c r="A257" i="21"/>
  <c r="B81" i="15"/>
  <c r="B71" i="15"/>
  <c r="B76" i="15"/>
  <c r="B74" i="15"/>
  <c r="B75" i="15"/>
  <c r="B72" i="15"/>
  <c r="B73" i="15"/>
  <c r="B54" i="15"/>
  <c r="H5" i="15"/>
  <c r="B48" i="15" s="1"/>
  <c r="A1" i="19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77" i="12"/>
  <c r="B104" i="12"/>
  <c r="B100" i="12"/>
  <c r="B73" i="12"/>
  <c r="B97" i="12"/>
  <c r="B70" i="12"/>
  <c r="B95" i="12"/>
  <c r="B68" i="12"/>
  <c r="B10" i="15"/>
  <c r="B92" i="15" s="1"/>
  <c r="M37" i="19" s="1"/>
  <c r="B101" i="12"/>
  <c r="B74" i="12"/>
  <c r="B90" i="12"/>
  <c r="B8" i="15"/>
  <c r="B90" i="15" s="1"/>
  <c r="M39" i="19" s="1"/>
  <c r="B9" i="15"/>
  <c r="B91" i="15" s="1"/>
  <c r="M38" i="19" s="1"/>
  <c r="B91" i="12"/>
  <c r="B64" i="12"/>
  <c r="B20" i="15"/>
  <c r="B102" i="15" s="1"/>
  <c r="M27" i="19" s="1"/>
  <c r="M8" i="11"/>
  <c r="B48" i="11"/>
  <c r="B78" i="12"/>
  <c r="B105" i="12"/>
  <c r="M5" i="11"/>
  <c r="B45" i="11"/>
  <c r="B14" i="11"/>
  <c r="N268" i="21" s="1"/>
  <c r="B7" i="15"/>
  <c r="B99" i="12"/>
  <c r="B72" i="12"/>
  <c r="B49" i="11"/>
  <c r="B25" i="15"/>
  <c r="B107" i="15" s="1"/>
  <c r="M22" i="19" s="1"/>
  <c r="M9" i="11"/>
  <c r="B76" i="12"/>
  <c r="B103" i="12"/>
  <c r="B96" i="12"/>
  <c r="B69" i="12"/>
  <c r="B98" i="12"/>
  <c r="B71" i="12"/>
  <c r="B102" i="12"/>
  <c r="B75" i="12"/>
  <c r="B65" i="12"/>
  <c r="B92" i="12"/>
  <c r="B14" i="15"/>
  <c r="B96" i="15" s="1"/>
  <c r="M33" i="19" s="1"/>
  <c r="H54" i="15" l="1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B52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B50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7" i="18"/>
  <c r="H79" i="18"/>
  <c r="H85" i="18"/>
  <c r="H93" i="18"/>
  <c r="H50" i="18"/>
  <c r="H62" i="18"/>
  <c r="H75" i="18"/>
  <c r="H58" i="18"/>
  <c r="B101" i="18"/>
  <c r="H89" i="18"/>
  <c r="H101" i="18"/>
  <c r="H68" i="18"/>
</calcChain>
</file>

<file path=xl/sharedStrings.xml><?xml version="1.0" encoding="utf-8"?>
<sst xmlns="http://schemas.openxmlformats.org/spreadsheetml/2006/main" count="3173" uniqueCount="531">
  <si>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</si>
  <si>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</si>
  <si>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</si>
  <si>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</si>
  <si>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</si>
  <si>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</si>
  <si>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</si>
  <si>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</si>
  <si>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</si>
  <si>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</si>
  <si>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</si>
  <si>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</si>
  <si>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</si>
  <si>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</si>
  <si>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</si>
  <si>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</si>
  <si>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</si>
  <si>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</si>
  <si>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</si>
  <si>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</si>
  <si>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</si>
  <si>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</si>
  <si>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</si>
  <si>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</si>
  <si>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</si>
  <si>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</si>
  <si>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</si>
  <si>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</si>
  <si>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</si>
  <si>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</si>
  <si>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</si>
  <si>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</si>
  <si>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</si>
  <si>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</si>
  <si>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</si>
  <si>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</si>
  <si>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% per annum</t>
  </si>
  <si>
    <t>All qualifications</t>
  </si>
  <si>
    <t>Qualification</t>
  </si>
  <si>
    <t>Total Requirement</t>
  </si>
  <si>
    <t>Net Change</t>
  </si>
  <si>
    <t>Growth % per annum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</si>
  <si>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</si>
  <si>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</si>
  <si>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</si>
  <si>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</si>
  <si>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</si>
  <si>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</si>
  <si>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</si>
  <si>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</si>
  <si>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</si>
  <si>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</si>
  <si>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</si>
  <si>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</si>
  <si>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</si>
  <si>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</si>
  <si>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</si>
  <si>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</si>
  <si>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</si>
  <si>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</si>
  <si>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</si>
  <si>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</si>
  <si>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</si>
  <si>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</si>
  <si>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</si>
  <si>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</si>
  <si>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</si>
  <si>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</si>
  <si>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</si>
  <si>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</si>
  <si>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</si>
  <si>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</si>
  <si>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</si>
  <si>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</si>
  <si>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</si>
  <si>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</si>
  <si>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</si>
  <si>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</si>
  <si>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</si>
  <si>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</si>
  <si>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</si>
  <si>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</si>
  <si>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</si>
  <si>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</si>
  <si>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</si>
  <si>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</si>
  <si>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</si>
  <si>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</si>
  <si>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</si>
  <si>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</si>
  <si>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</si>
  <si>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</si>
  <si>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</si>
  <si>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</si>
  <si>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</si>
  <si>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</si>
  <si>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</si>
  <si>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</si>
  <si>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</si>
  <si>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</si>
  <si>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</si>
  <si>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</si>
  <si>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</si>
  <si>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</si>
  <si>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</si>
  <si>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</si>
  <si>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</si>
  <si>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</si>
  <si>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</si>
  <si>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</si>
  <si>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</si>
  <si>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</si>
  <si>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</si>
  <si>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</si>
  <si>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</si>
  <si>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</si>
  <si>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</si>
  <si>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</si>
  <si>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</si>
  <si>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</si>
  <si>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</si>
  <si>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</si>
  <si>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</si>
  <si>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</si>
  <si>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</si>
  <si>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</si>
  <si>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</si>
  <si>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</si>
  <si>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</si>
  <si>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</si>
  <si>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</si>
  <si>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</si>
  <si>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</si>
  <si>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</si>
  <si>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</si>
  <si>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</si>
  <si>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</si>
  <si>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</si>
  <si>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</si>
  <si>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</si>
  <si>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</si>
  <si>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</si>
  <si>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</si>
  <si>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</si>
  <si>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</si>
  <si>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</si>
  <si>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</si>
  <si>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</si>
  <si>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</si>
  <si>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</si>
  <si>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</si>
  <si>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</si>
  <si>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</si>
  <si>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Working Futures </t>
    </r>
    <r>
      <rPr>
        <sz val="12"/>
        <color theme="1"/>
        <rFont val="Arial"/>
        <family val="2"/>
      </rPr>
      <t>Technical Report.</t>
    </r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</si>
  <si>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</si>
  <si>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</si>
  <si>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</si>
  <si>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</si>
  <si>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</si>
  <si>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Thus, in summary, IER advise: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</si>
  <si>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</si>
  <si>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</si>
  <si>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</si>
  <si>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</si>
  <si>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</si>
  <si>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</si>
  <si>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</si>
  <si>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</si>
  <si>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</si>
  <si>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</si>
  <si>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</si>
  <si>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</si>
  <si>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</si>
  <si>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</si>
  <si>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</si>
  <si>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</si>
  <si>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</si>
  <si>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</si>
  <si>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</si>
  <si>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</si>
  <si>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</si>
  <si>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</si>
  <si>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</si>
  <si>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</si>
  <si>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</si>
  <si>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</si>
  <si>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</si>
  <si>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</si>
  <si>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</si>
  <si>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</si>
  <si>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</si>
  <si>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</si>
  <si>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</si>
  <si>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</si>
  <si>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</si>
  <si>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</si>
  <si>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</si>
  <si>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</si>
  <si>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</si>
  <si>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</si>
  <si>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</si>
  <si>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</si>
  <si>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</si>
  <si>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</si>
  <si>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</si>
  <si>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</si>
  <si>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</si>
  <si>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</si>
  <si>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</si>
  <si>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</si>
  <si>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</si>
  <si>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</si>
  <si>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</si>
  <si>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</si>
  <si>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</si>
  <si>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</si>
  <si>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</si>
  <si>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</si>
  <si>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</si>
  <si>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</si>
  <si>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</si>
  <si>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</si>
  <si>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</si>
  <si>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</si>
  <si>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</si>
  <si>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</si>
  <si>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</si>
  <si>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</si>
  <si>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</si>
  <si>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</si>
  <si>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</si>
  <si>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</si>
  <si>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</si>
  <si>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</si>
  <si>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</si>
  <si>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</si>
  <si>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</si>
  <si>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</si>
  <si>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</si>
  <si>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</si>
  <si>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</si>
  <si>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</si>
  <si>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</si>
  <si>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</si>
  <si>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</si>
  <si>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</si>
  <si>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</si>
  <si>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</si>
  <si>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</si>
  <si>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</si>
  <si>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</si>
  <si>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</si>
  <si>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</si>
  <si>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</si>
  <si>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</si>
  <si>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</si>
  <si>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</si>
  <si>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</si>
  <si>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</si>
  <si>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</si>
  <si>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</si>
  <si>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</si>
  <si>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</si>
  <si>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</si>
  <si>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</si>
  <si>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</si>
  <si>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</si>
  <si>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</si>
  <si>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</si>
  <si>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</si>
  <si>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</si>
  <si>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</si>
  <si>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</si>
  <si>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</si>
  <si>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</si>
  <si>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</si>
  <si>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</si>
  <si>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</si>
  <si>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</si>
  <si>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</si>
  <si>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</si>
  <si>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</si>
  <si>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</si>
  <si>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</si>
  <si>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</si>
  <si>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</si>
  <si>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</si>
  <si>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</si>
  <si>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</si>
  <si>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</si>
  <si>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</si>
  <si>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</si>
  <si>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</si>
  <si>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</si>
  <si>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</si>
  <si>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</si>
  <si>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</si>
  <si>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</si>
  <si>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</si>
  <si>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</si>
  <si>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</si>
  <si>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</si>
  <si>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</si>
  <si>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</si>
  <si>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</si>
  <si>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</si>
  <si>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</si>
  <si>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</si>
  <si>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</si>
  <si>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</si>
  <si>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</si>
  <si>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</si>
  <si>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</si>
  <si>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</si>
  <si>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</si>
  <si>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</si>
  <si>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</si>
  <si>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</si>
  <si>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</si>
  <si>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</si>
  <si>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</si>
  <si>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25-Occupation</t>
  </si>
  <si>
    <t>Sub-major group names:</t>
  </si>
  <si>
    <t xml:space="preserve"> 11 Corporate managers and directors</t>
  </si>
  <si>
    <t xml:space="preserve"> 12 Other managers and proprietors</t>
  </si>
  <si>
    <t xml:space="preserve"> 21 Science, research, engineering and technology professionals</t>
  </si>
  <si>
    <t xml:space="preserve"> 22 Health professionals</t>
  </si>
  <si>
    <t xml:space="preserve"> 23 Teaching and educational professionals</t>
  </si>
  <si>
    <t xml:space="preserve"> 24 Business, media and public service professionals</t>
  </si>
  <si>
    <t xml:space="preserve"> 31 Science, engineering and technology associate professionals</t>
  </si>
  <si>
    <t xml:space="preserve"> 32 Health and social care associate professionals</t>
  </si>
  <si>
    <t xml:space="preserve"> 33 Protective service occupations</t>
  </si>
  <si>
    <t xml:space="preserve"> 34 Culture, media and sports occupations</t>
  </si>
  <si>
    <t xml:space="preserve"> 35 Business and public service associate professionals</t>
  </si>
  <si>
    <t xml:space="preserve"> 41 Administrative occupations</t>
  </si>
  <si>
    <t xml:space="preserve"> 42 Secretarial and related occupations</t>
  </si>
  <si>
    <t xml:space="preserve"> 51 Skilled agricultural and related trades</t>
  </si>
  <si>
    <t xml:space="preserve"> 52 Skilled metal, electrical and electronic trades</t>
  </si>
  <si>
    <t xml:space="preserve"> 53 Skilled construction and building trades</t>
  </si>
  <si>
    <t xml:space="preserve"> 54 Textiles, printing and other skilled trades</t>
  </si>
  <si>
    <t xml:space="preserve"> 61 Caring personal service occupations</t>
  </si>
  <si>
    <t xml:space="preserve"> 62 Leisure, travel and related personal service occupations</t>
  </si>
  <si>
    <t xml:space="preserve"> 71 Sales occupations</t>
  </si>
  <si>
    <t xml:space="preserve"> 72 Customer service occupations</t>
  </si>
  <si>
    <t xml:space="preserve"> 81 Process, plant and machine operatives</t>
  </si>
  <si>
    <t xml:space="preserve"> 82 Transport and mobile machine drivers and operatives</t>
  </si>
  <si>
    <t xml:space="preserve"> 91 Elementary trades and related occupations</t>
  </si>
  <si>
    <t xml:space="preserve"> 92 Elementary administration and service occupations</t>
  </si>
  <si>
    <t>9-Occupation</t>
  </si>
  <si>
    <t>Major group names:</t>
  </si>
  <si>
    <t>Managers, directors and senior officials</t>
  </si>
  <si>
    <t>Professional occupations</t>
  </si>
  <si>
    <t>Associate professional and technical</t>
  </si>
  <si>
    <t>Administrative and secretarial</t>
  </si>
  <si>
    <t>Skilled trades occupations</t>
  </si>
  <si>
    <t>Caring, leisure and other service</t>
  </si>
  <si>
    <t>Sales and customer service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</si>
  <si>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</si>
  <si>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</si>
  <si>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</si>
  <si>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</si>
  <si>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</si>
  <si>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</si>
  <si>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</si>
  <si>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</si>
  <si>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</si>
  <si>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</si>
  <si>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</si>
  <si>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</si>
  <si>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</si>
  <si>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</si>
  <si>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</si>
  <si>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</si>
  <si>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</si>
  <si>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</si>
  <si>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</si>
  <si>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</si>
  <si>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</si>
  <si>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</si>
  <si>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</si>
  <si>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</si>
  <si>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</si>
  <si>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</si>
  <si>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Aggregation of 25-Sub major occupation groups to 9-Major occupation groups</t>
  </si>
  <si>
    <t>9-Occupation (SOC2010)</t>
  </si>
  <si>
    <t>25-Occupation (SOC2010)</t>
  </si>
  <si>
    <t>Aggregation of 9-Qualifications to 6-Qualification groups</t>
  </si>
  <si>
    <t>Female</t>
  </si>
  <si>
    <t>Male</t>
  </si>
  <si>
    <t>Total employment</t>
  </si>
  <si>
    <t>Male employment</t>
  </si>
  <si>
    <t>Female employment</t>
  </si>
  <si>
    <t>Industry 22 Total</t>
  </si>
  <si>
    <t>Industry 21 Total</t>
  </si>
  <si>
    <t>Industry 20 Total</t>
  </si>
  <si>
    <t>Industry 17 Total</t>
  </si>
  <si>
    <t>Industry 16 Total</t>
  </si>
  <si>
    <t>Industry 14 Total</t>
  </si>
  <si>
    <t>Industry 13 Total</t>
  </si>
  <si>
    <t>Industry 12 Total</t>
  </si>
  <si>
    <t>Industry 11 Total</t>
  </si>
  <si>
    <t>Industry 10 Total</t>
  </si>
  <si>
    <t>Industry 9 Total</t>
  </si>
  <si>
    <t>Industry 8 Total</t>
  </si>
  <si>
    <t>Industry 7 Total</t>
  </si>
  <si>
    <t>Industry 5 Total</t>
  </si>
  <si>
    <t>Industry 4 Total</t>
  </si>
  <si>
    <t>Industry 3 Total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</si>
  <si>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</si>
  <si>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</si>
  <si>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</si>
  <si>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</si>
  <si>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</si>
  <si>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</si>
  <si>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</si>
  <si>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>M:\IE\Projects\WorkingFutures\data\Results\Workbooks\LO\LO_Database_Test.Main.xlsx</t>
  </si>
  <si>
    <t>M:\IE\Projects\WorkingFutures\data\Results\Workbooks\LO\LO_Database.Main.xlsx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</si>
  <si>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</si>
  <si>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</si>
  <si>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</si>
  <si>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</si>
  <si>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</si>
  <si>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</si>
  <si>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Ind T3</t>
  </si>
  <si>
    <t>Occ T3</t>
  </si>
  <si>
    <t>Employment by Industry (75 industries)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</si>
  <si>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</si>
  <si>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</si>
  <si>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</si>
  <si>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</si>
  <si>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</si>
  <si>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</si>
  <si>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Employment Status by Industry and Gender (75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</si>
  <si>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</si>
  <si>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</si>
  <si>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</si>
  <si>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</si>
  <si>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</si>
  <si>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</si>
  <si>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Occupation Composition by Gender (9 occupations by 75 industries)</t>
  </si>
  <si>
    <t>Occupation Composition by Employment Status (9 occupations by 75 industries)</t>
  </si>
  <si>
    <t>Occ T1</t>
  </si>
  <si>
    <t>Employment Change by Occupation and Replacement Demand (25 occupations)</t>
  </si>
  <si>
    <t>Employment Change by Occupation in Occupation Group (9 + 25 occupations)</t>
  </si>
  <si>
    <t>Occupation Composition by Gender (25 occupations)</t>
  </si>
  <si>
    <t>Bar Chart Growth in Employment by Industry Group (6 + 22 industries)</t>
  </si>
  <si>
    <t>Bar Chart Growth in Employment by Occupation (9 + 25 occupations)</t>
  </si>
  <si>
    <t>Line Chart Employment by Occupation (9 + 25 occupations)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</si>
  <si>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</si>
  <si>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</si>
  <si>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</si>
  <si>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</si>
  <si>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</si>
  <si>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Shift-Share by Occupation (25 occupations)</t>
  </si>
  <si>
    <t>RD F1</t>
  </si>
  <si>
    <t>RD T1</t>
  </si>
  <si>
    <t>Replacement Demand by Occupation and Qualification (25 occupations by 9 qualifications)</t>
  </si>
  <si>
    <t>Basic T1</t>
  </si>
  <si>
    <t>Basic T2</t>
  </si>
  <si>
    <t>Basic T3</t>
  </si>
  <si>
    <t>Employment by Industry Sector, Occupation Group and Qualification (9 occupations by 6 industries by 9 qualifications)</t>
  </si>
  <si>
    <t>Employment Change by Occupation and Replacement Demand (25 occupations by 9 qualifications)</t>
  </si>
  <si>
    <t>Occupation by Qualification (25 occupations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</si>
  <si>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</si>
  <si>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</si>
  <si>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</si>
  <si>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</si>
  <si>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</si>
  <si>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</si>
  <si>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</si>
  <si>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</si>
  <si>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</si>
  <si>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</si>
  <si>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</si>
  <si>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</si>
  <si>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</si>
  <si>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</si>
  <si>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</si>
  <si>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</si>
  <si>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</si>
  <si>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</si>
  <si>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</si>
  <si>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</si>
  <si>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</si>
  <si>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</si>
  <si>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t>Replacement Demand by Occupation Group (9 + 25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</si>
  <si>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</si>
  <si>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1st,3rd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</si>
  <si>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</si>
  <si>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axis bounds</t>
  </si>
  <si>
    <t>major unit</t>
  </si>
  <si>
    <t>max</t>
  </si>
  <si>
    <t>min</t>
  </si>
  <si>
    <t>Country</t>
  </si>
  <si>
    <t>Sum of the workbooks for United Kingdom</t>
  </si>
  <si>
    <t>Scenario</t>
  </si>
  <si>
    <t>.Main</t>
  </si>
  <si>
    <t>MDM version</t>
  </si>
  <si>
    <t>C182IND - Rev 13405</t>
  </si>
  <si>
    <t>Country name</t>
  </si>
  <si>
    <t>United Kingdom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</si>
  <si>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</si>
  <si>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</si>
  <si>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RQF7 Other higher degree</t>
  </si>
  <si>
    <t>RQF6 First degree</t>
  </si>
  <si>
    <t>RQF5 Foundation degree;Nursing;Teaching</t>
  </si>
  <si>
    <t>RQF4 HE below degree level</t>
  </si>
  <si>
    <t>RQF3 A level &amp; equivalent</t>
  </si>
  <si>
    <t>RQF2 GCSE(A-C) &amp; equivalent</t>
  </si>
  <si>
    <t>RQF1 GCSE(below grade C) &amp; equivalent</t>
  </si>
  <si>
    <t>RQF 7-8</t>
  </si>
  <si>
    <t>RQF 4-6</t>
  </si>
  <si>
    <t>6-Qualification groups (RQF)</t>
  </si>
  <si>
    <t>6-Qualifications (RQF)</t>
  </si>
  <si>
    <t>Non-marketed services</t>
  </si>
  <si>
    <t>Shares (%)</t>
  </si>
  <si>
    <t>Shares of all occupations (%)</t>
  </si>
  <si>
    <t>Shares of all qualifications (%)</t>
  </si>
  <si>
    <t>Qualification levels (000s)</t>
  </si>
  <si>
    <t>THIS EXCEL WORKBOOK CONTAINS DATA</t>
  </si>
  <si>
    <t>BASED ON THE ANNUAL BUSINESS INQUIRY /</t>
  </si>
  <si>
    <t>Copyright:  Warwick Institute for Employment Research / Cambridge Econometrics, 2020</t>
  </si>
  <si>
    <t xml:space="preserve">However, as a general rule of thumb, it is advisable to only publish statistics or analyses which are 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</si>
  <si>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</si>
  <si>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</si>
  <si>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</si>
  <si>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</si>
  <si>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</si>
  <si>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m:/IE/Projects/WorkingFutures/data/Results/Workbooks/UK/UK_Database.Main.xlsx</t>
  </si>
  <si>
    <t>Date database created</t>
  </si>
  <si>
    <t>27-03-2019 09:20:09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</si>
</sst>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6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  <font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538">
    <xf numFmtId="0" fontId="0" fillId="0" borderId="0" xfId="0"/>
    <xf numFmtId="0" fontId="5" fillId="0" borderId="0" xfId="0" applyFont="1"/>
    <xf numFmtId="0" fontId="0" fillId="0" borderId="0" xfId="0" applyBorder="1"/>
    <xf numFmtId="0" fontId="0" fillId="0" borderId="0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NumberFormat="1"/>
    <xf numFmtId="0" fontId="0" fillId="0" borderId="0" xfId="0" applyAlignment="1">
      <alignment horizontal="right"/>
    </xf>
    <xf numFmtId="1" fontId="5" fillId="0" borderId="0" xfId="0" applyNumberFormat="1" applyFont="1"/>
    <xf numFmtId="0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NumberFormat="1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0" fontId="0" fillId="0" borderId="10" xfId="0" applyBorder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0" fillId="0" borderId="0" xfId="0" applyNumberFormat="1" applyBorder="1"/>
    <xf numFmtId="164" fontId="7" fillId="0" borderId="0" xfId="3" applyNumberFormat="1" applyFont="1" applyBorder="1"/>
    <xf numFmtId="3" fontId="7" fillId="0" borderId="0" xfId="0" applyNumberFormat="1" applyFont="1" applyBorder="1"/>
    <xf numFmtId="3" fontId="0" fillId="0" borderId="0" xfId="0" applyNumberFormat="1" applyBorder="1"/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10" fillId="0" borderId="0" xfId="0" applyFont="1" applyBorder="1"/>
    <xf numFmtId="0" fontId="7" fillId="0" borderId="0" xfId="0" applyFont="1" applyAlignment="1">
      <alignment horizontal="left"/>
    </xf>
    <xf numFmtId="0" fontId="12" fillId="0" borderId="0" xfId="0" applyFont="1"/>
    <xf numFmtId="0" fontId="5" fillId="0" borderId="0" xfId="0" applyFont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0" fontId="7" fillId="0" borderId="0" xfId="0" applyNumberFormat="1" applyFont="1"/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0" fontId="5" fillId="0" borderId="0" xfId="3" applyFont="1" applyBorder="1" applyAlignment="1">
      <alignment horizontal="right"/>
    </xf>
    <xf numFmtId="0" fontId="5" fillId="0" borderId="10" xfId="0" applyNumberFormat="1" applyFont="1" applyBorder="1"/>
    <xf numFmtId="0" fontId="0" fillId="0" borderId="11" xfId="0" applyNumberFormat="1" applyBorder="1"/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/>
    <xf numFmtId="3" fontId="0" fillId="0" borderId="0" xfId="0" applyNumberFormat="1" applyAlignment="1"/>
    <xf numFmtId="0" fontId="0" fillId="0" borderId="0" xfId="0" applyNumberFormat="1" applyAlignment="1">
      <alignment wrapText="1"/>
    </xf>
    <xf numFmtId="0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 applyAlignment="1">
      <alignment horizontal="right" wrapText="1"/>
    </xf>
    <xf numFmtId="167" fontId="0" fillId="0" borderId="0" xfId="0" applyNumberFormat="1" applyFill="1" applyAlignmen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Fill="1" applyBorder="1" applyAlignment="1">
      <alignment horizontal="right"/>
    </xf>
    <xf numFmtId="0" fontId="5" fillId="0" borderId="17" xfId="0" applyFont="1" applyBorder="1"/>
    <xf numFmtId="1" fontId="5" fillId="0" borderId="9" xfId="0" applyNumberFormat="1" applyFont="1" applyBorder="1" applyAlignment="1">
      <alignment horizontal="right"/>
    </xf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7" fillId="0" borderId="11" xfId="0" applyNumberFormat="1" applyFont="1" applyBorder="1" applyAlignment="1">
      <alignment horizontal="center"/>
    </xf>
    <xf numFmtId="0" fontId="7" fillId="0" borderId="0" xfId="0" applyFont="1" applyBorder="1"/>
    <xf numFmtId="0" fontId="7" fillId="0" borderId="0" xfId="0" applyNumberFormat="1" applyFont="1" applyBorder="1"/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3" fontId="0" fillId="0" borderId="0" xfId="0" applyNumberFormat="1" applyBorder="1" applyAlignment="1"/>
    <xf numFmtId="0" fontId="0" fillId="0" borderId="0" xfId="0" applyAlignment="1"/>
    <xf numFmtId="0" fontId="5" fillId="0" borderId="0" xfId="0" applyFont="1" applyAlignment="1"/>
    <xf numFmtId="0" fontId="5" fillId="0" borderId="0" xfId="0" applyFont="1" applyAlignment="1">
      <alignment vertical="center" wrapText="1"/>
    </xf>
    <xf numFmtId="0" fontId="13" fillId="0" borderId="0" xfId="3" applyFont="1"/>
    <xf numFmtId="0" fontId="0" fillId="0" borderId="11" xfId="0" applyBorder="1" applyAlignment="1"/>
    <xf numFmtId="0" fontId="0" fillId="0" borderId="0" xfId="0" applyBorder="1" applyAlignment="1"/>
    <xf numFmtId="3" fontId="5" fillId="0" borderId="0" xfId="0" applyNumberFormat="1" applyFont="1" applyBorder="1" applyAlignment="1"/>
    <xf numFmtId="3" fontId="0" fillId="0" borderId="10" xfId="0" applyNumberFormat="1" applyBorder="1" applyAlignment="1"/>
    <xf numFmtId="0" fontId="0" fillId="0" borderId="9" xfId="0" applyNumberFormat="1" applyBorder="1" applyAlignment="1">
      <alignment horizontal="right" wrapText="1"/>
    </xf>
    <xf numFmtId="0" fontId="9" fillId="0" borderId="0" xfId="3" applyFont="1" applyBorder="1"/>
    <xf numFmtId="1" fontId="3" fillId="0" borderId="0" xfId="2" applyNumberFormat="1" applyFont="1"/>
    <xf numFmtId="0" fontId="0" fillId="0" borderId="0" xfId="0" applyAlignment="1"/>
    <xf numFmtId="0" fontId="5" fillId="0" borderId="0" xfId="0" applyFont="1" applyAlignment="1">
      <alignment wrapText="1"/>
    </xf>
    <xf numFmtId="0" fontId="0" fillId="0" borderId="0" xfId="0"/>
    <xf numFmtId="0" fontId="3" fillId="0" borderId="0" xfId="4"/>
    <xf numFmtId="0" fontId="3" fillId="0" borderId="10" xfId="4" applyBorder="1"/>
    <xf numFmtId="3" fontId="3" fillId="0" borderId="10" xfId="4" applyNumberFormat="1" applyBorder="1"/>
    <xf numFmtId="0" fontId="3" fillId="0" borderId="10" xfId="4" applyFont="1" applyBorder="1"/>
    <xf numFmtId="3" fontId="3" fillId="0" borderId="0" xfId="4" applyNumberFormat="1"/>
    <xf numFmtId="0" fontId="3" fillId="0" borderId="0" xfId="4" applyNumberFormat="1"/>
    <xf numFmtId="0" fontId="3" fillId="0" borderId="0" xfId="4" applyBorder="1"/>
    <xf numFmtId="0" fontId="3" fillId="0" borderId="11" xfId="4" applyBorder="1" applyAlignment="1">
      <alignment horizontal="centerContinuous"/>
    </xf>
    <xf numFmtId="0" fontId="3" fillId="0" borderId="11" xfId="4" applyFont="1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0" fontId="0" fillId="0" borderId="0" xfId="0"/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Border="1" applyAlignment="1">
      <alignment horizontal="centerContinuous"/>
    </xf>
    <xf numFmtId="3" fontId="3" fillId="0" borderId="0" xfId="4" applyNumberFormat="1" applyBorder="1"/>
    <xf numFmtId="0" fontId="3" fillId="0" borderId="0" xfId="4" applyBorder="1" applyAlignment="1">
      <alignment horizontal="right" wrapText="1"/>
    </xf>
    <xf numFmtId="0" fontId="0" fillId="0" borderId="10" xfId="0" applyNumberFormat="1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0" fontId="3" fillId="0" borderId="10" xfId="4" applyNumberFormat="1" applyBorder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Border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 applyBorder="1" applyAlignment="1"/>
    <xf numFmtId="0" fontId="3" fillId="0" borderId="10" xfId="0" applyNumberFormat="1" applyFont="1" applyBorder="1" applyAlignment="1">
      <alignment horizontal="right" wrapText="1"/>
    </xf>
    <xf numFmtId="164" fontId="0" fillId="0" borderId="0" xfId="0" applyNumberFormat="1" applyAlignment="1"/>
    <xf numFmtId="164" fontId="0" fillId="0" borderId="10" xfId="0" applyNumberFormat="1" applyBorder="1" applyAlignment="1"/>
    <xf numFmtId="0" fontId="3" fillId="0" borderId="10" xfId="4" applyBorder="1" applyAlignment="1">
      <alignment horizontal="right"/>
    </xf>
    <xf numFmtId="0" fontId="0" fillId="0" borderId="0" xfId="0"/>
    <xf numFmtId="0" fontId="3" fillId="0" borderId="0" xfId="4" applyFont="1" applyAlignment="1">
      <alignment horizontal="right"/>
    </xf>
    <xf numFmtId="0" fontId="5" fillId="0" borderId="11" xfId="4" applyFont="1" applyBorder="1"/>
    <xf numFmtId="0" fontId="3" fillId="0" borderId="11" xfId="4" applyFont="1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3" fontId="3" fillId="0" borderId="10" xfId="4" applyNumberFormat="1" applyFont="1" applyBorder="1"/>
    <xf numFmtId="0" fontId="0" fillId="0" borderId="0" xfId="0" quotePrefix="1"/>
    <xf numFmtId="0" fontId="3" fillId="0" borderId="0" xfId="4" applyFont="1"/>
    <xf numFmtId="3" fontId="3" fillId="0" borderId="0" xfId="4" applyNumberFormat="1" applyFont="1"/>
    <xf numFmtId="0" fontId="0" fillId="0" borderId="0" xfId="0"/>
    <xf numFmtId="0" fontId="0" fillId="0" borderId="0" xfId="0" applyAlignment="1">
      <alignment textRotation="90"/>
    </xf>
    <xf numFmtId="0" fontId="0" fillId="0" borderId="0" xfId="0"/>
    <xf numFmtId="1" fontId="3" fillId="0" borderId="0" xfId="0" applyNumberFormat="1" applyFont="1"/>
    <xf numFmtId="0" fontId="0" fillId="0" borderId="0" xfId="0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0" fontId="16" fillId="4" borderId="0" xfId="5" applyFont="1" applyFill="1" applyBorder="1"/>
    <xf numFmtId="1" fontId="5" fillId="4" borderId="0" xfId="6" applyNumberFormat="1" applyFont="1" applyFill="1" applyBorder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5" fillId="0" borderId="0" xfId="5" applyBorder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Border="1" applyAlignment="1">
      <alignment horizontal="left" vertical="center" readingOrder="1"/>
    </xf>
    <xf numFmtId="168" fontId="15" fillId="0" borderId="0" xfId="1" applyNumberFormat="1" applyFont="1"/>
    <xf numFmtId="0" fontId="15" fillId="0" borderId="0" xfId="5" applyFill="1"/>
    <xf numFmtId="164" fontId="15" fillId="0" borderId="0" xfId="5" applyNumberFormat="1" applyFill="1" applyBorder="1"/>
    <xf numFmtId="164" fontId="15" fillId="0" borderId="11" xfId="5" applyNumberFormat="1" applyFill="1" applyBorder="1"/>
    <xf numFmtId="0" fontId="16" fillId="0" borderId="0" xfId="5" applyFont="1" applyFill="1"/>
    <xf numFmtId="0" fontId="16" fillId="0" borderId="0" xfId="5" applyFont="1" applyFill="1" applyBorder="1"/>
    <xf numFmtId="1" fontId="5" fillId="0" borderId="0" xfId="6" applyNumberFormat="1" applyFont="1" applyFill="1" applyBorder="1"/>
    <xf numFmtId="0" fontId="16" fillId="0" borderId="0" xfId="5" applyFont="1" applyFill="1" applyBorder="1" applyAlignment="1">
      <alignment horizontal="right"/>
    </xf>
    <xf numFmtId="0" fontId="15" fillId="0" borderId="10" xfId="5" applyFill="1" applyBorder="1"/>
    <xf numFmtId="0" fontId="15" fillId="0" borderId="11" xfId="5" applyFill="1" applyBorder="1"/>
    <xf numFmtId="0" fontId="15" fillId="0" borderId="0" xfId="5" applyFill="1" applyBorder="1"/>
    <xf numFmtId="164" fontId="15" fillId="0" borderId="10" xfId="5" applyNumberFormat="1" applyFill="1" applyBorder="1"/>
    <xf numFmtId="1" fontId="15" fillId="0" borderId="10" xfId="5" applyNumberFormat="1" applyFill="1" applyBorder="1"/>
    <xf numFmtId="0" fontId="3" fillId="0" borderId="10" xfId="5" applyFont="1" applyFill="1" applyBorder="1"/>
    <xf numFmtId="3" fontId="15" fillId="0" borderId="11" xfId="5" applyNumberFormat="1" applyBorder="1"/>
    <xf numFmtId="3" fontId="15" fillId="0" borderId="0" xfId="5" applyNumberFormat="1" applyBorder="1"/>
    <xf numFmtId="3" fontId="15" fillId="0" borderId="10" xfId="5" applyNumberFormat="1" applyBorder="1"/>
    <xf numFmtId="3" fontId="15" fillId="0" borderId="0" xfId="5" applyNumberFormat="1"/>
    <xf numFmtId="3" fontId="15" fillId="0" borderId="11" xfId="5" applyNumberFormat="1" applyFill="1" applyBorder="1"/>
    <xf numFmtId="3" fontId="15" fillId="0" borderId="0" xfId="5" applyNumberFormat="1" applyFill="1" applyBorder="1"/>
    <xf numFmtId="3" fontId="15" fillId="0" borderId="10" xfId="5" applyNumberFormat="1" applyFill="1" applyBorder="1"/>
    <xf numFmtId="3" fontId="15" fillId="0" borderId="0" xfId="5" applyNumberFormat="1" applyFill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Border="1" applyAlignment="1">
      <alignment horizontal="right"/>
    </xf>
    <xf numFmtId="0" fontId="15" fillId="4" borderId="10" xfId="5" applyFill="1" applyBorder="1"/>
    <xf numFmtId="0" fontId="0" fillId="0" borderId="5" xfId="0" applyFill="1" applyBorder="1"/>
    <xf numFmtId="0" fontId="0" fillId="0" borderId="7" xfId="0" applyFill="1" applyBorder="1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5" fillId="0" borderId="0" xfId="4" applyFont="1"/>
    <xf numFmtId="0" fontId="0" fillId="0" borderId="0" xfId="0"/>
    <xf numFmtId="0" fontId="0" fillId="0" borderId="0" xfId="0" applyAlignment="1"/>
    <xf numFmtId="0" fontId="0" fillId="0" borderId="0" xfId="0"/>
    <xf numFmtId="0" fontId="16" fillId="4" borderId="9" xfId="5" applyFont="1" applyFill="1" applyBorder="1" applyAlignment="1">
      <alignment horizontal="right"/>
    </xf>
    <xf numFmtId="0" fontId="0" fillId="0" borderId="0" xfId="0"/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Fill="1" applyBorder="1"/>
    <xf numFmtId="2" fontId="15" fillId="0" borderId="0" xfId="5" applyNumberFormat="1" applyFill="1" applyBorder="1"/>
    <xf numFmtId="0" fontId="1" fillId="0" borderId="0" xfId="5" applyFont="1" applyFill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0" fontId="0" fillId="0" borderId="0" xfId="0"/>
    <xf numFmtId="0" fontId="0" fillId="0" borderId="0" xfId="0" applyAlignment="1"/>
    <xf numFmtId="0" fontId="0" fillId="0" borderId="0" xfId="0"/>
    <xf numFmtId="4" fontId="0" fillId="0" borderId="0" xfId="0" applyNumberFormat="1"/>
    <xf numFmtId="0" fontId="3" fillId="0" borderId="0" xfId="0" applyNumberFormat="1" applyFont="1"/>
    <xf numFmtId="1" fontId="15" fillId="0" borderId="0" xfId="5" applyNumberFormat="1" applyFill="1"/>
    <xf numFmtId="2" fontId="7" fillId="0" borderId="0" xfId="3" applyNumberFormat="1" applyFont="1"/>
    <xf numFmtId="0" fontId="0" fillId="0" borderId="0" xfId="0" applyAlignment="1"/>
    <xf numFmtId="0" fontId="0" fillId="0" borderId="0" xfId="0" applyAlignment="1"/>
    <xf numFmtId="0" fontId="0" fillId="0" borderId="0" xfId="0"/>
    <xf numFmtId="0" fontId="0" fillId="0" borderId="0" xfId="0"/>
    <xf numFmtId="0" fontId="5" fillId="0" borderId="0" xfId="0" applyFont="1" applyFill="1" applyBorder="1"/>
    <xf numFmtId="0" fontId="3" fillId="0" borderId="0" xfId="0" applyFont="1" applyFill="1" applyBorder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NumberFormat="1" applyFont="1" applyBorder="1" applyAlignment="1">
      <alignment horizontal="right"/>
    </xf>
    <xf numFmtId="0" fontId="5" fillId="0" borderId="0" xfId="4" applyFont="1" applyBorder="1"/>
    <xf numFmtId="0" fontId="5" fillId="0" borderId="10" xfId="4" applyFont="1" applyBorder="1"/>
    <xf numFmtId="0" fontId="9" fillId="0" borderId="0" xfId="3" applyFont="1" applyFill="1"/>
    <xf numFmtId="0" fontId="18" fillId="0" borderId="0" xfId="4" applyFont="1"/>
    <xf numFmtId="0" fontId="5" fillId="0" borderId="0" xfId="3" applyFont="1" applyFill="1"/>
    <xf numFmtId="0" fontId="5" fillId="0" borderId="0" xfId="4" applyFont="1" applyAlignment="1">
      <alignment horizontal="right"/>
    </xf>
    <xf numFmtId="0" fontId="3" fillId="0" borderId="0" xfId="4" applyFont="1" applyBorder="1"/>
    <xf numFmtId="0" fontId="5" fillId="0" borderId="11" xfId="4" applyFont="1" applyBorder="1" applyAlignment="1">
      <alignment horizontal="centerContinuous"/>
    </xf>
    <xf numFmtId="0" fontId="3" fillId="0" borderId="9" xfId="4" applyFont="1" applyBorder="1" applyAlignment="1">
      <alignment horizontal="centerContinuous"/>
    </xf>
    <xf numFmtId="0" fontId="5" fillId="0" borderId="11" xfId="4" applyNumberFormat="1" applyFont="1" applyBorder="1" applyAlignment="1">
      <alignment horizontal="centerContinuous"/>
    </xf>
    <xf numFmtId="0" fontId="3" fillId="0" borderId="9" xfId="4" applyFont="1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0" fontId="3" fillId="0" borderId="0" xfId="4" applyNumberFormat="1" applyFont="1" applyBorder="1"/>
    <xf numFmtId="3" fontId="3" fillId="0" borderId="0" xfId="1" applyNumberFormat="1" applyFont="1" applyBorder="1"/>
    <xf numFmtId="3" fontId="3" fillId="0" borderId="0" xfId="4" applyNumberFormat="1" applyFont="1" applyBorder="1"/>
    <xf numFmtId="3" fontId="3" fillId="0" borderId="10" xfId="1" applyNumberFormat="1" applyFont="1" applyBorder="1"/>
    <xf numFmtId="0" fontId="3" fillId="0" borderId="11" xfId="4" applyFont="1" applyBorder="1"/>
    <xf numFmtId="3" fontId="3" fillId="0" borderId="11" xfId="1" applyNumberFormat="1" applyFont="1" applyBorder="1"/>
    <xf numFmtId="0" fontId="5" fillId="0" borderId="0" xfId="4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6" fillId="4" borderId="0" xfId="5" applyFont="1" applyFill="1" applyBorder="1" applyAlignment="1">
      <alignment horizontal="center"/>
    </xf>
    <xf numFmtId="0" fontId="0" fillId="0" borderId="0" xfId="0"/>
    <xf numFmtId="0" fontId="9" fillId="0" borderId="0" xfId="0" applyNumberFormat="1" applyFont="1"/>
    <xf numFmtId="0" fontId="5" fillId="0" borderId="9" xfId="0" applyFont="1" applyBorder="1"/>
    <xf numFmtId="1" fontId="0" fillId="0" borderId="0" xfId="0" applyNumberFormat="1" applyBorder="1"/>
    <xf numFmtId="1" fontId="18" fillId="0" borderId="0" xfId="0" applyNumberFormat="1" applyFont="1"/>
    <xf numFmtId="0" fontId="5" fillId="0" borderId="1" xfId="0" applyFont="1" applyBorder="1"/>
    <xf numFmtId="0" fontId="0" fillId="0" borderId="0" xfId="0" applyFont="1" applyFill="1" applyBorder="1"/>
    <xf numFmtId="0" fontId="0" fillId="0" borderId="7" xfId="0" applyFont="1" applyFill="1" applyBorder="1"/>
    <xf numFmtId="2" fontId="15" fillId="0" borderId="10" xfId="5" applyNumberFormat="1" applyFill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0" fontId="5" fillId="0" borderId="0" xfId="0" applyFont="1" applyBorder="1" applyAlignment="1"/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 applyFill="1"/>
    <xf numFmtId="0" fontId="5" fillId="0" borderId="0" xfId="0" applyFont="1" applyBorder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1" fillId="0" borderId="6" xfId="7" applyFont="1" applyBorder="1" applyAlignment="1">
      <alignment horizontal="center" vertical="center"/>
    </xf>
    <xf numFmtId="0" fontId="1" fillId="0" borderId="7" xfId="7" applyFont="1" applyBorder="1" applyAlignment="1">
      <alignment horizontal="center" vertical="center"/>
    </xf>
    <xf numFmtId="0" fontId="32" fillId="0" borderId="7" xfId="7" applyFont="1" applyBorder="1" applyAlignment="1">
      <alignment horizontal="center" vertical="center"/>
    </xf>
    <xf numFmtId="0" fontId="1" fillId="0" borderId="8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1" fontId="0" fillId="0" borderId="0" xfId="0" applyNumberFormat="1" applyFont="1"/>
    <xf numFmtId="0" fontId="5" fillId="0" borderId="0" xfId="14" applyFont="1"/>
    <xf numFmtId="0" fontId="3" fillId="0" borderId="0" xfId="14" applyFont="1"/>
    <xf numFmtId="1" fontId="16" fillId="0" borderId="0" xfId="0" applyNumberFormat="1" applyFont="1"/>
    <xf numFmtId="0" fontId="3" fillId="0" borderId="0" xfId="0" applyFont="1" applyBorder="1"/>
    <xf numFmtId="0" fontId="3" fillId="0" borderId="7" xfId="0" applyFont="1" applyFill="1" applyBorder="1"/>
    <xf numFmtId="0" fontId="3" fillId="0" borderId="7" xfId="0" applyFont="1" applyBorder="1"/>
    <xf numFmtId="0" fontId="3" fillId="0" borderId="2" xfId="0" applyFont="1" applyBorder="1"/>
    <xf numFmtId="1" fontId="0" fillId="0" borderId="10" xfId="0" applyNumberFormat="1" applyBorder="1"/>
    <xf numFmtId="1" fontId="3" fillId="0" borderId="0" xfId="4" applyNumberFormat="1" applyFont="1"/>
    <xf numFmtId="1" fontId="7" fillId="0" borderId="0" xfId="0" applyNumberFormat="1" applyFont="1"/>
    <xf numFmtId="3" fontId="5" fillId="0" borderId="0" xfId="0" applyNumberFormat="1" applyFont="1"/>
    <xf numFmtId="1" fontId="0" fillId="0" borderId="0" xfId="0" applyNumberFormat="1" applyAlignment="1"/>
    <xf numFmtId="1" fontId="5" fillId="0" borderId="11" xfId="0" applyNumberFormat="1" applyFont="1" applyBorder="1" applyAlignment="1"/>
    <xf numFmtId="1" fontId="0" fillId="0" borderId="0" xfId="0" applyNumberFormat="1" applyBorder="1" applyAlignment="1"/>
    <xf numFmtId="0" fontId="0" fillId="0" borderId="10" xfId="0" applyBorder="1" applyAlignment="1"/>
    <xf numFmtId="167" fontId="0" fillId="0" borderId="10" xfId="11" applyNumberFormat="1" applyFont="1" applyBorder="1" applyAlignment="1"/>
    <xf numFmtId="1" fontId="3" fillId="0" borderId="10" xfId="4" applyNumberFormat="1" applyFont="1" applyBorder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 applyFill="1" applyBorder="1"/>
    <xf numFmtId="3" fontId="3" fillId="0" borderId="0" xfId="15" applyNumberFormat="1" applyFont="1" applyFill="1" applyBorder="1"/>
    <xf numFmtId="3" fontId="3" fillId="0" borderId="0" xfId="15" applyNumberFormat="1" applyFont="1" applyFill="1" applyBorder="1" applyAlignment="1">
      <alignment horizontal="right"/>
    </xf>
    <xf numFmtId="0" fontId="3" fillId="0" borderId="0" xfId="15" applyFont="1" applyFill="1"/>
    <xf numFmtId="0" fontId="3" fillId="0" borderId="0" xfId="15" applyFont="1" applyBorder="1"/>
    <xf numFmtId="1" fontId="3" fillId="0" borderId="0" xfId="15" applyNumberFormat="1" applyFont="1" applyFill="1" applyBorder="1" applyAlignment="1">
      <alignment horizontal="right"/>
    </xf>
    <xf numFmtId="1" fontId="5" fillId="0" borderId="0" xfId="15" applyNumberFormat="1" applyFont="1" applyFill="1" applyBorder="1"/>
    <xf numFmtId="0" fontId="5" fillId="0" borderId="11" xfId="15" applyFont="1" applyFill="1" applyBorder="1"/>
    <xf numFmtId="0" fontId="3" fillId="0" borderId="11" xfId="15" applyFont="1" applyFill="1" applyBorder="1"/>
    <xf numFmtId="1" fontId="3" fillId="0" borderId="10" xfId="15" applyNumberFormat="1" applyFont="1" applyFill="1" applyBorder="1"/>
    <xf numFmtId="0" fontId="5" fillId="0" borderId="10" xfId="15" applyFont="1" applyFill="1" applyBorder="1" applyAlignment="1">
      <alignment horizontal="right"/>
    </xf>
    <xf numFmtId="0" fontId="5" fillId="0" borderId="0" xfId="15" applyFont="1" applyFill="1" applyBorder="1" applyAlignment="1">
      <alignment horizontal="centerContinuous"/>
    </xf>
    <xf numFmtId="3" fontId="3" fillId="0" borderId="10" xfId="15" applyNumberFormat="1" applyFont="1" applyFill="1" applyBorder="1"/>
    <xf numFmtId="0" fontId="3" fillId="0" borderId="0" xfId="15" applyFont="1" applyFill="1" applyAlignment="1">
      <alignment horizontal="right"/>
    </xf>
    <xf numFmtId="1" fontId="3" fillId="0" borderId="0" xfId="15" applyNumberFormat="1" applyFont="1" applyFill="1"/>
    <xf numFmtId="3" fontId="3" fillId="0" borderId="0" xfId="3" applyNumberFormat="1" applyFont="1" applyFill="1"/>
    <xf numFmtId="3" fontId="3" fillId="0" borderId="0" xfId="15" applyNumberFormat="1" applyFont="1" applyFill="1"/>
    <xf numFmtId="1" fontId="5" fillId="0" borderId="11" xfId="15" applyNumberFormat="1" applyFont="1" applyFill="1" applyBorder="1"/>
    <xf numFmtId="0" fontId="3" fillId="0" borderId="0" xfId="15" applyFont="1" applyFill="1" applyBorder="1" applyAlignment="1">
      <alignment horizontal="right"/>
    </xf>
    <xf numFmtId="3" fontId="3" fillId="0" borderId="10" xfId="3" applyNumberFormat="1" applyFont="1" applyFill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Fill="1" applyBorder="1" applyAlignment="1">
      <alignment horizontal="centerContinuous"/>
    </xf>
    <xf numFmtId="0" fontId="5" fillId="0" borderId="10" xfId="15" applyFont="1" applyFill="1" applyBorder="1"/>
    <xf numFmtId="1" fontId="5" fillId="0" borderId="10" xfId="15" applyNumberFormat="1" applyFont="1" applyFill="1" applyBorder="1" applyAlignment="1">
      <alignment horizontal="right"/>
    </xf>
    <xf numFmtId="1" fontId="3" fillId="0" borderId="10" xfId="3" applyNumberFormat="1" applyFont="1" applyFill="1" applyBorder="1" applyAlignment="1">
      <alignment horizontal="right"/>
    </xf>
    <xf numFmtId="0" fontId="5" fillId="0" borderId="0" xfId="15" applyFont="1" applyFill="1" applyBorder="1" applyAlignment="1">
      <alignment horizontal="right"/>
    </xf>
    <xf numFmtId="0" fontId="5" fillId="0" borderId="0" xfId="15" applyFont="1" applyFill="1" applyBorder="1"/>
    <xf numFmtId="1" fontId="5" fillId="0" borderId="0" xfId="15" applyNumberFormat="1" applyFont="1" applyFill="1" applyBorder="1" applyAlignment="1">
      <alignment horizontal="right"/>
    </xf>
    <xf numFmtId="1" fontId="3" fillId="0" borderId="0" xfId="16" applyNumberFormat="1" applyFont="1"/>
    <xf numFmtId="1" fontId="3" fillId="0" borderId="0" xfId="16" applyNumberFormat="1" applyFont="1" applyFill="1" applyBorder="1"/>
    <xf numFmtId="1" fontId="5" fillId="0" borderId="0" xfId="16" applyNumberFormat="1" applyFont="1" applyFill="1" applyBorder="1"/>
    <xf numFmtId="1" fontId="10" fillId="0" borderId="0" xfId="16" applyNumberFormat="1" applyFont="1" applyFill="1" applyBorder="1"/>
    <xf numFmtId="1" fontId="3" fillId="0" borderId="0" xfId="16" applyNumberFormat="1" applyFont="1" applyFill="1" applyBorder="1" applyAlignment="1">
      <alignment horizontal="right"/>
    </xf>
    <xf numFmtId="1" fontId="3" fillId="0" borderId="10" xfId="16" applyNumberFormat="1" applyFont="1" applyFill="1" applyBorder="1"/>
    <xf numFmtId="1" fontId="3" fillId="0" borderId="0" xfId="16" applyNumberFormat="1" applyFont="1" applyFill="1"/>
    <xf numFmtId="1" fontId="5" fillId="0" borderId="0" xfId="16" applyNumberFormat="1" applyFont="1" applyFill="1"/>
    <xf numFmtId="1" fontId="10" fillId="0" borderId="0" xfId="16" applyNumberFormat="1" applyFont="1" applyFill="1"/>
    <xf numFmtId="1" fontId="26" fillId="0" borderId="11" xfId="16" applyNumberFormat="1" applyFont="1" applyFill="1" applyBorder="1"/>
    <xf numFmtId="1" fontId="3" fillId="0" borderId="11" xfId="16" applyNumberFormat="1" applyFont="1" applyFill="1" applyBorder="1"/>
    <xf numFmtId="1" fontId="18" fillId="0" borderId="10" xfId="16" applyNumberFormat="1" applyFont="1" applyFill="1" applyBorder="1"/>
    <xf numFmtId="1" fontId="5" fillId="0" borderId="10" xfId="16" applyNumberFormat="1" applyFont="1" applyFill="1" applyBorder="1" applyAlignment="1">
      <alignment horizontal="right"/>
    </xf>
    <xf numFmtId="1" fontId="18" fillId="0" borderId="0" xfId="16" applyNumberFormat="1" applyFont="1" applyFill="1" applyBorder="1"/>
    <xf numFmtId="0" fontId="16" fillId="0" borderId="11" xfId="5" applyFont="1" applyFill="1" applyBorder="1" applyAlignment="1">
      <alignment horizontal="right"/>
    </xf>
    <xf numFmtId="1" fontId="16" fillId="0" borderId="11" xfId="5" applyNumberFormat="1" applyFont="1" applyFill="1" applyBorder="1" applyAlignment="1">
      <alignment horizontal="right"/>
    </xf>
    <xf numFmtId="0" fontId="16" fillId="0" borderId="10" xfId="5" applyFont="1" applyFill="1" applyBorder="1" applyAlignment="1">
      <alignment horizontal="right"/>
    </xf>
    <xf numFmtId="1" fontId="0" fillId="0" borderId="0" xfId="0" applyNumberFormat="1" applyFill="1" applyBorder="1"/>
    <xf numFmtId="1" fontId="5" fillId="0" borderId="10" xfId="6" applyNumberFormat="1" applyFont="1" applyFill="1" applyBorder="1"/>
    <xf numFmtId="0" fontId="16" fillId="0" borderId="10" xfId="5" applyFont="1" applyFill="1" applyBorder="1"/>
    <xf numFmtId="164" fontId="15" fillId="0" borderId="0" xfId="5" applyNumberFormat="1" applyFill="1"/>
    <xf numFmtId="0" fontId="16" fillId="0" borderId="11" xfId="5" applyFont="1" applyFill="1" applyBorder="1"/>
    <xf numFmtId="0" fontId="31" fillId="0" borderId="0" xfId="5" applyFont="1" applyFill="1" applyBorder="1"/>
    <xf numFmtId="3" fontId="3" fillId="0" borderId="0" xfId="5" applyNumberFormat="1" applyFont="1" applyFill="1" applyBorder="1"/>
    <xf numFmtId="1" fontId="5" fillId="0" borderId="11" xfId="6" applyNumberFormat="1" applyFont="1" applyFill="1" applyBorder="1"/>
    <xf numFmtId="3" fontId="5" fillId="0" borderId="0" xfId="15" applyNumberFormat="1" applyFont="1" applyFill="1" applyBorder="1" applyAlignment="1">
      <alignment horizontal="centerContinuous"/>
    </xf>
    <xf numFmtId="0" fontId="5" fillId="0" borderId="0" xfId="15" applyFont="1" applyFill="1"/>
    <xf numFmtId="1" fontId="5" fillId="0" borderId="0" xfId="7" applyNumberFormat="1" applyFont="1" applyFill="1"/>
    <xf numFmtId="3" fontId="5" fillId="0" borderId="10" xfId="15" applyNumberFormat="1" applyFont="1" applyFill="1" applyBorder="1" applyAlignment="1">
      <alignment horizontal="right"/>
    </xf>
    <xf numFmtId="3" fontId="5" fillId="0" borderId="0" xfId="3" applyNumberFormat="1" applyFont="1" applyFill="1"/>
    <xf numFmtId="0" fontId="9" fillId="0" borderId="0" xfId="3" applyFont="1" applyAlignment="1"/>
    <xf numFmtId="0" fontId="3" fillId="0" borderId="0" xfId="3" applyFont="1"/>
    <xf numFmtId="0" fontId="3" fillId="0" borderId="0" xfId="3" applyFont="1" applyFill="1" applyBorder="1"/>
    <xf numFmtId="1" fontId="3" fillId="0" borderId="0" xfId="3" applyNumberFormat="1" applyFont="1" applyFill="1" applyBorder="1"/>
    <xf numFmtId="1" fontId="3" fillId="0" borderId="0" xfId="3" applyNumberFormat="1" applyFont="1" applyFill="1" applyBorder="1" applyAlignment="1">
      <alignment horizontal="right"/>
    </xf>
    <xf numFmtId="1" fontId="5" fillId="0" borderId="0" xfId="3" applyNumberFormat="1" applyFont="1" applyFill="1" applyBorder="1"/>
    <xf numFmtId="1" fontId="5" fillId="0" borderId="0" xfId="3" applyNumberFormat="1" applyFont="1" applyFill="1" applyBorder="1" applyAlignment="1">
      <alignment horizontal="left"/>
    </xf>
    <xf numFmtId="0" fontId="5" fillId="0" borderId="0" xfId="3" applyFont="1" applyFill="1" applyBorder="1"/>
    <xf numFmtId="0" fontId="5" fillId="0" borderId="0" xfId="3" applyFont="1" applyFill="1" applyBorder="1" applyAlignment="1">
      <alignment horizontal="right"/>
    </xf>
    <xf numFmtId="1" fontId="5" fillId="0" borderId="0" xfId="3" applyNumberFormat="1" applyFont="1" applyFill="1" applyBorder="1" applyAlignment="1">
      <alignment horizontal="right"/>
    </xf>
    <xf numFmtId="3" fontId="3" fillId="0" borderId="0" xfId="3" applyNumberFormat="1" applyFont="1" applyFill="1" applyBorder="1"/>
    <xf numFmtId="0" fontId="3" fillId="0" borderId="0" xfId="3" applyFont="1" applyFill="1"/>
    <xf numFmtId="1" fontId="3" fillId="0" borderId="0" xfId="3" applyNumberFormat="1" applyFont="1" applyFill="1"/>
    <xf numFmtId="0" fontId="5" fillId="0" borderId="11" xfId="3" applyFont="1" applyFill="1" applyBorder="1"/>
    <xf numFmtId="1" fontId="5" fillId="0" borderId="11" xfId="3" applyNumberFormat="1" applyFont="1" applyFill="1" applyBorder="1"/>
    <xf numFmtId="0" fontId="3" fillId="0" borderId="11" xfId="3" applyFont="1" applyFill="1" applyBorder="1"/>
    <xf numFmtId="1" fontId="3" fillId="0" borderId="11" xfId="3" applyNumberFormat="1" applyFont="1" applyFill="1" applyBorder="1"/>
    <xf numFmtId="0" fontId="5" fillId="0" borderId="0" xfId="3" applyFont="1" applyFill="1" applyAlignment="1">
      <alignment horizontal="left"/>
    </xf>
    <xf numFmtId="1" fontId="5" fillId="0" borderId="0" xfId="3" applyNumberFormat="1" applyFont="1" applyFill="1" applyAlignment="1">
      <alignment horizontal="right"/>
    </xf>
    <xf numFmtId="0" fontId="5" fillId="0" borderId="0" xfId="3" applyFont="1" applyFill="1" applyAlignment="1">
      <alignment horizontal="right"/>
    </xf>
    <xf numFmtId="1" fontId="5" fillId="0" borderId="0" xfId="3" applyNumberFormat="1" applyFont="1" applyFill="1" applyAlignment="1">
      <alignment horizontal="left"/>
    </xf>
    <xf numFmtId="1" fontId="5" fillId="0" borderId="0" xfId="3" applyNumberFormat="1" applyFont="1" applyFill="1"/>
    <xf numFmtId="1" fontId="3" fillId="0" borderId="0" xfId="3" applyNumberFormat="1" applyFont="1" applyFill="1" applyAlignment="1">
      <alignment horizontal="right"/>
    </xf>
    <xf numFmtId="0" fontId="3" fillId="0" borderId="10" xfId="3" applyFont="1" applyFill="1" applyBorder="1"/>
    <xf numFmtId="1" fontId="3" fillId="0" borderId="10" xfId="3" applyNumberFormat="1" applyFont="1" applyFill="1" applyBorder="1"/>
    <xf numFmtId="0" fontId="4" fillId="0" borderId="0" xfId="3" applyFont="1" applyFill="1"/>
    <xf numFmtId="0" fontId="5" fillId="0" borderId="0" xfId="3" applyFont="1" applyFill="1" applyBorder="1" applyAlignment="1">
      <alignment horizontal="left"/>
    </xf>
    <xf numFmtId="0" fontId="5" fillId="0" borderId="10" xfId="3" applyFont="1" applyFill="1" applyBorder="1"/>
    <xf numFmtId="1" fontId="5" fillId="0" borderId="10" xfId="3" applyNumberFormat="1" applyFont="1" applyFill="1" applyBorder="1" applyAlignment="1">
      <alignment horizontal="right"/>
    </xf>
    <xf numFmtId="2" fontId="3" fillId="0" borderId="0" xfId="3" applyNumberFormat="1" applyFont="1" applyFill="1" applyAlignment="1">
      <alignment horizontal="right"/>
    </xf>
    <xf numFmtId="164" fontId="3" fillId="0" borderId="0" xfId="3" applyNumberFormat="1" applyFont="1" applyFill="1" applyAlignment="1">
      <alignment horizontal="right"/>
    </xf>
    <xf numFmtId="164" fontId="3" fillId="0" borderId="0" xfId="16" applyNumberFormat="1" applyFont="1" applyFill="1" applyAlignment="1">
      <alignment horizontal="right"/>
    </xf>
    <xf numFmtId="164" fontId="3" fillId="0" borderId="0" xfId="16" applyNumberFormat="1" applyFont="1" applyFill="1" applyBorder="1" applyAlignment="1">
      <alignment horizontal="right"/>
    </xf>
    <xf numFmtId="164" fontId="3" fillId="0" borderId="10" xfId="16" applyNumberFormat="1" applyFont="1" applyFill="1" applyBorder="1" applyAlignment="1">
      <alignment horizontal="right"/>
    </xf>
    <xf numFmtId="166" fontId="3" fillId="0" borderId="0" xfId="3" applyNumberFormat="1" applyFont="1" applyFill="1"/>
    <xf numFmtId="166" fontId="3" fillId="0" borderId="0" xfId="15" applyNumberFormat="1" applyFont="1" applyFill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0" xfId="0" applyNumberFormat="1" applyFont="1" applyBorder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Fill="1" applyBorder="1"/>
    <xf numFmtId="165" fontId="3" fillId="0" borderId="0" xfId="15" applyNumberFormat="1" applyFont="1"/>
    <xf numFmtId="170" fontId="0" fillId="0" borderId="0" xfId="0" applyNumberFormat="1"/>
    <xf numFmtId="1" fontId="3" fillId="0" borderId="0" xfId="16" applyNumberFormat="1" applyFont="1" applyFill="1" applyAlignment="1">
      <alignment horizontal="right"/>
    </xf>
    <xf numFmtId="1" fontId="10" fillId="0" borderId="0" xfId="16" applyNumberFormat="1" applyFont="1" applyFill="1" applyAlignment="1">
      <alignment horizontal="right"/>
    </xf>
    <xf numFmtId="1" fontId="10" fillId="0" borderId="0" xfId="16" applyNumberFormat="1" applyFont="1" applyFill="1" applyBorder="1" applyAlignment="1">
      <alignment horizontal="right"/>
    </xf>
    <xf numFmtId="1" fontId="3" fillId="0" borderId="10" xfId="16" applyNumberFormat="1" applyFont="1" applyFill="1" applyBorder="1" applyAlignment="1">
      <alignment horizontal="right"/>
    </xf>
    <xf numFmtId="1" fontId="10" fillId="0" borderId="10" xfId="16" applyNumberFormat="1" applyFont="1" applyFill="1" applyBorder="1" applyAlignment="1">
      <alignment horizontal="right"/>
    </xf>
    <xf numFmtId="1" fontId="5" fillId="0" borderId="11" xfId="16" applyNumberFormat="1" applyFont="1" applyFill="1" applyBorder="1" applyAlignment="1">
      <alignment horizontal="right"/>
    </xf>
    <xf numFmtId="1" fontId="5" fillId="0" borderId="11" xfId="16" applyNumberFormat="1" applyFont="1" applyFill="1" applyBorder="1" applyAlignment="1">
      <alignment horizontal="center"/>
    </xf>
    <xf numFmtId="1" fontId="5" fillId="0" borderId="0" xfId="16" applyNumberFormat="1" applyFont="1" applyFill="1" applyBorder="1" applyAlignment="1">
      <alignment horizontal="right"/>
    </xf>
    <xf numFmtId="1" fontId="3" fillId="0" borderId="11" xfId="16" applyNumberFormat="1" applyFont="1" applyFill="1" applyBorder="1" applyAlignment="1">
      <alignment horizontal="right"/>
    </xf>
    <xf numFmtId="0" fontId="5" fillId="0" borderId="10" xfId="3" applyFont="1" applyBorder="1" applyAlignment="1">
      <alignment horizontal="center"/>
    </xf>
    <xf numFmtId="0" fontId="5" fillId="0" borderId="10" xfId="3" applyFont="1" applyBorder="1"/>
    <xf numFmtId="4" fontId="3" fillId="0" borderId="0" xfId="3" applyNumberFormat="1" applyFont="1" applyFill="1" applyBorder="1"/>
    <xf numFmtId="4" fontId="3" fillId="0" borderId="0" xfId="15" applyNumberFormat="1" applyFont="1" applyFill="1" applyBorder="1"/>
    <xf numFmtId="166" fontId="3" fillId="0" borderId="0" xfId="3" applyNumberFormat="1" applyFont="1" applyFill="1" applyBorder="1"/>
    <xf numFmtId="166" fontId="3" fillId="0" borderId="0" xfId="15" applyNumberFormat="1" applyFont="1" applyFill="1" applyBorder="1"/>
    <xf numFmtId="0" fontId="13" fillId="0" borderId="0" xfId="15" applyFont="1"/>
    <xf numFmtId="0" fontId="13" fillId="0" borderId="0" xfId="15" applyFont="1" applyFill="1" applyBorder="1" applyAlignment="1">
      <alignment horizontal="centerContinuous"/>
    </xf>
    <xf numFmtId="0" fontId="13" fillId="0" borderId="0" xfId="4" applyFont="1" applyBorder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Fill="1" applyAlignment="1">
      <alignment vertical="center"/>
    </xf>
    <xf numFmtId="3" fontId="3" fillId="0" borderId="0" xfId="3" applyNumberFormat="1" applyFont="1" applyFill="1" applyAlignment="1">
      <alignment horizontal="center" vertical="center"/>
    </xf>
    <xf numFmtId="3" fontId="3" fillId="0" borderId="0" xfId="15" applyNumberFormat="1" applyFont="1" applyFill="1" applyAlignment="1">
      <alignment horizontal="center" vertical="center"/>
    </xf>
    <xf numFmtId="1" fontId="5" fillId="0" borderId="10" xfId="15" applyNumberFormat="1" applyFont="1" applyFill="1" applyBorder="1" applyAlignment="1">
      <alignment vertical="center"/>
    </xf>
    <xf numFmtId="3" fontId="5" fillId="0" borderId="10" xfId="15" applyNumberFormat="1" applyFont="1" applyFill="1" applyBorder="1" applyAlignment="1">
      <alignment horizontal="center" vertical="center"/>
    </xf>
    <xf numFmtId="0" fontId="5" fillId="0" borderId="0" xfId="15" applyFont="1"/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1" fontId="3" fillId="0" borderId="0" xfId="15" applyNumberFormat="1" applyFont="1" applyFill="1" applyBorder="1" applyAlignment="1">
      <alignment vertical="center"/>
    </xf>
    <xf numFmtId="3" fontId="3" fillId="0" borderId="0" xfId="3" applyNumberFormat="1" applyFont="1" applyFill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0" fontId="5" fillId="0" borderId="0" xfId="0" applyFont="1" applyBorder="1" applyAlignment="1">
      <alignment wrapText="1"/>
    </xf>
    <xf numFmtId="0" fontId="3" fillId="0" borderId="0" xfId="0" applyNumberFormat="1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0" applyNumberFormat="1" applyFont="1" applyAlignment="1">
      <alignment wrapText="1"/>
    </xf>
    <xf numFmtId="0" fontId="10" fillId="0" borderId="10" xfId="0" applyFont="1" applyBorder="1"/>
    <xf numFmtId="1" fontId="3" fillId="0" borderId="0" xfId="0" applyNumberFormat="1" applyFont="1" applyBorder="1" applyAlignment="1">
      <alignment horizontal="right" wrapText="1"/>
    </xf>
    <xf numFmtId="1" fontId="0" fillId="0" borderId="10" xfId="0" applyNumberFormat="1" applyBorder="1" applyAlignment="1"/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" fontId="5" fillId="0" borderId="0" xfId="0" applyNumberFormat="1" applyFont="1" applyBorder="1"/>
    <xf numFmtId="3" fontId="7" fillId="0" borderId="0" xfId="3" applyNumberFormat="1" applyFont="1" applyBorder="1"/>
    <xf numFmtId="1" fontId="3" fillId="0" borderId="0" xfId="0" applyNumberFormat="1" applyFont="1" applyAlignment="1">
      <alignment horizontal="right"/>
    </xf>
    <xf numFmtId="0" fontId="27" fillId="0" borderId="0" xfId="7" applyFont="1" applyAlignment="1">
      <alignment horizontal="center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0" fontId="8" fillId="0" borderId="0" xfId="7" applyFont="1" applyAlignment="1">
      <alignment horizontal="center"/>
    </xf>
    <xf numFmtId="0" fontId="27" fillId="0" borderId="0" xfId="7" applyFont="1" applyAlignment="1">
      <alignment horizont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1" fillId="0" borderId="0" xfId="7" applyFont="1" applyAlignment="1">
      <alignment horizontal="center" vertical="center"/>
    </xf>
    <xf numFmtId="0" fontId="5" fillId="0" borderId="0" xfId="3" applyFont="1" applyFill="1" applyBorder="1" applyAlignment="1">
      <alignment horizontal="center"/>
    </xf>
    <xf numFmtId="0" fontId="5" fillId="0" borderId="10" xfId="3" applyFont="1" applyFill="1" applyBorder="1" applyAlignment="1">
      <alignment horizontal="center"/>
    </xf>
    <xf numFmtId="1" fontId="5" fillId="0" borderId="11" xfId="16" applyNumberFormat="1" applyFont="1" applyFill="1" applyBorder="1" applyAlignment="1">
      <alignment horizontal="center"/>
    </xf>
    <xf numFmtId="1" fontId="5" fillId="0" borderId="0" xfId="15" applyNumberFormat="1" applyFont="1" applyFill="1" applyBorder="1" applyAlignment="1">
      <alignment horizontal="center"/>
    </xf>
    <xf numFmtId="0" fontId="5" fillId="0" borderId="0" xfId="15" applyFont="1" applyFill="1" applyBorder="1" applyAlignment="1">
      <alignment horizontal="center"/>
    </xf>
    <xf numFmtId="1" fontId="5" fillId="0" borderId="0" xfId="16" applyNumberFormat="1" applyFont="1" applyFill="1" applyBorder="1" applyAlignment="1">
      <alignment horizontal="center"/>
    </xf>
    <xf numFmtId="0" fontId="5" fillId="0" borderId="0" xfId="15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16" fillId="0" borderId="0" xfId="5" applyFont="1" applyFill="1" applyAlignment="1">
      <alignment horizontal="center"/>
    </xf>
    <xf numFmtId="0" fontId="16" fillId="0" borderId="9" xfId="5" applyFont="1" applyFill="1" applyBorder="1" applyAlignment="1">
      <alignment horizontal="center"/>
    </xf>
    <xf numFmtId="0" fontId="16" fillId="0" borderId="0" xfId="5" applyFont="1" applyFill="1" applyBorder="1" applyAlignment="1">
      <alignment horizontal="center"/>
    </xf>
    <xf numFmtId="0" fontId="7" fillId="0" borderId="11" xfId="0" applyNumberFormat="1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7" fillId="0" borderId="11" xfId="0" applyFont="1" applyBorder="1" applyAlignment="1">
      <alignment horizontal="center" wrapText="1"/>
    </xf>
    <xf numFmtId="0" fontId="9" fillId="0" borderId="0" xfId="3" applyFont="1" applyAlignment="1">
      <alignment horizontal="left" vertical="top" wrapText="1"/>
    </xf>
    <xf numFmtId="0" fontId="5" fillId="0" borderId="0" xfId="4" applyFont="1" applyBorder="1" applyAlignment="1">
      <alignment horizontal="center"/>
    </xf>
    <xf numFmtId="0" fontId="5" fillId="0" borderId="11" xfId="4" applyFont="1" applyBorder="1" applyAlignment="1">
      <alignment horizontal="center"/>
    </xf>
    <xf numFmtId="0" fontId="14" fillId="0" borderId="0" xfId="0" applyFont="1" applyAlignment="1">
      <alignment horizontal="left" vertical="top" wrapText="1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5" fillId="0" borderId="9" xfId="4" applyNumberFormat="1" applyFont="1" applyBorder="1" applyAlignment="1">
      <alignment horizontal="center"/>
    </xf>
    <xf numFmtId="0" fontId="5" fillId="0" borderId="0" xfId="4" applyNumberFormat="1" applyFont="1" applyBorder="1" applyAlignment="1">
      <alignment horizontal="center"/>
    </xf>
    <xf numFmtId="0" fontId="5" fillId="0" borderId="9" xfId="4" applyFont="1" applyBorder="1" applyAlignment="1">
      <alignment horizontal="center"/>
    </xf>
    <xf numFmtId="0" fontId="35" fillId="0" borderId="0" xfId="0" applyFont="1" applyAlignment="1">
      <alignment vertical="center"/>
    </xf>
    <xf numFmtId="14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/>
    <cellStyle name="Normal 2 2" xfId="7"/>
    <cellStyle name="Normal 3" xfId="6"/>
    <cellStyle name="Normal 3 2" xfId="14"/>
    <cellStyle name="Normal 4" xfId="8"/>
    <cellStyle name="Normal 5" xfId="5"/>
    <cellStyle name="Normal 6" xfId="9"/>
    <cellStyle name="Normal 7" xfId="15"/>
    <cellStyle name="Normal_16UK" xfId="2"/>
    <cellStyle name="Normal_Book2" xfId="16"/>
    <cellStyle name="Normal_SSDAtables" xfId="3"/>
    <cellStyle name="Normal_WarningSheet" xfId="13"/>
    <cellStyle name="Percent" xfId="11" builtinId="5"/>
    <cellStyle name="Percent 2" xfId="10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2007-2017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0.92266577864266175</c:v>
                </c:pt>
                <c:pt idx="2">
                  <c:v>1.9916238517653229</c:v>
                </c:pt>
                <c:pt idx="3">
                  <c:v>1.2236621189735786</c:v>
                </c:pt>
                <c:pt idx="4">
                  <c:v>-1.6574472783925542</c:v>
                </c:pt>
                <c:pt idx="5">
                  <c:v>1.0767902626444892</c:v>
                </c:pt>
                <c:pt idx="7">
                  <c:v>0.28263915013098106</c:v>
                </c:pt>
                <c:pt idx="8">
                  <c:v>1.2199280203521568</c:v>
                </c:pt>
                <c:pt idx="9">
                  <c:v>1.6445346611248635</c:v>
                </c:pt>
                <c:pt idx="10">
                  <c:v>2.8802858706074908</c:v>
                </c:pt>
                <c:pt idx="11">
                  <c:v>2.1129203863991863</c:v>
                </c:pt>
                <c:pt idx="12">
                  <c:v>-0.3965087169445769</c:v>
                </c:pt>
                <c:pt idx="13">
                  <c:v>2.1201982248843398</c:v>
                </c:pt>
                <c:pt idx="14">
                  <c:v>0.99963071103863488</c:v>
                </c:pt>
                <c:pt idx="15">
                  <c:v>1.5988294666661629</c:v>
                </c:pt>
                <c:pt idx="17">
                  <c:v>1.9268253115098277</c:v>
                </c:pt>
                <c:pt idx="18">
                  <c:v>1.8299986856803452</c:v>
                </c:pt>
                <c:pt idx="19">
                  <c:v>-6.5723717200649734E-2</c:v>
                </c:pt>
                <c:pt idx="20">
                  <c:v>0.78017837831834136</c:v>
                </c:pt>
                <c:pt idx="22">
                  <c:v>-6.518426890419482E-2</c:v>
                </c:pt>
                <c:pt idx="24">
                  <c:v>-1.0791237187338543</c:v>
                </c:pt>
                <c:pt idx="25">
                  <c:v>-2.1997924747194308</c:v>
                </c:pt>
                <c:pt idx="26">
                  <c:v>0.10608868741903699</c:v>
                </c:pt>
                <c:pt idx="27">
                  <c:v>-1.0748531256248084</c:v>
                </c:pt>
                <c:pt idx="29">
                  <c:v>2.723392209432518</c:v>
                </c:pt>
                <c:pt idx="30">
                  <c:v>5.4138394411137769</c:v>
                </c:pt>
                <c:pt idx="31">
                  <c:v>-0.60437571352749409</c:v>
                </c:pt>
                <c:pt idx="32">
                  <c:v>1.6849614072946162</c:v>
                </c:pt>
                <c:pt idx="33">
                  <c:v>2.2629143637966642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2017-2027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0.27575434824573808</c:v>
                </c:pt>
                <c:pt idx="2">
                  <c:v>0.93413610867760788</c:v>
                </c:pt>
                <c:pt idx="3">
                  <c:v>3.2402170969048072E-2</c:v>
                </c:pt>
                <c:pt idx="4">
                  <c:v>-5.1961566286617966E-2</c:v>
                </c:pt>
                <c:pt idx="5">
                  <c:v>0.48647062668596419</c:v>
                </c:pt>
                <c:pt idx="7">
                  <c:v>0.45062063400695962</c:v>
                </c:pt>
                <c:pt idx="8">
                  <c:v>0.87692434134936104</c:v>
                </c:pt>
                <c:pt idx="9">
                  <c:v>0.63755183790674685</c:v>
                </c:pt>
                <c:pt idx="10">
                  <c:v>0.71353082728253803</c:v>
                </c:pt>
                <c:pt idx="11">
                  <c:v>0.43267130051107827</c:v>
                </c:pt>
                <c:pt idx="12">
                  <c:v>-0.10104559324469742</c:v>
                </c:pt>
                <c:pt idx="13">
                  <c:v>0.74986408581805275</c:v>
                </c:pt>
                <c:pt idx="14">
                  <c:v>0.23243364878116068</c:v>
                </c:pt>
                <c:pt idx="15">
                  <c:v>0.57715251908569964</c:v>
                </c:pt>
                <c:pt idx="17">
                  <c:v>0.29526838844271541</c:v>
                </c:pt>
                <c:pt idx="18">
                  <c:v>-0.18768484154019216</c:v>
                </c:pt>
                <c:pt idx="19">
                  <c:v>0.1311153983161617</c:v>
                </c:pt>
                <c:pt idx="20">
                  <c:v>0.11331497209003949</c:v>
                </c:pt>
                <c:pt idx="22">
                  <c:v>0.21650034953812902</c:v>
                </c:pt>
                <c:pt idx="24">
                  <c:v>-1.1701899406481142</c:v>
                </c:pt>
                <c:pt idx="25">
                  <c:v>-0.51624566374116609</c:v>
                </c:pt>
                <c:pt idx="26">
                  <c:v>-0.79373783833593947</c:v>
                </c:pt>
                <c:pt idx="27">
                  <c:v>-1.0086791491408564</c:v>
                </c:pt>
                <c:pt idx="29">
                  <c:v>0.63241647001266443</c:v>
                </c:pt>
                <c:pt idx="30">
                  <c:v>8.1230770129403496E-2</c:v>
                </c:pt>
                <c:pt idx="31">
                  <c:v>-1.339748716290079</c:v>
                </c:pt>
                <c:pt idx="32">
                  <c:v>-0.52296130725189016</c:v>
                </c:pt>
                <c:pt idx="33">
                  <c:v>-0.18742060078488221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F2'!$M$6:$AG$6</c:f>
              <c:numCache>
                <c:formatCode>#,##0</c:formatCode>
                <c:ptCount val="21"/>
                <c:pt idx="0">
                  <c:v>373.99499999928747</c:v>
                </c:pt>
                <c:pt idx="1">
                  <c:v>398.99900000015208</c:v>
                </c:pt>
                <c:pt idx="2">
                  <c:v>386.03900000151663</c:v>
                </c:pt>
                <c:pt idx="3">
                  <c:v>415.15199999876148</c:v>
                </c:pt>
                <c:pt idx="4">
                  <c:v>402.9149999977584</c:v>
                </c:pt>
                <c:pt idx="5">
                  <c:v>422.03399999891894</c:v>
                </c:pt>
                <c:pt idx="6">
                  <c:v>375.94100000019267</c:v>
                </c:pt>
                <c:pt idx="7">
                  <c:v>434.99999999766254</c:v>
                </c:pt>
                <c:pt idx="8">
                  <c:v>387.0639999991489</c:v>
                </c:pt>
                <c:pt idx="9">
                  <c:v>394.99299999902343</c:v>
                </c:pt>
                <c:pt idx="10">
                  <c:v>442.01100000123665</c:v>
                </c:pt>
                <c:pt idx="11">
                  <c:v>432.3209999992323</c:v>
                </c:pt>
                <c:pt idx="12">
                  <c:v>427.79599999905076</c:v>
                </c:pt>
                <c:pt idx="13">
                  <c:v>426.71999999960309</c:v>
                </c:pt>
                <c:pt idx="14">
                  <c:v>425.76099999919455</c:v>
                </c:pt>
                <c:pt idx="15">
                  <c:v>424.82499999934765</c:v>
                </c:pt>
                <c:pt idx="16">
                  <c:v>424.0689999995252</c:v>
                </c:pt>
                <c:pt idx="17">
                  <c:v>423.26999999994899</c:v>
                </c:pt>
                <c:pt idx="18">
                  <c:v>422.2589999999862</c:v>
                </c:pt>
                <c:pt idx="19">
                  <c:v>420.805000000495</c:v>
                </c:pt>
                <c:pt idx="20">
                  <c:v>419.4320000009501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F2'!$M$7:$AG$7</c:f>
              <c:numCache>
                <c:formatCode>#,##0</c:formatCode>
                <c:ptCount val="21"/>
                <c:pt idx="0">
                  <c:v>68.00399999997606</c:v>
                </c:pt>
                <c:pt idx="1">
                  <c:v>66.999999999832241</c:v>
                </c:pt>
                <c:pt idx="2">
                  <c:v>61.992999999515341</c:v>
                </c:pt>
                <c:pt idx="3">
                  <c:v>60.001000000038594</c:v>
                </c:pt>
                <c:pt idx="4">
                  <c:v>60.999999999904006</c:v>
                </c:pt>
                <c:pt idx="5">
                  <c:v>77.000999999858578</c:v>
                </c:pt>
                <c:pt idx="6">
                  <c:v>69.990999999883357</c:v>
                </c:pt>
                <c:pt idx="7">
                  <c:v>65.995999999894224</c:v>
                </c:pt>
                <c:pt idx="8">
                  <c:v>74.006999999934294</c:v>
                </c:pt>
                <c:pt idx="9">
                  <c:v>63.998999999792773</c:v>
                </c:pt>
                <c:pt idx="10">
                  <c:v>64.003999999661374</c:v>
                </c:pt>
                <c:pt idx="11">
                  <c:v>63.251999999751618</c:v>
                </c:pt>
                <c:pt idx="12">
                  <c:v>63.425999999720339</c:v>
                </c:pt>
                <c:pt idx="13">
                  <c:v>64.029999999837017</c:v>
                </c:pt>
                <c:pt idx="14">
                  <c:v>62.472999999878908</c:v>
                </c:pt>
                <c:pt idx="15">
                  <c:v>61.19099999992126</c:v>
                </c:pt>
                <c:pt idx="16">
                  <c:v>59.987999999862325</c:v>
                </c:pt>
                <c:pt idx="17">
                  <c:v>58.848999999840629</c:v>
                </c:pt>
                <c:pt idx="18">
                  <c:v>57.794999999875856</c:v>
                </c:pt>
                <c:pt idx="19">
                  <c:v>56.831999999882306</c:v>
                </c:pt>
                <c:pt idx="20">
                  <c:v>55.927999999928552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F2'!$M$8:$AG$8</c:f>
              <c:numCache>
                <c:formatCode>#,##0</c:formatCode>
                <c:ptCount val="21"/>
                <c:pt idx="0">
                  <c:v>84.992999999709241</c:v>
                </c:pt>
                <c:pt idx="1">
                  <c:v>85.998999999838475</c:v>
                </c:pt>
                <c:pt idx="2">
                  <c:v>107.98599999949914</c:v>
                </c:pt>
                <c:pt idx="3">
                  <c:v>132.00099999954736</c:v>
                </c:pt>
                <c:pt idx="4">
                  <c:v>119.00499999966901</c:v>
                </c:pt>
                <c:pt idx="5">
                  <c:v>121.98799999957234</c:v>
                </c:pt>
                <c:pt idx="6">
                  <c:v>121.98699999954243</c:v>
                </c:pt>
                <c:pt idx="7">
                  <c:v>113.99399999973332</c:v>
                </c:pt>
                <c:pt idx="8">
                  <c:v>133.00199999954054</c:v>
                </c:pt>
                <c:pt idx="9">
                  <c:v>139.99099999948751</c:v>
                </c:pt>
                <c:pt idx="10">
                  <c:v>143.9989999994973</c:v>
                </c:pt>
                <c:pt idx="11">
                  <c:v>143.60099999972576</c:v>
                </c:pt>
                <c:pt idx="12">
                  <c:v>143.60799999977033</c:v>
                </c:pt>
                <c:pt idx="13">
                  <c:v>144.60700000004107</c:v>
                </c:pt>
                <c:pt idx="14">
                  <c:v>144.49199999989938</c:v>
                </c:pt>
                <c:pt idx="15">
                  <c:v>144.44599999965675</c:v>
                </c:pt>
                <c:pt idx="16">
                  <c:v>144.52599999993942</c:v>
                </c:pt>
                <c:pt idx="17">
                  <c:v>144.67599999991518</c:v>
                </c:pt>
                <c:pt idx="18">
                  <c:v>144.81199999956866</c:v>
                </c:pt>
                <c:pt idx="19">
                  <c:v>144.94799999941529</c:v>
                </c:pt>
                <c:pt idx="20">
                  <c:v>145.17299999955003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F2'!$M$9:$AG$9</c:f>
              <c:numCache>
                <c:formatCode>#,##0</c:formatCode>
                <c:ptCount val="21"/>
                <c:pt idx="0">
                  <c:v>158.9899999995512</c:v>
                </c:pt>
                <c:pt idx="1">
                  <c:v>168.99799999889149</c:v>
                </c:pt>
                <c:pt idx="2">
                  <c:v>165.98699999976139</c:v>
                </c:pt>
                <c:pt idx="3">
                  <c:v>177.00599999911816</c:v>
                </c:pt>
                <c:pt idx="4">
                  <c:v>188.99899999886875</c:v>
                </c:pt>
                <c:pt idx="5">
                  <c:v>193.98099999875464</c:v>
                </c:pt>
                <c:pt idx="6">
                  <c:v>188.97699999949353</c:v>
                </c:pt>
                <c:pt idx="7">
                  <c:v>196.99199999866781</c:v>
                </c:pt>
                <c:pt idx="8">
                  <c:v>199.99099999888713</c:v>
                </c:pt>
                <c:pt idx="9">
                  <c:v>198.98699999873779</c:v>
                </c:pt>
                <c:pt idx="10">
                  <c:v>207.99999999927968</c:v>
                </c:pt>
                <c:pt idx="11">
                  <c:v>205.00299999871206</c:v>
                </c:pt>
                <c:pt idx="12">
                  <c:v>209.97999999867503</c:v>
                </c:pt>
                <c:pt idx="13">
                  <c:v>210.99299999870098</c:v>
                </c:pt>
                <c:pt idx="14">
                  <c:v>213.16699999853762</c:v>
                </c:pt>
                <c:pt idx="15">
                  <c:v>214.54499999874091</c:v>
                </c:pt>
                <c:pt idx="16">
                  <c:v>216.24499999839341</c:v>
                </c:pt>
                <c:pt idx="17">
                  <c:v>217.81499999849842</c:v>
                </c:pt>
                <c:pt idx="18">
                  <c:v>219.00699999857588</c:v>
                </c:pt>
                <c:pt idx="19">
                  <c:v>220.30799999894941</c:v>
                </c:pt>
                <c:pt idx="20">
                  <c:v>221.53499999908828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2492138588806196"/>
          <c:y val="0.93501239643194956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F2'!$M$12:$AG$12</c:f>
              <c:numCache>
                <c:formatCode>#,##0</c:formatCode>
                <c:ptCount val="21"/>
                <c:pt idx="0">
                  <c:v>432.28399999739617</c:v>
                </c:pt>
                <c:pt idx="1">
                  <c:v>418.87599999647847</c:v>
                </c:pt>
                <c:pt idx="2">
                  <c:v>398.08999999932297</c:v>
                </c:pt>
                <c:pt idx="3">
                  <c:v>410.95099999740557</c:v>
                </c:pt>
                <c:pt idx="4">
                  <c:v>394.86699999672004</c:v>
                </c:pt>
                <c:pt idx="5">
                  <c:v>403.12399999634022</c:v>
                </c:pt>
                <c:pt idx="6">
                  <c:v>414.09599999909801</c:v>
                </c:pt>
                <c:pt idx="7">
                  <c:v>415.03899999558212</c:v>
                </c:pt>
                <c:pt idx="8">
                  <c:v>426.66299999622311</c:v>
                </c:pt>
                <c:pt idx="9">
                  <c:v>442.25999999605841</c:v>
                </c:pt>
                <c:pt idx="10">
                  <c:v>436.89199999930241</c:v>
                </c:pt>
                <c:pt idx="11">
                  <c:v>423.76099999690661</c:v>
                </c:pt>
                <c:pt idx="12">
                  <c:v>420.09199999674854</c:v>
                </c:pt>
                <c:pt idx="13">
                  <c:v>422.30899999709868</c:v>
                </c:pt>
                <c:pt idx="14">
                  <c:v>418.8059999963682</c:v>
                </c:pt>
                <c:pt idx="15">
                  <c:v>415.71299999578639</c:v>
                </c:pt>
                <c:pt idx="16">
                  <c:v>413.01999999603254</c:v>
                </c:pt>
                <c:pt idx="17">
                  <c:v>410.60899999610172</c:v>
                </c:pt>
                <c:pt idx="18">
                  <c:v>408.17399999680941</c:v>
                </c:pt>
                <c:pt idx="19">
                  <c:v>405.78999999755803</c:v>
                </c:pt>
                <c:pt idx="20">
                  <c:v>403.42699999834389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F2'!$M$13:$AG$13</c:f>
              <c:numCache>
                <c:formatCode>#,##0</c:formatCode>
                <c:ptCount val="21"/>
                <c:pt idx="0">
                  <c:v>495.81599999827216</c:v>
                </c:pt>
                <c:pt idx="1">
                  <c:v>467.02699999828383</c:v>
                </c:pt>
                <c:pt idx="2">
                  <c:v>387.62299999858811</c:v>
                </c:pt>
                <c:pt idx="3">
                  <c:v>391.02899999836484</c:v>
                </c:pt>
                <c:pt idx="4">
                  <c:v>422.8559999983836</c:v>
                </c:pt>
                <c:pt idx="5">
                  <c:v>422.07399999810605</c:v>
                </c:pt>
                <c:pt idx="6">
                  <c:v>423.09599999879055</c:v>
                </c:pt>
                <c:pt idx="7">
                  <c:v>395.01699999835853</c:v>
                </c:pt>
                <c:pt idx="8">
                  <c:v>394.69499999841025</c:v>
                </c:pt>
                <c:pt idx="9">
                  <c:v>388.23699999845689</c:v>
                </c:pt>
                <c:pt idx="10">
                  <c:v>396.93399999873714</c:v>
                </c:pt>
                <c:pt idx="11">
                  <c:v>410.04399999856633</c:v>
                </c:pt>
                <c:pt idx="12">
                  <c:v>409.29499999844143</c:v>
                </c:pt>
                <c:pt idx="13">
                  <c:v>408.00799999894423</c:v>
                </c:pt>
                <c:pt idx="14">
                  <c:v>403.31599999864056</c:v>
                </c:pt>
                <c:pt idx="15">
                  <c:v>398.75099999858509</c:v>
                </c:pt>
                <c:pt idx="16">
                  <c:v>393.99099999858527</c:v>
                </c:pt>
                <c:pt idx="17">
                  <c:v>389.48499999859229</c:v>
                </c:pt>
                <c:pt idx="18">
                  <c:v>385.26999999858418</c:v>
                </c:pt>
                <c:pt idx="19">
                  <c:v>380.9569999986623</c:v>
                </c:pt>
                <c:pt idx="20">
                  <c:v>376.91199999897333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F2'!$M$14:$AG$14</c:f>
              <c:numCache>
                <c:formatCode>#,##0</c:formatCode>
                <c:ptCount val="21"/>
                <c:pt idx="0">
                  <c:v>2048.9189999933137</c:v>
                </c:pt>
                <c:pt idx="1">
                  <c:v>1993.0859999904553</c:v>
                </c:pt>
                <c:pt idx="2">
                  <c:v>1857.1489999946314</c:v>
                </c:pt>
                <c:pt idx="3">
                  <c:v>1765.1619999922982</c:v>
                </c:pt>
                <c:pt idx="4">
                  <c:v>1742.3929999915981</c:v>
                </c:pt>
                <c:pt idx="5">
                  <c:v>1774.6889999905216</c:v>
                </c:pt>
                <c:pt idx="6">
                  <c:v>1721.5839999968653</c:v>
                </c:pt>
                <c:pt idx="7">
                  <c:v>1801.9419999883855</c:v>
                </c:pt>
                <c:pt idx="8">
                  <c:v>1816.6639999901247</c:v>
                </c:pt>
                <c:pt idx="9">
                  <c:v>1829.4199999902391</c:v>
                </c:pt>
                <c:pt idx="10">
                  <c:v>1838.2489999940044</c:v>
                </c:pt>
                <c:pt idx="11">
                  <c:v>1802.6449999901222</c:v>
                </c:pt>
                <c:pt idx="12">
                  <c:v>1776.5099999893578</c:v>
                </c:pt>
                <c:pt idx="13">
                  <c:v>1770.2569999926166</c:v>
                </c:pt>
                <c:pt idx="14">
                  <c:v>1742.3079999907613</c:v>
                </c:pt>
                <c:pt idx="15">
                  <c:v>1720.8349999917655</c:v>
                </c:pt>
                <c:pt idx="16">
                  <c:v>1700.3969999908172</c:v>
                </c:pt>
                <c:pt idx="17">
                  <c:v>1683.1209999908363</c:v>
                </c:pt>
                <c:pt idx="18">
                  <c:v>1665.1479999918183</c:v>
                </c:pt>
                <c:pt idx="19">
                  <c:v>1649.7439999926344</c:v>
                </c:pt>
                <c:pt idx="20">
                  <c:v>1634.1199999945698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F2'!$M$16:$AG$16</c:f>
              <c:numCache>
                <c:formatCode>#,##0</c:formatCode>
                <c:ptCount val="21"/>
                <c:pt idx="0">
                  <c:v>2301.0030000110032</c:v>
                </c:pt>
                <c:pt idx="1">
                  <c:v>2282.002999977884</c:v>
                </c:pt>
                <c:pt idx="2">
                  <c:v>2248.0959999873171</c:v>
                </c:pt>
                <c:pt idx="3">
                  <c:v>2091.606999984263</c:v>
                </c:pt>
                <c:pt idx="4">
                  <c:v>2057.6939999782503</c:v>
                </c:pt>
                <c:pt idx="5">
                  <c:v>2056.0949999815562</c:v>
                </c:pt>
                <c:pt idx="6">
                  <c:v>2039.7159999887833</c:v>
                </c:pt>
                <c:pt idx="7">
                  <c:v>2116.9989999878908</c:v>
                </c:pt>
                <c:pt idx="8">
                  <c:v>2121.3120000146869</c:v>
                </c:pt>
                <c:pt idx="9">
                  <c:v>2235.9579999905864</c:v>
                </c:pt>
                <c:pt idx="10">
                  <c:v>2286.0480000047291</c:v>
                </c:pt>
                <c:pt idx="11">
                  <c:v>2271.6999999985387</c:v>
                </c:pt>
                <c:pt idx="12">
                  <c:v>2286.6280000059296</c:v>
                </c:pt>
                <c:pt idx="13">
                  <c:v>2301.7510000066532</c:v>
                </c:pt>
                <c:pt idx="14">
                  <c:v>2302.0160000171791</c:v>
                </c:pt>
                <c:pt idx="15">
                  <c:v>2306.6340000232308</c:v>
                </c:pt>
                <c:pt idx="16">
                  <c:v>2312.6330000145108</c:v>
                </c:pt>
                <c:pt idx="17">
                  <c:v>2318.2110000281314</c:v>
                </c:pt>
                <c:pt idx="18">
                  <c:v>2323.4830000224897</c:v>
                </c:pt>
                <c:pt idx="19">
                  <c:v>2331.4020000402179</c:v>
                </c:pt>
                <c:pt idx="20">
                  <c:v>2336.0260000307353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F2'!$M$19:$AG$19</c:f>
              <c:numCache>
                <c:formatCode>#,##0</c:formatCode>
                <c:ptCount val="21"/>
                <c:pt idx="0">
                  <c:v>5012.9960000061101</c:v>
                </c:pt>
                <c:pt idx="1">
                  <c:v>5053.0050000002775</c:v>
                </c:pt>
                <c:pt idx="2">
                  <c:v>4883.7690000565381</c:v>
                </c:pt>
                <c:pt idx="3">
                  <c:v>4791.2880000018185</c:v>
                </c:pt>
                <c:pt idx="4">
                  <c:v>4768.1400000154381</c:v>
                </c:pt>
                <c:pt idx="5">
                  <c:v>4840.7770000078972</c:v>
                </c:pt>
                <c:pt idx="6">
                  <c:v>4797.5890000341606</c:v>
                </c:pt>
                <c:pt idx="7">
                  <c:v>4889.9999999944821</c:v>
                </c:pt>
                <c:pt idx="8">
                  <c:v>4971.0150000047497</c:v>
                </c:pt>
                <c:pt idx="9">
                  <c:v>4992.8440000020209</c:v>
                </c:pt>
                <c:pt idx="10">
                  <c:v>4980.1460000528386</c:v>
                </c:pt>
                <c:pt idx="11">
                  <c:v>4980.1010000008564</c:v>
                </c:pt>
                <c:pt idx="12">
                  <c:v>4981.6030000041519</c:v>
                </c:pt>
                <c:pt idx="13">
                  <c:v>4988.3620000011906</c:v>
                </c:pt>
                <c:pt idx="14">
                  <c:v>4989.4739999855774</c:v>
                </c:pt>
                <c:pt idx="15">
                  <c:v>4996.6649999680012</c:v>
                </c:pt>
                <c:pt idx="16">
                  <c:v>5006.7249999828528</c:v>
                </c:pt>
                <c:pt idx="17">
                  <c:v>5016.9849999901444</c:v>
                </c:pt>
                <c:pt idx="18">
                  <c:v>5027.2180000003918</c:v>
                </c:pt>
                <c:pt idx="19">
                  <c:v>5036.2580000110756</c:v>
                </c:pt>
                <c:pt idx="20">
                  <c:v>5045.8300000027439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F2'!$M$20:$AG$20</c:f>
              <c:numCache>
                <c:formatCode>#,##0</c:formatCode>
                <c:ptCount val="21"/>
                <c:pt idx="0">
                  <c:v>1504.0029999935571</c:v>
                </c:pt>
                <c:pt idx="1">
                  <c:v>1516.9950000012284</c:v>
                </c:pt>
                <c:pt idx="2">
                  <c:v>1499.9610000144876</c:v>
                </c:pt>
                <c:pt idx="3">
                  <c:v>1460.1790000035558</c:v>
                </c:pt>
                <c:pt idx="4">
                  <c:v>1489.9600000023013</c:v>
                </c:pt>
                <c:pt idx="5">
                  <c:v>1507.967000000627</c:v>
                </c:pt>
                <c:pt idx="6">
                  <c:v>1484.8510000053332</c:v>
                </c:pt>
                <c:pt idx="7">
                  <c:v>1508.0110000030518</c:v>
                </c:pt>
                <c:pt idx="8">
                  <c:v>1609.0769999978552</c:v>
                </c:pt>
                <c:pt idx="9">
                  <c:v>1709.9510000010932</c:v>
                </c:pt>
                <c:pt idx="10">
                  <c:v>1803.0430000179442</c:v>
                </c:pt>
                <c:pt idx="11">
                  <c:v>1780.4600000026983</c:v>
                </c:pt>
                <c:pt idx="12">
                  <c:v>1777.6990000011981</c:v>
                </c:pt>
                <c:pt idx="13">
                  <c:v>1774.28299999454</c:v>
                </c:pt>
                <c:pt idx="14">
                  <c:v>1771.3529999921564</c:v>
                </c:pt>
                <c:pt idx="15">
                  <c:v>1768.9199999875452</c:v>
                </c:pt>
                <c:pt idx="16">
                  <c:v>1767.8519999847574</c:v>
                </c:pt>
                <c:pt idx="17">
                  <c:v>1768.1919999877689</c:v>
                </c:pt>
                <c:pt idx="18">
                  <c:v>1768.5929999877517</c:v>
                </c:pt>
                <c:pt idx="19">
                  <c:v>1768.8319999940697</c:v>
                </c:pt>
                <c:pt idx="20">
                  <c:v>1769.4869999931366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F2'!$M$21:$AG$21</c:f>
              <c:numCache>
                <c:formatCode>#,##0</c:formatCode>
                <c:ptCount val="21"/>
                <c:pt idx="0">
                  <c:v>2011.9979999949289</c:v>
                </c:pt>
                <c:pt idx="1">
                  <c:v>2057.0029999894423</c:v>
                </c:pt>
                <c:pt idx="2">
                  <c:v>2003.8940000076786</c:v>
                </c:pt>
                <c:pt idx="3">
                  <c:v>1958.1169999855097</c:v>
                </c:pt>
                <c:pt idx="4">
                  <c:v>2001.0619999914702</c:v>
                </c:pt>
                <c:pt idx="5">
                  <c:v>2053.8979999923381</c:v>
                </c:pt>
                <c:pt idx="6">
                  <c:v>2094.8299999976557</c:v>
                </c:pt>
                <c:pt idx="7">
                  <c:v>2200.9959999895714</c:v>
                </c:pt>
                <c:pt idx="8">
                  <c:v>2242.9939999972135</c:v>
                </c:pt>
                <c:pt idx="9">
                  <c:v>2351.9289999905268</c:v>
                </c:pt>
                <c:pt idx="10">
                  <c:v>2435.0760000219766</c:v>
                </c:pt>
                <c:pt idx="11">
                  <c:v>2380.6030000012811</c:v>
                </c:pt>
                <c:pt idx="12">
                  <c:v>2359.0980000031504</c:v>
                </c:pt>
                <c:pt idx="13">
                  <c:v>2361.1329999986456</c:v>
                </c:pt>
                <c:pt idx="14">
                  <c:v>2377.4459999929968</c:v>
                </c:pt>
                <c:pt idx="15">
                  <c:v>2398.0119999839822</c:v>
                </c:pt>
                <c:pt idx="16">
                  <c:v>2421.304999992642</c:v>
                </c:pt>
                <c:pt idx="17">
                  <c:v>2443.0550000001135</c:v>
                </c:pt>
                <c:pt idx="18">
                  <c:v>2466.3990000033232</c:v>
                </c:pt>
                <c:pt idx="19">
                  <c:v>2489.0840000088024</c:v>
                </c:pt>
                <c:pt idx="20">
                  <c:v>2507.9390000052795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F2'!$M$24:$AG$24</c:f>
              <c:numCache>
                <c:formatCode>#,##0</c:formatCode>
                <c:ptCount val="21"/>
                <c:pt idx="0">
                  <c:v>356.91699999919734</c:v>
                </c:pt>
                <c:pt idx="1">
                  <c:v>345.3640000010223</c:v>
                </c:pt>
                <c:pt idx="2">
                  <c:v>330.99499999819511</c:v>
                </c:pt>
                <c:pt idx="3">
                  <c:v>328.80200000069743</c:v>
                </c:pt>
                <c:pt idx="4">
                  <c:v>351.97400000030382</c:v>
                </c:pt>
                <c:pt idx="5">
                  <c:v>373.49800000086208</c:v>
                </c:pt>
                <c:pt idx="6">
                  <c:v>340.96100000084965</c:v>
                </c:pt>
                <c:pt idx="7">
                  <c:v>377.51599999895865</c:v>
                </c:pt>
                <c:pt idx="8">
                  <c:v>364.78299999831023</c:v>
                </c:pt>
                <c:pt idx="9">
                  <c:v>361.76600000017953</c:v>
                </c:pt>
                <c:pt idx="10">
                  <c:v>394.24399999736488</c:v>
                </c:pt>
                <c:pt idx="11">
                  <c:v>391.69199999805227</c:v>
                </c:pt>
                <c:pt idx="12">
                  <c:v>396.03899999765611</c:v>
                </c:pt>
                <c:pt idx="13">
                  <c:v>397.4089999990631</c:v>
                </c:pt>
                <c:pt idx="14">
                  <c:v>398.09699999831508</c:v>
                </c:pt>
                <c:pt idx="15">
                  <c:v>398.85199999881922</c:v>
                </c:pt>
                <c:pt idx="16">
                  <c:v>399.75499999876627</c:v>
                </c:pt>
                <c:pt idx="17">
                  <c:v>400.95199999702243</c:v>
                </c:pt>
                <c:pt idx="18">
                  <c:v>401.86799999749576</c:v>
                </c:pt>
                <c:pt idx="19">
                  <c:v>402.70599999622885</c:v>
                </c:pt>
                <c:pt idx="20">
                  <c:v>403.50399999736345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F2'!$M$25:$AG$25</c:f>
              <c:numCache>
                <c:formatCode>#,##0</c:formatCode>
                <c:ptCount val="21"/>
                <c:pt idx="0">
                  <c:v>894.08799999886196</c:v>
                </c:pt>
                <c:pt idx="1">
                  <c:v>888.62900000038405</c:v>
                </c:pt>
                <c:pt idx="2">
                  <c:v>883.959999994246</c:v>
                </c:pt>
                <c:pt idx="3">
                  <c:v>842.32000000327889</c:v>
                </c:pt>
                <c:pt idx="4">
                  <c:v>877.00900000388083</c:v>
                </c:pt>
                <c:pt idx="5">
                  <c:v>849.47700000136092</c:v>
                </c:pt>
                <c:pt idx="6">
                  <c:v>928.91600000193296</c:v>
                </c:pt>
                <c:pt idx="7">
                  <c:v>979.48400000259744</c:v>
                </c:pt>
                <c:pt idx="8">
                  <c:v>1025.2649999958433</c:v>
                </c:pt>
                <c:pt idx="9">
                  <c:v>1074.1960000012159</c:v>
                </c:pt>
                <c:pt idx="10">
                  <c:v>1102.7999999907265</c:v>
                </c:pt>
                <c:pt idx="11">
                  <c:v>1117.5350000008987</c:v>
                </c:pt>
                <c:pt idx="12">
                  <c:v>1126.8500000002011</c:v>
                </c:pt>
                <c:pt idx="13">
                  <c:v>1131.9990000030989</c:v>
                </c:pt>
                <c:pt idx="14">
                  <c:v>1138.7380000032508</c:v>
                </c:pt>
                <c:pt idx="15">
                  <c:v>1147.5530000012718</c:v>
                </c:pt>
                <c:pt idx="16">
                  <c:v>1157.9600000038745</c:v>
                </c:pt>
                <c:pt idx="17">
                  <c:v>1167.5210000003506</c:v>
                </c:pt>
                <c:pt idx="18">
                  <c:v>1175.369000000383</c:v>
                </c:pt>
                <c:pt idx="19">
                  <c:v>1181.6289999933599</c:v>
                </c:pt>
                <c:pt idx="20">
                  <c:v>1188.3419999957662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F2'!$M$26:$AG$26</c:f>
              <c:numCache>
                <c:formatCode>#,##0</c:formatCode>
                <c:ptCount val="21"/>
                <c:pt idx="0">
                  <c:v>1180.0009999978142</c:v>
                </c:pt>
                <c:pt idx="1">
                  <c:v>1199.9960000001001</c:v>
                </c:pt>
                <c:pt idx="2">
                  <c:v>1191.9359999929559</c:v>
                </c:pt>
                <c:pt idx="3">
                  <c:v>1124.0579999985716</c:v>
                </c:pt>
                <c:pt idx="4">
                  <c:v>1132.0440000003614</c:v>
                </c:pt>
                <c:pt idx="5">
                  <c:v>1144.9430000015018</c:v>
                </c:pt>
                <c:pt idx="6">
                  <c:v>1113.9089999985656</c:v>
                </c:pt>
                <c:pt idx="7">
                  <c:v>1133.0049999964303</c:v>
                </c:pt>
                <c:pt idx="8">
                  <c:v>1112.0009999936228</c:v>
                </c:pt>
                <c:pt idx="9">
                  <c:v>1121.9649999992268</c:v>
                </c:pt>
                <c:pt idx="10">
                  <c:v>1134.0389999918809</c:v>
                </c:pt>
                <c:pt idx="11">
                  <c:v>1129.6799999940317</c:v>
                </c:pt>
                <c:pt idx="12">
                  <c:v>1134.7359999940804</c:v>
                </c:pt>
                <c:pt idx="13">
                  <c:v>1142.8779999968397</c:v>
                </c:pt>
                <c:pt idx="14">
                  <c:v>1139.9879999972709</c:v>
                </c:pt>
                <c:pt idx="15">
                  <c:v>1136.6719999969075</c:v>
                </c:pt>
                <c:pt idx="16">
                  <c:v>1133.528999996752</c:v>
                </c:pt>
                <c:pt idx="17">
                  <c:v>1130.6109999936432</c:v>
                </c:pt>
                <c:pt idx="18">
                  <c:v>1127.7909999951873</c:v>
                </c:pt>
                <c:pt idx="19">
                  <c:v>1124.9479999907776</c:v>
                </c:pt>
                <c:pt idx="20">
                  <c:v>1122.6319999933098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F2'!$M$27:$AG$27</c:f>
              <c:numCache>
                <c:formatCode>#,##0</c:formatCode>
                <c:ptCount val="21"/>
                <c:pt idx="0">
                  <c:v>442.99699999944011</c:v>
                </c:pt>
                <c:pt idx="1">
                  <c:v>474.99899999976003</c:v>
                </c:pt>
                <c:pt idx="2">
                  <c:v>487.98199999817354</c:v>
                </c:pt>
                <c:pt idx="3">
                  <c:v>483.04599999917434</c:v>
                </c:pt>
                <c:pt idx="4">
                  <c:v>464.00399999983961</c:v>
                </c:pt>
                <c:pt idx="5">
                  <c:v>491.98299999944902</c:v>
                </c:pt>
                <c:pt idx="6">
                  <c:v>536.94899999952111</c:v>
                </c:pt>
                <c:pt idx="7">
                  <c:v>546.99799999885238</c:v>
                </c:pt>
                <c:pt idx="8">
                  <c:v>565.02799999826038</c:v>
                </c:pt>
                <c:pt idx="9">
                  <c:v>577.98499999908597</c:v>
                </c:pt>
                <c:pt idx="10">
                  <c:v>546.01899999880891</c:v>
                </c:pt>
                <c:pt idx="11">
                  <c:v>548.8549999990264</c:v>
                </c:pt>
                <c:pt idx="12">
                  <c:v>550.66099999912808</c:v>
                </c:pt>
                <c:pt idx="13">
                  <c:v>552.91599999939058</c:v>
                </c:pt>
                <c:pt idx="14">
                  <c:v>554.72299999922257</c:v>
                </c:pt>
                <c:pt idx="15">
                  <c:v>556.52799999846707</c:v>
                </c:pt>
                <c:pt idx="16">
                  <c:v>558.66499999895984</c:v>
                </c:pt>
                <c:pt idx="17">
                  <c:v>561.14599999948075</c:v>
                </c:pt>
                <c:pt idx="18">
                  <c:v>563.81599999969285</c:v>
                </c:pt>
                <c:pt idx="19">
                  <c:v>566.78699999946662</c:v>
                </c:pt>
                <c:pt idx="20">
                  <c:v>570.10899999955313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F2'!$M$28:$AG$28</c:f>
              <c:numCache>
                <c:formatCode>#,##0</c:formatCode>
                <c:ptCount val="21"/>
                <c:pt idx="0">
                  <c:v>2268.9989999969366</c:v>
                </c:pt>
                <c:pt idx="1">
                  <c:v>2329.9930000068371</c:v>
                </c:pt>
                <c:pt idx="2">
                  <c:v>2363.9699999821205</c:v>
                </c:pt>
                <c:pt idx="3">
                  <c:v>2417.3520000074282</c:v>
                </c:pt>
                <c:pt idx="4">
                  <c:v>2426.9120000067596</c:v>
                </c:pt>
                <c:pt idx="5">
                  <c:v>2528.9640000045051</c:v>
                </c:pt>
                <c:pt idx="6">
                  <c:v>2627.7420000005227</c:v>
                </c:pt>
                <c:pt idx="7">
                  <c:v>2821.9990000032199</c:v>
                </c:pt>
                <c:pt idx="8">
                  <c:v>2906.1679999894081</c:v>
                </c:pt>
                <c:pt idx="9">
                  <c:v>3016.9270000054612</c:v>
                </c:pt>
                <c:pt idx="10">
                  <c:v>3014.0879999685353</c:v>
                </c:pt>
                <c:pt idx="11">
                  <c:v>3079.4539999916915</c:v>
                </c:pt>
                <c:pt idx="12">
                  <c:v>3102.889999990191</c:v>
                </c:pt>
                <c:pt idx="13">
                  <c:v>3133.2110000034218</c:v>
                </c:pt>
                <c:pt idx="14">
                  <c:v>3151.0870000015088</c:v>
                </c:pt>
                <c:pt idx="15">
                  <c:v>3166.5210000062616</c:v>
                </c:pt>
                <c:pt idx="16">
                  <c:v>3181.4570000073986</c:v>
                </c:pt>
                <c:pt idx="17">
                  <c:v>3195.6279999922644</c:v>
                </c:pt>
                <c:pt idx="18">
                  <c:v>3209.8339999948071</c:v>
                </c:pt>
                <c:pt idx="19">
                  <c:v>3223.5569999760146</c:v>
                </c:pt>
                <c:pt idx="20">
                  <c:v>3236.19099998703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F2'!$M$29:$AG$29</c:f>
              <c:numCache>
                <c:formatCode>#,##0</c:formatCode>
                <c:ptCount val="21"/>
                <c:pt idx="0">
                  <c:v>2546.0019999911128</c:v>
                </c:pt>
                <c:pt idx="1">
                  <c:v>2622.9979999876805</c:v>
                </c:pt>
                <c:pt idx="2">
                  <c:v>2385.9010000007797</c:v>
                </c:pt>
                <c:pt idx="3">
                  <c:v>2423.1949999889703</c:v>
                </c:pt>
                <c:pt idx="4">
                  <c:v>2437.0229999910052</c:v>
                </c:pt>
                <c:pt idx="5">
                  <c:v>2613.9029999911177</c:v>
                </c:pt>
                <c:pt idx="6">
                  <c:v>2587.7619999950193</c:v>
                </c:pt>
                <c:pt idx="7">
                  <c:v>2808.0059999881796</c:v>
                </c:pt>
                <c:pt idx="8">
                  <c:v>2846.0659999921381</c:v>
                </c:pt>
                <c:pt idx="9">
                  <c:v>2953.9159999885578</c:v>
                </c:pt>
                <c:pt idx="10">
                  <c:v>2997.0850000033129</c:v>
                </c:pt>
                <c:pt idx="11">
                  <c:v>3072.3589999923611</c:v>
                </c:pt>
                <c:pt idx="12">
                  <c:v>3088.1079999924445</c:v>
                </c:pt>
                <c:pt idx="13">
                  <c:v>3101.6529999901136</c:v>
                </c:pt>
                <c:pt idx="14">
                  <c:v>3109.1719999866223</c:v>
                </c:pt>
                <c:pt idx="15">
                  <c:v>3120.143999982587</c:v>
                </c:pt>
                <c:pt idx="16">
                  <c:v>3133.5019999839237</c:v>
                </c:pt>
                <c:pt idx="17">
                  <c:v>3148.1209999887628</c:v>
                </c:pt>
                <c:pt idx="18">
                  <c:v>3163.3299999906708</c:v>
                </c:pt>
                <c:pt idx="19">
                  <c:v>3178.4449999952985</c:v>
                </c:pt>
                <c:pt idx="20">
                  <c:v>3193.7409999954666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F2'!$M$30:$AG$30</c:f>
              <c:numCache>
                <c:formatCode>#,##0</c:formatCode>
                <c:ptCount val="21"/>
                <c:pt idx="0">
                  <c:v>869.0009999984519</c:v>
                </c:pt>
                <c:pt idx="1">
                  <c:v>901.99800000166704</c:v>
                </c:pt>
                <c:pt idx="2">
                  <c:v>846.99899999919353</c:v>
                </c:pt>
                <c:pt idx="3">
                  <c:v>859.13599999994574</c:v>
                </c:pt>
                <c:pt idx="4">
                  <c:v>877.94900000053542</c:v>
                </c:pt>
                <c:pt idx="5">
                  <c:v>901.00499999988642</c:v>
                </c:pt>
                <c:pt idx="6">
                  <c:v>912.90400000059685</c:v>
                </c:pt>
                <c:pt idx="7">
                  <c:v>941.00099999972645</c:v>
                </c:pt>
                <c:pt idx="8">
                  <c:v>982.09999999721867</c:v>
                </c:pt>
                <c:pt idx="9">
                  <c:v>968.98499999950639</c:v>
                </c:pt>
                <c:pt idx="10">
                  <c:v>981.02599999688755</c:v>
                </c:pt>
                <c:pt idx="11">
                  <c:v>1022.1959999967758</c:v>
                </c:pt>
                <c:pt idx="12">
                  <c:v>1033.622999995232</c:v>
                </c:pt>
                <c:pt idx="13">
                  <c:v>1035.8039999971925</c:v>
                </c:pt>
                <c:pt idx="14">
                  <c:v>1039.0959999951165</c:v>
                </c:pt>
                <c:pt idx="15">
                  <c:v>1041.4049999970252</c:v>
                </c:pt>
                <c:pt idx="16">
                  <c:v>1045.1819999973222</c:v>
                </c:pt>
                <c:pt idx="17">
                  <c:v>1051.3819999956345</c:v>
                </c:pt>
                <c:pt idx="18">
                  <c:v>1058.7609999966189</c:v>
                </c:pt>
                <c:pt idx="19">
                  <c:v>1065.0709999949934</c:v>
                </c:pt>
                <c:pt idx="20">
                  <c:v>1070.5299999960994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F2'!$M$31:$AG$31</c:f>
              <c:numCache>
                <c:formatCode>#,##0</c:formatCode>
                <c:ptCount val="21"/>
                <c:pt idx="0">
                  <c:v>979.00099999956251</c:v>
                </c:pt>
                <c:pt idx="1">
                  <c:v>967.99200000202461</c:v>
                </c:pt>
                <c:pt idx="2">
                  <c:v>904.01600000045494</c:v>
                </c:pt>
                <c:pt idx="3">
                  <c:v>899.195000002038</c:v>
                </c:pt>
                <c:pt idx="4">
                  <c:v>905.91100000153415</c:v>
                </c:pt>
                <c:pt idx="5">
                  <c:v>883.02200000159814</c:v>
                </c:pt>
                <c:pt idx="6">
                  <c:v>901.89300000304627</c:v>
                </c:pt>
                <c:pt idx="7">
                  <c:v>986.00100000207271</c:v>
                </c:pt>
                <c:pt idx="8">
                  <c:v>962.10700000089571</c:v>
                </c:pt>
                <c:pt idx="9">
                  <c:v>991.97600000179534</c:v>
                </c:pt>
                <c:pt idx="10">
                  <c:v>1007.0260000009291</c:v>
                </c:pt>
                <c:pt idx="11">
                  <c:v>1021.0200000010599</c:v>
                </c:pt>
                <c:pt idx="12">
                  <c:v>1029.2619999999281</c:v>
                </c:pt>
                <c:pt idx="13">
                  <c:v>1037.0070000013529</c:v>
                </c:pt>
                <c:pt idx="14">
                  <c:v>1039.4290000001376</c:v>
                </c:pt>
                <c:pt idx="15">
                  <c:v>1041.7600000008347</c:v>
                </c:pt>
                <c:pt idx="16">
                  <c:v>1043.5430000009699</c:v>
                </c:pt>
                <c:pt idx="17">
                  <c:v>1045.9670000005895</c:v>
                </c:pt>
                <c:pt idx="18">
                  <c:v>1048.4120000009736</c:v>
                </c:pt>
                <c:pt idx="19">
                  <c:v>1050.7520000002719</c:v>
                </c:pt>
                <c:pt idx="20">
                  <c:v>1053.3360000003177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F2'!$M$34:$AG$34</c:f>
              <c:numCache>
                <c:formatCode>#,##0</c:formatCode>
                <c:ptCount val="21"/>
                <c:pt idx="0">
                  <c:v>1571.9999999991799</c:v>
                </c:pt>
                <c:pt idx="1">
                  <c:v>1541.9960000034046</c:v>
                </c:pt>
                <c:pt idx="2">
                  <c:v>1554.8959999930717</c:v>
                </c:pt>
                <c:pt idx="3">
                  <c:v>1541.0239999992828</c:v>
                </c:pt>
                <c:pt idx="4">
                  <c:v>1442.0909999987166</c:v>
                </c:pt>
                <c:pt idx="5">
                  <c:v>1389.9119999994225</c:v>
                </c:pt>
                <c:pt idx="6">
                  <c:v>1380.8939999958075</c:v>
                </c:pt>
                <c:pt idx="7">
                  <c:v>1375.0030000015315</c:v>
                </c:pt>
                <c:pt idx="8">
                  <c:v>1330.9759999996966</c:v>
                </c:pt>
                <c:pt idx="9">
                  <c:v>1318.9600000013425</c:v>
                </c:pt>
                <c:pt idx="10">
                  <c:v>1330.0479999937118</c:v>
                </c:pt>
                <c:pt idx="11">
                  <c:v>1322.1759999983024</c:v>
                </c:pt>
                <c:pt idx="12">
                  <c:v>1320.4679999987363</c:v>
                </c:pt>
                <c:pt idx="13">
                  <c:v>1316.2470000003016</c:v>
                </c:pt>
                <c:pt idx="14">
                  <c:v>1311.2820000019326</c:v>
                </c:pt>
                <c:pt idx="15">
                  <c:v>1306.8430000034846</c:v>
                </c:pt>
                <c:pt idx="16">
                  <c:v>1310.3100000026186</c:v>
                </c:pt>
                <c:pt idx="17">
                  <c:v>1313.6710000013782</c:v>
                </c:pt>
                <c:pt idx="18">
                  <c:v>1316.893000001553</c:v>
                </c:pt>
                <c:pt idx="19">
                  <c:v>1320.0539999994974</c:v>
                </c:pt>
                <c:pt idx="20">
                  <c:v>1323.1529999996937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F2'!$M$35:$AG$35</c:f>
              <c:numCache>
                <c:formatCode>#,##0</c:formatCode>
                <c:ptCount val="21"/>
                <c:pt idx="0">
                  <c:v>2590.9980000533205</c:v>
                </c:pt>
                <c:pt idx="1">
                  <c:v>2605.9970000644421</c:v>
                </c:pt>
                <c:pt idx="2">
                  <c:v>2715.8750000279133</c:v>
                </c:pt>
                <c:pt idx="3">
                  <c:v>2758.165000063454</c:v>
                </c:pt>
                <c:pt idx="4">
                  <c:v>2743.0640000570675</c:v>
                </c:pt>
                <c:pt idx="5">
                  <c:v>2764.8700000620011</c:v>
                </c:pt>
                <c:pt idx="6">
                  <c:v>2813.7560000331596</c:v>
                </c:pt>
                <c:pt idx="7">
                  <c:v>2888.9960000820101</c:v>
                </c:pt>
                <c:pt idx="8">
                  <c:v>2956.0470000663827</c:v>
                </c:pt>
                <c:pt idx="9">
                  <c:v>2962.912000069186</c:v>
                </c:pt>
                <c:pt idx="10">
                  <c:v>2926.0890000192853</c:v>
                </c:pt>
                <c:pt idx="11">
                  <c:v>2902.0810000717938</c:v>
                </c:pt>
                <c:pt idx="12">
                  <c:v>2890.6410000631449</c:v>
                </c:pt>
                <c:pt idx="13">
                  <c:v>2882.0270000534524</c:v>
                </c:pt>
                <c:pt idx="14">
                  <c:v>2883.8630000657367</c:v>
                </c:pt>
                <c:pt idx="15">
                  <c:v>2888.1510000897474</c:v>
                </c:pt>
                <c:pt idx="16">
                  <c:v>2896.7170000749675</c:v>
                </c:pt>
                <c:pt idx="17">
                  <c:v>2907.9410000650669</c:v>
                </c:pt>
                <c:pt idx="18">
                  <c:v>2920.4430000501729</c:v>
                </c:pt>
                <c:pt idx="19">
                  <c:v>2927.8690000405959</c:v>
                </c:pt>
                <c:pt idx="20">
                  <c:v>2935.584000038913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F2'!$M$36:$AG$36</c:f>
              <c:numCache>
                <c:formatCode>#,##0</c:formatCode>
                <c:ptCount val="21"/>
                <c:pt idx="0">
                  <c:v>3597.0019999730803</c:v>
                </c:pt>
                <c:pt idx="1">
                  <c:v>3677.9969999798627</c:v>
                </c:pt>
                <c:pt idx="2">
                  <c:v>3787.8189999538454</c:v>
                </c:pt>
                <c:pt idx="3">
                  <c:v>3925.2309999763233</c:v>
                </c:pt>
                <c:pt idx="4">
                  <c:v>3987.1079999696776</c:v>
                </c:pt>
                <c:pt idx="5">
                  <c:v>3984.8079999740507</c:v>
                </c:pt>
                <c:pt idx="6">
                  <c:v>4092.6459999511985</c:v>
                </c:pt>
                <c:pt idx="7">
                  <c:v>4193.0029999730295</c:v>
                </c:pt>
                <c:pt idx="8">
                  <c:v>4228.0219999713627</c:v>
                </c:pt>
                <c:pt idx="9">
                  <c:v>4288.8679999683227</c:v>
                </c:pt>
                <c:pt idx="10">
                  <c:v>4381.1259999493423</c:v>
                </c:pt>
                <c:pt idx="11">
                  <c:v>4427.7269999695254</c:v>
                </c:pt>
                <c:pt idx="12">
                  <c:v>4468.3889999728544</c:v>
                </c:pt>
                <c:pt idx="13">
                  <c:v>4516.8569999677638</c:v>
                </c:pt>
                <c:pt idx="14">
                  <c:v>4555.8399999795847</c:v>
                </c:pt>
                <c:pt idx="15">
                  <c:v>4595.4819999779784</c:v>
                </c:pt>
                <c:pt idx="16">
                  <c:v>4638.2699999764382</c:v>
                </c:pt>
                <c:pt idx="17">
                  <c:v>4680.8849999759586</c:v>
                </c:pt>
                <c:pt idx="18">
                  <c:v>4722.4359999731096</c:v>
                </c:pt>
                <c:pt idx="19">
                  <c:v>4765.0679999716167</c:v>
                </c:pt>
                <c:pt idx="20">
                  <c:v>4808.0219999733363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F2'!$M$5:$AG$5</c:f>
              <c:numCache>
                <c:formatCode>#,##0</c:formatCode>
                <c:ptCount val="21"/>
                <c:pt idx="0">
                  <c:v>685.98199999852397</c:v>
                </c:pt>
                <c:pt idx="1">
                  <c:v>720.9959999987143</c:v>
                </c:pt>
                <c:pt idx="2">
                  <c:v>722.00500000029251</c:v>
                </c:pt>
                <c:pt idx="3">
                  <c:v>784.15999999746555</c:v>
                </c:pt>
                <c:pt idx="4">
                  <c:v>771.91899999620011</c:v>
                </c:pt>
                <c:pt idx="5">
                  <c:v>815.00399999710453</c:v>
                </c:pt>
                <c:pt idx="6">
                  <c:v>756.89599999911195</c:v>
                </c:pt>
                <c:pt idx="7">
                  <c:v>811.98199999595784</c:v>
                </c:pt>
                <c:pt idx="8">
                  <c:v>794.0639999975109</c:v>
                </c:pt>
                <c:pt idx="9">
                  <c:v>797.96999999704155</c:v>
                </c:pt>
                <c:pt idx="10">
                  <c:v>858.01399999967498</c:v>
                </c:pt>
                <c:pt idx="11">
                  <c:v>844.17699999742172</c:v>
                </c:pt>
                <c:pt idx="12">
                  <c:v>844.80999999721644</c:v>
                </c:pt>
                <c:pt idx="13">
                  <c:v>846.34999999818206</c:v>
                </c:pt>
                <c:pt idx="14">
                  <c:v>845.89299999751051</c:v>
                </c:pt>
                <c:pt idx="15">
                  <c:v>845.00699999766653</c:v>
                </c:pt>
                <c:pt idx="16">
                  <c:v>844.82799999772033</c:v>
                </c:pt>
                <c:pt idx="17">
                  <c:v>844.60999999820319</c:v>
                </c:pt>
                <c:pt idx="18">
                  <c:v>843.87299999800666</c:v>
                </c:pt>
                <c:pt idx="19">
                  <c:v>842.89299999874208</c:v>
                </c:pt>
                <c:pt idx="20">
                  <c:v>842.06799999951704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F2'!$M$11:$AG$11</c:f>
              <c:numCache>
                <c:formatCode>#,##0</c:formatCode>
                <c:ptCount val="21"/>
                <c:pt idx="0">
                  <c:v>2977.0189999889822</c:v>
                </c:pt>
                <c:pt idx="1">
                  <c:v>2878.9889999852176</c:v>
                </c:pt>
                <c:pt idx="2">
                  <c:v>2642.8619999925422</c:v>
                </c:pt>
                <c:pt idx="3">
                  <c:v>2567.1419999880686</c:v>
                </c:pt>
                <c:pt idx="4">
                  <c:v>2560.1159999867018</c:v>
                </c:pt>
                <c:pt idx="5">
                  <c:v>2599.8869999849676</c:v>
                </c:pt>
                <c:pt idx="6">
                  <c:v>2558.7759999947539</c:v>
                </c:pt>
                <c:pt idx="7">
                  <c:v>2611.9979999823263</c:v>
                </c:pt>
                <c:pt idx="8">
                  <c:v>2638.0219999847582</c:v>
                </c:pt>
                <c:pt idx="9">
                  <c:v>2659.9169999847545</c:v>
                </c:pt>
                <c:pt idx="10">
                  <c:v>2672.074999992044</c:v>
                </c:pt>
                <c:pt idx="11">
                  <c:v>2636.4499999855952</c:v>
                </c:pt>
                <c:pt idx="12">
                  <c:v>2605.8969999845476</c:v>
                </c:pt>
                <c:pt idx="13">
                  <c:v>2600.5739999886596</c:v>
                </c:pt>
                <c:pt idx="14">
                  <c:v>2564.4299999857703</c:v>
                </c:pt>
                <c:pt idx="15">
                  <c:v>2535.298999986137</c:v>
                </c:pt>
                <c:pt idx="16">
                  <c:v>2507.4079999854348</c:v>
                </c:pt>
                <c:pt idx="17">
                  <c:v>2483.2149999855301</c:v>
                </c:pt>
                <c:pt idx="18">
                  <c:v>2458.5919999872121</c:v>
                </c:pt>
                <c:pt idx="19">
                  <c:v>2436.4909999888546</c:v>
                </c:pt>
                <c:pt idx="20">
                  <c:v>2414.4589999918871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F2'!$M$16:$AG$16</c:f>
              <c:numCache>
                <c:formatCode>#,##0</c:formatCode>
                <c:ptCount val="21"/>
                <c:pt idx="0">
                  <c:v>2301.0030000110032</c:v>
                </c:pt>
                <c:pt idx="1">
                  <c:v>2282.002999977884</c:v>
                </c:pt>
                <c:pt idx="2">
                  <c:v>2248.0959999873171</c:v>
                </c:pt>
                <c:pt idx="3">
                  <c:v>2091.606999984263</c:v>
                </c:pt>
                <c:pt idx="4">
                  <c:v>2057.6939999782503</c:v>
                </c:pt>
                <c:pt idx="5">
                  <c:v>2056.0949999815562</c:v>
                </c:pt>
                <c:pt idx="6">
                  <c:v>2039.7159999887833</c:v>
                </c:pt>
                <c:pt idx="7">
                  <c:v>2116.9989999878908</c:v>
                </c:pt>
                <c:pt idx="8">
                  <c:v>2121.3120000146869</c:v>
                </c:pt>
                <c:pt idx="9">
                  <c:v>2235.9579999905864</c:v>
                </c:pt>
                <c:pt idx="10">
                  <c:v>2286.0480000047291</c:v>
                </c:pt>
                <c:pt idx="11">
                  <c:v>2271.6999999985387</c:v>
                </c:pt>
                <c:pt idx="12">
                  <c:v>2286.6280000059296</c:v>
                </c:pt>
                <c:pt idx="13">
                  <c:v>2301.7510000066532</c:v>
                </c:pt>
                <c:pt idx="14">
                  <c:v>2302.0160000171791</c:v>
                </c:pt>
                <c:pt idx="15">
                  <c:v>2306.6340000232308</c:v>
                </c:pt>
                <c:pt idx="16">
                  <c:v>2312.6330000145108</c:v>
                </c:pt>
                <c:pt idx="17">
                  <c:v>2318.2110000281314</c:v>
                </c:pt>
                <c:pt idx="18">
                  <c:v>2323.4830000224897</c:v>
                </c:pt>
                <c:pt idx="19">
                  <c:v>2331.4020000402179</c:v>
                </c:pt>
                <c:pt idx="20">
                  <c:v>2336.0260000307353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F2'!$M$18:$AG$18</c:f>
              <c:numCache>
                <c:formatCode>#,##0</c:formatCode>
                <c:ptCount val="21"/>
                <c:pt idx="0">
                  <c:v>8528.9969999945952</c:v>
                </c:pt>
                <c:pt idx="1">
                  <c:v>8627.0029999909493</c:v>
                </c:pt>
                <c:pt idx="2">
                  <c:v>8387.6240000787038</c:v>
                </c:pt>
                <c:pt idx="3">
                  <c:v>8209.583999990884</c:v>
                </c:pt>
                <c:pt idx="4">
                  <c:v>8259.1620000092098</c:v>
                </c:pt>
                <c:pt idx="5">
                  <c:v>8402.642000000862</c:v>
                </c:pt>
                <c:pt idx="6">
                  <c:v>8377.2700000371497</c:v>
                </c:pt>
                <c:pt idx="7">
                  <c:v>8599.0069999871048</c:v>
                </c:pt>
                <c:pt idx="8">
                  <c:v>8823.0859999998193</c:v>
                </c:pt>
                <c:pt idx="9">
                  <c:v>9054.723999993641</c:v>
                </c:pt>
                <c:pt idx="10">
                  <c:v>9218.2650000927588</c:v>
                </c:pt>
                <c:pt idx="11">
                  <c:v>9141.1640000048355</c:v>
                </c:pt>
                <c:pt idx="12">
                  <c:v>9118.4000000084998</c:v>
                </c:pt>
                <c:pt idx="13">
                  <c:v>9123.7779999943759</c:v>
                </c:pt>
                <c:pt idx="14">
                  <c:v>9138.2729999707299</c:v>
                </c:pt>
                <c:pt idx="15">
                  <c:v>9163.5969999395293</c:v>
                </c:pt>
                <c:pt idx="16">
                  <c:v>9195.8819999602529</c:v>
                </c:pt>
                <c:pt idx="17">
                  <c:v>9228.2319999780266</c:v>
                </c:pt>
                <c:pt idx="18">
                  <c:v>9262.2099999914662</c:v>
                </c:pt>
                <c:pt idx="19">
                  <c:v>9294.1740000139471</c:v>
                </c:pt>
                <c:pt idx="20">
                  <c:v>9323.2560000011599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F2'!$M$23:$AG$23</c:f>
              <c:numCache>
                <c:formatCode>#,##0</c:formatCode>
                <c:ptCount val="21"/>
                <c:pt idx="0">
                  <c:v>9537.0059999813766</c:v>
                </c:pt>
                <c:pt idx="1">
                  <c:v>9731.9689999994753</c:v>
                </c:pt>
                <c:pt idx="2">
                  <c:v>9395.7589999661195</c:v>
                </c:pt>
                <c:pt idx="3">
                  <c:v>9377.1040000001049</c:v>
                </c:pt>
                <c:pt idx="4">
                  <c:v>9472.8260000042192</c:v>
                </c:pt>
                <c:pt idx="5">
                  <c:v>9786.795000000282</c:v>
                </c:pt>
                <c:pt idx="6">
                  <c:v>9951.0360000000546</c:v>
                </c:pt>
                <c:pt idx="7">
                  <c:v>10594.009999990036</c:v>
                </c:pt>
                <c:pt idx="8">
                  <c:v>10763.517999965698</c:v>
                </c:pt>
                <c:pt idx="9">
                  <c:v>11067.715999995029</c:v>
                </c:pt>
                <c:pt idx="10">
                  <c:v>11176.326999948447</c:v>
                </c:pt>
                <c:pt idx="11">
                  <c:v>11382.790999973895</c:v>
                </c:pt>
                <c:pt idx="12">
                  <c:v>11462.168999968861</c:v>
                </c:pt>
                <c:pt idx="13">
                  <c:v>11532.876999990474</c:v>
                </c:pt>
                <c:pt idx="14">
                  <c:v>11570.329999981444</c:v>
                </c:pt>
                <c:pt idx="15">
                  <c:v>11609.434999982173</c:v>
                </c:pt>
                <c:pt idx="16">
                  <c:v>11653.592999987966</c:v>
                </c:pt>
                <c:pt idx="17">
                  <c:v>11701.327999967749</c:v>
                </c:pt>
                <c:pt idx="18">
                  <c:v>11749.18099997583</c:v>
                </c:pt>
                <c:pt idx="19">
                  <c:v>11793.894999946411</c:v>
                </c:pt>
                <c:pt idx="20">
                  <c:v>11838.384999964906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'Ind F2'!$M$33:$AG$33</c:f>
              <c:numCache>
                <c:formatCode>#,##0</c:formatCode>
                <c:ptCount val="21"/>
                <c:pt idx="0">
                  <c:v>7760.0000000255804</c:v>
                </c:pt>
                <c:pt idx="1">
                  <c:v>7825.9900000477101</c:v>
                </c:pt>
                <c:pt idx="2">
                  <c:v>8058.5899999748299</c:v>
                </c:pt>
                <c:pt idx="3">
                  <c:v>8224.4200000390611</c:v>
                </c:pt>
                <c:pt idx="4">
                  <c:v>8172.2630000254612</c:v>
                </c:pt>
                <c:pt idx="5">
                  <c:v>8139.5900000354741</c:v>
                </c:pt>
                <c:pt idx="6">
                  <c:v>8287.295999980166</c:v>
                </c:pt>
                <c:pt idx="7">
                  <c:v>8457.002000056571</c:v>
                </c:pt>
                <c:pt idx="8">
                  <c:v>8515.0450000374422</c:v>
                </c:pt>
                <c:pt idx="9">
                  <c:v>8570.7400000388516</c:v>
                </c:pt>
                <c:pt idx="10">
                  <c:v>8637.2629999623387</c:v>
                </c:pt>
                <c:pt idx="11">
                  <c:v>8651.9840000396216</c:v>
                </c:pt>
                <c:pt idx="12">
                  <c:v>8679.498000034735</c:v>
                </c:pt>
                <c:pt idx="13">
                  <c:v>8715.131000021518</c:v>
                </c:pt>
                <c:pt idx="14">
                  <c:v>8750.9850000472543</c:v>
                </c:pt>
                <c:pt idx="15">
                  <c:v>8790.4760000712104</c:v>
                </c:pt>
                <c:pt idx="16">
                  <c:v>8845.2970000540245</c:v>
                </c:pt>
                <c:pt idx="17">
                  <c:v>8902.4970000424037</c:v>
                </c:pt>
                <c:pt idx="18">
                  <c:v>8959.7720000248355</c:v>
                </c:pt>
                <c:pt idx="19">
                  <c:v>9012.9910000117088</c:v>
                </c:pt>
                <c:pt idx="20">
                  <c:v>9066.7590000119435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24.410186509319001</c:v>
                </c:pt>
                <c:pt idx="1">
                  <c:v>24.785540010346484</c:v>
                </c:pt>
                <c:pt idx="2">
                  <c:v>25.311328260897763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30.000012267947461</c:v>
                </c:pt>
                <c:pt idx="1">
                  <c:v>32.071652794079071</c:v>
                </c:pt>
                <c:pt idx="2">
                  <c:v>33.048771762060206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26.829176225077838</c:v>
                </c:pt>
                <c:pt idx="1">
                  <c:v>26.452786720373332</c:v>
                </c:pt>
                <c:pt idx="2">
                  <c:v>26.027381236900986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7.2381330397662342</c:v>
                </c:pt>
                <c:pt idx="1">
                  <c:v>6.560056602414079</c:v>
                </c:pt>
                <c:pt idx="2">
                  <c:v>6.5213954526299895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9.3646377617626069</c:v>
                </c:pt>
                <c:pt idx="1">
                  <c:v>7.667801920960164</c:v>
                </c:pt>
                <c:pt idx="2">
                  <c:v>6.7403538928511395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2.1578541961268605</c:v>
                </c:pt>
                <c:pt idx="1">
                  <c:v>2.4621619518268809</c:v>
                </c:pt>
                <c:pt idx="2">
                  <c:v>2.3507693946599177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2007-2017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877.26299993675912</c:v>
                </c:pt>
                <c:pt idx="1">
                  <c:v>1639.3209999670707</c:v>
                </c:pt>
                <c:pt idx="2">
                  <c:v>689.26800009816179</c:v>
                </c:pt>
                <c:pt idx="3">
                  <c:v>-14.955000006274076</c:v>
                </c:pt>
                <c:pt idx="4">
                  <c:v>-304.94399999693815</c:v>
                </c:pt>
                <c:pt idx="5">
                  <c:v>172.032000001151</c:v>
                </c:pt>
                <c:pt idx="7">
                  <c:v>3057.9849999999278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2017-2027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429.49600004960303</c:v>
                </c:pt>
                <c:pt idx="1">
                  <c:v>662.0580000164573</c:v>
                </c:pt>
                <c:pt idx="2">
                  <c:v>104.99099990840114</c:v>
                </c:pt>
                <c:pt idx="3">
                  <c:v>49.978000026006157</c:v>
                </c:pt>
                <c:pt idx="4">
                  <c:v>-257.61600000015687</c:v>
                </c:pt>
                <c:pt idx="5">
                  <c:v>-15.946000000157937</c:v>
                </c:pt>
                <c:pt idx="7">
                  <c:v>972.96100000015281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2017-2027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F1'!$L$7:$L$50</c:f>
              <c:strCache>
                <c:ptCount val="44"/>
                <c:pt idx="0">
                  <c:v>All occupations</c:v>
                </c:pt>
                <c:pt idx="2">
                  <c:v> 92 Elementary administration and service occupations</c:v>
                </c:pt>
                <c:pt idx="3">
                  <c:v> 91 Elementary trades and related occupations</c:v>
                </c:pt>
                <c:pt idx="4">
                  <c:v>[Elementary occupations]</c:v>
                </c:pt>
                <c:pt idx="6">
                  <c:v> 82 Transport and mobile machine drivers and operatives</c:v>
                </c:pt>
                <c:pt idx="7">
                  <c:v> 81 Process, plant and machine operatives</c:v>
                </c:pt>
                <c:pt idx="8">
                  <c:v>[Process, plant and machine operatives]</c:v>
                </c:pt>
                <c:pt idx="10">
                  <c:v> 72 Customer service occupations</c:v>
                </c:pt>
                <c:pt idx="11">
                  <c:v> 71 Sales occupations</c:v>
                </c:pt>
                <c:pt idx="12">
                  <c:v>[Sales and customer service]</c:v>
                </c:pt>
                <c:pt idx="14">
                  <c:v> 62 Leisure, travel and related personal service occupations</c:v>
                </c:pt>
                <c:pt idx="15">
                  <c:v> 61 Caring personal service occupations</c:v>
                </c:pt>
                <c:pt idx="16">
                  <c:v>[Caring, leisure and other service]</c:v>
                </c:pt>
                <c:pt idx="18">
                  <c:v> 54 Textiles, printing and other skilled trades</c:v>
                </c:pt>
                <c:pt idx="19">
                  <c:v> 53 Skilled construction and building trades</c:v>
                </c:pt>
                <c:pt idx="20">
                  <c:v> 52 Skilled metal, electrical and electronic trades</c:v>
                </c:pt>
                <c:pt idx="21">
                  <c:v> 51 Skilled agricultural and related trades</c:v>
                </c:pt>
                <c:pt idx="22">
                  <c:v>[Skilled trades occupations]</c:v>
                </c:pt>
                <c:pt idx="24">
                  <c:v> 42 Secretarial and related occupations</c:v>
                </c:pt>
                <c:pt idx="25">
                  <c:v> 41 Administrative occupations</c:v>
                </c:pt>
                <c:pt idx="26">
                  <c:v>[Administrative and secretarial]</c:v>
                </c:pt>
                <c:pt idx="28">
                  <c:v> 35 Business and public service associate professionals</c:v>
                </c:pt>
                <c:pt idx="29">
                  <c:v> 34 Culture, media and sports occupations</c:v>
                </c:pt>
                <c:pt idx="30">
                  <c:v> 33 Protective service occupations</c:v>
                </c:pt>
                <c:pt idx="31">
                  <c:v> 32 Health and social care associate professionals</c:v>
                </c:pt>
                <c:pt idx="32">
                  <c:v> 31 Science, engineering and technology associate professionals</c:v>
                </c:pt>
                <c:pt idx="33">
                  <c:v>[Associate professional and technical]</c:v>
                </c:pt>
                <c:pt idx="35">
                  <c:v> 24 Business, media and public service professionals</c:v>
                </c:pt>
                <c:pt idx="36">
                  <c:v> 23 Teaching and educational professionals</c:v>
                </c:pt>
                <c:pt idx="37">
                  <c:v> 22 Health professionals</c:v>
                </c:pt>
                <c:pt idx="38">
                  <c:v> 21 Science, research, engineering and technology professionals</c:v>
                </c:pt>
                <c:pt idx="39">
                  <c:v>[Professional occupations]</c:v>
                </c:pt>
                <c:pt idx="41">
                  <c:v> 12 Other managers and proprietors</c:v>
                </c:pt>
                <c:pt idx="42">
                  <c:v> 11 Corporate managers and directors</c:v>
                </c:pt>
                <c:pt idx="43">
                  <c:v>[Managers, directors and senior officials]</c:v>
                </c:pt>
              </c:strCache>
            </c:strRef>
          </c:cat>
          <c:val>
            <c:numRef>
              <c:f>'Occ F1'!$N$7:$N$50</c:f>
              <c:numCache>
                <c:formatCode>General</c:formatCode>
                <c:ptCount val="44"/>
                <c:pt idx="0">
                  <c:v>0.27575434824573808</c:v>
                </c:pt>
                <c:pt idx="2">
                  <c:v>4.4360767386986133E-2</c:v>
                </c:pt>
                <c:pt idx="3">
                  <c:v>-0.44394774823381944</c:v>
                </c:pt>
                <c:pt idx="4">
                  <c:v>-2.2879619860127764E-2</c:v>
                </c:pt>
                <c:pt idx="6">
                  <c:v>-3.4907562645791756E-2</c:v>
                </c:pt>
                <c:pt idx="7">
                  <c:v>-2.4694724998169493</c:v>
                </c:pt>
                <c:pt idx="8">
                  <c:v>-0.98689011236473556</c:v>
                </c:pt>
                <c:pt idx="10">
                  <c:v>1.3729415871159834</c:v>
                </c:pt>
                <c:pt idx="11">
                  <c:v>-0.71347596011757108</c:v>
                </c:pt>
                <c:pt idx="12">
                  <c:v>-0.18042420373500789</c:v>
                </c:pt>
                <c:pt idx="14">
                  <c:v>-0.16212512534019563</c:v>
                </c:pt>
                <c:pt idx="15">
                  <c:v>1.7153963393924609</c:v>
                </c:pt>
                <c:pt idx="16">
                  <c:v>1.312023603837198</c:v>
                </c:pt>
                <c:pt idx="18">
                  <c:v>-1.6946439879990227</c:v>
                </c:pt>
                <c:pt idx="19">
                  <c:v>-4.9001160231676444E-2</c:v>
                </c:pt>
                <c:pt idx="20">
                  <c:v>-1.6122982698044575</c:v>
                </c:pt>
                <c:pt idx="21">
                  <c:v>0.1529715457261327</c:v>
                </c:pt>
                <c:pt idx="22">
                  <c:v>-0.93136822924430041</c:v>
                </c:pt>
                <c:pt idx="24">
                  <c:v>-6.3433809569029886</c:v>
                </c:pt>
                <c:pt idx="25">
                  <c:v>-0.86356455770552065</c:v>
                </c:pt>
                <c:pt idx="26">
                  <c:v>-1.7752625067586125</c:v>
                </c:pt>
                <c:pt idx="28">
                  <c:v>1.1287507341667613</c:v>
                </c:pt>
                <c:pt idx="29">
                  <c:v>0.60522889919270018</c:v>
                </c:pt>
                <c:pt idx="30">
                  <c:v>-0.28527861551368439</c:v>
                </c:pt>
                <c:pt idx="31">
                  <c:v>1.4645547303753226</c:v>
                </c:pt>
                <c:pt idx="32">
                  <c:v>0.13275478030772003</c:v>
                </c:pt>
                <c:pt idx="33">
                  <c:v>0.83807931167261263</c:v>
                </c:pt>
                <c:pt idx="35">
                  <c:v>1.1223079424341531</c:v>
                </c:pt>
                <c:pt idx="36">
                  <c:v>1.169363565197723</c:v>
                </c:pt>
                <c:pt idx="37">
                  <c:v>1.4014956518611621</c:v>
                </c:pt>
                <c:pt idx="38">
                  <c:v>0.87395006575243794</c:v>
                </c:pt>
                <c:pt idx="39">
                  <c:v>1.1348813439825411</c:v>
                </c:pt>
                <c:pt idx="41">
                  <c:v>0.83024972864795821</c:v>
                </c:pt>
                <c:pt idx="42">
                  <c:v>1.302094841177559</c:v>
                </c:pt>
                <c:pt idx="43">
                  <c:v>1.1664802251299955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2007-2017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F1'!$L$7:$L$50</c:f>
              <c:strCache>
                <c:ptCount val="44"/>
                <c:pt idx="0">
                  <c:v>All occupations</c:v>
                </c:pt>
                <c:pt idx="2">
                  <c:v> 92 Elementary administration and service occupations</c:v>
                </c:pt>
                <c:pt idx="3">
                  <c:v> 91 Elementary trades and related occupations</c:v>
                </c:pt>
                <c:pt idx="4">
                  <c:v>[Elementary occupations]</c:v>
                </c:pt>
                <c:pt idx="6">
                  <c:v> 82 Transport and mobile machine drivers and operatives</c:v>
                </c:pt>
                <c:pt idx="7">
                  <c:v> 81 Process, plant and machine operatives</c:v>
                </c:pt>
                <c:pt idx="8">
                  <c:v>[Process, plant and machine operatives]</c:v>
                </c:pt>
                <c:pt idx="10">
                  <c:v> 72 Customer service occupations</c:v>
                </c:pt>
                <c:pt idx="11">
                  <c:v> 71 Sales occupations</c:v>
                </c:pt>
                <c:pt idx="12">
                  <c:v>[Sales and customer service]</c:v>
                </c:pt>
                <c:pt idx="14">
                  <c:v> 62 Leisure, travel and related personal service occupations</c:v>
                </c:pt>
                <c:pt idx="15">
                  <c:v> 61 Caring personal service occupations</c:v>
                </c:pt>
                <c:pt idx="16">
                  <c:v>[Caring, leisure and other service]</c:v>
                </c:pt>
                <c:pt idx="18">
                  <c:v> 54 Textiles, printing and other skilled trades</c:v>
                </c:pt>
                <c:pt idx="19">
                  <c:v> 53 Skilled construction and building trades</c:v>
                </c:pt>
                <c:pt idx="20">
                  <c:v> 52 Skilled metal, electrical and electronic trades</c:v>
                </c:pt>
                <c:pt idx="21">
                  <c:v> 51 Skilled agricultural and related trades</c:v>
                </c:pt>
                <c:pt idx="22">
                  <c:v>[Skilled trades occupations]</c:v>
                </c:pt>
                <c:pt idx="24">
                  <c:v> 42 Secretarial and related occupations</c:v>
                </c:pt>
                <c:pt idx="25">
                  <c:v> 41 Administrative occupations</c:v>
                </c:pt>
                <c:pt idx="26">
                  <c:v>[Administrative and secretarial]</c:v>
                </c:pt>
                <c:pt idx="28">
                  <c:v> 35 Business and public service associate professionals</c:v>
                </c:pt>
                <c:pt idx="29">
                  <c:v> 34 Culture, media and sports occupations</c:v>
                </c:pt>
                <c:pt idx="30">
                  <c:v> 33 Protective service occupations</c:v>
                </c:pt>
                <c:pt idx="31">
                  <c:v> 32 Health and social care associate professionals</c:v>
                </c:pt>
                <c:pt idx="32">
                  <c:v> 31 Science, engineering and technology associate professionals</c:v>
                </c:pt>
                <c:pt idx="33">
                  <c:v>[Associate professional and technical]</c:v>
                </c:pt>
                <c:pt idx="35">
                  <c:v> 24 Business, media and public service professionals</c:v>
                </c:pt>
                <c:pt idx="36">
                  <c:v> 23 Teaching and educational professionals</c:v>
                </c:pt>
                <c:pt idx="37">
                  <c:v> 22 Health professionals</c:v>
                </c:pt>
                <c:pt idx="38">
                  <c:v> 21 Science, research, engineering and technology professionals</c:v>
                </c:pt>
                <c:pt idx="39">
                  <c:v>[Professional occupations]</c:v>
                </c:pt>
                <c:pt idx="41">
                  <c:v> 12 Other managers and proprietors</c:v>
                </c:pt>
                <c:pt idx="42">
                  <c:v> 11 Corporate managers and directors</c:v>
                </c:pt>
                <c:pt idx="43">
                  <c:v>[Managers, directors and senior officials]</c:v>
                </c:pt>
              </c:strCache>
            </c:strRef>
          </c:cat>
          <c:val>
            <c:numRef>
              <c:f>'Occ F1'!$M$7:$M$50</c:f>
              <c:numCache>
                <c:formatCode>General</c:formatCode>
                <c:ptCount val="44"/>
                <c:pt idx="0">
                  <c:v>0.92266577864263954</c:v>
                </c:pt>
                <c:pt idx="2">
                  <c:v>-0.24147280601504173</c:v>
                </c:pt>
                <c:pt idx="3">
                  <c:v>3.6072017062260819E-2</c:v>
                </c:pt>
                <c:pt idx="4">
                  <c:v>-0.20303374879716563</c:v>
                </c:pt>
                <c:pt idx="6">
                  <c:v>0.14596698061850599</c:v>
                </c:pt>
                <c:pt idx="7">
                  <c:v>-1.5375546294480791</c:v>
                </c:pt>
                <c:pt idx="8">
                  <c:v>-0.5955907099829516</c:v>
                </c:pt>
                <c:pt idx="10">
                  <c:v>2.8619643120719074</c:v>
                </c:pt>
                <c:pt idx="11">
                  <c:v>-0.15325572366615692</c:v>
                </c:pt>
                <c:pt idx="12">
                  <c:v>0.47963140139530847</c:v>
                </c:pt>
                <c:pt idx="14">
                  <c:v>1.1288841796051274</c:v>
                </c:pt>
                <c:pt idx="15">
                  <c:v>2.7787045747224459</c:v>
                </c:pt>
                <c:pt idx="16">
                  <c:v>2.3738696307582297</c:v>
                </c:pt>
                <c:pt idx="18">
                  <c:v>-0.77385128630326205</c:v>
                </c:pt>
                <c:pt idx="19">
                  <c:v>-0.58780005332923491</c:v>
                </c:pt>
                <c:pt idx="20">
                  <c:v>-0.4072618666006611</c:v>
                </c:pt>
                <c:pt idx="21">
                  <c:v>0.83633153109474723</c:v>
                </c:pt>
                <c:pt idx="22">
                  <c:v>-0.4289305805081467</c:v>
                </c:pt>
                <c:pt idx="24">
                  <c:v>-2.7840312676019163</c:v>
                </c:pt>
                <c:pt idx="25">
                  <c:v>-0.32904436896877831</c:v>
                </c:pt>
                <c:pt idx="26">
                  <c:v>-0.88600461865590008</c:v>
                </c:pt>
                <c:pt idx="28">
                  <c:v>1.786660714302335</c:v>
                </c:pt>
                <c:pt idx="29">
                  <c:v>1.7590862738696034</c:v>
                </c:pt>
                <c:pt idx="30">
                  <c:v>-0.35882375449247661</c:v>
                </c:pt>
                <c:pt idx="31">
                  <c:v>2.3939540269230841</c:v>
                </c:pt>
                <c:pt idx="32">
                  <c:v>0.96581586242052708</c:v>
                </c:pt>
                <c:pt idx="33">
                  <c:v>1.5399376186124192</c:v>
                </c:pt>
                <c:pt idx="35">
                  <c:v>2.3971079465689105</c:v>
                </c:pt>
                <c:pt idx="36">
                  <c:v>1.946885294256484</c:v>
                </c:pt>
                <c:pt idx="37">
                  <c:v>2.2623145152797175</c:v>
                </c:pt>
                <c:pt idx="38">
                  <c:v>2.9693441245920216</c:v>
                </c:pt>
                <c:pt idx="39">
                  <c:v>2.3927834499514855</c:v>
                </c:pt>
                <c:pt idx="41">
                  <c:v>2.4618076104744535</c:v>
                </c:pt>
                <c:pt idx="42">
                  <c:v>2.5701136269341562</c:v>
                </c:pt>
                <c:pt idx="43">
                  <c:v>2.5383875558960156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2007-2017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F1'!$L$81:$L$105</c:f>
              <c:strCache>
                <c:ptCount val="25"/>
                <c:pt idx="0">
                  <c:v> 11 Corporate managers and directors</c:v>
                </c:pt>
                <c:pt idx="1">
                  <c:v> 12 Other managers and proprietors</c:v>
                </c:pt>
                <c:pt idx="2">
                  <c:v> 21 Science, research, engineering and technology professionals</c:v>
                </c:pt>
                <c:pt idx="3">
                  <c:v> 22 Health professionals</c:v>
                </c:pt>
                <c:pt idx="4">
                  <c:v> 23 Teaching and educational professionals</c:v>
                </c:pt>
                <c:pt idx="5">
                  <c:v> 24 Business, media and public service professionals</c:v>
                </c:pt>
                <c:pt idx="6">
                  <c:v> 31 Science, engineering and technology associate professionals</c:v>
                </c:pt>
                <c:pt idx="7">
                  <c:v> 32 Health and social care associate professionals</c:v>
                </c:pt>
                <c:pt idx="8">
                  <c:v> 33 Protective service occupations</c:v>
                </c:pt>
                <c:pt idx="9">
                  <c:v> 34 Culture, media and sports occupations</c:v>
                </c:pt>
                <c:pt idx="10">
                  <c:v> 35 Business and public service associate professionals</c:v>
                </c:pt>
                <c:pt idx="11">
                  <c:v> 41 Administrative occupations</c:v>
                </c:pt>
                <c:pt idx="12">
                  <c:v> 42 Secretarial and related occupations</c:v>
                </c:pt>
                <c:pt idx="13">
                  <c:v> 51 Skilled agricultural and related trades</c:v>
                </c:pt>
                <c:pt idx="14">
                  <c:v> 52 Skilled metal, electrical and electronic trades</c:v>
                </c:pt>
                <c:pt idx="15">
                  <c:v> 53 Skilled construction and building trades</c:v>
                </c:pt>
                <c:pt idx="16">
                  <c:v> 54 Textiles, printing and other skilled trades</c:v>
                </c:pt>
                <c:pt idx="17">
                  <c:v> 61 Caring personal service occupations</c:v>
                </c:pt>
                <c:pt idx="18">
                  <c:v> 62 Leisure, travel and related personal service occupations</c:v>
                </c:pt>
                <c:pt idx="19">
                  <c:v> 71 Sales occupations</c:v>
                </c:pt>
                <c:pt idx="20">
                  <c:v> 72 Customer service occupations</c:v>
                </c:pt>
                <c:pt idx="21">
                  <c:v> 81 Process, plant and machine operatives</c:v>
                </c:pt>
                <c:pt idx="22">
                  <c:v> 82 Transport and mobile machine drivers and operatives</c:v>
                </c:pt>
                <c:pt idx="23">
                  <c:v> 91 Elementary trades and related occupations</c:v>
                </c:pt>
                <c:pt idx="24">
                  <c:v> 92 Elementary administration and service occupations</c:v>
                </c:pt>
              </c:strCache>
            </c:strRef>
          </c:cat>
          <c:val>
            <c:numRef>
              <c:f>'Occ F1'!$M$81:$M$105</c:f>
              <c:numCache>
                <c:formatCode>#,##0</c:formatCode>
                <c:ptCount val="25"/>
                <c:pt idx="0">
                  <c:v>566.14041950479736</c:v>
                </c:pt>
                <c:pt idx="1">
                  <c:v>224.61171268690873</c:v>
                </c:pt>
                <c:pt idx="2">
                  <c:v>444.97941261772053</c:v>
                </c:pt>
                <c:pt idx="3">
                  <c:v>309.29966208296037</c:v>
                </c:pt>
                <c:pt idx="4">
                  <c:v>301.76196045699999</c:v>
                </c:pt>
                <c:pt idx="5">
                  <c:v>391.39905978425713</c:v>
                </c:pt>
                <c:pt idx="6">
                  <c:v>61.506449461434727</c:v>
                </c:pt>
                <c:pt idx="7">
                  <c:v>111.63200614366406</c:v>
                </c:pt>
                <c:pt idx="8">
                  <c:v>-14.137032687643341</c:v>
                </c:pt>
                <c:pt idx="9">
                  <c:v>134.36759217941199</c:v>
                </c:pt>
                <c:pt idx="10">
                  <c:v>398.82571523056322</c:v>
                </c:pt>
                <c:pt idx="11">
                  <c:v>-98.238373415928436</c:v>
                </c:pt>
                <c:pt idx="12">
                  <c:v>-244.35272175425484</c:v>
                </c:pt>
                <c:pt idx="13">
                  <c:v>28.365460569894537</c:v>
                </c:pt>
                <c:pt idx="14">
                  <c:v>-51.152190384168534</c:v>
                </c:pt>
                <c:pt idx="15">
                  <c:v>-64.92231105736505</c:v>
                </c:pt>
                <c:pt idx="16">
                  <c:v>-63.069927984636593</c:v>
                </c:pt>
                <c:pt idx="17">
                  <c:v>618.13191880524892</c:v>
                </c:pt>
                <c:pt idx="18">
                  <c:v>81.403384197590185</c:v>
                </c:pt>
                <c:pt idx="19">
                  <c:v>-34.498342601307286</c:v>
                </c:pt>
                <c:pt idx="20">
                  <c:v>171.34802456215937</c:v>
                </c:pt>
                <c:pt idx="21">
                  <c:v>-152.57654368266788</c:v>
                </c:pt>
                <c:pt idx="22">
                  <c:v>18.383931012500625</c:v>
                </c:pt>
                <c:pt idx="23">
                  <c:v>1.9985124374024963</c:v>
                </c:pt>
                <c:pt idx="24">
                  <c:v>-83.222778165628824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2017-2027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F1'!$L$81:$L$105</c:f>
              <c:strCache>
                <c:ptCount val="25"/>
                <c:pt idx="0">
                  <c:v> 11 Corporate managers and directors</c:v>
                </c:pt>
                <c:pt idx="1">
                  <c:v> 12 Other managers and proprietors</c:v>
                </c:pt>
                <c:pt idx="2">
                  <c:v> 21 Science, research, engineering and technology professionals</c:v>
                </c:pt>
                <c:pt idx="3">
                  <c:v> 22 Health professionals</c:v>
                </c:pt>
                <c:pt idx="4">
                  <c:v> 23 Teaching and educational professionals</c:v>
                </c:pt>
                <c:pt idx="5">
                  <c:v> 24 Business, media and public service professionals</c:v>
                </c:pt>
                <c:pt idx="6">
                  <c:v> 31 Science, engineering and technology associate professionals</c:v>
                </c:pt>
                <c:pt idx="7">
                  <c:v> 32 Health and social care associate professionals</c:v>
                </c:pt>
                <c:pt idx="8">
                  <c:v> 33 Protective service occupations</c:v>
                </c:pt>
                <c:pt idx="9">
                  <c:v> 34 Culture, media and sports occupations</c:v>
                </c:pt>
                <c:pt idx="10">
                  <c:v> 35 Business and public service associate professionals</c:v>
                </c:pt>
                <c:pt idx="11">
                  <c:v> 41 Administrative occupations</c:v>
                </c:pt>
                <c:pt idx="12">
                  <c:v> 42 Secretarial and related occupations</c:v>
                </c:pt>
                <c:pt idx="13">
                  <c:v> 51 Skilled agricultural and related trades</c:v>
                </c:pt>
                <c:pt idx="14">
                  <c:v> 52 Skilled metal, electrical and electronic trades</c:v>
                </c:pt>
                <c:pt idx="15">
                  <c:v> 53 Skilled construction and building trades</c:v>
                </c:pt>
                <c:pt idx="16">
                  <c:v> 54 Textiles, printing and other skilled trades</c:v>
                </c:pt>
                <c:pt idx="17">
                  <c:v> 61 Caring personal service occupations</c:v>
                </c:pt>
                <c:pt idx="18">
                  <c:v> 62 Leisure, travel and related personal service occupations</c:v>
                </c:pt>
                <c:pt idx="19">
                  <c:v> 71 Sales occupations</c:v>
                </c:pt>
                <c:pt idx="20">
                  <c:v> 72 Customer service occupations</c:v>
                </c:pt>
                <c:pt idx="21">
                  <c:v> 81 Process, plant and machine operatives</c:v>
                </c:pt>
                <c:pt idx="22">
                  <c:v> 82 Transport and mobile machine drivers and operatives</c:v>
                </c:pt>
                <c:pt idx="23">
                  <c:v> 91 Elementary trades and related occupations</c:v>
                </c:pt>
                <c:pt idx="24">
                  <c:v> 92 Elementary administration and service occupations</c:v>
                </c:pt>
              </c:strCache>
            </c:strRef>
          </c:cat>
          <c:val>
            <c:numRef>
              <c:f>'Occ F1'!$N$81:$N$105</c:f>
              <c:numCache>
                <c:formatCode>#,##0</c:formatCode>
                <c:ptCount val="25"/>
                <c:pt idx="0">
                  <c:v>348.86608245571779</c:v>
                </c:pt>
                <c:pt idx="1">
                  <c:v>89.680972733368208</c:v>
                </c:pt>
                <c:pt idx="2">
                  <c:v>159.46603551192675</c:v>
                </c:pt>
                <c:pt idx="3">
                  <c:v>230.41168911183672</c:v>
                </c:pt>
                <c:pt idx="4">
                  <c:v>212.14232647225754</c:v>
                </c:pt>
                <c:pt idx="5">
                  <c:v>219.10699400771705</c:v>
                </c:pt>
                <c:pt idx="6">
                  <c:v>8.9632573035260066</c:v>
                </c:pt>
                <c:pt idx="7">
                  <c:v>82.923631730797752</c:v>
                </c:pt>
                <c:pt idx="8">
                  <c:v>-10.878479019383633</c:v>
                </c:pt>
                <c:pt idx="9">
                  <c:v>52.226719586066565</c:v>
                </c:pt>
                <c:pt idx="10">
                  <c:v>291.90314787902116</c:v>
                </c:pt>
                <c:pt idx="11">
                  <c:v>-243.56454565603099</c:v>
                </c:pt>
                <c:pt idx="12">
                  <c:v>-360.06677493586011</c:v>
                </c:pt>
                <c:pt idx="13">
                  <c:v>5.4674262816217265</c:v>
                </c:pt>
                <c:pt idx="14">
                  <c:v>-184.2320228269657</c:v>
                </c:pt>
                <c:pt idx="15">
                  <c:v>-5.2272018605553967</c:v>
                </c:pt>
                <c:pt idx="16">
                  <c:v>-122.65900829068846</c:v>
                </c:pt>
                <c:pt idx="17">
                  <c:v>478.06164419821425</c:v>
                </c:pt>
                <c:pt idx="18">
                  <c:v>-12.338576281070459</c:v>
                </c:pt>
                <c:pt idx="19">
                  <c:v>-154.23799766005141</c:v>
                </c:pt>
                <c:pt idx="20">
                  <c:v>101.81815278025499</c:v>
                </c:pt>
                <c:pt idx="21">
                  <c:v>-201.4057457178867</c:v>
                </c:pt>
                <c:pt idx="22">
                  <c:v>-4.4248791864552004</c:v>
                </c:pt>
                <c:pt idx="23">
                  <c:v>-24.158473337065288</c:v>
                </c:pt>
                <c:pt idx="24">
                  <c:v>15.116624719839365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8315200485707968"/>
              <c:y val="0.94978212240515392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2007-2017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F1'!$L$151:$L$159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and technical</c:v>
                </c:pt>
                <c:pt idx="3">
                  <c:v>Administrative and secretarial</c:v>
                </c:pt>
                <c:pt idx="4">
                  <c:v>Skilled trades occupations</c:v>
                </c:pt>
                <c:pt idx="5">
                  <c:v>Caring, leisure and other service</c:v>
                </c:pt>
                <c:pt idx="6">
                  <c:v>Sales and customer service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F1'!$M$151:$M$159</c:f>
              <c:numCache>
                <c:formatCode>#,##0</c:formatCode>
                <c:ptCount val="9"/>
                <c:pt idx="0">
                  <c:v>790.75213219170655</c:v>
                </c:pt>
                <c:pt idx="1">
                  <c:v>1447.4400949419387</c:v>
                </c:pt>
                <c:pt idx="2">
                  <c:v>692.19473032743008</c:v>
                </c:pt>
                <c:pt idx="3">
                  <c:v>-342.59109517018351</c:v>
                </c:pt>
                <c:pt idx="4">
                  <c:v>-150.77896885627524</c:v>
                </c:pt>
                <c:pt idx="5">
                  <c:v>699.5353030028391</c:v>
                </c:pt>
                <c:pt idx="6">
                  <c:v>136.84968196085219</c:v>
                </c:pt>
                <c:pt idx="7">
                  <c:v>-134.19261267016736</c:v>
                </c:pt>
                <c:pt idx="8">
                  <c:v>-81.224265728226328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6-49AD-83CA-ED2B408A2B3B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2017-2027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F1'!$L$151:$L$159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and technical</c:v>
                </c:pt>
                <c:pt idx="3">
                  <c:v>Administrative and secretarial</c:v>
                </c:pt>
                <c:pt idx="4">
                  <c:v>Skilled trades occupations</c:v>
                </c:pt>
                <c:pt idx="5">
                  <c:v>Caring, leisure and other service</c:v>
                </c:pt>
                <c:pt idx="6">
                  <c:v>Sales and customer service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F1'!$N$151:$N$159</c:f>
              <c:numCache>
                <c:formatCode>#,##0</c:formatCode>
                <c:ptCount val="9"/>
                <c:pt idx="0">
                  <c:v>438.54705518908577</c:v>
                </c:pt>
                <c:pt idx="1">
                  <c:v>821.12704510373715</c:v>
                </c:pt>
                <c:pt idx="2">
                  <c:v>425.13827748002859</c:v>
                </c:pt>
                <c:pt idx="3">
                  <c:v>-603.63132059189093</c:v>
                </c:pt>
                <c:pt idx="4">
                  <c:v>-306.65080669658801</c:v>
                </c:pt>
                <c:pt idx="5">
                  <c:v>465.72306791714391</c:v>
                </c:pt>
                <c:pt idx="6">
                  <c:v>-52.419844879796528</c:v>
                </c:pt>
                <c:pt idx="7">
                  <c:v>-205.83062490434168</c:v>
                </c:pt>
                <c:pt idx="8">
                  <c:v>-9.0418486172256962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6-49AD-83CA-ED2B408A2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 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F2'!$M$6:$AG$6</c:f>
              <c:numCache>
                <c:formatCode>#,##0</c:formatCode>
                <c:ptCount val="21"/>
                <c:pt idx="0">
                  <c:v>1959.860057608056</c:v>
                </c:pt>
                <c:pt idx="1">
                  <c:v>2045.149248939538</c:v>
                </c:pt>
                <c:pt idx="2">
                  <c:v>2024.4340214350746</c:v>
                </c:pt>
                <c:pt idx="3">
                  <c:v>2010.6036136852783</c:v>
                </c:pt>
                <c:pt idx="4">
                  <c:v>2046.5546959530907</c:v>
                </c:pt>
                <c:pt idx="5">
                  <c:v>2116.4390715839208</c:v>
                </c:pt>
                <c:pt idx="6">
                  <c:v>2169.5878785433315</c:v>
                </c:pt>
                <c:pt idx="7">
                  <c:v>2292.443672446921</c:v>
                </c:pt>
                <c:pt idx="8">
                  <c:v>2366.0047534010027</c:v>
                </c:pt>
                <c:pt idx="9">
                  <c:v>2451.7998219309029</c:v>
                </c:pt>
                <c:pt idx="10">
                  <c:v>2526.0004771128533</c:v>
                </c:pt>
                <c:pt idx="11">
                  <c:v>2561.6684502134854</c:v>
                </c:pt>
                <c:pt idx="12">
                  <c:v>2596.8961457676669</c:v>
                </c:pt>
                <c:pt idx="13">
                  <c:v>2635.6334447249351</c:v>
                </c:pt>
                <c:pt idx="14">
                  <c:v>2670.537065102526</c:v>
                </c:pt>
                <c:pt idx="15">
                  <c:v>2707.1424196822263</c:v>
                </c:pt>
                <c:pt idx="16">
                  <c:v>2743.9240945845095</c:v>
                </c:pt>
                <c:pt idx="17">
                  <c:v>2779.6956858782405</c:v>
                </c:pt>
                <c:pt idx="18">
                  <c:v>2813.7680469604211</c:v>
                </c:pt>
                <c:pt idx="19">
                  <c:v>2845.593226545413</c:v>
                </c:pt>
                <c:pt idx="20">
                  <c:v>2874.8665595685711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 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F2'!$M$7:$AG$7</c:f>
              <c:numCache>
                <c:formatCode>#,##0</c:formatCode>
                <c:ptCount val="21"/>
                <c:pt idx="0">
                  <c:v>815.81216696843285</c:v>
                </c:pt>
                <c:pt idx="1">
                  <c:v>850.21388171674971</c:v>
                </c:pt>
                <c:pt idx="2">
                  <c:v>828.35826100767304</c:v>
                </c:pt>
                <c:pt idx="3">
                  <c:v>853.13053074755453</c:v>
                </c:pt>
                <c:pt idx="4">
                  <c:v>867.28838392362695</c:v>
                </c:pt>
                <c:pt idx="5">
                  <c:v>926.5161762051257</c:v>
                </c:pt>
                <c:pt idx="6">
                  <c:v>925.05755459859188</c:v>
                </c:pt>
                <c:pt idx="7">
                  <c:v>976.53443194707518</c:v>
                </c:pt>
                <c:pt idx="8">
                  <c:v>983.15570186811601</c:v>
                </c:pt>
                <c:pt idx="9">
                  <c:v>1018.5703706901928</c:v>
                </c:pt>
                <c:pt idx="10">
                  <c:v>1040.4238796553416</c:v>
                </c:pt>
                <c:pt idx="11">
                  <c:v>1049.156945273859</c:v>
                </c:pt>
                <c:pt idx="12">
                  <c:v>1058.56801262657</c:v>
                </c:pt>
                <c:pt idx="13">
                  <c:v>1069.5411925602189</c:v>
                </c:pt>
                <c:pt idx="14">
                  <c:v>1079.3265433687923</c:v>
                </c:pt>
                <c:pt idx="15">
                  <c:v>1090.5495991933917</c:v>
                </c:pt>
                <c:pt idx="16">
                  <c:v>1097.9809192747832</c:v>
                </c:pt>
                <c:pt idx="17">
                  <c:v>1106.0762466818319</c:v>
                </c:pt>
                <c:pt idx="18">
                  <c:v>1114.1838731113071</c:v>
                </c:pt>
                <c:pt idx="19">
                  <c:v>1122.4223632657524</c:v>
                </c:pt>
                <c:pt idx="20">
                  <c:v>1130.1048523887098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 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F2'!$M$10:$AG$10</c:f>
              <c:numCache>
                <c:formatCode>#,##0</c:formatCode>
                <c:ptCount val="21"/>
                <c:pt idx="0">
                  <c:v>1309.0639248560215</c:v>
                </c:pt>
                <c:pt idx="1">
                  <c:v>1351.5666652211246</c:v>
                </c:pt>
                <c:pt idx="2">
                  <c:v>1381.187854424835</c:v>
                </c:pt>
                <c:pt idx="3">
                  <c:v>1410.5115635300353</c:v>
                </c:pt>
                <c:pt idx="4">
                  <c:v>1432.7667337017845</c:v>
                </c:pt>
                <c:pt idx="5">
                  <c:v>1471.4000419031945</c:v>
                </c:pt>
                <c:pt idx="6">
                  <c:v>1522.9643596015544</c:v>
                </c:pt>
                <c:pt idx="7">
                  <c:v>1597.3914079453716</c:v>
                </c:pt>
                <c:pt idx="8">
                  <c:v>1652.2105552430335</c:v>
                </c:pt>
                <c:pt idx="9">
                  <c:v>1705.2140839330875</c:v>
                </c:pt>
                <c:pt idx="10">
                  <c:v>1754.043337473742</c:v>
                </c:pt>
                <c:pt idx="11">
                  <c:v>1770.4089503609744</c:v>
                </c:pt>
                <c:pt idx="12">
                  <c:v>1787.155154376333</c:v>
                </c:pt>
                <c:pt idx="13">
                  <c:v>1806.3627368275322</c:v>
                </c:pt>
                <c:pt idx="14">
                  <c:v>1821.0984076866957</c:v>
                </c:pt>
                <c:pt idx="15">
                  <c:v>1837.0687006892717</c:v>
                </c:pt>
                <c:pt idx="16">
                  <c:v>1853.0511805275285</c:v>
                </c:pt>
                <c:pt idx="17">
                  <c:v>1869.1123143242826</c:v>
                </c:pt>
                <c:pt idx="18">
                  <c:v>1884.6962776103562</c:v>
                </c:pt>
                <c:pt idx="19">
                  <c:v>1899.6210565235733</c:v>
                </c:pt>
                <c:pt idx="20">
                  <c:v>1913.5093729856687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 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F2'!$M$11:$AG$11</c:f>
              <c:numCache>
                <c:formatCode>#,##0</c:formatCode>
                <c:ptCount val="21"/>
                <c:pt idx="0">
                  <c:v>1233.7012301866905</c:v>
                </c:pt>
                <c:pt idx="1">
                  <c:v>1267.1484646758724</c:v>
                </c:pt>
                <c:pt idx="2">
                  <c:v>1289.7301693733025</c:v>
                </c:pt>
                <c:pt idx="3">
                  <c:v>1272.7839504448514</c:v>
                </c:pt>
                <c:pt idx="4">
                  <c:v>1289.9761065188638</c:v>
                </c:pt>
                <c:pt idx="5">
                  <c:v>1310.9895866420895</c:v>
                </c:pt>
                <c:pt idx="6">
                  <c:v>1361.9973519898876</c:v>
                </c:pt>
                <c:pt idx="7">
                  <c:v>1429.5439166516753</c:v>
                </c:pt>
                <c:pt idx="8">
                  <c:v>1463.2706277475875</c:v>
                </c:pt>
                <c:pt idx="9">
                  <c:v>1510.0837919867802</c:v>
                </c:pt>
                <c:pt idx="10">
                  <c:v>1543.0008922696509</c:v>
                </c:pt>
                <c:pt idx="11">
                  <c:v>1569.7489603128713</c:v>
                </c:pt>
                <c:pt idx="12">
                  <c:v>1587.7200352684356</c:v>
                </c:pt>
                <c:pt idx="13">
                  <c:v>1606.6734424620643</c:v>
                </c:pt>
                <c:pt idx="14">
                  <c:v>1631.7952930145834</c:v>
                </c:pt>
                <c:pt idx="15">
                  <c:v>1658.5245598766664</c:v>
                </c:pt>
                <c:pt idx="16">
                  <c:v>1683.4926533051319</c:v>
                </c:pt>
                <c:pt idx="17">
                  <c:v>1708.1287068095232</c:v>
                </c:pt>
                <c:pt idx="18">
                  <c:v>1731.2839130392467</c:v>
                </c:pt>
                <c:pt idx="19">
                  <c:v>1752.6109261597269</c:v>
                </c:pt>
                <c:pt idx="20">
                  <c:v>1773.4125813814876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 23 Teaching and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F2'!$M$12:$AG$12</c:f>
              <c:numCache>
                <c:formatCode>#,##0</c:formatCode>
                <c:ptCount val="21"/>
                <c:pt idx="0">
                  <c:v>1418.9773616722084</c:v>
                </c:pt>
                <c:pt idx="1">
                  <c:v>1447.3213834893359</c:v>
                </c:pt>
                <c:pt idx="2">
                  <c:v>1427.0198375048453</c:v>
                </c:pt>
                <c:pt idx="3">
                  <c:v>1452.3182747297967</c:v>
                </c:pt>
                <c:pt idx="4">
                  <c:v>1464.3711675288132</c:v>
                </c:pt>
                <c:pt idx="5">
                  <c:v>1495.3060186838754</c:v>
                </c:pt>
                <c:pt idx="6">
                  <c:v>1521.6846847203549</c:v>
                </c:pt>
                <c:pt idx="7">
                  <c:v>1599.172855531428</c:v>
                </c:pt>
                <c:pt idx="8">
                  <c:v>1646.7531134574508</c:v>
                </c:pt>
                <c:pt idx="9">
                  <c:v>1692.4442900988383</c:v>
                </c:pt>
                <c:pt idx="10">
                  <c:v>1720.7393221292084</c:v>
                </c:pt>
                <c:pt idx="11">
                  <c:v>1725.5777022131542</c:v>
                </c:pt>
                <c:pt idx="12">
                  <c:v>1733.1480564512246</c:v>
                </c:pt>
                <c:pt idx="13">
                  <c:v>1747.4802534156595</c:v>
                </c:pt>
                <c:pt idx="14">
                  <c:v>1767.2219179207061</c:v>
                </c:pt>
                <c:pt idx="15">
                  <c:v>1789.5432408636937</c:v>
                </c:pt>
                <c:pt idx="16">
                  <c:v>1822.0761155068631</c:v>
                </c:pt>
                <c:pt idx="17">
                  <c:v>1852.5083822930703</c:v>
                </c:pt>
                <c:pt idx="18">
                  <c:v>1881.0767780288591</c:v>
                </c:pt>
                <c:pt idx="19">
                  <c:v>1907.8227720155703</c:v>
                </c:pt>
                <c:pt idx="20">
                  <c:v>1932.8816486014659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 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F2'!$M$13:$AG$13</c:f>
              <c:numCache>
                <c:formatCode>#,##0</c:formatCode>
                <c:ptCount val="21"/>
                <c:pt idx="0">
                  <c:v>1464.3092269073152</c:v>
                </c:pt>
                <c:pt idx="1">
                  <c:v>1512.1000676518088</c:v>
                </c:pt>
                <c:pt idx="2">
                  <c:v>1579.4307871732826</c:v>
                </c:pt>
                <c:pt idx="3">
                  <c:v>1517.0793084740353</c:v>
                </c:pt>
                <c:pt idx="4">
                  <c:v>1519.6809869727133</c:v>
                </c:pt>
                <c:pt idx="5">
                  <c:v>1564.2296744461235</c:v>
                </c:pt>
                <c:pt idx="6">
                  <c:v>1607.3632590490572</c:v>
                </c:pt>
                <c:pt idx="7">
                  <c:v>1684.8039758944681</c:v>
                </c:pt>
                <c:pt idx="8">
                  <c:v>1737.9847005675433</c:v>
                </c:pt>
                <c:pt idx="9">
                  <c:v>1802.3676660002832</c:v>
                </c:pt>
                <c:pt idx="10">
                  <c:v>1855.7082866915723</c:v>
                </c:pt>
                <c:pt idx="11">
                  <c:v>1882.1716250763479</c:v>
                </c:pt>
                <c:pt idx="12">
                  <c:v>1907.6975150321944</c:v>
                </c:pt>
                <c:pt idx="13">
                  <c:v>1936.2876168015373</c:v>
                </c:pt>
                <c:pt idx="14">
                  <c:v>1962.1988156062955</c:v>
                </c:pt>
                <c:pt idx="15">
                  <c:v>1990.1636584460241</c:v>
                </c:pt>
                <c:pt idx="16">
                  <c:v>2008.3029141503255</c:v>
                </c:pt>
                <c:pt idx="17">
                  <c:v>2025.9684678010408</c:v>
                </c:pt>
                <c:pt idx="18">
                  <c:v>2043.7185409417602</c:v>
                </c:pt>
                <c:pt idx="19">
                  <c:v>2060.2608327231624</c:v>
                </c:pt>
                <c:pt idx="20">
                  <c:v>2074.8152806992894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 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F2'!$M$16:$AG$16</c:f>
              <c:numCache>
                <c:formatCode>#,##0</c:formatCode>
                <c:ptCount val="21"/>
                <c:pt idx="0">
                  <c:v>609.64387238354675</c:v>
                </c:pt>
                <c:pt idx="1">
                  <c:v>608.7114968396919</c:v>
                </c:pt>
                <c:pt idx="2">
                  <c:v>612.93044417885187</c:v>
                </c:pt>
                <c:pt idx="3">
                  <c:v>593.28169322034216</c:v>
                </c:pt>
                <c:pt idx="4">
                  <c:v>592.40394008898022</c:v>
                </c:pt>
                <c:pt idx="5">
                  <c:v>599.43705846653575</c:v>
                </c:pt>
                <c:pt idx="6">
                  <c:v>608.01728435285077</c:v>
                </c:pt>
                <c:pt idx="7">
                  <c:v>630.06225943578636</c:v>
                </c:pt>
                <c:pt idx="8">
                  <c:v>646.00146992974624</c:v>
                </c:pt>
                <c:pt idx="9">
                  <c:v>659.18169928635109</c:v>
                </c:pt>
                <c:pt idx="10">
                  <c:v>671.15032184498148</c:v>
                </c:pt>
                <c:pt idx="11">
                  <c:v>671.23855659761034</c:v>
                </c:pt>
                <c:pt idx="12">
                  <c:v>671.63680441673603</c:v>
                </c:pt>
                <c:pt idx="13">
                  <c:v>673.1494379747985</c:v>
                </c:pt>
                <c:pt idx="14">
                  <c:v>673.12162970679674</c:v>
                </c:pt>
                <c:pt idx="15">
                  <c:v>673.6704789806239</c:v>
                </c:pt>
                <c:pt idx="16">
                  <c:v>675.20753699723969</c:v>
                </c:pt>
                <c:pt idx="17">
                  <c:v>676.59551524549738</c:v>
                </c:pt>
                <c:pt idx="18">
                  <c:v>677.90917856207727</c:v>
                </c:pt>
                <c:pt idx="19">
                  <c:v>679.03131258303927</c:v>
                </c:pt>
                <c:pt idx="20">
                  <c:v>680.11357914850748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 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F2'!$M$17:$AG$17</c:f>
              <c:numCache>
                <c:formatCode>#,##0</c:formatCode>
                <c:ptCount val="21"/>
                <c:pt idx="0">
                  <c:v>418.2503777870802</c:v>
                </c:pt>
                <c:pt idx="1">
                  <c:v>422.97291804782435</c:v>
                </c:pt>
                <c:pt idx="2">
                  <c:v>428.57848063218529</c:v>
                </c:pt>
                <c:pt idx="3">
                  <c:v>432.3648229423398</c:v>
                </c:pt>
                <c:pt idx="4">
                  <c:v>436.71271936450211</c:v>
                </c:pt>
                <c:pt idx="5">
                  <c:v>445.88556873648133</c:v>
                </c:pt>
                <c:pt idx="6">
                  <c:v>463.66614714559245</c:v>
                </c:pt>
                <c:pt idx="7">
                  <c:v>489.43226583207155</c:v>
                </c:pt>
                <c:pt idx="8">
                  <c:v>501.04231218892392</c:v>
                </c:pt>
                <c:pt idx="9">
                  <c:v>517.42995168743244</c:v>
                </c:pt>
                <c:pt idx="10">
                  <c:v>529.88238393074425</c:v>
                </c:pt>
                <c:pt idx="11">
                  <c:v>539.73667715752413</c:v>
                </c:pt>
                <c:pt idx="12">
                  <c:v>546.54369315840654</c:v>
                </c:pt>
                <c:pt idx="13">
                  <c:v>553.61866497593417</c:v>
                </c:pt>
                <c:pt idx="14">
                  <c:v>562.60577370957731</c:v>
                </c:pt>
                <c:pt idx="15">
                  <c:v>572.19485800004077</c:v>
                </c:pt>
                <c:pt idx="16">
                  <c:v>580.74158334774609</c:v>
                </c:pt>
                <c:pt idx="17">
                  <c:v>589.22942267671397</c:v>
                </c:pt>
                <c:pt idx="18">
                  <c:v>597.36785948299337</c:v>
                </c:pt>
                <c:pt idx="19">
                  <c:v>605.31969726762179</c:v>
                </c:pt>
                <c:pt idx="20">
                  <c:v>612.80601566154201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 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F2'!$M$18:$AG$18</c:f>
              <c:numCache>
                <c:formatCode>#,##0</c:formatCode>
                <c:ptCount val="21"/>
                <c:pt idx="0">
                  <c:v>400.38621990721509</c:v>
                </c:pt>
                <c:pt idx="1">
                  <c:v>408.30960106262745</c:v>
                </c:pt>
                <c:pt idx="2">
                  <c:v>413.73056900051125</c:v>
                </c:pt>
                <c:pt idx="3">
                  <c:v>392.49332357048036</c:v>
                </c:pt>
                <c:pt idx="4">
                  <c:v>380.39310587436131</c:v>
                </c:pt>
                <c:pt idx="5">
                  <c:v>374.21993286781867</c:v>
                </c:pt>
                <c:pt idx="6">
                  <c:v>376.81071847467217</c:v>
                </c:pt>
                <c:pt idx="7">
                  <c:v>381.2761949862998</c:v>
                </c:pt>
                <c:pt idx="8">
                  <c:v>384.89462666251035</c:v>
                </c:pt>
                <c:pt idx="9">
                  <c:v>383.16948955692772</c:v>
                </c:pt>
                <c:pt idx="10">
                  <c:v>386.24918721957175</c:v>
                </c:pt>
                <c:pt idx="11">
                  <c:v>383.92548102148544</c:v>
                </c:pt>
                <c:pt idx="12">
                  <c:v>382.23570369714389</c:v>
                </c:pt>
                <c:pt idx="13">
                  <c:v>380.34273785861279</c:v>
                </c:pt>
                <c:pt idx="14">
                  <c:v>378.18386137066551</c:v>
                </c:pt>
                <c:pt idx="15">
                  <c:v>376.25438198127227</c:v>
                </c:pt>
                <c:pt idx="16">
                  <c:v>376.2849439479304</c:v>
                </c:pt>
                <c:pt idx="17">
                  <c:v>376.21186287180313</c:v>
                </c:pt>
                <c:pt idx="18">
                  <c:v>376.02350986388154</c:v>
                </c:pt>
                <c:pt idx="19">
                  <c:v>375.74631735653441</c:v>
                </c:pt>
                <c:pt idx="20">
                  <c:v>375.37070820018812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 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F2'!$M$19:$AG$19</c:f>
              <c:numCache>
                <c:formatCode>#,##0</c:formatCode>
                <c:ptCount val="21"/>
                <c:pt idx="0">
                  <c:v>705.31543668957329</c:v>
                </c:pt>
                <c:pt idx="1">
                  <c:v>754.06921136718051</c:v>
                </c:pt>
                <c:pt idx="2">
                  <c:v>700.54537966111161</c:v>
                </c:pt>
                <c:pt idx="3">
                  <c:v>681.35560888508576</c:v>
                </c:pt>
                <c:pt idx="4">
                  <c:v>708.08605930369413</c:v>
                </c:pt>
                <c:pt idx="5">
                  <c:v>734.91048616584931</c:v>
                </c:pt>
                <c:pt idx="6">
                  <c:v>745.73372758206403</c:v>
                </c:pt>
                <c:pt idx="7">
                  <c:v>783.77012750902077</c:v>
                </c:pt>
                <c:pt idx="8">
                  <c:v>787.58461218857246</c:v>
                </c:pt>
                <c:pt idx="9">
                  <c:v>819.17608458245354</c:v>
                </c:pt>
                <c:pt idx="10">
                  <c:v>839.68302886898528</c:v>
                </c:pt>
                <c:pt idx="11">
                  <c:v>850.07872176450417</c:v>
                </c:pt>
                <c:pt idx="12">
                  <c:v>858.530923893097</c:v>
                </c:pt>
                <c:pt idx="13">
                  <c:v>868.3271024383638</c:v>
                </c:pt>
                <c:pt idx="14">
                  <c:v>875.66108490330191</c:v>
                </c:pt>
                <c:pt idx="15">
                  <c:v>883.81407897069801</c:v>
                </c:pt>
                <c:pt idx="16">
                  <c:v>885.37851372504724</c:v>
                </c:pt>
                <c:pt idx="17">
                  <c:v>887.38022038819599</c:v>
                </c:pt>
                <c:pt idx="18">
                  <c:v>889.18018758510686</c:v>
                </c:pt>
                <c:pt idx="19">
                  <c:v>890.71985073959308</c:v>
                </c:pt>
                <c:pt idx="20">
                  <c:v>891.90974845505184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 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F2'!$M$20:$AG$20</c:f>
              <c:numCache>
                <c:formatCode>#,##0</c:formatCode>
                <c:ptCount val="21"/>
                <c:pt idx="0">
                  <c:v>2058.5930448272088</c:v>
                </c:pt>
                <c:pt idx="1">
                  <c:v>2107.0842631738788</c:v>
                </c:pt>
                <c:pt idx="2">
                  <c:v>2037.1757231026922</c:v>
                </c:pt>
                <c:pt idx="3">
                  <c:v>2009.0185739109031</c:v>
                </c:pt>
                <c:pt idx="4">
                  <c:v>2024.0708190380049</c:v>
                </c:pt>
                <c:pt idx="5">
                  <c:v>2090.9340236741837</c:v>
                </c:pt>
                <c:pt idx="6">
                  <c:v>2138.1929213653816</c:v>
                </c:pt>
                <c:pt idx="7">
                  <c:v>2240.9183834470673</c:v>
                </c:pt>
                <c:pt idx="8">
                  <c:v>2308.6730487736672</c:v>
                </c:pt>
                <c:pt idx="9">
                  <c:v>2389.4336599571757</c:v>
                </c:pt>
                <c:pt idx="10">
                  <c:v>2457.418760057772</c:v>
                </c:pt>
                <c:pt idx="11">
                  <c:v>2488.7291970109532</c:v>
                </c:pt>
                <c:pt idx="12">
                  <c:v>2520.2689962519275</c:v>
                </c:pt>
                <c:pt idx="13">
                  <c:v>2556.4120175295916</c:v>
                </c:pt>
                <c:pt idx="14">
                  <c:v>2585.7185197006306</c:v>
                </c:pt>
                <c:pt idx="15">
                  <c:v>2617.2127520611521</c:v>
                </c:pt>
                <c:pt idx="16">
                  <c:v>2645.0160234130362</c:v>
                </c:pt>
                <c:pt idx="17">
                  <c:v>2673.0856638953892</c:v>
                </c:pt>
                <c:pt idx="18">
                  <c:v>2699.9381938540405</c:v>
                </c:pt>
                <c:pt idx="19">
                  <c:v>2725.4722827105543</c:v>
                </c:pt>
                <c:pt idx="20">
                  <c:v>2749.3219079367932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 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F2'!$M$23:$AG$23</c:f>
              <c:numCache>
                <c:formatCode>#,##0</c:formatCode>
                <c:ptCount val="21"/>
                <c:pt idx="0">
                  <c:v>3030.0405454519719</c:v>
                </c:pt>
                <c:pt idx="1">
                  <c:v>2932.2561299084473</c:v>
                </c:pt>
                <c:pt idx="2">
                  <c:v>2861.5063888945569</c:v>
                </c:pt>
                <c:pt idx="3">
                  <c:v>2850.5297378358819</c:v>
                </c:pt>
                <c:pt idx="4">
                  <c:v>2818.4752423899763</c:v>
                </c:pt>
                <c:pt idx="5">
                  <c:v>2822.3371958236908</c:v>
                </c:pt>
                <c:pt idx="6">
                  <c:v>2809.1879263236024</c:v>
                </c:pt>
                <c:pt idx="7">
                  <c:v>2883.6536090128329</c:v>
                </c:pt>
                <c:pt idx="8">
                  <c:v>2898.4489532458283</c:v>
                </c:pt>
                <c:pt idx="9">
                  <c:v>2928.9901877042712</c:v>
                </c:pt>
                <c:pt idx="10">
                  <c:v>2931.8021720360434</c:v>
                </c:pt>
                <c:pt idx="11">
                  <c:v>2905.9786540227351</c:v>
                </c:pt>
                <c:pt idx="12">
                  <c:v>2879.9698609429706</c:v>
                </c:pt>
                <c:pt idx="13">
                  <c:v>2857.4023501280021</c:v>
                </c:pt>
                <c:pt idx="14">
                  <c:v>2828.6668401470001</c:v>
                </c:pt>
                <c:pt idx="15">
                  <c:v>2801.6146683960205</c:v>
                </c:pt>
                <c:pt idx="16">
                  <c:v>2776.4338591120732</c:v>
                </c:pt>
                <c:pt idx="17">
                  <c:v>2752.8589044188639</c:v>
                </c:pt>
                <c:pt idx="18">
                  <c:v>2730.3051252852692</c:v>
                </c:pt>
                <c:pt idx="19">
                  <c:v>2708.7469967165748</c:v>
                </c:pt>
                <c:pt idx="20">
                  <c:v>2688.2376263800124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 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F2'!$M$24:$AG$24</c:f>
              <c:numCache>
                <c:formatCode>#,##0</c:formatCode>
                <c:ptCount val="21"/>
                <c:pt idx="0">
                  <c:v>993.33694726027159</c:v>
                </c:pt>
                <c:pt idx="1">
                  <c:v>948.55463594160506</c:v>
                </c:pt>
                <c:pt idx="2">
                  <c:v>922.81206127470875</c:v>
                </c:pt>
                <c:pt idx="3">
                  <c:v>925.83074305637774</c:v>
                </c:pt>
                <c:pt idx="4">
                  <c:v>888.7732628395654</c:v>
                </c:pt>
                <c:pt idx="5">
                  <c:v>864.35192739519994</c:v>
                </c:pt>
                <c:pt idx="6">
                  <c:v>832.8347403757009</c:v>
                </c:pt>
                <c:pt idx="7">
                  <c:v>828.39761903650424</c:v>
                </c:pt>
                <c:pt idx="8">
                  <c:v>802.01154649070907</c:v>
                </c:pt>
                <c:pt idx="9">
                  <c:v>781.56520238809276</c:v>
                </c:pt>
                <c:pt idx="10">
                  <c:v>748.98422550601674</c:v>
                </c:pt>
                <c:pt idx="11">
                  <c:v>711.41071165422079</c:v>
                </c:pt>
                <c:pt idx="12">
                  <c:v>673.9402080313431</c:v>
                </c:pt>
                <c:pt idx="13">
                  <c:v>637.43473430068241</c:v>
                </c:pt>
                <c:pt idx="14">
                  <c:v>597.41288687303472</c:v>
                </c:pt>
                <c:pt idx="15">
                  <c:v>557.47169482063259</c:v>
                </c:pt>
                <c:pt idx="16">
                  <c:v>516.95211194140541</c:v>
                </c:pt>
                <c:pt idx="17">
                  <c:v>478.1301506566727</c:v>
                </c:pt>
                <c:pt idx="18">
                  <c:v>443.7147407747691</c:v>
                </c:pt>
                <c:pt idx="19">
                  <c:v>414.25357525744397</c:v>
                </c:pt>
                <c:pt idx="20">
                  <c:v>388.91745057015663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 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F2'!$M$27:$AG$27</c:f>
              <c:numCache>
                <c:formatCode>#,##0</c:formatCode>
                <c:ptCount val="21"/>
                <c:pt idx="0">
                  <c:v>326.59568567127343</c:v>
                </c:pt>
                <c:pt idx="1">
                  <c:v>340.88836009061066</c:v>
                </c:pt>
                <c:pt idx="2">
                  <c:v>333.94194225160288</c:v>
                </c:pt>
                <c:pt idx="3">
                  <c:v>348.78819441688898</c:v>
                </c:pt>
                <c:pt idx="4">
                  <c:v>350.28170030405505</c:v>
                </c:pt>
                <c:pt idx="5">
                  <c:v>361.16839275811896</c:v>
                </c:pt>
                <c:pt idx="6">
                  <c:v>333.35598158031934</c:v>
                </c:pt>
                <c:pt idx="7">
                  <c:v>349.29697291625183</c:v>
                </c:pt>
                <c:pt idx="8">
                  <c:v>345.41973506554837</c:v>
                </c:pt>
                <c:pt idx="9">
                  <c:v>352.42194123931415</c:v>
                </c:pt>
                <c:pt idx="10">
                  <c:v>354.96114624116797</c:v>
                </c:pt>
                <c:pt idx="11">
                  <c:v>353.06223996654484</c:v>
                </c:pt>
                <c:pt idx="12">
                  <c:v>351.88580345815143</c:v>
                </c:pt>
                <c:pt idx="13">
                  <c:v>351.02747245843193</c:v>
                </c:pt>
                <c:pt idx="14">
                  <c:v>349.69388888430916</c:v>
                </c:pt>
                <c:pt idx="15">
                  <c:v>349.16485691298192</c:v>
                </c:pt>
                <c:pt idx="16">
                  <c:v>351.60219206689101</c:v>
                </c:pt>
                <c:pt idx="17">
                  <c:v>354.03200521637586</c:v>
                </c:pt>
                <c:pt idx="18">
                  <c:v>356.31019546401473</c:v>
                </c:pt>
                <c:pt idx="19">
                  <c:v>358.44937892503981</c:v>
                </c:pt>
                <c:pt idx="20">
                  <c:v>360.42857252278969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 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F2'!$M$28:$AG$28</c:f>
              <c:numCache>
                <c:formatCode>#,##0</c:formatCode>
                <c:ptCount val="21"/>
                <c:pt idx="0">
                  <c:v>1279.19315247642</c:v>
                </c:pt>
                <c:pt idx="1">
                  <c:v>1267.7914443410357</c:v>
                </c:pt>
                <c:pt idx="2">
                  <c:v>1224.4400771593735</c:v>
                </c:pt>
                <c:pt idx="3">
                  <c:v>1234.2125983579713</c:v>
                </c:pt>
                <c:pt idx="4">
                  <c:v>1222.7083123797681</c:v>
                </c:pt>
                <c:pt idx="5">
                  <c:v>1207.166298134011</c:v>
                </c:pt>
                <c:pt idx="6">
                  <c:v>1206.7378322923912</c:v>
                </c:pt>
                <c:pt idx="7">
                  <c:v>1226.182924240961</c:v>
                </c:pt>
                <c:pt idx="8">
                  <c:v>1228.4609478537166</c:v>
                </c:pt>
                <c:pt idx="9">
                  <c:v>1229.2350629995017</c:v>
                </c:pt>
                <c:pt idx="10">
                  <c:v>1228.0409620922514</c:v>
                </c:pt>
                <c:pt idx="11">
                  <c:v>1205.766236966972</c:v>
                </c:pt>
                <c:pt idx="12">
                  <c:v>1185.2641102568393</c:v>
                </c:pt>
                <c:pt idx="13">
                  <c:v>1165.9418940397454</c:v>
                </c:pt>
                <c:pt idx="14">
                  <c:v>1141.4138041954084</c:v>
                </c:pt>
                <c:pt idx="15">
                  <c:v>1118.2338508289929</c:v>
                </c:pt>
                <c:pt idx="16">
                  <c:v>1103.0838483380273</c:v>
                </c:pt>
                <c:pt idx="17">
                  <c:v>1088.3848287027988</c:v>
                </c:pt>
                <c:pt idx="18">
                  <c:v>1073.9301922835696</c:v>
                </c:pt>
                <c:pt idx="19">
                  <c:v>1059.0465781139931</c:v>
                </c:pt>
                <c:pt idx="20">
                  <c:v>1043.8089392652857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 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F2'!$M$29:$AG$29</c:f>
              <c:numCache>
                <c:formatCode>#,##0</c:formatCode>
                <c:ptCount val="21"/>
                <c:pt idx="0">
                  <c:v>1134.0272967353342</c:v>
                </c:pt>
                <c:pt idx="1">
                  <c:v>1134.6077776667496</c:v>
                </c:pt>
                <c:pt idx="2">
                  <c:v>1045.7509305042856</c:v>
                </c:pt>
                <c:pt idx="3">
                  <c:v>1005.9411413312753</c:v>
                </c:pt>
                <c:pt idx="4">
                  <c:v>1013.1571990653766</c:v>
                </c:pt>
                <c:pt idx="5">
                  <c:v>997.18720072581925</c:v>
                </c:pt>
                <c:pt idx="6">
                  <c:v>990.93403964633853</c:v>
                </c:pt>
                <c:pt idx="7">
                  <c:v>1028.4890138355158</c:v>
                </c:pt>
                <c:pt idx="8">
                  <c:v>1031.2264998782507</c:v>
                </c:pt>
                <c:pt idx="9">
                  <c:v>1057.5053065437774</c:v>
                </c:pt>
                <c:pt idx="10">
                  <c:v>1069.1049856779691</c:v>
                </c:pt>
                <c:pt idx="11">
                  <c:v>1072.9310866716087</c:v>
                </c:pt>
                <c:pt idx="12">
                  <c:v>1080.6443677139512</c:v>
                </c:pt>
                <c:pt idx="13">
                  <c:v>1088.1855556359694</c:v>
                </c:pt>
                <c:pt idx="14">
                  <c:v>1085.5875313138697</c:v>
                </c:pt>
                <c:pt idx="15">
                  <c:v>1083.6604766975181</c:v>
                </c:pt>
                <c:pt idx="16">
                  <c:v>1079.3736257945313</c:v>
                </c:pt>
                <c:pt idx="17">
                  <c:v>1075.2819438001134</c:v>
                </c:pt>
                <c:pt idx="18">
                  <c:v>1071.2652389679317</c:v>
                </c:pt>
                <c:pt idx="19">
                  <c:v>1067.5217447203768</c:v>
                </c:pt>
                <c:pt idx="20">
                  <c:v>1063.8777838174137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 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F2'!$M$30:$AG$30</c:f>
              <c:numCache>
                <c:formatCode>#,##0</c:formatCode>
                <c:ptCount val="21"/>
                <c:pt idx="0">
                  <c:v>843.79919284543814</c:v>
                </c:pt>
                <c:pt idx="1">
                  <c:v>839.19271916657181</c:v>
                </c:pt>
                <c:pt idx="2">
                  <c:v>781.0393227135504</c:v>
                </c:pt>
                <c:pt idx="3">
                  <c:v>803.83509216999425</c:v>
                </c:pt>
                <c:pt idx="4">
                  <c:v>780.46128608351296</c:v>
                </c:pt>
                <c:pt idx="5">
                  <c:v>795.51854332844539</c:v>
                </c:pt>
                <c:pt idx="6">
                  <c:v>769.44527406556347</c:v>
                </c:pt>
                <c:pt idx="7">
                  <c:v>783.05465492479539</c:v>
                </c:pt>
                <c:pt idx="8">
                  <c:v>779.94277715619774</c:v>
                </c:pt>
                <c:pt idx="9">
                  <c:v>783.03792651668073</c:v>
                </c:pt>
                <c:pt idx="10">
                  <c:v>780.72926486080155</c:v>
                </c:pt>
                <c:pt idx="11">
                  <c:v>767.68503131399723</c:v>
                </c:pt>
                <c:pt idx="12">
                  <c:v>755.32959251901514</c:v>
                </c:pt>
                <c:pt idx="13">
                  <c:v>744.57623913271425</c:v>
                </c:pt>
                <c:pt idx="14">
                  <c:v>730.87838467128063</c:v>
                </c:pt>
                <c:pt idx="15">
                  <c:v>717.8940678350782</c:v>
                </c:pt>
                <c:pt idx="16">
                  <c:v>704.39654359776137</c:v>
                </c:pt>
                <c:pt idx="17">
                  <c:v>691.05639102491091</c:v>
                </c:pt>
                <c:pt idx="18">
                  <c:v>678.4893208452288</c:v>
                </c:pt>
                <c:pt idx="19">
                  <c:v>667.54547893517145</c:v>
                </c:pt>
                <c:pt idx="20">
                  <c:v>658.07025657011309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8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 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F2'!$M$33:$AG$33</c:f>
              <c:numCache>
                <c:formatCode>#,##0</c:formatCode>
                <c:ptCount val="21"/>
                <c:pt idx="0">
                  <c:v>1960.332640697347</c:v>
                </c:pt>
                <c:pt idx="1">
                  <c:v>2004.5746726893835</c:v>
                </c:pt>
                <c:pt idx="2">
                  <c:v>2023.0341295312351</c:v>
                </c:pt>
                <c:pt idx="3">
                  <c:v>2138.7534064857946</c:v>
                </c:pt>
                <c:pt idx="4">
                  <c:v>2153.1246254819725</c:v>
                </c:pt>
                <c:pt idx="5">
                  <c:v>2188.2931420126838</c:v>
                </c:pt>
                <c:pt idx="6">
                  <c:v>2261.3885720005287</c:v>
                </c:pt>
                <c:pt idx="7">
                  <c:v>2384.2566191045175</c:v>
                </c:pt>
                <c:pt idx="8">
                  <c:v>2442.3723718963611</c:v>
                </c:pt>
                <c:pt idx="9">
                  <c:v>2524.4544714351432</c:v>
                </c:pt>
                <c:pt idx="10">
                  <c:v>2578.4645595025959</c:v>
                </c:pt>
                <c:pt idx="11">
                  <c:v>2623.0571340907118</c:v>
                </c:pt>
                <c:pt idx="12">
                  <c:v>2658.1974201234975</c:v>
                </c:pt>
                <c:pt idx="13">
                  <c:v>2695.0777093881279</c:v>
                </c:pt>
                <c:pt idx="14">
                  <c:v>2739.4479945599642</c:v>
                </c:pt>
                <c:pt idx="15">
                  <c:v>2787.4164334872221</c:v>
                </c:pt>
                <c:pt idx="16">
                  <c:v>2843.4897744541272</c:v>
                </c:pt>
                <c:pt idx="17">
                  <c:v>2899.91194780161</c:v>
                </c:pt>
                <c:pt idx="18">
                  <c:v>2954.8371348580627</c:v>
                </c:pt>
                <c:pt idx="19">
                  <c:v>3007.1465964649797</c:v>
                </c:pt>
                <c:pt idx="20">
                  <c:v>3056.5262037008101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 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F2'!$M$34:$AG$34</c:f>
              <c:numCache>
                <c:formatCode>#,##0</c:formatCode>
                <c:ptCount val="21"/>
                <c:pt idx="0">
                  <c:v>685.21818202505688</c:v>
                </c:pt>
                <c:pt idx="1">
                  <c:v>699.61197540536739</c:v>
                </c:pt>
                <c:pt idx="2">
                  <c:v>701.35851816592401</c:v>
                </c:pt>
                <c:pt idx="3">
                  <c:v>678.84389897644553</c:v>
                </c:pt>
                <c:pt idx="4">
                  <c:v>688.16920853414751</c:v>
                </c:pt>
                <c:pt idx="5">
                  <c:v>701.25642802866014</c:v>
                </c:pt>
                <c:pt idx="6">
                  <c:v>707.2614232801136</c:v>
                </c:pt>
                <c:pt idx="7">
                  <c:v>737.45244689522838</c:v>
                </c:pt>
                <c:pt idx="8">
                  <c:v>738.35921690226428</c:v>
                </c:pt>
                <c:pt idx="9">
                  <c:v>757.88221789132535</c:v>
                </c:pt>
                <c:pt idx="10">
                  <c:v>766.62156622264706</c:v>
                </c:pt>
                <c:pt idx="11">
                  <c:v>766.8834737821029</c:v>
                </c:pt>
                <c:pt idx="12">
                  <c:v>766.10151362031775</c:v>
                </c:pt>
                <c:pt idx="13">
                  <c:v>766.00841075116534</c:v>
                </c:pt>
                <c:pt idx="14">
                  <c:v>764.12726324696916</c:v>
                </c:pt>
                <c:pt idx="15">
                  <c:v>762.13985980964901</c:v>
                </c:pt>
                <c:pt idx="16">
                  <c:v>760.07541046295955</c:v>
                </c:pt>
                <c:pt idx="17">
                  <c:v>758.05879603321478</c:v>
                </c:pt>
                <c:pt idx="18">
                  <c:v>756.49327368650302</c:v>
                </c:pt>
                <c:pt idx="19">
                  <c:v>755.32666521866918</c:v>
                </c:pt>
                <c:pt idx="20">
                  <c:v>754.2829899415766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3784359265713874E-2"/>
          <c:y val="0.94184904751333198"/>
          <c:w val="0.89999993335577033"/>
          <c:h val="4.00052902805265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F2'!$L$37</c:f>
              <c:strCache>
                <c:ptCount val="1"/>
                <c:pt idx="0">
                  <c:v> 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F2'!$M$37:$AG$37</c:f>
              <c:numCache>
                <c:formatCode>#,##0</c:formatCode>
                <c:ptCount val="21"/>
                <c:pt idx="0">
                  <c:v>2266.5991740353952</c:v>
                </c:pt>
                <c:pt idx="1">
                  <c:v>2317.5813326949819</c:v>
                </c:pt>
                <c:pt idx="2">
                  <c:v>2241.3513418872558</c:v>
                </c:pt>
                <c:pt idx="3">
                  <c:v>2238.2396050468919</c:v>
                </c:pt>
                <c:pt idx="4">
                  <c:v>2209.8654614500065</c:v>
                </c:pt>
                <c:pt idx="5">
                  <c:v>2222.9839668671279</c:v>
                </c:pt>
                <c:pt idx="6">
                  <c:v>2190.0381535414513</c:v>
                </c:pt>
                <c:pt idx="7">
                  <c:v>2231.4612421909433</c:v>
                </c:pt>
                <c:pt idx="8">
                  <c:v>2218.3497254726967</c:v>
                </c:pt>
                <c:pt idx="9">
                  <c:v>2237.3060643038261</c:v>
                </c:pt>
                <c:pt idx="10">
                  <c:v>2232.1008314340879</c:v>
                </c:pt>
                <c:pt idx="11">
                  <c:v>2217.4947998450189</c:v>
                </c:pt>
                <c:pt idx="12">
                  <c:v>2202.1685617344428</c:v>
                </c:pt>
                <c:pt idx="13">
                  <c:v>2190.3847880282078</c:v>
                </c:pt>
                <c:pt idx="14">
                  <c:v>2162.8206618782524</c:v>
                </c:pt>
                <c:pt idx="15">
                  <c:v>2134.0816003374703</c:v>
                </c:pt>
                <c:pt idx="16">
                  <c:v>2121.8413268678646</c:v>
                </c:pt>
                <c:pt idx="17">
                  <c:v>2110.0649673733578</c:v>
                </c:pt>
                <c:pt idx="18">
                  <c:v>2098.7626461495697</c:v>
                </c:pt>
                <c:pt idx="19">
                  <c:v>2087.8122589655118</c:v>
                </c:pt>
                <c:pt idx="20">
                  <c:v>2077.8628337740365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F2'!$L$38</c:f>
              <c:strCache>
                <c:ptCount val="1"/>
                <c:pt idx="0">
                  <c:v> 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F2'!$M$38:$AG$38</c:f>
              <c:numCache>
                <c:formatCode>#,##0</c:formatCode>
                <c:ptCount val="21"/>
                <c:pt idx="0">
                  <c:v>525.58473477957932</c:v>
                </c:pt>
                <c:pt idx="1">
                  <c:v>543.61092284919744</c:v>
                </c:pt>
                <c:pt idx="2">
                  <c:v>569.43875389700418</c:v>
                </c:pt>
                <c:pt idx="3">
                  <c:v>561.87095979457865</c:v>
                </c:pt>
                <c:pt idx="4">
                  <c:v>569.16820678741271</c:v>
                </c:pt>
                <c:pt idx="5">
                  <c:v>585.73196652355909</c:v>
                </c:pt>
                <c:pt idx="6">
                  <c:v>598.93423745706923</c:v>
                </c:pt>
                <c:pt idx="7">
                  <c:v>632.11350567952763</c:v>
                </c:pt>
                <c:pt idx="8">
                  <c:v>655.3044709658376</c:v>
                </c:pt>
                <c:pt idx="9">
                  <c:v>679.08060848796254</c:v>
                </c:pt>
                <c:pt idx="10">
                  <c:v>696.93275934173869</c:v>
                </c:pt>
                <c:pt idx="11">
                  <c:v>706.63361521407569</c:v>
                </c:pt>
                <c:pt idx="12">
                  <c:v>716.29501191764973</c:v>
                </c:pt>
                <c:pt idx="13">
                  <c:v>726.83340668628296</c:v>
                </c:pt>
                <c:pt idx="14">
                  <c:v>736.85303112253371</c:v>
                </c:pt>
                <c:pt idx="15">
                  <c:v>747.16438602733615</c:v>
                </c:pt>
                <c:pt idx="16">
                  <c:v>757.46679222620185</c:v>
                </c:pt>
                <c:pt idx="17">
                  <c:v>767.92622666245632</c:v>
                </c:pt>
                <c:pt idx="18">
                  <c:v>778.48811549499158</c:v>
                </c:pt>
                <c:pt idx="19">
                  <c:v>788.8337986151854</c:v>
                </c:pt>
                <c:pt idx="20">
                  <c:v>798.75091212199368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295632066029317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F2'!$L$41</c:f>
              <c:strCache>
                <c:ptCount val="1"/>
                <c:pt idx="0">
                  <c:v> 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F2'!$M$41:$AG$41</c:f>
              <c:numCache>
                <c:formatCode>#,##0</c:formatCode>
                <c:ptCount val="21"/>
                <c:pt idx="0">
                  <c:v>1062.9416018239299</c:v>
                </c:pt>
                <c:pt idx="1">
                  <c:v>1034.3622932708711</c:v>
                </c:pt>
                <c:pt idx="2">
                  <c:v>984.32030162211049</c:v>
                </c:pt>
                <c:pt idx="3">
                  <c:v>978.7693837101242</c:v>
                </c:pt>
                <c:pt idx="4">
                  <c:v>955.22972226315051</c:v>
                </c:pt>
                <c:pt idx="5">
                  <c:v>947.27616497072279</c:v>
                </c:pt>
                <c:pt idx="6">
                  <c:v>922.41531127509518</c:v>
                </c:pt>
                <c:pt idx="7">
                  <c:v>930.72349060515512</c:v>
                </c:pt>
                <c:pt idx="8">
                  <c:v>923.98280574687317</c:v>
                </c:pt>
                <c:pt idx="9">
                  <c:v>918.98260280155876</c:v>
                </c:pt>
                <c:pt idx="10">
                  <c:v>910.36505814126201</c:v>
                </c:pt>
                <c:pt idx="11">
                  <c:v>885.44884104996947</c:v>
                </c:pt>
                <c:pt idx="12">
                  <c:v>860.68961199599801</c:v>
                </c:pt>
                <c:pt idx="13">
                  <c:v>837.80041528726315</c:v>
                </c:pt>
                <c:pt idx="14">
                  <c:v>812.182971516718</c:v>
                </c:pt>
                <c:pt idx="15">
                  <c:v>788.01412016119968</c:v>
                </c:pt>
                <c:pt idx="16">
                  <c:v>769.47354372957261</c:v>
                </c:pt>
                <c:pt idx="17">
                  <c:v>752.55938272611593</c:v>
                </c:pt>
                <c:pt idx="18">
                  <c:v>736.91388647047222</c:v>
                </c:pt>
                <c:pt idx="19">
                  <c:v>722.62180483851785</c:v>
                </c:pt>
                <c:pt idx="20">
                  <c:v>708.95931242337531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F2'!$L$42</c:f>
              <c:strCache>
                <c:ptCount val="1"/>
                <c:pt idx="0">
                  <c:v> 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F2'!$M$42:$AG$42</c:f>
              <c:numCache>
                <c:formatCode>#,##0</c:formatCode>
                <c:ptCount val="21"/>
                <c:pt idx="0">
                  <c:v>1251.2075495320041</c:v>
                </c:pt>
                <c:pt idx="1">
                  <c:v>1237.7753910568877</c:v>
                </c:pt>
                <c:pt idx="2">
                  <c:v>1218.6755797830349</c:v>
                </c:pt>
                <c:pt idx="3">
                  <c:v>1178.3917184247789</c:v>
                </c:pt>
                <c:pt idx="4">
                  <c:v>1197.1339988913282</c:v>
                </c:pt>
                <c:pt idx="5">
                  <c:v>1210.2822982778534</c:v>
                </c:pt>
                <c:pt idx="6">
                  <c:v>1203.8256522121369</c:v>
                </c:pt>
                <c:pt idx="7">
                  <c:v>1233.9428271034246</c:v>
                </c:pt>
                <c:pt idx="8">
                  <c:v>1238.6343909913001</c:v>
                </c:pt>
                <c:pt idx="9">
                  <c:v>1255.0915178545863</c:v>
                </c:pt>
                <c:pt idx="10">
                  <c:v>1269.5914805445047</c:v>
                </c:pt>
                <c:pt idx="11">
                  <c:v>1267.3854523377233</c:v>
                </c:pt>
                <c:pt idx="12">
                  <c:v>1266.0265738139719</c:v>
                </c:pt>
                <c:pt idx="13">
                  <c:v>1267.7817867361916</c:v>
                </c:pt>
                <c:pt idx="14">
                  <c:v>1263.5694361471824</c:v>
                </c:pt>
                <c:pt idx="15">
                  <c:v>1259.4122875888795</c:v>
                </c:pt>
                <c:pt idx="16">
                  <c:v>1261.1577096399933</c:v>
                </c:pt>
                <c:pt idx="17">
                  <c:v>1262.8819099487469</c:v>
                </c:pt>
                <c:pt idx="18">
                  <c:v>1264.1042802314728</c:v>
                </c:pt>
                <c:pt idx="19">
                  <c:v>1264.7248920780448</c:v>
                </c:pt>
                <c:pt idx="20">
                  <c:v>1265.1666013580495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0.21978293253883804"/>
          <c:y val="0.86822930790507791"/>
          <c:w val="0.63325760800170261"/>
          <c:h val="0.124256603178203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F2'!$L$45</c:f>
              <c:strCache>
                <c:ptCount val="1"/>
                <c:pt idx="0">
                  <c:v> 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F2'!$M$45:$AG$45</c:f>
              <c:numCache>
                <c:formatCode>#,##0</c:formatCode>
                <c:ptCount val="21"/>
                <c:pt idx="0">
                  <c:v>553.13527715257499</c:v>
                </c:pt>
                <c:pt idx="1">
                  <c:v>545.90086148026774</c:v>
                </c:pt>
                <c:pt idx="2">
                  <c:v>532.59232230247642</c:v>
                </c:pt>
                <c:pt idx="3">
                  <c:v>517.69697437530169</c:v>
                </c:pt>
                <c:pt idx="4">
                  <c:v>517.57889599248892</c:v>
                </c:pt>
                <c:pt idx="5">
                  <c:v>530.50403474238635</c:v>
                </c:pt>
                <c:pt idx="6">
                  <c:v>519.38333512661177</c:v>
                </c:pt>
                <c:pt idx="7">
                  <c:v>537.8832903305904</c:v>
                </c:pt>
                <c:pt idx="8">
                  <c:v>542.69665031029649</c:v>
                </c:pt>
                <c:pt idx="9">
                  <c:v>550.37681268743268</c:v>
                </c:pt>
                <c:pt idx="10">
                  <c:v>555.13378958997748</c:v>
                </c:pt>
                <c:pt idx="11">
                  <c:v>551.64048555631507</c:v>
                </c:pt>
                <c:pt idx="12">
                  <c:v>548.41771474058021</c:v>
                </c:pt>
                <c:pt idx="13">
                  <c:v>546.19624723311847</c:v>
                </c:pt>
                <c:pt idx="14">
                  <c:v>542.42561323256643</c:v>
                </c:pt>
                <c:pt idx="15">
                  <c:v>539.00070305465908</c:v>
                </c:pt>
                <c:pt idx="16">
                  <c:v>536.99534352802607</c:v>
                </c:pt>
                <c:pt idx="17">
                  <c:v>535.56129799553344</c:v>
                </c:pt>
                <c:pt idx="18">
                  <c:v>534.05335180568591</c:v>
                </c:pt>
                <c:pt idx="19">
                  <c:v>532.51588741675812</c:v>
                </c:pt>
                <c:pt idx="20">
                  <c:v>530.97531625291219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F2'!$L$46</c:f>
              <c:strCache>
                <c:ptCount val="1"/>
                <c:pt idx="0">
                  <c:v> 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F2'!$M$46:$AG$46</c:f>
              <c:numCache>
                <c:formatCode>#,##0</c:formatCode>
                <c:ptCount val="21"/>
                <c:pt idx="0">
                  <c:v>3484.0820997201308</c:v>
                </c:pt>
                <c:pt idx="1">
                  <c:v>3445.5942812523385</c:v>
                </c:pt>
                <c:pt idx="2">
                  <c:v>3291.5528025183326</c:v>
                </c:pt>
                <c:pt idx="3">
                  <c:v>3167.372281876872</c:v>
                </c:pt>
                <c:pt idx="4">
                  <c:v>3167.5481592688357</c:v>
                </c:pt>
                <c:pt idx="5">
                  <c:v>3235.6878010367845</c:v>
                </c:pt>
                <c:pt idx="6">
                  <c:v>3184.1716333997483</c:v>
                </c:pt>
                <c:pt idx="7">
                  <c:v>3298.7402924964799</c:v>
                </c:pt>
                <c:pt idx="8">
                  <c:v>3332.2613859958783</c:v>
                </c:pt>
                <c:pt idx="9">
                  <c:v>3382.2241674360016</c:v>
                </c:pt>
                <c:pt idx="10">
                  <c:v>3400.859321554502</c:v>
                </c:pt>
                <c:pt idx="11">
                  <c:v>3400.4469705251581</c:v>
                </c:pt>
                <c:pt idx="12">
                  <c:v>3402.0706081913222</c:v>
                </c:pt>
                <c:pt idx="13">
                  <c:v>3411.9813426247219</c:v>
                </c:pt>
                <c:pt idx="14">
                  <c:v>3409.3777801202177</c:v>
                </c:pt>
                <c:pt idx="15">
                  <c:v>3409.040265297268</c:v>
                </c:pt>
                <c:pt idx="16">
                  <c:v>3405.8424394603294</c:v>
                </c:pt>
                <c:pt idx="17">
                  <c:v>3407.3917587736751</c:v>
                </c:pt>
                <c:pt idx="18">
                  <c:v>3410.2971386422528</c:v>
                </c:pt>
                <c:pt idx="19">
                  <c:v>3412.6797058430611</c:v>
                </c:pt>
                <c:pt idx="20">
                  <c:v>3415.9759462743414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416243654822857"/>
          <c:y val="0.9080890503729"/>
          <c:w val="0.71065989847718092"/>
          <c:h val="8.6397136371510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F2'!$M$5:$AG$5</c:f>
              <c:numCache>
                <c:formatCode>#,##0</c:formatCode>
                <c:ptCount val="21"/>
                <c:pt idx="0">
                  <c:v>2775.6722245764886</c:v>
                </c:pt>
                <c:pt idx="1">
                  <c:v>2895.3631306562875</c:v>
                </c:pt>
                <c:pt idx="2">
                  <c:v>2852.7922824427478</c:v>
                </c:pt>
                <c:pt idx="3">
                  <c:v>2863.7341444328331</c:v>
                </c:pt>
                <c:pt idx="4">
                  <c:v>2913.8430798767176</c:v>
                </c:pt>
                <c:pt idx="5">
                  <c:v>3042.9552477890466</c:v>
                </c:pt>
                <c:pt idx="6">
                  <c:v>3094.6454331419236</c:v>
                </c:pt>
                <c:pt idx="7">
                  <c:v>3268.9781043939961</c:v>
                </c:pt>
                <c:pt idx="8">
                  <c:v>3349.1604552691188</c:v>
                </c:pt>
                <c:pt idx="9">
                  <c:v>3470.3701926210956</c:v>
                </c:pt>
                <c:pt idx="10">
                  <c:v>3566.4243567681951</c:v>
                </c:pt>
                <c:pt idx="11">
                  <c:v>3610.8253954873444</c:v>
                </c:pt>
                <c:pt idx="12">
                  <c:v>3655.4641583942366</c:v>
                </c:pt>
                <c:pt idx="13">
                  <c:v>3705.1746372851539</c:v>
                </c:pt>
                <c:pt idx="14">
                  <c:v>3749.863608471318</c:v>
                </c:pt>
                <c:pt idx="15">
                  <c:v>3797.692018875618</c:v>
                </c:pt>
                <c:pt idx="16">
                  <c:v>3841.9050138592929</c:v>
                </c:pt>
                <c:pt idx="17">
                  <c:v>3885.7719325600724</c:v>
                </c:pt>
                <c:pt idx="18">
                  <c:v>3927.9519200717282</c:v>
                </c:pt>
                <c:pt idx="19">
                  <c:v>3968.0155898111652</c:v>
                </c:pt>
                <c:pt idx="20">
                  <c:v>4004.9714119572809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F2'!$M$9:$AG$9</c:f>
              <c:numCache>
                <c:formatCode>#,##0</c:formatCode>
                <c:ptCount val="21"/>
                <c:pt idx="0">
                  <c:v>5426.0517436222353</c:v>
                </c:pt>
                <c:pt idx="1">
                  <c:v>5578.1365810381412</c:v>
                </c:pt>
                <c:pt idx="2">
                  <c:v>5677.3686484762648</c:v>
                </c:pt>
                <c:pt idx="3">
                  <c:v>5652.6930971787187</c:v>
                </c:pt>
                <c:pt idx="4">
                  <c:v>5706.794994722175</c:v>
                </c:pt>
                <c:pt idx="5">
                  <c:v>5841.9253216752832</c:v>
                </c:pt>
                <c:pt idx="6">
                  <c:v>6014.0096553608537</c:v>
                </c:pt>
                <c:pt idx="7">
                  <c:v>6310.9121560229423</c:v>
                </c:pt>
                <c:pt idx="8">
                  <c:v>6500.218997015616</c:v>
                </c:pt>
                <c:pt idx="9">
                  <c:v>6710.1098320189894</c:v>
                </c:pt>
                <c:pt idx="10">
                  <c:v>6873.491838564174</c:v>
                </c:pt>
                <c:pt idx="11">
                  <c:v>6947.9072379633471</c:v>
                </c:pt>
                <c:pt idx="12">
                  <c:v>7015.7207611281874</c:v>
                </c:pt>
                <c:pt idx="13">
                  <c:v>7096.8040495067935</c:v>
                </c:pt>
                <c:pt idx="14">
                  <c:v>7182.3144342282803</c:v>
                </c:pt>
                <c:pt idx="15">
                  <c:v>7275.3001598756555</c:v>
                </c:pt>
                <c:pt idx="16">
                  <c:v>7366.9228634898491</c:v>
                </c:pt>
                <c:pt idx="17">
                  <c:v>7455.7178712279165</c:v>
                </c:pt>
                <c:pt idx="18">
                  <c:v>7540.7755096202218</c:v>
                </c:pt>
                <c:pt idx="19">
                  <c:v>7620.315587422032</c:v>
                </c:pt>
                <c:pt idx="20">
                  <c:v>7694.6188836679112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and technical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F2'!$M$15:$AG$15</c:f>
              <c:numCache>
                <c:formatCode>#,##0</c:formatCode>
                <c:ptCount val="21"/>
                <c:pt idx="0">
                  <c:v>4192.1889515946241</c:v>
                </c:pt>
                <c:pt idx="1">
                  <c:v>4301.1474904912029</c:v>
                </c:pt>
                <c:pt idx="2">
                  <c:v>4192.9605965753526</c:v>
                </c:pt>
                <c:pt idx="3">
                  <c:v>4108.5140225291507</c:v>
                </c:pt>
                <c:pt idx="4">
                  <c:v>4141.6666436695423</c:v>
                </c:pt>
                <c:pt idx="5">
                  <c:v>4245.3870699108684</c:v>
                </c:pt>
                <c:pt idx="6">
                  <c:v>4332.4207989205606</c:v>
                </c:pt>
                <c:pt idx="7">
                  <c:v>4525.459231210245</c:v>
                </c:pt>
                <c:pt idx="8">
                  <c:v>4628.1960697434206</c:v>
                </c:pt>
                <c:pt idx="9">
                  <c:v>4768.390885070341</c:v>
                </c:pt>
                <c:pt idx="10">
                  <c:v>4884.3836819220542</c:v>
                </c:pt>
                <c:pt idx="11">
                  <c:v>4933.7086335520771</c:v>
                </c:pt>
                <c:pt idx="12">
                  <c:v>4979.2161214173102</c:v>
                </c:pt>
                <c:pt idx="13">
                  <c:v>5031.849960777301</c:v>
                </c:pt>
                <c:pt idx="14">
                  <c:v>5075.2908693909721</c:v>
                </c:pt>
                <c:pt idx="15">
                  <c:v>5123.1465499937876</c:v>
                </c:pt>
                <c:pt idx="16">
                  <c:v>5162.6286014309999</c:v>
                </c:pt>
                <c:pt idx="17">
                  <c:v>5202.5026850775994</c:v>
                </c:pt>
                <c:pt idx="18">
                  <c:v>5240.4189293480995</c:v>
                </c:pt>
                <c:pt idx="19">
                  <c:v>5276.2894606573427</c:v>
                </c:pt>
                <c:pt idx="20">
                  <c:v>5309.5219594020828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F2'!$M$22:$AG$22</c:f>
              <c:numCache>
                <c:formatCode>#,##0</c:formatCode>
                <c:ptCount val="21"/>
                <c:pt idx="0">
                  <c:v>4023.3774927122436</c:v>
                </c:pt>
                <c:pt idx="1">
                  <c:v>3880.8107658500521</c:v>
                </c:pt>
                <c:pt idx="2">
                  <c:v>3784.3184501692658</c:v>
                </c:pt>
                <c:pt idx="3">
                  <c:v>3776.3604808922596</c:v>
                </c:pt>
                <c:pt idx="4">
                  <c:v>3707.2485052295415</c:v>
                </c:pt>
                <c:pt idx="5">
                  <c:v>3686.6891232188909</c:v>
                </c:pt>
                <c:pt idx="6">
                  <c:v>3642.022666699303</c:v>
                </c:pt>
                <c:pt idx="7">
                  <c:v>3712.0512280493372</c:v>
                </c:pt>
                <c:pt idx="8">
                  <c:v>3700.4604997365373</c:v>
                </c:pt>
                <c:pt idx="9">
                  <c:v>3710.5553900923642</c:v>
                </c:pt>
                <c:pt idx="10">
                  <c:v>3680.7863975420601</c:v>
                </c:pt>
                <c:pt idx="11">
                  <c:v>3617.389365676956</c:v>
                </c:pt>
                <c:pt idx="12">
                  <c:v>3553.9100689743136</c:v>
                </c:pt>
                <c:pt idx="13">
                  <c:v>3494.8370844286846</c:v>
                </c:pt>
                <c:pt idx="14">
                  <c:v>3426.0797270200346</c:v>
                </c:pt>
                <c:pt idx="15">
                  <c:v>3359.0863632166529</c:v>
                </c:pt>
                <c:pt idx="16">
                  <c:v>3293.3859710534784</c:v>
                </c:pt>
                <c:pt idx="17">
                  <c:v>3230.9890550755367</c:v>
                </c:pt>
                <c:pt idx="18">
                  <c:v>3174.0198660600381</c:v>
                </c:pt>
                <c:pt idx="19">
                  <c:v>3123.0005719740188</c:v>
                </c:pt>
                <c:pt idx="20">
                  <c:v>3077.1550769501691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F2'!$M$26:$AG$26</c:f>
              <c:numCache>
                <c:formatCode>#,##0</c:formatCode>
                <c:ptCount val="21"/>
                <c:pt idx="0">
                  <c:v>3583.6153277284657</c:v>
                </c:pt>
                <c:pt idx="1">
                  <c:v>3582.4803012649677</c:v>
                </c:pt>
                <c:pt idx="2">
                  <c:v>3385.1722726288122</c:v>
                </c:pt>
                <c:pt idx="3">
                  <c:v>3392.7770262761301</c:v>
                </c:pt>
                <c:pt idx="4">
                  <c:v>3366.6084978327126</c:v>
                </c:pt>
                <c:pt idx="5">
                  <c:v>3361.0404349463947</c:v>
                </c:pt>
                <c:pt idx="6">
                  <c:v>3300.4731275846125</c:v>
                </c:pt>
                <c:pt idx="7">
                  <c:v>3387.0235659175241</c:v>
                </c:pt>
                <c:pt idx="8">
                  <c:v>3385.0499599537134</c:v>
                </c:pt>
                <c:pt idx="9">
                  <c:v>3422.2002372992738</c:v>
                </c:pt>
                <c:pt idx="10">
                  <c:v>3432.8363588721904</c:v>
                </c:pt>
                <c:pt idx="11">
                  <c:v>3399.4445949191227</c:v>
                </c:pt>
                <c:pt idx="12">
                  <c:v>3373.1238739479568</c:v>
                </c:pt>
                <c:pt idx="13">
                  <c:v>3349.7311612668609</c:v>
                </c:pt>
                <c:pt idx="14">
                  <c:v>3307.5736090648679</c:v>
                </c:pt>
                <c:pt idx="15">
                  <c:v>3268.9532522745712</c:v>
                </c:pt>
                <c:pt idx="16">
                  <c:v>3238.4562097972112</c:v>
                </c:pt>
                <c:pt idx="17">
                  <c:v>3208.7551687441992</c:v>
                </c:pt>
                <c:pt idx="18">
                  <c:v>3179.9949475607445</c:v>
                </c:pt>
                <c:pt idx="19">
                  <c:v>3152.5631806945812</c:v>
                </c:pt>
                <c:pt idx="20">
                  <c:v>3126.1855521756024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F2'!$M$32:$AG$32</c:f>
              <c:numCache>
                <c:formatCode>#,##0</c:formatCode>
                <c:ptCount val="21"/>
                <c:pt idx="0">
                  <c:v>2645.5508227224036</c:v>
                </c:pt>
                <c:pt idx="1">
                  <c:v>2704.186648094751</c:v>
                </c:pt>
                <c:pt idx="2">
                  <c:v>2724.3926476971592</c:v>
                </c:pt>
                <c:pt idx="3">
                  <c:v>2817.59730546224</c:v>
                </c:pt>
                <c:pt idx="4">
                  <c:v>2841.2938340161199</c:v>
                </c:pt>
                <c:pt idx="5">
                  <c:v>2889.5495700413439</c:v>
                </c:pt>
                <c:pt idx="6">
                  <c:v>2968.6499952806425</c:v>
                </c:pt>
                <c:pt idx="7">
                  <c:v>3121.7090659997457</c:v>
                </c:pt>
                <c:pt idx="8">
                  <c:v>3180.7315887986251</c:v>
                </c:pt>
                <c:pt idx="9">
                  <c:v>3282.3366893264683</c:v>
                </c:pt>
                <c:pt idx="10">
                  <c:v>3345.0861257252427</c:v>
                </c:pt>
                <c:pt idx="11">
                  <c:v>3389.9406078728148</c:v>
                </c:pt>
                <c:pt idx="12">
                  <c:v>3424.2989337438153</c:v>
                </c:pt>
                <c:pt idx="13">
                  <c:v>3461.0861201392931</c:v>
                </c:pt>
                <c:pt idx="14">
                  <c:v>3503.5752578069332</c:v>
                </c:pt>
                <c:pt idx="15">
                  <c:v>3549.556293296871</c:v>
                </c:pt>
                <c:pt idx="16">
                  <c:v>3603.5651849170868</c:v>
                </c:pt>
                <c:pt idx="17">
                  <c:v>3657.970743834825</c:v>
                </c:pt>
                <c:pt idx="18">
                  <c:v>3711.3304085445657</c:v>
                </c:pt>
                <c:pt idx="19">
                  <c:v>3762.4732616836491</c:v>
                </c:pt>
                <c:pt idx="20">
                  <c:v>3810.8091936423866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F2'!$L$36</c:f>
              <c:strCache>
                <c:ptCount val="1"/>
                <c:pt idx="0">
                  <c:v>Sales and customer service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F2'!$M$36:$AG$36</c:f>
              <c:numCache>
                <c:formatCode>#,##0</c:formatCode>
                <c:ptCount val="21"/>
                <c:pt idx="0">
                  <c:v>2792.1839088149745</c:v>
                </c:pt>
                <c:pt idx="1">
                  <c:v>2861.1922555441793</c:v>
                </c:pt>
                <c:pt idx="2">
                  <c:v>2810.7900957842598</c:v>
                </c:pt>
                <c:pt idx="3">
                  <c:v>2800.1105648414705</c:v>
                </c:pt>
                <c:pt idx="4">
                  <c:v>2779.0336682374191</c:v>
                </c:pt>
                <c:pt idx="5">
                  <c:v>2808.715933390687</c:v>
                </c:pt>
                <c:pt idx="6">
                  <c:v>2788.9723909985205</c:v>
                </c:pt>
                <c:pt idx="7">
                  <c:v>2863.5747478704707</c:v>
                </c:pt>
                <c:pt idx="8">
                  <c:v>2873.6541964385342</c:v>
                </c:pt>
                <c:pt idx="9">
                  <c:v>2916.3866727917884</c:v>
                </c:pt>
                <c:pt idx="10">
                  <c:v>2929.0335907758267</c:v>
                </c:pt>
                <c:pt idx="11">
                  <c:v>2924.1284150590946</c:v>
                </c:pt>
                <c:pt idx="12">
                  <c:v>2918.4635736520927</c:v>
                </c:pt>
                <c:pt idx="13">
                  <c:v>2917.2181947144909</c:v>
                </c:pt>
                <c:pt idx="14">
                  <c:v>2899.673693000786</c:v>
                </c:pt>
                <c:pt idx="15">
                  <c:v>2881.2459863648064</c:v>
                </c:pt>
                <c:pt idx="16">
                  <c:v>2879.3081190940666</c:v>
                </c:pt>
                <c:pt idx="17">
                  <c:v>2877.9911940358143</c:v>
                </c:pt>
                <c:pt idx="18">
                  <c:v>2877.2507616445614</c:v>
                </c:pt>
                <c:pt idx="19">
                  <c:v>2876.6460575806973</c:v>
                </c:pt>
                <c:pt idx="20">
                  <c:v>2876.6137458960302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F2'!$L$40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F2'!$M$40:$AG$40</c:f>
              <c:numCache>
                <c:formatCode>#,##0</c:formatCode>
                <c:ptCount val="21"/>
                <c:pt idx="0">
                  <c:v>2314.149151355934</c:v>
                </c:pt>
                <c:pt idx="1">
                  <c:v>2272.1376843277585</c:v>
                </c:pt>
                <c:pt idx="2">
                  <c:v>2202.9958814051452</c:v>
                </c:pt>
                <c:pt idx="3">
                  <c:v>2157.1611021349031</c:v>
                </c:pt>
                <c:pt idx="4">
                  <c:v>2152.3637211544788</c:v>
                </c:pt>
                <c:pt idx="5">
                  <c:v>2157.5584632485761</c:v>
                </c:pt>
                <c:pt idx="6">
                  <c:v>2126.240963487232</c:v>
                </c:pt>
                <c:pt idx="7">
                  <c:v>2164.6663177085798</c:v>
                </c:pt>
                <c:pt idx="8">
                  <c:v>2162.6171967381733</c:v>
                </c:pt>
                <c:pt idx="9">
                  <c:v>2174.0741206561452</c:v>
                </c:pt>
                <c:pt idx="10">
                  <c:v>2179.9565386857666</c:v>
                </c:pt>
                <c:pt idx="11">
                  <c:v>2152.8342933876929</c:v>
                </c:pt>
                <c:pt idx="12">
                  <c:v>2126.7161858099698</c:v>
                </c:pt>
                <c:pt idx="13">
                  <c:v>2105.5822020234546</c:v>
                </c:pt>
                <c:pt idx="14">
                  <c:v>2075.7524076639002</c:v>
                </c:pt>
                <c:pt idx="15">
                  <c:v>2047.4264077500793</c:v>
                </c:pt>
                <c:pt idx="16">
                  <c:v>2030.6312533695659</c:v>
                </c:pt>
                <c:pt idx="17">
                  <c:v>2015.4412926748628</c:v>
                </c:pt>
                <c:pt idx="18">
                  <c:v>2001.0181667019451</c:v>
                </c:pt>
                <c:pt idx="19">
                  <c:v>1987.3466969165627</c:v>
                </c:pt>
                <c:pt idx="20">
                  <c:v>1974.125913781425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F2'!$L$44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F2'!$M$44:$AG$44</c:f>
              <c:numCache>
                <c:formatCode>#,##0</c:formatCode>
                <c:ptCount val="21"/>
                <c:pt idx="0">
                  <c:v>4037.2173768727057</c:v>
                </c:pt>
                <c:pt idx="1">
                  <c:v>3991.4951427326064</c:v>
                </c:pt>
                <c:pt idx="2">
                  <c:v>3824.1451248208091</c:v>
                </c:pt>
                <c:pt idx="3">
                  <c:v>3685.0692562521735</c:v>
                </c:pt>
                <c:pt idx="4">
                  <c:v>3685.1270552613246</c:v>
                </c:pt>
                <c:pt idx="5">
                  <c:v>3766.191835779171</c:v>
                </c:pt>
                <c:pt idx="6">
                  <c:v>3703.55496852636</c:v>
                </c:pt>
                <c:pt idx="7">
                  <c:v>3836.6235828270701</c:v>
                </c:pt>
                <c:pt idx="8">
                  <c:v>3874.958036306175</c:v>
                </c:pt>
                <c:pt idx="9">
                  <c:v>3932.6009801234341</c:v>
                </c:pt>
                <c:pt idx="10">
                  <c:v>3955.9931111444794</c:v>
                </c:pt>
                <c:pt idx="11">
                  <c:v>3952.0874560814732</c:v>
                </c:pt>
                <c:pt idx="12">
                  <c:v>3950.4883229319025</c:v>
                </c:pt>
                <c:pt idx="13">
                  <c:v>3958.1775898578403</c:v>
                </c:pt>
                <c:pt idx="14">
                  <c:v>3951.803393352784</c:v>
                </c:pt>
                <c:pt idx="15">
                  <c:v>3948.0409683519269</c:v>
                </c:pt>
                <c:pt idx="16">
                  <c:v>3942.8377829883557</c:v>
                </c:pt>
                <c:pt idx="17">
                  <c:v>3942.9530567692086</c:v>
                </c:pt>
                <c:pt idx="18">
                  <c:v>3944.3504904479387</c:v>
                </c:pt>
                <c:pt idx="19">
                  <c:v>3945.1955932598194</c:v>
                </c:pt>
                <c:pt idx="20">
                  <c:v>3946.9512625272537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F2'!$M$5:$AG$5</c:f>
              <c:numCache>
                <c:formatCode>#,##0</c:formatCode>
                <c:ptCount val="21"/>
                <c:pt idx="0">
                  <c:v>2775.6722245764886</c:v>
                </c:pt>
                <c:pt idx="1">
                  <c:v>2895.3631306562875</c:v>
                </c:pt>
                <c:pt idx="2">
                  <c:v>2852.7922824427478</c:v>
                </c:pt>
                <c:pt idx="3">
                  <c:v>2863.7341444328331</c:v>
                </c:pt>
                <c:pt idx="4">
                  <c:v>2913.8430798767176</c:v>
                </c:pt>
                <c:pt idx="5">
                  <c:v>3042.9552477890466</c:v>
                </c:pt>
                <c:pt idx="6">
                  <c:v>3094.6454331419236</c:v>
                </c:pt>
                <c:pt idx="7">
                  <c:v>3268.9781043939961</c:v>
                </c:pt>
                <c:pt idx="8">
                  <c:v>3349.1604552691188</c:v>
                </c:pt>
                <c:pt idx="9">
                  <c:v>3470.3701926210956</c:v>
                </c:pt>
                <c:pt idx="10">
                  <c:v>3566.4243567681951</c:v>
                </c:pt>
                <c:pt idx="11">
                  <c:v>3610.8253954873444</c:v>
                </c:pt>
                <c:pt idx="12">
                  <c:v>3655.4641583942366</c:v>
                </c:pt>
                <c:pt idx="13">
                  <c:v>3705.1746372851539</c:v>
                </c:pt>
                <c:pt idx="14">
                  <c:v>3749.863608471318</c:v>
                </c:pt>
                <c:pt idx="15">
                  <c:v>3797.692018875618</c:v>
                </c:pt>
                <c:pt idx="16">
                  <c:v>3841.9050138592929</c:v>
                </c:pt>
                <c:pt idx="17">
                  <c:v>3885.7719325600724</c:v>
                </c:pt>
                <c:pt idx="18">
                  <c:v>3927.9519200717282</c:v>
                </c:pt>
                <c:pt idx="19">
                  <c:v>3968.0155898111652</c:v>
                </c:pt>
                <c:pt idx="20">
                  <c:v>4004.9714119572809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F2'!$M$9:$AG$9</c:f>
              <c:numCache>
                <c:formatCode>#,##0</c:formatCode>
                <c:ptCount val="21"/>
                <c:pt idx="0">
                  <c:v>5426.0517436222353</c:v>
                </c:pt>
                <c:pt idx="1">
                  <c:v>5578.1365810381412</c:v>
                </c:pt>
                <c:pt idx="2">
                  <c:v>5677.3686484762648</c:v>
                </c:pt>
                <c:pt idx="3">
                  <c:v>5652.6930971787187</c:v>
                </c:pt>
                <c:pt idx="4">
                  <c:v>5706.794994722175</c:v>
                </c:pt>
                <c:pt idx="5">
                  <c:v>5841.9253216752832</c:v>
                </c:pt>
                <c:pt idx="6">
                  <c:v>6014.0096553608537</c:v>
                </c:pt>
                <c:pt idx="7">
                  <c:v>6310.9121560229423</c:v>
                </c:pt>
                <c:pt idx="8">
                  <c:v>6500.218997015616</c:v>
                </c:pt>
                <c:pt idx="9">
                  <c:v>6710.1098320189894</c:v>
                </c:pt>
                <c:pt idx="10">
                  <c:v>6873.491838564174</c:v>
                </c:pt>
                <c:pt idx="11">
                  <c:v>6947.9072379633471</c:v>
                </c:pt>
                <c:pt idx="12">
                  <c:v>7015.7207611281874</c:v>
                </c:pt>
                <c:pt idx="13">
                  <c:v>7096.8040495067935</c:v>
                </c:pt>
                <c:pt idx="14">
                  <c:v>7182.3144342282803</c:v>
                </c:pt>
                <c:pt idx="15">
                  <c:v>7275.3001598756555</c:v>
                </c:pt>
                <c:pt idx="16">
                  <c:v>7366.9228634898491</c:v>
                </c:pt>
                <c:pt idx="17">
                  <c:v>7455.7178712279165</c:v>
                </c:pt>
                <c:pt idx="18">
                  <c:v>7540.7755096202218</c:v>
                </c:pt>
                <c:pt idx="19">
                  <c:v>7620.315587422032</c:v>
                </c:pt>
                <c:pt idx="20">
                  <c:v>7694.6188836679112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and technical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F2'!$M$15:$AG$15</c:f>
              <c:numCache>
                <c:formatCode>#,##0</c:formatCode>
                <c:ptCount val="21"/>
                <c:pt idx="0">
                  <c:v>4192.1889515946241</c:v>
                </c:pt>
                <c:pt idx="1">
                  <c:v>4301.1474904912029</c:v>
                </c:pt>
                <c:pt idx="2">
                  <c:v>4192.9605965753526</c:v>
                </c:pt>
                <c:pt idx="3">
                  <c:v>4108.5140225291507</c:v>
                </c:pt>
                <c:pt idx="4">
                  <c:v>4141.6666436695423</c:v>
                </c:pt>
                <c:pt idx="5">
                  <c:v>4245.3870699108684</c:v>
                </c:pt>
                <c:pt idx="6">
                  <c:v>4332.4207989205606</c:v>
                </c:pt>
                <c:pt idx="7">
                  <c:v>4525.459231210245</c:v>
                </c:pt>
                <c:pt idx="8">
                  <c:v>4628.1960697434206</c:v>
                </c:pt>
                <c:pt idx="9">
                  <c:v>4768.390885070341</c:v>
                </c:pt>
                <c:pt idx="10">
                  <c:v>4884.3836819220542</c:v>
                </c:pt>
                <c:pt idx="11">
                  <c:v>4933.7086335520771</c:v>
                </c:pt>
                <c:pt idx="12">
                  <c:v>4979.2161214173102</c:v>
                </c:pt>
                <c:pt idx="13">
                  <c:v>5031.849960777301</c:v>
                </c:pt>
                <c:pt idx="14">
                  <c:v>5075.2908693909721</c:v>
                </c:pt>
                <c:pt idx="15">
                  <c:v>5123.1465499937876</c:v>
                </c:pt>
                <c:pt idx="16">
                  <c:v>5162.6286014309999</c:v>
                </c:pt>
                <c:pt idx="17">
                  <c:v>5202.5026850775994</c:v>
                </c:pt>
                <c:pt idx="18">
                  <c:v>5240.4189293480995</c:v>
                </c:pt>
                <c:pt idx="19">
                  <c:v>5276.2894606573427</c:v>
                </c:pt>
                <c:pt idx="20">
                  <c:v>5309.5219594020828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F2'!$M$22:$AG$22</c:f>
              <c:numCache>
                <c:formatCode>#,##0</c:formatCode>
                <c:ptCount val="21"/>
                <c:pt idx="0">
                  <c:v>4023.3774927122436</c:v>
                </c:pt>
                <c:pt idx="1">
                  <c:v>3880.8107658500521</c:v>
                </c:pt>
                <c:pt idx="2">
                  <c:v>3784.3184501692658</c:v>
                </c:pt>
                <c:pt idx="3">
                  <c:v>3776.3604808922596</c:v>
                </c:pt>
                <c:pt idx="4">
                  <c:v>3707.2485052295415</c:v>
                </c:pt>
                <c:pt idx="5">
                  <c:v>3686.6891232188909</c:v>
                </c:pt>
                <c:pt idx="6">
                  <c:v>3642.022666699303</c:v>
                </c:pt>
                <c:pt idx="7">
                  <c:v>3712.0512280493372</c:v>
                </c:pt>
                <c:pt idx="8">
                  <c:v>3700.4604997365373</c:v>
                </c:pt>
                <c:pt idx="9">
                  <c:v>3710.5553900923642</c:v>
                </c:pt>
                <c:pt idx="10">
                  <c:v>3680.7863975420601</c:v>
                </c:pt>
                <c:pt idx="11">
                  <c:v>3617.389365676956</c:v>
                </c:pt>
                <c:pt idx="12">
                  <c:v>3553.9100689743136</c:v>
                </c:pt>
                <c:pt idx="13">
                  <c:v>3494.8370844286846</c:v>
                </c:pt>
                <c:pt idx="14">
                  <c:v>3426.0797270200346</c:v>
                </c:pt>
                <c:pt idx="15">
                  <c:v>3359.0863632166529</c:v>
                </c:pt>
                <c:pt idx="16">
                  <c:v>3293.3859710534784</c:v>
                </c:pt>
                <c:pt idx="17">
                  <c:v>3230.9890550755367</c:v>
                </c:pt>
                <c:pt idx="18">
                  <c:v>3174.0198660600381</c:v>
                </c:pt>
                <c:pt idx="19">
                  <c:v>3123.0005719740188</c:v>
                </c:pt>
                <c:pt idx="20">
                  <c:v>3077.1550769501691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F2'!$M$26:$AG$26</c:f>
              <c:numCache>
                <c:formatCode>#,##0</c:formatCode>
                <c:ptCount val="21"/>
                <c:pt idx="0">
                  <c:v>3583.6153277284657</c:v>
                </c:pt>
                <c:pt idx="1">
                  <c:v>3582.4803012649677</c:v>
                </c:pt>
                <c:pt idx="2">
                  <c:v>3385.1722726288122</c:v>
                </c:pt>
                <c:pt idx="3">
                  <c:v>3392.7770262761301</c:v>
                </c:pt>
                <c:pt idx="4">
                  <c:v>3366.6084978327126</c:v>
                </c:pt>
                <c:pt idx="5">
                  <c:v>3361.0404349463947</c:v>
                </c:pt>
                <c:pt idx="6">
                  <c:v>3300.4731275846125</c:v>
                </c:pt>
                <c:pt idx="7">
                  <c:v>3387.0235659175241</c:v>
                </c:pt>
                <c:pt idx="8">
                  <c:v>3385.0499599537134</c:v>
                </c:pt>
                <c:pt idx="9">
                  <c:v>3422.2002372992738</c:v>
                </c:pt>
                <c:pt idx="10">
                  <c:v>3432.8363588721904</c:v>
                </c:pt>
                <c:pt idx="11">
                  <c:v>3399.4445949191227</c:v>
                </c:pt>
                <c:pt idx="12">
                  <c:v>3373.1238739479568</c:v>
                </c:pt>
                <c:pt idx="13">
                  <c:v>3349.7311612668609</c:v>
                </c:pt>
                <c:pt idx="14">
                  <c:v>3307.5736090648679</c:v>
                </c:pt>
                <c:pt idx="15">
                  <c:v>3268.9532522745712</c:v>
                </c:pt>
                <c:pt idx="16">
                  <c:v>3238.4562097972112</c:v>
                </c:pt>
                <c:pt idx="17">
                  <c:v>3208.7551687441992</c:v>
                </c:pt>
                <c:pt idx="18">
                  <c:v>3179.9949475607445</c:v>
                </c:pt>
                <c:pt idx="19">
                  <c:v>3152.5631806945812</c:v>
                </c:pt>
                <c:pt idx="20">
                  <c:v>3126.1855521756024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F2'!$M$32:$AG$32</c:f>
              <c:numCache>
                <c:formatCode>#,##0</c:formatCode>
                <c:ptCount val="21"/>
                <c:pt idx="0">
                  <c:v>2645.5508227224036</c:v>
                </c:pt>
                <c:pt idx="1">
                  <c:v>2704.186648094751</c:v>
                </c:pt>
                <c:pt idx="2">
                  <c:v>2724.3926476971592</c:v>
                </c:pt>
                <c:pt idx="3">
                  <c:v>2817.59730546224</c:v>
                </c:pt>
                <c:pt idx="4">
                  <c:v>2841.2938340161199</c:v>
                </c:pt>
                <c:pt idx="5">
                  <c:v>2889.5495700413439</c:v>
                </c:pt>
                <c:pt idx="6">
                  <c:v>2968.6499952806425</c:v>
                </c:pt>
                <c:pt idx="7">
                  <c:v>3121.7090659997457</c:v>
                </c:pt>
                <c:pt idx="8">
                  <c:v>3180.7315887986251</c:v>
                </c:pt>
                <c:pt idx="9">
                  <c:v>3282.3366893264683</c:v>
                </c:pt>
                <c:pt idx="10">
                  <c:v>3345.0861257252427</c:v>
                </c:pt>
                <c:pt idx="11">
                  <c:v>3389.9406078728148</c:v>
                </c:pt>
                <c:pt idx="12">
                  <c:v>3424.2989337438153</c:v>
                </c:pt>
                <c:pt idx="13">
                  <c:v>3461.0861201392931</c:v>
                </c:pt>
                <c:pt idx="14">
                  <c:v>3503.5752578069332</c:v>
                </c:pt>
                <c:pt idx="15">
                  <c:v>3549.556293296871</c:v>
                </c:pt>
                <c:pt idx="16">
                  <c:v>3603.5651849170868</c:v>
                </c:pt>
                <c:pt idx="17">
                  <c:v>3657.970743834825</c:v>
                </c:pt>
                <c:pt idx="18">
                  <c:v>3711.3304085445657</c:v>
                </c:pt>
                <c:pt idx="19">
                  <c:v>3762.4732616836491</c:v>
                </c:pt>
                <c:pt idx="20">
                  <c:v>3810.8091936423866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F2'!$L$36</c:f>
              <c:strCache>
                <c:ptCount val="1"/>
                <c:pt idx="0">
                  <c:v>Sales and customer service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F2'!$M$36:$AG$36</c:f>
              <c:numCache>
                <c:formatCode>#,##0</c:formatCode>
                <c:ptCount val="21"/>
                <c:pt idx="0">
                  <c:v>2792.1839088149745</c:v>
                </c:pt>
                <c:pt idx="1">
                  <c:v>2861.1922555441793</c:v>
                </c:pt>
                <c:pt idx="2">
                  <c:v>2810.7900957842598</c:v>
                </c:pt>
                <c:pt idx="3">
                  <c:v>2800.1105648414705</c:v>
                </c:pt>
                <c:pt idx="4">
                  <c:v>2779.0336682374191</c:v>
                </c:pt>
                <c:pt idx="5">
                  <c:v>2808.715933390687</c:v>
                </c:pt>
                <c:pt idx="6">
                  <c:v>2788.9723909985205</c:v>
                </c:pt>
                <c:pt idx="7">
                  <c:v>2863.5747478704707</c:v>
                </c:pt>
                <c:pt idx="8">
                  <c:v>2873.6541964385342</c:v>
                </c:pt>
                <c:pt idx="9">
                  <c:v>2916.3866727917884</c:v>
                </c:pt>
                <c:pt idx="10">
                  <c:v>2929.0335907758267</c:v>
                </c:pt>
                <c:pt idx="11">
                  <c:v>2924.1284150590946</c:v>
                </c:pt>
                <c:pt idx="12">
                  <c:v>2918.4635736520927</c:v>
                </c:pt>
                <c:pt idx="13">
                  <c:v>2917.2181947144909</c:v>
                </c:pt>
                <c:pt idx="14">
                  <c:v>2899.673693000786</c:v>
                </c:pt>
                <c:pt idx="15">
                  <c:v>2881.2459863648064</c:v>
                </c:pt>
                <c:pt idx="16">
                  <c:v>2879.3081190940666</c:v>
                </c:pt>
                <c:pt idx="17">
                  <c:v>2877.9911940358143</c:v>
                </c:pt>
                <c:pt idx="18">
                  <c:v>2877.2507616445614</c:v>
                </c:pt>
                <c:pt idx="19">
                  <c:v>2876.6460575806973</c:v>
                </c:pt>
                <c:pt idx="20">
                  <c:v>2876.6137458960302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F2'!$L$40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F2'!$M$40:$AG$40</c:f>
              <c:numCache>
                <c:formatCode>#,##0</c:formatCode>
                <c:ptCount val="21"/>
                <c:pt idx="0">
                  <c:v>2314.149151355934</c:v>
                </c:pt>
                <c:pt idx="1">
                  <c:v>2272.1376843277585</c:v>
                </c:pt>
                <c:pt idx="2">
                  <c:v>2202.9958814051452</c:v>
                </c:pt>
                <c:pt idx="3">
                  <c:v>2157.1611021349031</c:v>
                </c:pt>
                <c:pt idx="4">
                  <c:v>2152.3637211544788</c:v>
                </c:pt>
                <c:pt idx="5">
                  <c:v>2157.5584632485761</c:v>
                </c:pt>
                <c:pt idx="6">
                  <c:v>2126.240963487232</c:v>
                </c:pt>
                <c:pt idx="7">
                  <c:v>2164.6663177085798</c:v>
                </c:pt>
                <c:pt idx="8">
                  <c:v>2162.6171967381733</c:v>
                </c:pt>
                <c:pt idx="9">
                  <c:v>2174.0741206561452</c:v>
                </c:pt>
                <c:pt idx="10">
                  <c:v>2179.9565386857666</c:v>
                </c:pt>
                <c:pt idx="11">
                  <c:v>2152.8342933876929</c:v>
                </c:pt>
                <c:pt idx="12">
                  <c:v>2126.7161858099698</c:v>
                </c:pt>
                <c:pt idx="13">
                  <c:v>2105.5822020234546</c:v>
                </c:pt>
                <c:pt idx="14">
                  <c:v>2075.7524076639002</c:v>
                </c:pt>
                <c:pt idx="15">
                  <c:v>2047.4264077500793</c:v>
                </c:pt>
                <c:pt idx="16">
                  <c:v>2030.6312533695659</c:v>
                </c:pt>
                <c:pt idx="17">
                  <c:v>2015.4412926748628</c:v>
                </c:pt>
                <c:pt idx="18">
                  <c:v>2001.0181667019451</c:v>
                </c:pt>
                <c:pt idx="19">
                  <c:v>1987.3466969165627</c:v>
                </c:pt>
                <c:pt idx="20">
                  <c:v>1974.125913781425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F2'!$L$44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F2'!$M$44:$AG$44</c:f>
              <c:numCache>
                <c:formatCode>#,##0</c:formatCode>
                <c:ptCount val="21"/>
                <c:pt idx="0">
                  <c:v>4037.2173768727057</c:v>
                </c:pt>
                <c:pt idx="1">
                  <c:v>3991.4951427326064</c:v>
                </c:pt>
                <c:pt idx="2">
                  <c:v>3824.1451248208091</c:v>
                </c:pt>
                <c:pt idx="3">
                  <c:v>3685.0692562521735</c:v>
                </c:pt>
                <c:pt idx="4">
                  <c:v>3685.1270552613246</c:v>
                </c:pt>
                <c:pt idx="5">
                  <c:v>3766.191835779171</c:v>
                </c:pt>
                <c:pt idx="6">
                  <c:v>3703.55496852636</c:v>
                </c:pt>
                <c:pt idx="7">
                  <c:v>3836.6235828270701</c:v>
                </c:pt>
                <c:pt idx="8">
                  <c:v>3874.958036306175</c:v>
                </c:pt>
                <c:pt idx="9">
                  <c:v>3932.6009801234341</c:v>
                </c:pt>
                <c:pt idx="10">
                  <c:v>3955.9931111444794</c:v>
                </c:pt>
                <c:pt idx="11">
                  <c:v>3952.0874560814732</c:v>
                </c:pt>
                <c:pt idx="12">
                  <c:v>3950.4883229319025</c:v>
                </c:pt>
                <c:pt idx="13">
                  <c:v>3958.1775898578403</c:v>
                </c:pt>
                <c:pt idx="14">
                  <c:v>3951.803393352784</c:v>
                </c:pt>
                <c:pt idx="15">
                  <c:v>3948.0409683519269</c:v>
                </c:pt>
                <c:pt idx="16">
                  <c:v>3942.8377829883557</c:v>
                </c:pt>
                <c:pt idx="17">
                  <c:v>3942.9530567692086</c:v>
                </c:pt>
                <c:pt idx="18">
                  <c:v>3944.3504904479387</c:v>
                </c:pt>
                <c:pt idx="19">
                  <c:v>3945.1955932598194</c:v>
                </c:pt>
                <c:pt idx="20">
                  <c:v>3946.9512625272537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2027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and technical</c:v>
                </c:pt>
                <c:pt idx="3">
                  <c:v>Administrative and secretarial</c:v>
                </c:pt>
                <c:pt idx="4">
                  <c:v>Skilled trades occupations</c:v>
                </c:pt>
                <c:pt idx="5">
                  <c:v>Caring, leisure and other service</c:v>
                </c:pt>
                <c:pt idx="6">
                  <c:v>Sales and customer service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4004.9714119572809</c:v>
                </c:pt>
                <c:pt idx="1">
                  <c:v>7694.6188836679112</c:v>
                </c:pt>
                <c:pt idx="2">
                  <c:v>5309.5219594020828</c:v>
                </c:pt>
                <c:pt idx="3">
                  <c:v>3077.1550769501691</c:v>
                </c:pt>
                <c:pt idx="4">
                  <c:v>3126.1855521756024</c:v>
                </c:pt>
                <c:pt idx="5">
                  <c:v>3810.8091936423866</c:v>
                </c:pt>
                <c:pt idx="6">
                  <c:v>2876.6137458960302</c:v>
                </c:pt>
                <c:pt idx="7">
                  <c:v>1974.125913781425</c:v>
                </c:pt>
                <c:pt idx="8">
                  <c:v>3946.9512625272537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2017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and technical</c:v>
                </c:pt>
                <c:pt idx="3">
                  <c:v>Administrative and secretarial</c:v>
                </c:pt>
                <c:pt idx="4">
                  <c:v>Skilled trades occupations</c:v>
                </c:pt>
                <c:pt idx="5">
                  <c:v>Caring, leisure and other service</c:v>
                </c:pt>
                <c:pt idx="6">
                  <c:v>Sales and customer service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3566.4243567681951</c:v>
                </c:pt>
                <c:pt idx="1">
                  <c:v>6873.491838564174</c:v>
                </c:pt>
                <c:pt idx="2">
                  <c:v>4884.3836819220542</c:v>
                </c:pt>
                <c:pt idx="3">
                  <c:v>3680.7863975420601</c:v>
                </c:pt>
                <c:pt idx="4">
                  <c:v>3432.8363588721904</c:v>
                </c:pt>
                <c:pt idx="5">
                  <c:v>3345.0861257252427</c:v>
                </c:pt>
                <c:pt idx="6">
                  <c:v>2929.0335907758267</c:v>
                </c:pt>
                <c:pt idx="7">
                  <c:v>2179.9565386857666</c:v>
                </c:pt>
                <c:pt idx="8">
                  <c:v>3955.9931111444794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2027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and technical</c:v>
                </c:pt>
                <c:pt idx="3">
                  <c:v>Administrative and secretarial</c:v>
                </c:pt>
                <c:pt idx="4">
                  <c:v>Skilled trades occupations</c:v>
                </c:pt>
                <c:pt idx="5">
                  <c:v>Caring, leisure and other service</c:v>
                </c:pt>
                <c:pt idx="6">
                  <c:v>Sales and customer service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11.180527251626344</c:v>
                </c:pt>
                <c:pt idx="1">
                  <c:v>21.480776582543406</c:v>
                </c:pt>
                <c:pt idx="2">
                  <c:v>14.822391686234759</c:v>
                </c:pt>
                <c:pt idx="3">
                  <c:v>8.5903774725093349</c:v>
                </c:pt>
                <c:pt idx="4">
                  <c:v>8.7272539962172129</c:v>
                </c:pt>
                <c:pt idx="5">
                  <c:v>10.638491928571444</c:v>
                </c:pt>
                <c:pt idx="6">
                  <c:v>8.030533821632325</c:v>
                </c:pt>
                <c:pt idx="7">
                  <c:v>5.5110926662990147</c:v>
                </c:pt>
                <c:pt idx="8">
                  <c:v>11.018554594366146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2017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and technical</c:v>
                </c:pt>
                <c:pt idx="3">
                  <c:v>Administrative and secretarial</c:v>
                </c:pt>
                <c:pt idx="4">
                  <c:v>Skilled trades occupations</c:v>
                </c:pt>
                <c:pt idx="5">
                  <c:v>Caring, leisure and other service</c:v>
                </c:pt>
                <c:pt idx="6">
                  <c:v>Sales and customer service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10.234232023377979</c:v>
                </c:pt>
                <c:pt idx="1">
                  <c:v>19.72421205377967</c:v>
                </c:pt>
                <c:pt idx="2">
                  <c:v>14.016255748457631</c:v>
                </c:pt>
                <c:pt idx="3">
                  <c:v>10.562405999008668</c:v>
                </c:pt>
                <c:pt idx="4">
                  <c:v>9.8508871296578331</c:v>
                </c:pt>
                <c:pt idx="5">
                  <c:v>9.5990785515711892</c:v>
                </c:pt>
                <c:pt idx="6">
                  <c:v>8.4051717837166269</c:v>
                </c:pt>
                <c:pt idx="7">
                  <c:v>6.2556159295656606</c:v>
                </c:pt>
                <c:pt idx="8">
                  <c:v>11.352140780864735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2007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and technical</c:v>
                </c:pt>
                <c:pt idx="3">
                  <c:v>Administrative and secretarial</c:v>
                </c:pt>
                <c:pt idx="4">
                  <c:v>Skilled trades occupations</c:v>
                </c:pt>
                <c:pt idx="5">
                  <c:v>Caring, leisure and other service</c:v>
                </c:pt>
                <c:pt idx="6">
                  <c:v>Sales and customer service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8.7312727693846757</c:v>
                </c:pt>
                <c:pt idx="1">
                  <c:v>17.068419467860522</c:v>
                </c:pt>
                <c:pt idx="2">
                  <c:v>13.1871281173188</c:v>
                </c:pt>
                <c:pt idx="3">
                  <c:v>12.656107602342567</c:v>
                </c:pt>
                <c:pt idx="4">
                  <c:v>11.272773006084766</c:v>
                </c:pt>
                <c:pt idx="5">
                  <c:v>8.3219573456602181</c:v>
                </c:pt>
                <c:pt idx="6">
                  <c:v>8.7832126265809514</c:v>
                </c:pt>
                <c:pt idx="7">
                  <c:v>7.2794861333497929</c:v>
                </c:pt>
                <c:pt idx="8">
                  <c:v>12.699642931417712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F2'!$L$51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F2'!$M$51:$AG$51</c:f>
              <c:numCache>
                <c:formatCode>0%</c:formatCode>
                <c:ptCount val="21"/>
                <c:pt idx="0">
                  <c:v>8.7312727693846751E-2</c:v>
                </c:pt>
                <c:pt idx="1">
                  <c:v>9.0291191730310888E-2</c:v>
                </c:pt>
                <c:pt idx="2">
                  <c:v>9.0694582320649586E-2</c:v>
                </c:pt>
                <c:pt idx="3">
                  <c:v>9.1627714428927462E-2</c:v>
                </c:pt>
                <c:pt idx="4">
                  <c:v>9.3111936541044479E-2</c:v>
                </c:pt>
                <c:pt idx="5">
                  <c:v>9.5690377478431274E-2</c:v>
                </c:pt>
                <c:pt idx="6">
                  <c:v>9.6795420884430633E-2</c:v>
                </c:pt>
                <c:pt idx="7">
                  <c:v>9.8489900918134629E-2</c:v>
                </c:pt>
                <c:pt idx="8">
                  <c:v>9.9514359771036037E-2</c:v>
                </c:pt>
                <c:pt idx="9">
                  <c:v>0.10092091981266497</c:v>
                </c:pt>
                <c:pt idx="10">
                  <c:v>0.10234232023377979</c:v>
                </c:pt>
                <c:pt idx="11">
                  <c:v>0.10337831816464502</c:v>
                </c:pt>
                <c:pt idx="12">
                  <c:v>0.10444958624055177</c:v>
                </c:pt>
                <c:pt idx="13">
                  <c:v>0.10549903195419807</c:v>
                </c:pt>
                <c:pt idx="14">
                  <c:v>0.10661524483635292</c:v>
                </c:pt>
                <c:pt idx="15">
                  <c:v>0.10773457457549537</c:v>
                </c:pt>
                <c:pt idx="16">
                  <c:v>0.10865226300966412</c:v>
                </c:pt>
                <c:pt idx="17">
                  <c:v>0.10952595260855957</c:v>
                </c:pt>
                <c:pt idx="18">
                  <c:v>0.11034468274888222</c:v>
                </c:pt>
                <c:pt idx="19">
                  <c:v>0.11111202679948777</c:v>
                </c:pt>
                <c:pt idx="20">
                  <c:v>0.11180527251626345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F2'!$L$55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F2'!$M$55:$AG$55</c:f>
              <c:numCache>
                <c:formatCode>0%</c:formatCode>
                <c:ptCount val="21"/>
                <c:pt idx="0">
                  <c:v>0.17068419467860521</c:v>
                </c:pt>
                <c:pt idx="1">
                  <c:v>0.17395282622881664</c:v>
                </c:pt>
                <c:pt idx="2">
                  <c:v>0.18049213797403044</c:v>
                </c:pt>
                <c:pt idx="3">
                  <c:v>0.18086293026521169</c:v>
                </c:pt>
                <c:pt idx="4">
                  <c:v>0.18236079254611173</c:v>
                </c:pt>
                <c:pt idx="5">
                  <c:v>0.18370826834804235</c:v>
                </c:pt>
                <c:pt idx="6">
                  <c:v>0.18810833369128865</c:v>
                </c:pt>
                <c:pt idx="7">
                  <c:v>0.19013927077525536</c:v>
                </c:pt>
                <c:pt idx="8">
                  <c:v>0.19314247271785512</c:v>
                </c:pt>
                <c:pt idx="9">
                  <c:v>0.19513493336568108</c:v>
                </c:pt>
                <c:pt idx="10">
                  <c:v>0.19724212053779672</c:v>
                </c:pt>
                <c:pt idx="11">
                  <c:v>0.19891932906040521</c:v>
                </c:pt>
                <c:pt idx="12">
                  <c:v>0.20046404476332932</c:v>
                </c:pt>
                <c:pt idx="13">
                  <c:v>0.20207035578225524</c:v>
                </c:pt>
                <c:pt idx="14">
                  <c:v>0.20420588369321666</c:v>
                </c:pt>
                <c:pt idx="15">
                  <c:v>0.20638887085564592</c:v>
                </c:pt>
                <c:pt idx="16">
                  <c:v>0.20834269396258487</c:v>
                </c:pt>
                <c:pt idx="17">
                  <c:v>0.21014990493507951</c:v>
                </c:pt>
                <c:pt idx="18">
                  <c:v>0.21183672769456641</c:v>
                </c:pt>
                <c:pt idx="19">
                  <c:v>0.21338341309553308</c:v>
                </c:pt>
                <c:pt idx="20">
                  <c:v>0.21480776582543407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F2'!$L$61</c:f>
              <c:strCache>
                <c:ptCount val="1"/>
                <c:pt idx="0">
                  <c:v>Associate professional and technical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F2'!$M$61:$AG$61</c:f>
              <c:numCache>
                <c:formatCode>0%</c:formatCode>
                <c:ptCount val="21"/>
                <c:pt idx="0">
                  <c:v>0.131871281173188</c:v>
                </c:pt>
                <c:pt idx="1">
                  <c:v>0.13413023347999142</c:v>
                </c:pt>
                <c:pt idx="2">
                  <c:v>0.13330056041364627</c:v>
                </c:pt>
                <c:pt idx="3">
                  <c:v>0.13145555089859862</c:v>
                </c:pt>
                <c:pt idx="4">
                  <c:v>0.13234707262130091</c:v>
                </c:pt>
                <c:pt idx="5">
                  <c:v>0.13350268347094177</c:v>
                </c:pt>
                <c:pt idx="6">
                  <c:v>0.13551099915644027</c:v>
                </c:pt>
                <c:pt idx="7">
                  <c:v>0.13634598246218016</c:v>
                </c:pt>
                <c:pt idx="8">
                  <c:v>0.13751863337892328</c:v>
                </c:pt>
                <c:pt idx="9">
                  <c:v>0.13866831704895538</c:v>
                </c:pt>
                <c:pt idx="10">
                  <c:v>0.14016255748457632</c:v>
                </c:pt>
                <c:pt idx="11">
                  <c:v>0.14125260708768334</c:v>
                </c:pt>
                <c:pt idx="12">
                  <c:v>0.14227387854153692</c:v>
                </c:pt>
                <c:pt idx="13">
                  <c:v>0.14327402936929898</c:v>
                </c:pt>
                <c:pt idx="14">
                  <c:v>0.14429948263542655</c:v>
                </c:pt>
                <c:pt idx="15">
                  <c:v>0.14533564367731702</c:v>
                </c:pt>
                <c:pt idx="16">
                  <c:v>0.14600342241684561</c:v>
                </c:pt>
                <c:pt idx="17">
                  <c:v>0.14663986266335102</c:v>
                </c:pt>
                <c:pt idx="18">
                  <c:v>0.14721472563737328</c:v>
                </c:pt>
                <c:pt idx="19">
                  <c:v>0.14774619773666595</c:v>
                </c:pt>
                <c:pt idx="20">
                  <c:v>0.14822391686234759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F2'!$L$68</c:f>
              <c:strCache>
                <c:ptCount val="1"/>
                <c:pt idx="0">
                  <c:v>Administrative and secretarial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F2'!$M$68:$AG$68</c:f>
              <c:numCache>
                <c:formatCode>0%</c:formatCode>
                <c:ptCount val="21"/>
                <c:pt idx="0">
                  <c:v>0.12656107602342567</c:v>
                </c:pt>
                <c:pt idx="1">
                  <c:v>0.12102213543383637</c:v>
                </c:pt>
                <c:pt idx="2">
                  <c:v>0.12030920839162691</c:v>
                </c:pt>
                <c:pt idx="3">
                  <c:v>0.12082800367364854</c:v>
                </c:pt>
                <c:pt idx="4">
                  <c:v>0.11846522894274036</c:v>
                </c:pt>
                <c:pt idx="5">
                  <c:v>0.11593357283278032</c:v>
                </c:pt>
                <c:pt idx="6">
                  <c:v>0.11391648074392761</c:v>
                </c:pt>
                <c:pt idx="7">
                  <c:v>0.11183909649385496</c:v>
                </c:pt>
                <c:pt idx="8">
                  <c:v>0.10995261720289816</c:v>
                </c:pt>
                <c:pt idx="9">
                  <c:v>0.10790568216041879</c:v>
                </c:pt>
                <c:pt idx="10">
                  <c:v>0.10562405999008669</c:v>
                </c:pt>
                <c:pt idx="11">
                  <c:v>0.10356624533485186</c:v>
                </c:pt>
                <c:pt idx="12">
                  <c:v>0.10154782543499473</c:v>
                </c:pt>
                <c:pt idx="13">
                  <c:v>9.9510000293808715E-2</c:v>
                </c:pt>
                <c:pt idx="14">
                  <c:v>9.7409497268092449E-2</c:v>
                </c:pt>
                <c:pt idx="15">
                  <c:v>9.5292019074953493E-2</c:v>
                </c:pt>
                <c:pt idx="16">
                  <c:v>9.3139689145981058E-2</c:v>
                </c:pt>
                <c:pt idx="17">
                  <c:v>9.1069975352833482E-2</c:v>
                </c:pt>
                <c:pt idx="18">
                  <c:v>8.9165097304105712E-2</c:v>
                </c:pt>
                <c:pt idx="19">
                  <c:v>8.7449989898982838E-2</c:v>
                </c:pt>
                <c:pt idx="20">
                  <c:v>8.5903774725093349E-2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F2'!$L$72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F2'!$M$72:$AG$72</c:f>
              <c:numCache>
                <c:formatCode>0%</c:formatCode>
                <c:ptCount val="21"/>
                <c:pt idx="0">
                  <c:v>0.11272773006084766</c:v>
                </c:pt>
                <c:pt idx="1">
                  <c:v>0.11171877279457429</c:v>
                </c:pt>
                <c:pt idx="2">
                  <c:v>0.1076197475852067</c:v>
                </c:pt>
                <c:pt idx="3">
                  <c:v>0.10855491075838805</c:v>
                </c:pt>
                <c:pt idx="4">
                  <c:v>0.10758006804608138</c:v>
                </c:pt>
                <c:pt idx="5">
                  <c:v>0.10569305223071346</c:v>
                </c:pt>
                <c:pt idx="6">
                  <c:v>0.10323337274149509</c:v>
                </c:pt>
                <c:pt idx="7">
                  <c:v>0.10204645144799603</c:v>
                </c:pt>
                <c:pt idx="8">
                  <c:v>0.10058075271604053</c:v>
                </c:pt>
                <c:pt idx="9">
                  <c:v>9.9520102053006446E-2</c:v>
                </c:pt>
                <c:pt idx="10">
                  <c:v>9.8508871296578329E-2</c:v>
                </c:pt>
                <c:pt idx="11">
                  <c:v>9.7326463183689996E-2</c:v>
                </c:pt>
                <c:pt idx="12">
                  <c:v>9.6382122134322359E-2</c:v>
                </c:pt>
                <c:pt idx="13">
                  <c:v>9.53783368978805E-2</c:v>
                </c:pt>
                <c:pt idx="14">
                  <c:v>9.4040159046869395E-2</c:v>
                </c:pt>
                <c:pt idx="15">
                  <c:v>9.2735083885304784E-2</c:v>
                </c:pt>
                <c:pt idx="16">
                  <c:v>9.1586229899710228E-2</c:v>
                </c:pt>
                <c:pt idx="17">
                  <c:v>9.0443281964005126E-2</c:v>
                </c:pt>
                <c:pt idx="18">
                  <c:v>8.9332950293656094E-2</c:v>
                </c:pt>
                <c:pt idx="19">
                  <c:v>8.8277799492487527E-2</c:v>
                </c:pt>
                <c:pt idx="20">
                  <c:v>8.727253996217213E-2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F2'!$L$78</c:f>
              <c:strCache>
                <c:ptCount val="1"/>
                <c:pt idx="0">
                  <c:v>Caring, leisure and other service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F2'!$M$78:$AG$78</c:f>
              <c:numCache>
                <c:formatCode>0%</c:formatCode>
                <c:ptCount val="21"/>
                <c:pt idx="0">
                  <c:v>8.3219573456602178E-2</c:v>
                </c:pt>
                <c:pt idx="1">
                  <c:v>8.432939983674019E-2</c:v>
                </c:pt>
                <c:pt idx="2">
                  <c:v>8.6612563691026892E-2</c:v>
                </c:pt>
                <c:pt idx="3">
                  <c:v>9.0151525337119093E-2</c:v>
                </c:pt>
                <c:pt idx="4">
                  <c:v>9.0793623374723104E-2</c:v>
                </c:pt>
                <c:pt idx="5">
                  <c:v>9.08663015339434E-2</c:v>
                </c:pt>
                <c:pt idx="6">
                  <c:v>9.2854490751792237E-2</c:v>
                </c:pt>
                <c:pt idx="7">
                  <c:v>9.4052883435434928E-2</c:v>
                </c:pt>
                <c:pt idx="8">
                  <c:v>9.4509794884512652E-2</c:v>
                </c:pt>
                <c:pt idx="9">
                  <c:v>9.5452767121508131E-2</c:v>
                </c:pt>
                <c:pt idx="10">
                  <c:v>9.5990785515711885E-2</c:v>
                </c:pt>
                <c:pt idx="11">
                  <c:v>9.7054363015696879E-2</c:v>
                </c:pt>
                <c:pt idx="12">
                  <c:v>9.7844375240877496E-2</c:v>
                </c:pt>
                <c:pt idx="13">
                  <c:v>9.8548994563007183E-2</c:v>
                </c:pt>
                <c:pt idx="14">
                  <c:v>9.9612832069364471E-2</c:v>
                </c:pt>
                <c:pt idx="15">
                  <c:v>0.10069535267457805</c:v>
                </c:pt>
                <c:pt idx="16">
                  <c:v>0.10191181479803757</c:v>
                </c:pt>
                <c:pt idx="17">
                  <c:v>0.10310505538825951</c:v>
                </c:pt>
                <c:pt idx="18">
                  <c:v>0.10425931499173013</c:v>
                </c:pt>
                <c:pt idx="19">
                  <c:v>0.10535644843684819</c:v>
                </c:pt>
                <c:pt idx="20">
                  <c:v>0.10638491928571445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F2'!$L$82</c:f>
              <c:strCache>
                <c:ptCount val="1"/>
                <c:pt idx="0">
                  <c:v>Sales and customer service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F2'!$M$82:$AG$82</c:f>
              <c:numCache>
                <c:formatCode>0%</c:formatCode>
                <c:ptCount val="21"/>
                <c:pt idx="0">
                  <c:v>8.783212626580951E-2</c:v>
                </c:pt>
                <c:pt idx="1">
                  <c:v>8.9225581339796411E-2</c:v>
                </c:pt>
                <c:pt idx="2">
                  <c:v>8.9359269266492097E-2</c:v>
                </c:pt>
                <c:pt idx="3">
                  <c:v>8.9592021558108234E-2</c:v>
                </c:pt>
                <c:pt idx="4">
                  <c:v>8.8804098048168259E-2</c:v>
                </c:pt>
                <c:pt idx="5">
                  <c:v>8.8324364313645529E-2</c:v>
                </c:pt>
                <c:pt idx="6">
                  <c:v>8.723447071856455E-2</c:v>
                </c:pt>
                <c:pt idx="7">
                  <c:v>8.6275644615159755E-2</c:v>
                </c:pt>
                <c:pt idx="8">
                  <c:v>8.5385535085972131E-2</c:v>
                </c:pt>
                <c:pt idx="9">
                  <c:v>8.4810671257306985E-2</c:v>
                </c:pt>
                <c:pt idx="10">
                  <c:v>8.4051717837166265E-2</c:v>
                </c:pt>
                <c:pt idx="11">
                  <c:v>8.3718109998907525E-2</c:v>
                </c:pt>
                <c:pt idx="12">
                  <c:v>8.3390863517586553E-2</c:v>
                </c:pt>
                <c:pt idx="13">
                  <c:v>8.3063209071045557E-2</c:v>
                </c:pt>
                <c:pt idx="14">
                  <c:v>8.2442844061424228E-2</c:v>
                </c:pt>
                <c:pt idx="15">
                  <c:v>8.1736435984155698E-2</c:v>
                </c:pt>
                <c:pt idx="16">
                  <c:v>8.1429223760899436E-2</c:v>
                </c:pt>
                <c:pt idx="17">
                  <c:v>8.112023366182089E-2</c:v>
                </c:pt>
                <c:pt idx="18">
                  <c:v>8.0828209953458699E-2</c:v>
                </c:pt>
                <c:pt idx="19">
                  <c:v>8.0551592252629783E-2</c:v>
                </c:pt>
                <c:pt idx="20">
                  <c:v>8.0305338216323241E-2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F2'!$L$86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F2'!$M$86:$AG$86</c:f>
              <c:numCache>
                <c:formatCode>0%</c:formatCode>
                <c:ptCount val="21"/>
                <c:pt idx="0">
                  <c:v>7.2794861333497926E-2</c:v>
                </c:pt>
                <c:pt idx="1">
                  <c:v>7.0856058475401079E-2</c:v>
                </c:pt>
                <c:pt idx="2">
                  <c:v>7.0036571729319611E-2</c:v>
                </c:pt>
                <c:pt idx="3">
                  <c:v>6.9020283125043144E-2</c:v>
                </c:pt>
                <c:pt idx="4">
                  <c:v>6.8778842485183303E-2</c:v>
                </c:pt>
                <c:pt idx="5">
                  <c:v>6.7847722680130923E-2</c:v>
                </c:pt>
                <c:pt idx="6">
                  <c:v>6.6505321339352691E-2</c:v>
                </c:pt>
                <c:pt idx="7">
                  <c:v>6.5218476338330819E-2</c:v>
                </c:pt>
                <c:pt idx="8">
                  <c:v>6.4258332390330006E-2</c:v>
                </c:pt>
                <c:pt idx="9">
                  <c:v>6.3223675809586655E-2</c:v>
                </c:pt>
                <c:pt idx="10">
                  <c:v>6.255615929565661E-2</c:v>
                </c:pt>
                <c:pt idx="11">
                  <c:v>6.1635876610298894E-2</c:v>
                </c:pt>
                <c:pt idx="12">
                  <c:v>6.0767830303803207E-2</c:v>
                </c:pt>
                <c:pt idx="13">
                  <c:v>5.9953148166917915E-2</c:v>
                </c:pt>
                <c:pt idx="14">
                  <c:v>5.9017306832915575E-2</c:v>
                </c:pt>
                <c:pt idx="15">
                  <c:v>5.8082280479104298E-2</c:v>
                </c:pt>
                <c:pt idx="16">
                  <c:v>5.7427937499975497E-2</c:v>
                </c:pt>
                <c:pt idx="17">
                  <c:v>5.6808050327701129E-2</c:v>
                </c:pt>
                <c:pt idx="18">
                  <c:v>5.6212937243754243E-2</c:v>
                </c:pt>
                <c:pt idx="19">
                  <c:v>5.5649509042925704E-2</c:v>
                </c:pt>
                <c:pt idx="20">
                  <c:v>5.5110926662990146E-2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F2'!$L$90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'Occ F2'!$M$90:$AG$90</c:f>
              <c:numCache>
                <c:formatCode>0%</c:formatCode>
                <c:ptCount val="21"/>
                <c:pt idx="0">
                  <c:v>0.12699642931417712</c:v>
                </c:pt>
                <c:pt idx="1">
                  <c:v>0.12447380068053288</c:v>
                </c:pt>
                <c:pt idx="2">
                  <c:v>0.12157535862800137</c:v>
                </c:pt>
                <c:pt idx="3">
                  <c:v>0.11790705995495515</c:v>
                </c:pt>
                <c:pt idx="4">
                  <c:v>0.11775833739464654</c:v>
                </c:pt>
                <c:pt idx="5">
                  <c:v>0.11843365711137099</c:v>
                </c:pt>
                <c:pt idx="6">
                  <c:v>0.11584110997270837</c:v>
                </c:pt>
                <c:pt idx="7">
                  <c:v>0.11559229351365331</c:v>
                </c:pt>
                <c:pt idx="8">
                  <c:v>0.11513750185243195</c:v>
                </c:pt>
                <c:pt idx="9">
                  <c:v>0.11436293137087158</c:v>
                </c:pt>
                <c:pt idx="10">
                  <c:v>0.11352140780864735</c:v>
                </c:pt>
                <c:pt idx="11">
                  <c:v>0.11314868754382146</c:v>
                </c:pt>
                <c:pt idx="12">
                  <c:v>0.11287947382299769</c:v>
                </c:pt>
                <c:pt idx="13">
                  <c:v>0.11270289390158787</c:v>
                </c:pt>
                <c:pt idx="14">
                  <c:v>0.11235674955633788</c:v>
                </c:pt>
                <c:pt idx="15">
                  <c:v>0.11199973879344542</c:v>
                </c:pt>
                <c:pt idx="16">
                  <c:v>0.11150672550630154</c:v>
                </c:pt>
                <c:pt idx="17">
                  <c:v>0.11113768309838991</c:v>
                </c:pt>
                <c:pt idx="18">
                  <c:v>0.11080535413247317</c:v>
                </c:pt>
                <c:pt idx="19">
                  <c:v>0.11047302324443922</c:v>
                </c:pt>
                <c:pt idx="20">
                  <c:v>0.11018554594366145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2007-2012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and technical</c:v>
                </c:pt>
                <c:pt idx="3">
                  <c:v>Administrative and secretarial</c:v>
                </c:pt>
                <c:pt idx="4">
                  <c:v>Skilled trades occupations</c:v>
                </c:pt>
                <c:pt idx="5">
                  <c:v>Caring, leisure and other service</c:v>
                </c:pt>
                <c:pt idx="6">
                  <c:v>Sales and customer service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267.28302321255796</c:v>
                </c:pt>
                <c:pt idx="1">
                  <c:v>415.87357805304782</c:v>
                </c:pt>
                <c:pt idx="2">
                  <c:v>53.19811831624429</c:v>
                </c:pt>
                <c:pt idx="3">
                  <c:v>-336.68836949335264</c:v>
                </c:pt>
                <c:pt idx="4">
                  <c:v>-222.57489278207095</c:v>
                </c:pt>
                <c:pt idx="5">
                  <c:v>243.99874731894033</c:v>
                </c:pt>
                <c:pt idx="6">
                  <c:v>16.532024575712512</c:v>
                </c:pt>
                <c:pt idx="7">
                  <c:v>-156.59068810735789</c:v>
                </c:pt>
                <c:pt idx="8">
                  <c:v>-271.02554109353468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00"/>
          <c:min val="-20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2012-2017</a:t>
            </a:r>
          </a:p>
        </c:rich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and technical</c:v>
                </c:pt>
                <c:pt idx="3">
                  <c:v>Administrative and secretarial</c:v>
                </c:pt>
                <c:pt idx="4">
                  <c:v>Skilled trades occupations</c:v>
                </c:pt>
                <c:pt idx="5">
                  <c:v>Caring, leisure and other service</c:v>
                </c:pt>
                <c:pt idx="6">
                  <c:v>Sales and customer service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523.46910897914859</c:v>
                </c:pt>
                <c:pt idx="1">
                  <c:v>1031.5665168888909</c:v>
                </c:pt>
                <c:pt idx="2">
                  <c:v>638.99661201118579</c:v>
                </c:pt>
                <c:pt idx="3">
                  <c:v>-5.9027256768308689</c:v>
                </c:pt>
                <c:pt idx="4">
                  <c:v>71.795923925795705</c:v>
                </c:pt>
                <c:pt idx="5">
                  <c:v>455.53655568389877</c:v>
                </c:pt>
                <c:pt idx="6">
                  <c:v>120.31765738513968</c:v>
                </c:pt>
                <c:pt idx="7">
                  <c:v>22.398075437190528</c:v>
                </c:pt>
                <c:pt idx="8">
                  <c:v>189.80127536530836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00"/>
          <c:min val="-20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2017-2022</a:t>
            </a:r>
          </a:p>
        </c:rich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and technical</c:v>
                </c:pt>
                <c:pt idx="3">
                  <c:v>Administrative and secretarial</c:v>
                </c:pt>
                <c:pt idx="4">
                  <c:v>Skilled trades occupations</c:v>
                </c:pt>
                <c:pt idx="5">
                  <c:v>Caring, leisure and other service</c:v>
                </c:pt>
                <c:pt idx="6">
                  <c:v>Sales and customer service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231.26766210742289</c:v>
                </c:pt>
                <c:pt idx="1">
                  <c:v>401.80832131148145</c:v>
                </c:pt>
                <c:pt idx="2">
                  <c:v>238.76286807173346</c:v>
                </c:pt>
                <c:pt idx="3">
                  <c:v>-321.70003432540716</c:v>
                </c:pt>
                <c:pt idx="4">
                  <c:v>-163.88310659761919</c:v>
                </c:pt>
                <c:pt idx="5">
                  <c:v>204.47016757162828</c:v>
                </c:pt>
                <c:pt idx="6">
                  <c:v>-47.787604411020311</c:v>
                </c:pt>
                <c:pt idx="7">
                  <c:v>-132.53013093568734</c:v>
                </c:pt>
                <c:pt idx="8">
                  <c:v>-7.9521427925524222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00"/>
          <c:min val="-20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2022-2027</a:t>
            </a:r>
          </a:p>
        </c:rich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and technical</c:v>
                </c:pt>
                <c:pt idx="3">
                  <c:v>Administrative and secretarial</c:v>
                </c:pt>
                <c:pt idx="4">
                  <c:v>Skilled trades occupations</c:v>
                </c:pt>
                <c:pt idx="5">
                  <c:v>Caring, leisure and other service</c:v>
                </c:pt>
                <c:pt idx="6">
                  <c:v>Sales and customer service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207.27939308166287</c:v>
                </c:pt>
                <c:pt idx="1">
                  <c:v>419.3187237922557</c:v>
                </c:pt>
                <c:pt idx="2">
                  <c:v>186.37540940829513</c:v>
                </c:pt>
                <c:pt idx="3">
                  <c:v>-281.93128626648377</c:v>
                </c:pt>
                <c:pt idx="4">
                  <c:v>-142.76770009896882</c:v>
                </c:pt>
                <c:pt idx="5">
                  <c:v>261.25290034551563</c:v>
                </c:pt>
                <c:pt idx="6">
                  <c:v>-4.6322404687762173</c:v>
                </c:pt>
                <c:pt idx="7">
                  <c:v>-73.300493968654337</c:v>
                </c:pt>
                <c:pt idx="8">
                  <c:v>-1.089705824673274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00"/>
          <c:min val="-20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and technical</c:v>
                </c:pt>
                <c:pt idx="3">
                  <c:v>Administrative and secretarial</c:v>
                </c:pt>
                <c:pt idx="4">
                  <c:v>Skilled trades occupations</c:v>
                </c:pt>
                <c:pt idx="5">
                  <c:v>Caring, leisure and other service</c:v>
                </c:pt>
                <c:pt idx="6">
                  <c:v>Sales and customer service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438.54705518908577</c:v>
                </c:pt>
                <c:pt idx="1">
                  <c:v>821.12704510373715</c:v>
                </c:pt>
                <c:pt idx="2">
                  <c:v>425.13827748002859</c:v>
                </c:pt>
                <c:pt idx="3">
                  <c:v>-603.63132059189093</c:v>
                </c:pt>
                <c:pt idx="4">
                  <c:v>-306.65080669658801</c:v>
                </c:pt>
                <c:pt idx="5">
                  <c:v>465.72306791714391</c:v>
                </c:pt>
                <c:pt idx="6">
                  <c:v>-52.419844879796528</c:v>
                </c:pt>
                <c:pt idx="7">
                  <c:v>-205.83062490434168</c:v>
                </c:pt>
                <c:pt idx="8">
                  <c:v>-9.0418486172256962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and technical</c:v>
                </c:pt>
                <c:pt idx="3">
                  <c:v>Administrative and secretarial</c:v>
                </c:pt>
                <c:pt idx="4">
                  <c:v>Skilled trades occupations</c:v>
                </c:pt>
                <c:pt idx="5">
                  <c:v>Caring, leisure and other service</c:v>
                </c:pt>
                <c:pt idx="6">
                  <c:v>Sales and customer service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289.55714330558726</c:v>
                </c:pt>
                <c:pt idx="1">
                  <c:v>667.2298421513774</c:v>
                </c:pt>
                <c:pt idx="2">
                  <c:v>358.44156395691425</c:v>
                </c:pt>
                <c:pt idx="3">
                  <c:v>-590.21048051590196</c:v>
                </c:pt>
                <c:pt idx="4">
                  <c:v>-16.11146000643754</c:v>
                </c:pt>
                <c:pt idx="5">
                  <c:v>353.20807029105617</c:v>
                </c:pt>
                <c:pt idx="6">
                  <c:v>-83.509895893268549</c:v>
                </c:pt>
                <c:pt idx="7">
                  <c:v>-58.989783381118542</c:v>
                </c:pt>
                <c:pt idx="8">
                  <c:v>-128.74699990813883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and technical</c:v>
                </c:pt>
                <c:pt idx="3">
                  <c:v>Administrative and secretarial</c:v>
                </c:pt>
                <c:pt idx="4">
                  <c:v>Skilled trades occupations</c:v>
                </c:pt>
                <c:pt idx="5">
                  <c:v>Caring, leisure and other service</c:v>
                </c:pt>
                <c:pt idx="6">
                  <c:v>Sales and customer service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148.98991188350692</c:v>
                </c:pt>
                <c:pt idx="1">
                  <c:v>153.89720295236111</c:v>
                </c:pt>
                <c:pt idx="2">
                  <c:v>66.696713523106155</c:v>
                </c:pt>
                <c:pt idx="3">
                  <c:v>-13.420840075979527</c:v>
                </c:pt>
                <c:pt idx="4">
                  <c:v>-290.53934669015325</c:v>
                </c:pt>
                <c:pt idx="5">
                  <c:v>112.51499762608728</c:v>
                </c:pt>
                <c:pt idx="6">
                  <c:v>31.090051013469747</c:v>
                </c:pt>
                <c:pt idx="7">
                  <c:v>-146.84084152322384</c:v>
                </c:pt>
                <c:pt idx="8">
                  <c:v>119.70515129090381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and technical</c:v>
                </c:pt>
                <c:pt idx="3">
                  <c:v>Administrative and secretarial</c:v>
                </c:pt>
                <c:pt idx="4">
                  <c:v>Skilled trades occupations</c:v>
                </c:pt>
                <c:pt idx="5">
                  <c:v>Caring, leisure and other service</c:v>
                </c:pt>
                <c:pt idx="6">
                  <c:v>Sales and customer service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-13.966865005810405</c:v>
                </c:pt>
                <c:pt idx="1">
                  <c:v>32.48540719841094</c:v>
                </c:pt>
                <c:pt idx="2">
                  <c:v>12.244324247262512</c:v>
                </c:pt>
                <c:pt idx="3">
                  <c:v>-35.498580201472464</c:v>
                </c:pt>
                <c:pt idx="4">
                  <c:v>-63.230063058769247</c:v>
                </c:pt>
                <c:pt idx="5">
                  <c:v>-7.0995628325334792</c:v>
                </c:pt>
                <c:pt idx="6">
                  <c:v>-19.176693211677645</c:v>
                </c:pt>
                <c:pt idx="7">
                  <c:v>-31.604034882460667</c:v>
                </c:pt>
                <c:pt idx="8">
                  <c:v>-7.2279322471194973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and technical</c:v>
                </c:pt>
                <c:pt idx="3">
                  <c:v>Administrative and secretarial</c:v>
                </c:pt>
                <c:pt idx="4">
                  <c:v>Skilled trades occupations</c:v>
                </c:pt>
                <c:pt idx="5">
                  <c:v>Caring, leisure and other service</c:v>
                </c:pt>
                <c:pt idx="6">
                  <c:v>Sales and customer service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117.73427004257559</c:v>
                </c:pt>
                <c:pt idx="1">
                  <c:v>354.95041094819499</c:v>
                </c:pt>
                <c:pt idx="2">
                  <c:v>179.11874979148683</c:v>
                </c:pt>
                <c:pt idx="3">
                  <c:v>-206.88357279874003</c:v>
                </c:pt>
                <c:pt idx="4">
                  <c:v>-10.158063232084885</c:v>
                </c:pt>
                <c:pt idx="5">
                  <c:v>328.96518102584719</c:v>
                </c:pt>
                <c:pt idx="6">
                  <c:v>46.756550202295557</c:v>
                </c:pt>
                <c:pt idx="7">
                  <c:v>27.742942657832714</c:v>
                </c:pt>
                <c:pt idx="8">
                  <c:v>23.866531335020909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and technical</c:v>
                </c:pt>
                <c:pt idx="3">
                  <c:v>Administrative and secretarial</c:v>
                </c:pt>
                <c:pt idx="4">
                  <c:v>Skilled trades occupations</c:v>
                </c:pt>
                <c:pt idx="5">
                  <c:v>Caring, leisure and other service</c:v>
                </c:pt>
                <c:pt idx="6">
                  <c:v>Sales and customer service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334.77965015232758</c:v>
                </c:pt>
                <c:pt idx="1">
                  <c:v>433.69122695713486</c:v>
                </c:pt>
                <c:pt idx="2">
                  <c:v>233.77520344127379</c:v>
                </c:pt>
                <c:pt idx="3">
                  <c:v>-361.24916759167513</c:v>
                </c:pt>
                <c:pt idx="4">
                  <c:v>-233.26268040573382</c:v>
                </c:pt>
                <c:pt idx="5">
                  <c:v>143.85744972382145</c:v>
                </c:pt>
                <c:pt idx="6">
                  <c:v>-79.999701870406625</c:v>
                </c:pt>
                <c:pt idx="7">
                  <c:v>-201.9695326797173</c:v>
                </c:pt>
                <c:pt idx="8">
                  <c:v>-25.680447705130518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and technical</c:v>
                </c:pt>
                <c:pt idx="3">
                  <c:v>Administrative and secretarial</c:v>
                </c:pt>
                <c:pt idx="4">
                  <c:v>Skilled trades occupations</c:v>
                </c:pt>
                <c:pt idx="5">
                  <c:v>Caring, leisure and other service</c:v>
                </c:pt>
                <c:pt idx="6">
                  <c:v>Sales and customer service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2.7990869390771991</c:v>
                </c:pt>
                <c:pt idx="1">
                  <c:v>38.92049134047511</c:v>
                </c:pt>
                <c:pt idx="2">
                  <c:v>10.760724131523034</c:v>
                </c:pt>
                <c:pt idx="3">
                  <c:v>-34.320759963530335</c:v>
                </c:pt>
                <c:pt idx="4">
                  <c:v>-5.3889965888090927</c:v>
                </c:pt>
                <c:pt idx="5">
                  <c:v>-8.2396981657851711</c:v>
                </c:pt>
                <c:pt idx="6">
                  <c:v>-10.717323297790749</c:v>
                </c:pt>
                <c:pt idx="7">
                  <c:v>-5.8920115624345506</c:v>
                </c:pt>
                <c:pt idx="8">
                  <c:v>-3.3705128252101559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and technical</c:v>
                </c:pt>
                <c:pt idx="3">
                  <c:v>Administrative and secretarial</c:v>
                </c:pt>
                <c:pt idx="4">
                  <c:v>Skilled trades occupations</c:v>
                </c:pt>
                <c:pt idx="5">
                  <c:v>Caring, leisure and other service</c:v>
                </c:pt>
                <c:pt idx="6">
                  <c:v>Sales and customer service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86.530626982063268</c:v>
                </c:pt>
                <c:pt idx="1">
                  <c:v>291.76540144570845</c:v>
                </c:pt>
                <c:pt idx="2">
                  <c:v>136.10995540963631</c:v>
                </c:pt>
                <c:pt idx="3">
                  <c:v>-216.28753575824067</c:v>
                </c:pt>
                <c:pt idx="4">
                  <c:v>-7.0823036667956103</c:v>
                </c:pt>
                <c:pt idx="5">
                  <c:v>259.446830871065</c:v>
                </c:pt>
                <c:pt idx="6">
                  <c:v>-23.986194842785608</c:v>
                </c:pt>
                <c:pt idx="7">
                  <c:v>-10.105731566291176</c:v>
                </c:pt>
                <c:pt idx="8">
                  <c:v>-89.468048898741699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and technical</c:v>
                </c:pt>
                <c:pt idx="3">
                  <c:v>Administrative and secretarial</c:v>
                </c:pt>
                <c:pt idx="4">
                  <c:v>Skilled trades occupations</c:v>
                </c:pt>
                <c:pt idx="5">
                  <c:v>Caring, leisure and other service</c:v>
                </c:pt>
                <c:pt idx="6">
                  <c:v>Sales and customer service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200.22742938444799</c:v>
                </c:pt>
                <c:pt idx="1">
                  <c:v>336.54394936519384</c:v>
                </c:pt>
                <c:pt idx="2">
                  <c:v>211.57088441575866</c:v>
                </c:pt>
                <c:pt idx="3">
                  <c:v>-339.6021847941372</c:v>
                </c:pt>
                <c:pt idx="4">
                  <c:v>-3.6401597508329928</c:v>
                </c:pt>
                <c:pt idx="5">
                  <c:v>102.00093758576736</c:v>
                </c:pt>
                <c:pt idx="6">
                  <c:v>-48.806377752685535</c:v>
                </c:pt>
                <c:pt idx="7">
                  <c:v>-42.992040252392613</c:v>
                </c:pt>
                <c:pt idx="8">
                  <c:v>-35.908438184183638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and technical</c:v>
                </c:pt>
                <c:pt idx="3">
                  <c:v>Administrative and secretarial</c:v>
                </c:pt>
                <c:pt idx="4">
                  <c:v>Skilled trades occupations</c:v>
                </c:pt>
                <c:pt idx="5">
                  <c:v>Caring, leisure and other service</c:v>
                </c:pt>
                <c:pt idx="6">
                  <c:v>Sales and customer service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-16.765951944887718</c:v>
                </c:pt>
                <c:pt idx="1">
                  <c:v>-6.4350841420638858</c:v>
                </c:pt>
                <c:pt idx="2">
                  <c:v>1.4836001157386818</c:v>
                </c:pt>
                <c:pt idx="3">
                  <c:v>-1.1778202379420861</c:v>
                </c:pt>
                <c:pt idx="4">
                  <c:v>-57.841066469961561</c:v>
                </c:pt>
                <c:pt idx="5">
                  <c:v>1.140135333251699</c:v>
                </c:pt>
                <c:pt idx="6">
                  <c:v>-8.4593699138867322</c:v>
                </c:pt>
                <c:pt idx="7">
                  <c:v>-25.712023320025878</c:v>
                </c:pt>
                <c:pt idx="8">
                  <c:v>-3.8574194219096682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and technical</c:v>
                </c:pt>
                <c:pt idx="3">
                  <c:v>Administrative and secretarial</c:v>
                </c:pt>
                <c:pt idx="4">
                  <c:v>Skilled trades occupations</c:v>
                </c:pt>
                <c:pt idx="5">
                  <c:v>Caring, leisure and other service</c:v>
                </c:pt>
                <c:pt idx="6">
                  <c:v>Sales and customer service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31.203643060512576</c:v>
                </c:pt>
                <c:pt idx="1">
                  <c:v>63.185009502486764</c:v>
                </c:pt>
                <c:pt idx="2">
                  <c:v>43.008794381850663</c:v>
                </c:pt>
                <c:pt idx="3">
                  <c:v>9.4039629595007455</c:v>
                </c:pt>
                <c:pt idx="4">
                  <c:v>-3.0757595652889904</c:v>
                </c:pt>
                <c:pt idx="5">
                  <c:v>69.518350154783263</c:v>
                </c:pt>
                <c:pt idx="6">
                  <c:v>70.742745045082017</c:v>
                </c:pt>
                <c:pt idx="7">
                  <c:v>37.848674224123641</c:v>
                </c:pt>
                <c:pt idx="8">
                  <c:v>113.33458023376261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and technical</c:v>
                </c:pt>
                <c:pt idx="3">
                  <c:v>Administrative and secretarial</c:v>
                </c:pt>
                <c:pt idx="4">
                  <c:v>Skilled trades occupations</c:v>
                </c:pt>
                <c:pt idx="5">
                  <c:v>Caring, leisure and other service</c:v>
                </c:pt>
                <c:pt idx="6">
                  <c:v>Sales and customer service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134.55222076788164</c:v>
                </c:pt>
                <c:pt idx="1">
                  <c:v>97.147277591939201</c:v>
                </c:pt>
                <c:pt idx="2">
                  <c:v>22.204319025513541</c:v>
                </c:pt>
                <c:pt idx="3">
                  <c:v>-21.646982797538044</c:v>
                </c:pt>
                <c:pt idx="4">
                  <c:v>-229.62252065490225</c:v>
                </c:pt>
                <c:pt idx="5">
                  <c:v>41.856512138052096</c:v>
                </c:pt>
                <c:pt idx="6">
                  <c:v>-31.193324117722455</c:v>
                </c:pt>
                <c:pt idx="7">
                  <c:v>-158.97749242732311</c:v>
                </c:pt>
                <c:pt idx="8">
                  <c:v>10.227990479053005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'Qual F1'!$M$6:$AG$6</c:f>
              <c:numCache>
                <c:formatCode>#,##0</c:formatCode>
                <c:ptCount val="21"/>
                <c:pt idx="0">
                  <c:v>2707.7109936545003</c:v>
                </c:pt>
                <c:pt idx="1">
                  <c:v>2629.2210195232851</c:v>
                </c:pt>
                <c:pt idx="2">
                  <c:v>2206.1032170045783</c:v>
                </c:pt>
                <c:pt idx="3">
                  <c:v>2098.254960069763</c:v>
                </c:pt>
                <c:pt idx="4">
                  <c:v>1994.9403085890806</c:v>
                </c:pt>
                <c:pt idx="5">
                  <c:v>1826.0781440577005</c:v>
                </c:pt>
                <c:pt idx="6">
                  <c:v>1834.5095820129657</c:v>
                </c:pt>
                <c:pt idx="7">
                  <c:v>1808.9590495515736</c:v>
                </c:pt>
                <c:pt idx="8">
                  <c:v>1693.2076631808211</c:v>
                </c:pt>
                <c:pt idx="9">
                  <c:v>1643.9856097713896</c:v>
                </c:pt>
                <c:pt idx="10">
                  <c:v>1606.566834382852</c:v>
                </c:pt>
                <c:pt idx="11">
                  <c:v>1441.3747492802459</c:v>
                </c:pt>
                <c:pt idx="12">
                  <c:v>1341.3199914812285</c:v>
                </c:pt>
                <c:pt idx="13">
                  <c:v>1254.1315662072088</c:v>
                </c:pt>
                <c:pt idx="14">
                  <c:v>1170.757225682971</c:v>
                </c:pt>
                <c:pt idx="15">
                  <c:v>1101.8347322327654</c:v>
                </c:pt>
                <c:pt idx="16">
                  <c:v>1039.5263037398674</c:v>
                </c:pt>
                <c:pt idx="17">
                  <c:v>986.09877332906751</c:v>
                </c:pt>
                <c:pt idx="18">
                  <c:v>936.37387116538719</c:v>
                </c:pt>
                <c:pt idx="19">
                  <c:v>895.0167137071702</c:v>
                </c:pt>
                <c:pt idx="20">
                  <c:v>867.25225080976838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'Qual F1'!$M$7:$AG$7</c:f>
              <c:numCache>
                <c:formatCode>#,##0</c:formatCode>
                <c:ptCount val="21"/>
                <c:pt idx="0">
                  <c:v>5530.7871204987168</c:v>
                </c:pt>
                <c:pt idx="1">
                  <c:v>5625.8370963345942</c:v>
                </c:pt>
                <c:pt idx="2">
                  <c:v>5179.2506888268572</c:v>
                </c:pt>
                <c:pt idx="3">
                  <c:v>4932.5103190237405</c:v>
                </c:pt>
                <c:pt idx="4">
                  <c:v>4527.925400640398</c:v>
                </c:pt>
                <c:pt idx="5">
                  <c:v>4480.3692005364028</c:v>
                </c:pt>
                <c:pt idx="6">
                  <c:v>4391.0547650824919</c:v>
                </c:pt>
                <c:pt idx="7">
                  <c:v>4492.989233473083</c:v>
                </c:pt>
                <c:pt idx="8">
                  <c:v>4494.4829701518584</c:v>
                </c:pt>
                <c:pt idx="9">
                  <c:v>4450.333085293666</c:v>
                </c:pt>
                <c:pt idx="10">
                  <c:v>4476.8154183152474</c:v>
                </c:pt>
                <c:pt idx="11">
                  <c:v>4172.8730969545913</c:v>
                </c:pt>
                <c:pt idx="12">
                  <c:v>4020.5983312280277</c:v>
                </c:pt>
                <c:pt idx="13">
                  <c:v>3875.7975261785477</c:v>
                </c:pt>
                <c:pt idx="14">
                  <c:v>3721.5432295721939</c:v>
                </c:pt>
                <c:pt idx="15">
                  <c:v>3567.9630511304931</c:v>
                </c:pt>
                <c:pt idx="16">
                  <c:v>3423.5543874880418</c:v>
                </c:pt>
                <c:pt idx="17">
                  <c:v>3290.5020153458659</c:v>
                </c:pt>
                <c:pt idx="18">
                  <c:v>3164.240966036853</c:v>
                </c:pt>
                <c:pt idx="19">
                  <c:v>3044.681778210042</c:v>
                </c:pt>
                <c:pt idx="20">
                  <c:v>2933.9027332325554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'Qual F1'!$M$8:$AG$8</c:f>
              <c:numCache>
                <c:formatCode>#,##0</c:formatCode>
                <c:ptCount val="21"/>
                <c:pt idx="0">
                  <c:v>6850.6106439310988</c:v>
                </c:pt>
                <c:pt idx="1">
                  <c:v>6919.8255946804893</c:v>
                </c:pt>
                <c:pt idx="2">
                  <c:v>6807.6197459129189</c:v>
                </c:pt>
                <c:pt idx="3">
                  <c:v>6608.7414508953771</c:v>
                </c:pt>
                <c:pt idx="4">
                  <c:v>6707.0805446002587</c:v>
                </c:pt>
                <c:pt idx="5">
                  <c:v>6671.6730005943746</c:v>
                </c:pt>
                <c:pt idx="6">
                  <c:v>6493.5320764851813</c:v>
                </c:pt>
                <c:pt idx="7">
                  <c:v>6611.4488056372265</c:v>
                </c:pt>
                <c:pt idx="8">
                  <c:v>6617.4038946887795</c:v>
                </c:pt>
                <c:pt idx="9">
                  <c:v>6627.1301005568748</c:v>
                </c:pt>
                <c:pt idx="10">
                  <c:v>6752.7707517016897</c:v>
                </c:pt>
                <c:pt idx="11">
                  <c:v>6558.1783486801305</c:v>
                </c:pt>
                <c:pt idx="12">
                  <c:v>6449.4270305301743</c:v>
                </c:pt>
                <c:pt idx="13">
                  <c:v>6363.2928857888855</c:v>
                </c:pt>
                <c:pt idx="14">
                  <c:v>6270.3932847276265</c:v>
                </c:pt>
                <c:pt idx="15">
                  <c:v>6187.2671637425328</c:v>
                </c:pt>
                <c:pt idx="16">
                  <c:v>6112.8731480913793</c:v>
                </c:pt>
                <c:pt idx="17">
                  <c:v>6040.9752780565896</c:v>
                </c:pt>
                <c:pt idx="18">
                  <c:v>5959.2443065300868</c:v>
                </c:pt>
                <c:pt idx="19">
                  <c:v>5868.9631977398913</c:v>
                </c:pt>
                <c:pt idx="20">
                  <c:v>5774.7831786037759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'Qual F1'!$M$9:$AG$9</c:f>
              <c:numCache>
                <c:formatCode>#,##0</c:formatCode>
                <c:ptCount val="21"/>
                <c:pt idx="0">
                  <c:v>6197.5454086245363</c:v>
                </c:pt>
                <c:pt idx="1">
                  <c:v>6285.4221876633919</c:v>
                </c:pt>
                <c:pt idx="2">
                  <c:v>6168.1550825550721</c:v>
                </c:pt>
                <c:pt idx="3">
                  <c:v>6160.7983300218675</c:v>
                </c:pt>
                <c:pt idx="4">
                  <c:v>6256.2276726052769</c:v>
                </c:pt>
                <c:pt idx="5">
                  <c:v>6241.629395417569</c:v>
                </c:pt>
                <c:pt idx="6">
                  <c:v>6381.6878836485976</c:v>
                </c:pt>
                <c:pt idx="7">
                  <c:v>6627.3576624873049</c:v>
                </c:pt>
                <c:pt idx="8">
                  <c:v>6602.7060727938433</c:v>
                </c:pt>
                <c:pt idx="9">
                  <c:v>6770.3864984127704</c:v>
                </c:pt>
                <c:pt idx="10">
                  <c:v>6916.6632329275581</c:v>
                </c:pt>
                <c:pt idx="11">
                  <c:v>6777.6508131108403</c:v>
                </c:pt>
                <c:pt idx="12">
                  <c:v>6723.4978917154922</c:v>
                </c:pt>
                <c:pt idx="13">
                  <c:v>6672.984932837514</c:v>
                </c:pt>
                <c:pt idx="14">
                  <c:v>6611.9274680783974</c:v>
                </c:pt>
                <c:pt idx="15">
                  <c:v>6564.0914040264424</c:v>
                </c:pt>
                <c:pt idx="16">
                  <c:v>6532.710941523871</c:v>
                </c:pt>
                <c:pt idx="17">
                  <c:v>6512.2603484726924</c:v>
                </c:pt>
                <c:pt idx="18">
                  <c:v>6499.2950995020174</c:v>
                </c:pt>
                <c:pt idx="19">
                  <c:v>6488.2231764358312</c:v>
                </c:pt>
                <c:pt idx="20">
                  <c:v>6466.0936823055099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'Qual F1'!$M$10:$AG$10</c:f>
              <c:numCache>
                <c:formatCode>#,##0</c:formatCode>
                <c:ptCount val="21"/>
                <c:pt idx="0">
                  <c:v>1558.9157977239936</c:v>
                </c:pt>
                <c:pt idx="1">
                  <c:v>1476.3367183525847</c:v>
                </c:pt>
                <c:pt idx="2">
                  <c:v>1551.2995895083741</c:v>
                </c:pt>
                <c:pt idx="3">
                  <c:v>1591.5121462808022</c:v>
                </c:pt>
                <c:pt idx="4">
                  <c:v>1674.4240620530093</c:v>
                </c:pt>
                <c:pt idx="5">
                  <c:v>1754.5761560409121</c:v>
                </c:pt>
                <c:pt idx="6">
                  <c:v>1765.4043967637863</c:v>
                </c:pt>
                <c:pt idx="7">
                  <c:v>1867.4720656190846</c:v>
                </c:pt>
                <c:pt idx="8">
                  <c:v>1845.853435644377</c:v>
                </c:pt>
                <c:pt idx="9">
                  <c:v>1900.9874718118165</c:v>
                </c:pt>
                <c:pt idx="10">
                  <c:v>1890.3955631831407</c:v>
                </c:pt>
                <c:pt idx="11">
                  <c:v>2050.3502880202795</c:v>
                </c:pt>
                <c:pt idx="12">
                  <c:v>2104.101334969228</c:v>
                </c:pt>
                <c:pt idx="13">
                  <c:v>2158.1678479770558</c:v>
                </c:pt>
                <c:pt idx="14">
                  <c:v>2203.8870084482955</c:v>
                </c:pt>
                <c:pt idx="15">
                  <c:v>2248.0182545175867</c:v>
                </c:pt>
                <c:pt idx="16">
                  <c:v>2292.2013557694522</c:v>
                </c:pt>
                <c:pt idx="17">
                  <c:v>2333.607267655892</c:v>
                </c:pt>
                <c:pt idx="18">
                  <c:v>2375.0952691521406</c:v>
                </c:pt>
                <c:pt idx="19">
                  <c:v>2417.0941829272333</c:v>
                </c:pt>
                <c:pt idx="20">
                  <c:v>2458.2425587875514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'Qual F1'!$M$11:$AG$11</c:f>
              <c:numCache>
                <c:formatCode>#,##0</c:formatCode>
                <c:ptCount val="21"/>
                <c:pt idx="0">
                  <c:v>1895.6113833887814</c:v>
                </c:pt>
                <c:pt idx="1">
                  <c:v>1860.2399251538336</c:v>
                </c:pt>
                <c:pt idx="2">
                  <c:v>1877.5015321861526</c:v>
                </c:pt>
                <c:pt idx="3">
                  <c:v>1915.6516345792643</c:v>
                </c:pt>
                <c:pt idx="4">
                  <c:v>1944.090800710552</c:v>
                </c:pt>
                <c:pt idx="5">
                  <c:v>1985.0087424495528</c:v>
                </c:pt>
                <c:pt idx="6">
                  <c:v>1986.7785814163283</c:v>
                </c:pt>
                <c:pt idx="7">
                  <c:v>2049.9165055366534</c:v>
                </c:pt>
                <c:pt idx="8">
                  <c:v>1979.18148094516</c:v>
                </c:pt>
                <c:pt idx="9">
                  <c:v>2001.5495851847522</c:v>
                </c:pt>
                <c:pt idx="10">
                  <c:v>1966.1273252754931</c:v>
                </c:pt>
                <c:pt idx="11">
                  <c:v>2089.4243362314564</c:v>
                </c:pt>
                <c:pt idx="12">
                  <c:v>2111.7941893070824</c:v>
                </c:pt>
                <c:pt idx="13">
                  <c:v>2134.510528735364</c:v>
                </c:pt>
                <c:pt idx="14">
                  <c:v>2151.0016733170514</c:v>
                </c:pt>
                <c:pt idx="15">
                  <c:v>2170.0302727101011</c:v>
                </c:pt>
                <c:pt idx="16">
                  <c:v>2194.3786905501047</c:v>
                </c:pt>
                <c:pt idx="17">
                  <c:v>2217.1741638831245</c:v>
                </c:pt>
                <c:pt idx="18">
                  <c:v>2240.6804661522374</c:v>
                </c:pt>
                <c:pt idx="19">
                  <c:v>2264.6931654741552</c:v>
                </c:pt>
                <c:pt idx="20">
                  <c:v>2288.7418318613563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'Qual F1'!$M$12:$AG$12</c:f>
              <c:numCache>
                <c:formatCode>#,##0</c:formatCode>
                <c:ptCount val="21"/>
                <c:pt idx="0">
                  <c:v>4602.2940717735719</c:v>
                </c:pt>
                <c:pt idx="1">
                  <c:v>4721.5056523883222</c:v>
                </c:pt>
                <c:pt idx="2">
                  <c:v>4988.8882298079016</c:v>
                </c:pt>
                <c:pt idx="3">
                  <c:v>5167.9914348229022</c:v>
                </c:pt>
                <c:pt idx="4">
                  <c:v>5555.3310612715786</c:v>
                </c:pt>
                <c:pt idx="5">
                  <c:v>5900.840055743266</c:v>
                </c:pt>
                <c:pt idx="6">
                  <c:v>6141.1565645075716</c:v>
                </c:pt>
                <c:pt idx="7">
                  <c:v>6620.9902149764639</c:v>
                </c:pt>
                <c:pt idx="8">
                  <c:v>6536.7035038716913</c:v>
                </c:pt>
                <c:pt idx="9">
                  <c:v>6773.9336478511677</c:v>
                </c:pt>
                <c:pt idx="10">
                  <c:v>6850.5415007430647</c:v>
                </c:pt>
                <c:pt idx="11">
                  <c:v>7448.6968098219768</c:v>
                </c:pt>
                <c:pt idx="12">
                  <c:v>7676.5804208362397</c:v>
                </c:pt>
                <c:pt idx="13">
                  <c:v>7907.0051281987817</c:v>
                </c:pt>
                <c:pt idx="14">
                  <c:v>8117.631043387054</c:v>
                </c:pt>
                <c:pt idx="15">
                  <c:v>8320.0245057423726</c:v>
                </c:pt>
                <c:pt idx="16">
                  <c:v>8512.6081251521427</c:v>
                </c:pt>
                <c:pt idx="17">
                  <c:v>8696.69035450101</c:v>
                </c:pt>
                <c:pt idx="18">
                  <c:v>8878.0569071882201</c:v>
                </c:pt>
                <c:pt idx="19">
                  <c:v>9054.6804362906005</c:v>
                </c:pt>
                <c:pt idx="20">
                  <c:v>9223.9699308177442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'Qual F1'!$M$13:$AG$13</c:f>
              <c:numCache>
                <c:formatCode>#,##0</c:formatCode>
                <c:ptCount val="21"/>
                <c:pt idx="0">
                  <c:v>2152.1787706991677</c:v>
                </c:pt>
                <c:pt idx="1">
                  <c:v>2228.6512489300776</c:v>
                </c:pt>
                <c:pt idx="2">
                  <c:v>2331.4561866450072</c:v>
                </c:pt>
                <c:pt idx="3">
                  <c:v>2430.6195628398405</c:v>
                </c:pt>
                <c:pt idx="4">
                  <c:v>2302.0744510540076</c:v>
                </c:pt>
                <c:pt idx="5">
                  <c:v>2571.8117364701548</c:v>
                </c:pt>
                <c:pt idx="6">
                  <c:v>2601.7397931554665</c:v>
                </c:pt>
                <c:pt idx="7">
                  <c:v>2716.949426049569</c:v>
                </c:pt>
                <c:pt idx="8">
                  <c:v>3399.6491027639304</c:v>
                </c:pt>
                <c:pt idx="9">
                  <c:v>3694.4275274323527</c:v>
                </c:pt>
                <c:pt idx="10">
                  <c:v>3839.3943653282895</c:v>
                </c:pt>
                <c:pt idx="11">
                  <c:v>3842.5273102418819</c:v>
                </c:pt>
                <c:pt idx="12">
                  <c:v>4000.1415200175625</c:v>
                </c:pt>
                <c:pt idx="13">
                  <c:v>4161.6524291623573</c:v>
                </c:pt>
                <c:pt idx="14">
                  <c:v>4309.4806647542355</c:v>
                </c:pt>
                <c:pt idx="15">
                  <c:v>4454.2817768167215</c:v>
                </c:pt>
                <c:pt idx="16">
                  <c:v>4593.9907521435771</c:v>
                </c:pt>
                <c:pt idx="17">
                  <c:v>4723.4840786556124</c:v>
                </c:pt>
                <c:pt idx="18">
                  <c:v>4847.8581862918936</c:v>
                </c:pt>
                <c:pt idx="19">
                  <c:v>4964.2627652263518</c:v>
                </c:pt>
                <c:pt idx="20">
                  <c:v>5076.2341667681503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'Qual F1'!$M$14:$AG$14</c:f>
              <c:numCache>
                <c:formatCode>#,##0</c:formatCode>
                <c:ptCount val="21"/>
                <c:pt idx="0">
                  <c:v>294.35280970569698</c:v>
                </c:pt>
                <c:pt idx="1">
                  <c:v>319.91055697342034</c:v>
                </c:pt>
                <c:pt idx="2">
                  <c:v>344.66172755295116</c:v>
                </c:pt>
                <c:pt idx="3">
                  <c:v>347.93716146634875</c:v>
                </c:pt>
                <c:pt idx="4">
                  <c:v>331.88569847588923</c:v>
                </c:pt>
                <c:pt idx="5">
                  <c:v>368.02656869033478</c:v>
                </c:pt>
                <c:pt idx="6">
                  <c:v>375.12635692765974</c:v>
                </c:pt>
                <c:pt idx="7">
                  <c:v>394.91503666891936</c:v>
                </c:pt>
                <c:pt idx="8">
                  <c:v>485.8588759594478</c:v>
                </c:pt>
                <c:pt idx="9">
                  <c:v>524.29147368507529</c:v>
                </c:pt>
                <c:pt idx="10">
                  <c:v>548.71700814268797</c:v>
                </c:pt>
                <c:pt idx="11">
                  <c:v>547.19024765853055</c:v>
                </c:pt>
                <c:pt idx="12">
                  <c:v>569.9412899147884</c:v>
                </c:pt>
                <c:pt idx="13">
                  <c:v>592.91815491410932</c:v>
                </c:pt>
                <c:pt idx="14">
                  <c:v>615.30540203204669</c:v>
                </c:pt>
                <c:pt idx="15">
                  <c:v>636.93683908098239</c:v>
                </c:pt>
                <c:pt idx="16">
                  <c:v>657.79729554151356</c:v>
                </c:pt>
                <c:pt idx="17">
                  <c:v>677.30072010018489</c:v>
                </c:pt>
                <c:pt idx="18">
                  <c:v>696.26592798105014</c:v>
                </c:pt>
                <c:pt idx="19">
                  <c:v>714.23058398861303</c:v>
                </c:pt>
                <c:pt idx="20">
                  <c:v>731.73266681370376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'Qual F1'!$M$6:$AG$6</c:f>
              <c:numCache>
                <c:formatCode>#,##0</c:formatCode>
                <c:ptCount val="21"/>
                <c:pt idx="0">
                  <c:v>2707.7109936545003</c:v>
                </c:pt>
                <c:pt idx="1">
                  <c:v>2629.2210195232851</c:v>
                </c:pt>
                <c:pt idx="2">
                  <c:v>2206.1032170045783</c:v>
                </c:pt>
                <c:pt idx="3">
                  <c:v>2098.254960069763</c:v>
                </c:pt>
                <c:pt idx="4">
                  <c:v>1994.9403085890806</c:v>
                </c:pt>
                <c:pt idx="5">
                  <c:v>1826.0781440577005</c:v>
                </c:pt>
                <c:pt idx="6">
                  <c:v>1834.5095820129657</c:v>
                </c:pt>
                <c:pt idx="7">
                  <c:v>1808.9590495515736</c:v>
                </c:pt>
                <c:pt idx="8">
                  <c:v>1693.2076631808211</c:v>
                </c:pt>
                <c:pt idx="9">
                  <c:v>1643.9856097713896</c:v>
                </c:pt>
                <c:pt idx="10">
                  <c:v>1606.566834382852</c:v>
                </c:pt>
                <c:pt idx="11">
                  <c:v>1441.3747492802459</c:v>
                </c:pt>
                <c:pt idx="12">
                  <c:v>1341.3199914812285</c:v>
                </c:pt>
                <c:pt idx="13">
                  <c:v>1254.1315662072088</c:v>
                </c:pt>
                <c:pt idx="14">
                  <c:v>1170.757225682971</c:v>
                </c:pt>
                <c:pt idx="15">
                  <c:v>1101.8347322327654</c:v>
                </c:pt>
                <c:pt idx="16">
                  <c:v>1039.5263037398674</c:v>
                </c:pt>
                <c:pt idx="17">
                  <c:v>986.09877332906751</c:v>
                </c:pt>
                <c:pt idx="18">
                  <c:v>936.37387116538719</c:v>
                </c:pt>
                <c:pt idx="19">
                  <c:v>895.0167137071702</c:v>
                </c:pt>
                <c:pt idx="20">
                  <c:v>867.25225080976838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'Qual F1'!$M$7:$AG$7</c:f>
              <c:numCache>
                <c:formatCode>#,##0</c:formatCode>
                <c:ptCount val="21"/>
                <c:pt idx="0">
                  <c:v>5530.7871204987168</c:v>
                </c:pt>
                <c:pt idx="1">
                  <c:v>5625.8370963345942</c:v>
                </c:pt>
                <c:pt idx="2">
                  <c:v>5179.2506888268572</c:v>
                </c:pt>
                <c:pt idx="3">
                  <c:v>4932.5103190237405</c:v>
                </c:pt>
                <c:pt idx="4">
                  <c:v>4527.925400640398</c:v>
                </c:pt>
                <c:pt idx="5">
                  <c:v>4480.3692005364028</c:v>
                </c:pt>
                <c:pt idx="6">
                  <c:v>4391.0547650824919</c:v>
                </c:pt>
                <c:pt idx="7">
                  <c:v>4492.989233473083</c:v>
                </c:pt>
                <c:pt idx="8">
                  <c:v>4494.4829701518584</c:v>
                </c:pt>
                <c:pt idx="9">
                  <c:v>4450.333085293666</c:v>
                </c:pt>
                <c:pt idx="10">
                  <c:v>4476.8154183152474</c:v>
                </c:pt>
                <c:pt idx="11">
                  <c:v>4172.8730969545913</c:v>
                </c:pt>
                <c:pt idx="12">
                  <c:v>4020.5983312280277</c:v>
                </c:pt>
                <c:pt idx="13">
                  <c:v>3875.7975261785477</c:v>
                </c:pt>
                <c:pt idx="14">
                  <c:v>3721.5432295721939</c:v>
                </c:pt>
                <c:pt idx="15">
                  <c:v>3567.9630511304931</c:v>
                </c:pt>
                <c:pt idx="16">
                  <c:v>3423.5543874880418</c:v>
                </c:pt>
                <c:pt idx="17">
                  <c:v>3290.5020153458659</c:v>
                </c:pt>
                <c:pt idx="18">
                  <c:v>3164.240966036853</c:v>
                </c:pt>
                <c:pt idx="19">
                  <c:v>3044.681778210042</c:v>
                </c:pt>
                <c:pt idx="20">
                  <c:v>2933.9027332325554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'Qual F1'!$M$8:$AG$8</c:f>
              <c:numCache>
                <c:formatCode>#,##0</c:formatCode>
                <c:ptCount val="21"/>
                <c:pt idx="0">
                  <c:v>6850.6106439310988</c:v>
                </c:pt>
                <c:pt idx="1">
                  <c:v>6919.8255946804893</c:v>
                </c:pt>
                <c:pt idx="2">
                  <c:v>6807.6197459129189</c:v>
                </c:pt>
                <c:pt idx="3">
                  <c:v>6608.7414508953771</c:v>
                </c:pt>
                <c:pt idx="4">
                  <c:v>6707.0805446002587</c:v>
                </c:pt>
                <c:pt idx="5">
                  <c:v>6671.6730005943746</c:v>
                </c:pt>
                <c:pt idx="6">
                  <c:v>6493.5320764851813</c:v>
                </c:pt>
                <c:pt idx="7">
                  <c:v>6611.4488056372265</c:v>
                </c:pt>
                <c:pt idx="8">
                  <c:v>6617.4038946887795</c:v>
                </c:pt>
                <c:pt idx="9">
                  <c:v>6627.1301005568748</c:v>
                </c:pt>
                <c:pt idx="10">
                  <c:v>6752.7707517016897</c:v>
                </c:pt>
                <c:pt idx="11">
                  <c:v>6558.1783486801305</c:v>
                </c:pt>
                <c:pt idx="12">
                  <c:v>6449.4270305301743</c:v>
                </c:pt>
                <c:pt idx="13">
                  <c:v>6363.2928857888855</c:v>
                </c:pt>
                <c:pt idx="14">
                  <c:v>6270.3932847276265</c:v>
                </c:pt>
                <c:pt idx="15">
                  <c:v>6187.2671637425328</c:v>
                </c:pt>
                <c:pt idx="16">
                  <c:v>6112.8731480913793</c:v>
                </c:pt>
                <c:pt idx="17">
                  <c:v>6040.9752780565896</c:v>
                </c:pt>
                <c:pt idx="18">
                  <c:v>5959.2443065300868</c:v>
                </c:pt>
                <c:pt idx="19">
                  <c:v>5868.9631977398913</c:v>
                </c:pt>
                <c:pt idx="20">
                  <c:v>5774.7831786037759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'Qual F1'!$M$9:$AG$9</c:f>
              <c:numCache>
                <c:formatCode>#,##0</c:formatCode>
                <c:ptCount val="21"/>
                <c:pt idx="0">
                  <c:v>6197.5454086245363</c:v>
                </c:pt>
                <c:pt idx="1">
                  <c:v>6285.4221876633919</c:v>
                </c:pt>
                <c:pt idx="2">
                  <c:v>6168.1550825550721</c:v>
                </c:pt>
                <c:pt idx="3">
                  <c:v>6160.7983300218675</c:v>
                </c:pt>
                <c:pt idx="4">
                  <c:v>6256.2276726052769</c:v>
                </c:pt>
                <c:pt idx="5">
                  <c:v>6241.629395417569</c:v>
                </c:pt>
                <c:pt idx="6">
                  <c:v>6381.6878836485976</c:v>
                </c:pt>
                <c:pt idx="7">
                  <c:v>6627.3576624873049</c:v>
                </c:pt>
                <c:pt idx="8">
                  <c:v>6602.7060727938433</c:v>
                </c:pt>
                <c:pt idx="9">
                  <c:v>6770.3864984127704</c:v>
                </c:pt>
                <c:pt idx="10">
                  <c:v>6916.6632329275581</c:v>
                </c:pt>
                <c:pt idx="11">
                  <c:v>6777.6508131108403</c:v>
                </c:pt>
                <c:pt idx="12">
                  <c:v>6723.4978917154922</c:v>
                </c:pt>
                <c:pt idx="13">
                  <c:v>6672.984932837514</c:v>
                </c:pt>
                <c:pt idx="14">
                  <c:v>6611.9274680783974</c:v>
                </c:pt>
                <c:pt idx="15">
                  <c:v>6564.0914040264424</c:v>
                </c:pt>
                <c:pt idx="16">
                  <c:v>6532.710941523871</c:v>
                </c:pt>
                <c:pt idx="17">
                  <c:v>6512.2603484726924</c:v>
                </c:pt>
                <c:pt idx="18">
                  <c:v>6499.2950995020174</c:v>
                </c:pt>
                <c:pt idx="19">
                  <c:v>6488.2231764358312</c:v>
                </c:pt>
                <c:pt idx="20">
                  <c:v>6466.0936823055099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'Qual F1'!$M$10:$AG$10</c:f>
              <c:numCache>
                <c:formatCode>#,##0</c:formatCode>
                <c:ptCount val="21"/>
                <c:pt idx="0">
                  <c:v>1558.9157977239936</c:v>
                </c:pt>
                <c:pt idx="1">
                  <c:v>1476.3367183525847</c:v>
                </c:pt>
                <c:pt idx="2">
                  <c:v>1551.2995895083741</c:v>
                </c:pt>
                <c:pt idx="3">
                  <c:v>1591.5121462808022</c:v>
                </c:pt>
                <c:pt idx="4">
                  <c:v>1674.4240620530093</c:v>
                </c:pt>
                <c:pt idx="5">
                  <c:v>1754.5761560409121</c:v>
                </c:pt>
                <c:pt idx="6">
                  <c:v>1765.4043967637863</c:v>
                </c:pt>
                <c:pt idx="7">
                  <c:v>1867.4720656190846</c:v>
                </c:pt>
                <c:pt idx="8">
                  <c:v>1845.853435644377</c:v>
                </c:pt>
                <c:pt idx="9">
                  <c:v>1900.9874718118165</c:v>
                </c:pt>
                <c:pt idx="10">
                  <c:v>1890.3955631831407</c:v>
                </c:pt>
                <c:pt idx="11">
                  <c:v>2050.3502880202795</c:v>
                </c:pt>
                <c:pt idx="12">
                  <c:v>2104.101334969228</c:v>
                </c:pt>
                <c:pt idx="13">
                  <c:v>2158.1678479770558</c:v>
                </c:pt>
                <c:pt idx="14">
                  <c:v>2203.8870084482955</c:v>
                </c:pt>
                <c:pt idx="15">
                  <c:v>2248.0182545175867</c:v>
                </c:pt>
                <c:pt idx="16">
                  <c:v>2292.2013557694522</c:v>
                </c:pt>
                <c:pt idx="17">
                  <c:v>2333.607267655892</c:v>
                </c:pt>
                <c:pt idx="18">
                  <c:v>2375.0952691521406</c:v>
                </c:pt>
                <c:pt idx="19">
                  <c:v>2417.0941829272333</c:v>
                </c:pt>
                <c:pt idx="20">
                  <c:v>2458.2425587875514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'Qual F1'!$M$11:$AG$11</c:f>
              <c:numCache>
                <c:formatCode>#,##0</c:formatCode>
                <c:ptCount val="21"/>
                <c:pt idx="0">
                  <c:v>1895.6113833887814</c:v>
                </c:pt>
                <c:pt idx="1">
                  <c:v>1860.2399251538336</c:v>
                </c:pt>
                <c:pt idx="2">
                  <c:v>1877.5015321861526</c:v>
                </c:pt>
                <c:pt idx="3">
                  <c:v>1915.6516345792643</c:v>
                </c:pt>
                <c:pt idx="4">
                  <c:v>1944.090800710552</c:v>
                </c:pt>
                <c:pt idx="5">
                  <c:v>1985.0087424495528</c:v>
                </c:pt>
                <c:pt idx="6">
                  <c:v>1986.7785814163283</c:v>
                </c:pt>
                <c:pt idx="7">
                  <c:v>2049.9165055366534</c:v>
                </c:pt>
                <c:pt idx="8">
                  <c:v>1979.18148094516</c:v>
                </c:pt>
                <c:pt idx="9">
                  <c:v>2001.5495851847522</c:v>
                </c:pt>
                <c:pt idx="10">
                  <c:v>1966.1273252754931</c:v>
                </c:pt>
                <c:pt idx="11">
                  <c:v>2089.4243362314564</c:v>
                </c:pt>
                <c:pt idx="12">
                  <c:v>2111.7941893070824</c:v>
                </c:pt>
                <c:pt idx="13">
                  <c:v>2134.510528735364</c:v>
                </c:pt>
                <c:pt idx="14">
                  <c:v>2151.0016733170514</c:v>
                </c:pt>
                <c:pt idx="15">
                  <c:v>2170.0302727101011</c:v>
                </c:pt>
                <c:pt idx="16">
                  <c:v>2194.3786905501047</c:v>
                </c:pt>
                <c:pt idx="17">
                  <c:v>2217.1741638831245</c:v>
                </c:pt>
                <c:pt idx="18">
                  <c:v>2240.6804661522374</c:v>
                </c:pt>
                <c:pt idx="19">
                  <c:v>2264.6931654741552</c:v>
                </c:pt>
                <c:pt idx="20">
                  <c:v>2288.7418318613563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'Qual F1'!$M$12:$AG$12</c:f>
              <c:numCache>
                <c:formatCode>#,##0</c:formatCode>
                <c:ptCount val="21"/>
                <c:pt idx="0">
                  <c:v>4602.2940717735719</c:v>
                </c:pt>
                <c:pt idx="1">
                  <c:v>4721.5056523883222</c:v>
                </c:pt>
                <c:pt idx="2">
                  <c:v>4988.8882298079016</c:v>
                </c:pt>
                <c:pt idx="3">
                  <c:v>5167.9914348229022</c:v>
                </c:pt>
                <c:pt idx="4">
                  <c:v>5555.3310612715786</c:v>
                </c:pt>
                <c:pt idx="5">
                  <c:v>5900.840055743266</c:v>
                </c:pt>
                <c:pt idx="6">
                  <c:v>6141.1565645075716</c:v>
                </c:pt>
                <c:pt idx="7">
                  <c:v>6620.9902149764639</c:v>
                </c:pt>
                <c:pt idx="8">
                  <c:v>6536.7035038716913</c:v>
                </c:pt>
                <c:pt idx="9">
                  <c:v>6773.9336478511677</c:v>
                </c:pt>
                <c:pt idx="10">
                  <c:v>6850.5415007430647</c:v>
                </c:pt>
                <c:pt idx="11">
                  <c:v>7448.6968098219768</c:v>
                </c:pt>
                <c:pt idx="12">
                  <c:v>7676.5804208362397</c:v>
                </c:pt>
                <c:pt idx="13">
                  <c:v>7907.0051281987817</c:v>
                </c:pt>
                <c:pt idx="14">
                  <c:v>8117.631043387054</c:v>
                </c:pt>
                <c:pt idx="15">
                  <c:v>8320.0245057423726</c:v>
                </c:pt>
                <c:pt idx="16">
                  <c:v>8512.6081251521427</c:v>
                </c:pt>
                <c:pt idx="17">
                  <c:v>8696.69035450101</c:v>
                </c:pt>
                <c:pt idx="18">
                  <c:v>8878.0569071882201</c:v>
                </c:pt>
                <c:pt idx="19">
                  <c:v>9054.6804362906005</c:v>
                </c:pt>
                <c:pt idx="20">
                  <c:v>9223.9699308177442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'Qual F1'!$M$13:$AG$13</c:f>
              <c:numCache>
                <c:formatCode>#,##0</c:formatCode>
                <c:ptCount val="21"/>
                <c:pt idx="0">
                  <c:v>2152.1787706991677</c:v>
                </c:pt>
                <c:pt idx="1">
                  <c:v>2228.6512489300776</c:v>
                </c:pt>
                <c:pt idx="2">
                  <c:v>2331.4561866450072</c:v>
                </c:pt>
                <c:pt idx="3">
                  <c:v>2430.6195628398405</c:v>
                </c:pt>
                <c:pt idx="4">
                  <c:v>2302.0744510540076</c:v>
                </c:pt>
                <c:pt idx="5">
                  <c:v>2571.8117364701548</c:v>
                </c:pt>
                <c:pt idx="6">
                  <c:v>2601.7397931554665</c:v>
                </c:pt>
                <c:pt idx="7">
                  <c:v>2716.949426049569</c:v>
                </c:pt>
                <c:pt idx="8">
                  <c:v>3399.6491027639304</c:v>
                </c:pt>
                <c:pt idx="9">
                  <c:v>3694.4275274323527</c:v>
                </c:pt>
                <c:pt idx="10">
                  <c:v>3839.3943653282895</c:v>
                </c:pt>
                <c:pt idx="11">
                  <c:v>3842.5273102418819</c:v>
                </c:pt>
                <c:pt idx="12">
                  <c:v>4000.1415200175625</c:v>
                </c:pt>
                <c:pt idx="13">
                  <c:v>4161.6524291623573</c:v>
                </c:pt>
                <c:pt idx="14">
                  <c:v>4309.4806647542355</c:v>
                </c:pt>
                <c:pt idx="15">
                  <c:v>4454.2817768167215</c:v>
                </c:pt>
                <c:pt idx="16">
                  <c:v>4593.9907521435771</c:v>
                </c:pt>
                <c:pt idx="17">
                  <c:v>4723.4840786556124</c:v>
                </c:pt>
                <c:pt idx="18">
                  <c:v>4847.8581862918936</c:v>
                </c:pt>
                <c:pt idx="19">
                  <c:v>4964.2627652263518</c:v>
                </c:pt>
                <c:pt idx="20">
                  <c:v>5076.2341667681503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F1'!$M$4:$AG$4</c:f>
              <c:numCache>
                <c:formatCode>0</c:formatCode>
                <c:ptCount val="2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  <c:pt idx="18">
                  <c:v>2025</c:v>
                </c:pt>
                <c:pt idx="19">
                  <c:v>2026</c:v>
                </c:pt>
                <c:pt idx="20">
                  <c:v>2027</c:v>
                </c:pt>
              </c:numCache>
            </c:numRef>
          </c:cat>
          <c:val>
            <c:numRef>
              <c:f>'Qual F1'!$M$14:$AG$14</c:f>
              <c:numCache>
                <c:formatCode>#,##0</c:formatCode>
                <c:ptCount val="21"/>
                <c:pt idx="0">
                  <c:v>294.35280970569698</c:v>
                </c:pt>
                <c:pt idx="1">
                  <c:v>319.91055697342034</c:v>
                </c:pt>
                <c:pt idx="2">
                  <c:v>344.66172755295116</c:v>
                </c:pt>
                <c:pt idx="3">
                  <c:v>347.93716146634875</c:v>
                </c:pt>
                <c:pt idx="4">
                  <c:v>331.88569847588923</c:v>
                </c:pt>
                <c:pt idx="5">
                  <c:v>368.02656869033478</c:v>
                </c:pt>
                <c:pt idx="6">
                  <c:v>375.12635692765974</c:v>
                </c:pt>
                <c:pt idx="7">
                  <c:v>394.91503666891936</c:v>
                </c:pt>
                <c:pt idx="8">
                  <c:v>485.8588759594478</c:v>
                </c:pt>
                <c:pt idx="9">
                  <c:v>524.29147368507529</c:v>
                </c:pt>
                <c:pt idx="10">
                  <c:v>548.71700814268797</c:v>
                </c:pt>
                <c:pt idx="11">
                  <c:v>547.19024765853055</c:v>
                </c:pt>
                <c:pt idx="12">
                  <c:v>569.9412899147884</c:v>
                </c:pt>
                <c:pt idx="13">
                  <c:v>592.91815491410932</c:v>
                </c:pt>
                <c:pt idx="14">
                  <c:v>615.30540203204669</c:v>
                </c:pt>
                <c:pt idx="15">
                  <c:v>636.93683908098239</c:v>
                </c:pt>
                <c:pt idx="16">
                  <c:v>657.79729554151356</c:v>
                </c:pt>
                <c:pt idx="17">
                  <c:v>677.30072010018489</c:v>
                </c:pt>
                <c:pt idx="18">
                  <c:v>696.26592798105014</c:v>
                </c:pt>
                <c:pt idx="19">
                  <c:v>714.23058398861303</c:v>
                </c:pt>
                <c:pt idx="20">
                  <c:v>731.73266681370376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91665645899213932"/>
          <c:h val="9.310118677913352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2007</c:v>
                </c:pt>
              </c:strCache>
            </c:strRef>
          </c:tx>
          <c:invertIfNegative val="0"/>
          <c:cat>
            <c:strRef>
              <c:f>'ShiftShare T1'!$A$8:$A$32</c:f>
              <c:strCache>
                <c:ptCount val="25"/>
                <c:pt idx="0">
                  <c:v> 11 Corporate managers and directors</c:v>
                </c:pt>
                <c:pt idx="1">
                  <c:v> 12 Other managers and proprietors</c:v>
                </c:pt>
                <c:pt idx="2">
                  <c:v> 21 Science, research, engineering and technology professionals</c:v>
                </c:pt>
                <c:pt idx="3">
                  <c:v> 22 Health professionals</c:v>
                </c:pt>
                <c:pt idx="4">
                  <c:v> 23 Teaching and educational professionals</c:v>
                </c:pt>
                <c:pt idx="5">
                  <c:v> 24 Business, media and public service professionals</c:v>
                </c:pt>
                <c:pt idx="6">
                  <c:v> 31 Science, engineering and technology associate professionals</c:v>
                </c:pt>
                <c:pt idx="7">
                  <c:v> 32 Health and social care associate professionals</c:v>
                </c:pt>
                <c:pt idx="8">
                  <c:v> 33 Protective service occupations</c:v>
                </c:pt>
                <c:pt idx="9">
                  <c:v> 34 Culture, media and sports occupations</c:v>
                </c:pt>
                <c:pt idx="10">
                  <c:v> 35 Business and public service associate professionals</c:v>
                </c:pt>
                <c:pt idx="11">
                  <c:v> 41 Administrative occupations</c:v>
                </c:pt>
                <c:pt idx="12">
                  <c:v> 42 Secretarial and related occupations</c:v>
                </c:pt>
                <c:pt idx="13">
                  <c:v> 51 Skilled agricultural and related trades</c:v>
                </c:pt>
                <c:pt idx="14">
                  <c:v> 52 Skilled metal, electrical and electronic trades</c:v>
                </c:pt>
                <c:pt idx="15">
                  <c:v> 53 Skilled construction and building trades</c:v>
                </c:pt>
                <c:pt idx="16">
                  <c:v> 54 Textiles, printing and other skilled trades</c:v>
                </c:pt>
                <c:pt idx="17">
                  <c:v> 61 Caring personal service occupations</c:v>
                </c:pt>
                <c:pt idx="18">
                  <c:v> 62 Leisure, travel and related personal service occupations</c:v>
                </c:pt>
                <c:pt idx="19">
                  <c:v> 71 Sales occupations</c:v>
                </c:pt>
                <c:pt idx="20">
                  <c:v> 72 Customer service occupations</c:v>
                </c:pt>
                <c:pt idx="21">
                  <c:v> 81 Process, plant and machine operatives</c:v>
                </c:pt>
                <c:pt idx="22">
                  <c:v> 82 Transport and mobile machine drivers and operatives</c:v>
                </c:pt>
                <c:pt idx="23">
                  <c:v> 91 Elementary trades and related occupations</c:v>
                </c:pt>
                <c:pt idx="24">
                  <c:v> 92 Elementary administration and service occupations</c:v>
                </c:pt>
              </c:strCache>
            </c:strRef>
          </c:cat>
          <c:val>
            <c:numRef>
              <c:f>'ShiftShare T1'!$B$8:$B$32</c:f>
              <c:numCache>
                <c:formatCode>#,##0</c:formatCode>
                <c:ptCount val="25"/>
                <c:pt idx="0">
                  <c:v>1959.860057608056</c:v>
                </c:pt>
                <c:pt idx="1">
                  <c:v>815.81216696843285</c:v>
                </c:pt>
                <c:pt idx="2">
                  <c:v>1309.0639248560215</c:v>
                </c:pt>
                <c:pt idx="3">
                  <c:v>1233.7012301866905</c:v>
                </c:pt>
                <c:pt idx="4">
                  <c:v>1418.9773616722084</c:v>
                </c:pt>
                <c:pt idx="5">
                  <c:v>1464.3092269073152</c:v>
                </c:pt>
                <c:pt idx="6">
                  <c:v>609.64387238354675</c:v>
                </c:pt>
                <c:pt idx="7">
                  <c:v>418.2503777870802</c:v>
                </c:pt>
                <c:pt idx="8">
                  <c:v>400.38621990721509</c:v>
                </c:pt>
                <c:pt idx="9">
                  <c:v>705.31543668957329</c:v>
                </c:pt>
                <c:pt idx="10">
                  <c:v>2058.5930448272088</c:v>
                </c:pt>
                <c:pt idx="11">
                  <c:v>3030.0405454519719</c:v>
                </c:pt>
                <c:pt idx="12">
                  <c:v>993.33694726027159</c:v>
                </c:pt>
                <c:pt idx="13">
                  <c:v>326.59568567127343</c:v>
                </c:pt>
                <c:pt idx="14">
                  <c:v>1279.19315247642</c:v>
                </c:pt>
                <c:pt idx="15">
                  <c:v>1134.0272967353342</c:v>
                </c:pt>
                <c:pt idx="16">
                  <c:v>843.79919284543814</c:v>
                </c:pt>
                <c:pt idx="17">
                  <c:v>1960.332640697347</c:v>
                </c:pt>
                <c:pt idx="18">
                  <c:v>685.21818202505688</c:v>
                </c:pt>
                <c:pt idx="19">
                  <c:v>2266.5991740353952</c:v>
                </c:pt>
                <c:pt idx="20">
                  <c:v>525.58473477957932</c:v>
                </c:pt>
                <c:pt idx="21">
                  <c:v>1062.9416018239299</c:v>
                </c:pt>
                <c:pt idx="22">
                  <c:v>1251.2075495320041</c:v>
                </c:pt>
                <c:pt idx="23">
                  <c:v>553.13527715257499</c:v>
                </c:pt>
                <c:pt idx="24">
                  <c:v>3484.0820997201308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2017</c:v>
                </c:pt>
              </c:strCache>
            </c:strRef>
          </c:tx>
          <c:invertIfNegative val="0"/>
          <c:cat>
            <c:strRef>
              <c:f>'ShiftShare T1'!$A$8:$A$32</c:f>
              <c:strCache>
                <c:ptCount val="25"/>
                <c:pt idx="0">
                  <c:v> 11 Corporate managers and directors</c:v>
                </c:pt>
                <c:pt idx="1">
                  <c:v> 12 Other managers and proprietors</c:v>
                </c:pt>
                <c:pt idx="2">
                  <c:v> 21 Science, research, engineering and technology professionals</c:v>
                </c:pt>
                <c:pt idx="3">
                  <c:v> 22 Health professionals</c:v>
                </c:pt>
                <c:pt idx="4">
                  <c:v> 23 Teaching and educational professionals</c:v>
                </c:pt>
                <c:pt idx="5">
                  <c:v> 24 Business, media and public service professionals</c:v>
                </c:pt>
                <c:pt idx="6">
                  <c:v> 31 Science, engineering and technology associate professionals</c:v>
                </c:pt>
                <c:pt idx="7">
                  <c:v> 32 Health and social care associate professionals</c:v>
                </c:pt>
                <c:pt idx="8">
                  <c:v> 33 Protective service occupations</c:v>
                </c:pt>
                <c:pt idx="9">
                  <c:v> 34 Culture, media and sports occupations</c:v>
                </c:pt>
                <c:pt idx="10">
                  <c:v> 35 Business and public service associate professionals</c:v>
                </c:pt>
                <c:pt idx="11">
                  <c:v> 41 Administrative occupations</c:v>
                </c:pt>
                <c:pt idx="12">
                  <c:v> 42 Secretarial and related occupations</c:v>
                </c:pt>
                <c:pt idx="13">
                  <c:v> 51 Skilled agricultural and related trades</c:v>
                </c:pt>
                <c:pt idx="14">
                  <c:v> 52 Skilled metal, electrical and electronic trades</c:v>
                </c:pt>
                <c:pt idx="15">
                  <c:v> 53 Skilled construction and building trades</c:v>
                </c:pt>
                <c:pt idx="16">
                  <c:v> 54 Textiles, printing and other skilled trades</c:v>
                </c:pt>
                <c:pt idx="17">
                  <c:v> 61 Caring personal service occupations</c:v>
                </c:pt>
                <c:pt idx="18">
                  <c:v> 62 Leisure, travel and related personal service occupations</c:v>
                </c:pt>
                <c:pt idx="19">
                  <c:v> 71 Sales occupations</c:v>
                </c:pt>
                <c:pt idx="20">
                  <c:v> 72 Customer service occupations</c:v>
                </c:pt>
                <c:pt idx="21">
                  <c:v> 81 Process, plant and machine operatives</c:v>
                </c:pt>
                <c:pt idx="22">
                  <c:v> 82 Transport and mobile machine drivers and operatives</c:v>
                </c:pt>
                <c:pt idx="23">
                  <c:v> 91 Elementary trades and related occupations</c:v>
                </c:pt>
                <c:pt idx="24">
                  <c:v> 92 Elementary administration and service occupations</c:v>
                </c:pt>
              </c:strCache>
            </c:strRef>
          </c:cat>
          <c:val>
            <c:numRef>
              <c:f>'ShiftShare T1'!$E$8:$E$32</c:f>
              <c:numCache>
                <c:formatCode>#,##0</c:formatCode>
                <c:ptCount val="25"/>
                <c:pt idx="0">
                  <c:v>2526.0004771128533</c:v>
                </c:pt>
                <c:pt idx="1">
                  <c:v>1040.4238796553416</c:v>
                </c:pt>
                <c:pt idx="2">
                  <c:v>1754.043337473742</c:v>
                </c:pt>
                <c:pt idx="3">
                  <c:v>1543.0008922696509</c:v>
                </c:pt>
                <c:pt idx="4">
                  <c:v>1720.7393221292084</c:v>
                </c:pt>
                <c:pt idx="5">
                  <c:v>1855.7082866915723</c:v>
                </c:pt>
                <c:pt idx="6">
                  <c:v>671.15032184498148</c:v>
                </c:pt>
                <c:pt idx="7">
                  <c:v>529.88238393074425</c:v>
                </c:pt>
                <c:pt idx="8">
                  <c:v>386.24918721957175</c:v>
                </c:pt>
                <c:pt idx="9">
                  <c:v>839.68302886898528</c:v>
                </c:pt>
                <c:pt idx="10">
                  <c:v>2457.418760057772</c:v>
                </c:pt>
                <c:pt idx="11">
                  <c:v>2931.8021720360434</c:v>
                </c:pt>
                <c:pt idx="12">
                  <c:v>748.98422550601674</c:v>
                </c:pt>
                <c:pt idx="13">
                  <c:v>354.96114624116797</c:v>
                </c:pt>
                <c:pt idx="14">
                  <c:v>1228.0409620922514</c:v>
                </c:pt>
                <c:pt idx="15">
                  <c:v>1069.1049856779691</c:v>
                </c:pt>
                <c:pt idx="16">
                  <c:v>780.72926486080155</c:v>
                </c:pt>
                <c:pt idx="17">
                  <c:v>2578.4645595025959</c:v>
                </c:pt>
                <c:pt idx="18">
                  <c:v>766.62156622264706</c:v>
                </c:pt>
                <c:pt idx="19">
                  <c:v>2232.1008314340879</c:v>
                </c:pt>
                <c:pt idx="20">
                  <c:v>696.93275934173869</c:v>
                </c:pt>
                <c:pt idx="21">
                  <c:v>910.36505814126201</c:v>
                </c:pt>
                <c:pt idx="22">
                  <c:v>1269.5914805445047</c:v>
                </c:pt>
                <c:pt idx="23">
                  <c:v>555.13378958997748</c:v>
                </c:pt>
                <c:pt idx="24">
                  <c:v>3400.859321554502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T1'!$F$39</c:f>
              <c:strCache>
                <c:ptCount val="1"/>
                <c:pt idx="0">
                  <c:v>2027</c:v>
                </c:pt>
              </c:strCache>
            </c:strRef>
          </c:tx>
          <c:invertIfNegative val="0"/>
          <c:cat>
            <c:strRef>
              <c:f>'ShiftShare T1'!$A$8:$A$32</c:f>
              <c:strCache>
                <c:ptCount val="25"/>
                <c:pt idx="0">
                  <c:v> 11 Corporate managers and directors</c:v>
                </c:pt>
                <c:pt idx="1">
                  <c:v> 12 Other managers and proprietors</c:v>
                </c:pt>
                <c:pt idx="2">
                  <c:v> 21 Science, research, engineering and technology professionals</c:v>
                </c:pt>
                <c:pt idx="3">
                  <c:v> 22 Health professionals</c:v>
                </c:pt>
                <c:pt idx="4">
                  <c:v> 23 Teaching and educational professionals</c:v>
                </c:pt>
                <c:pt idx="5">
                  <c:v> 24 Business, media and public service professionals</c:v>
                </c:pt>
                <c:pt idx="6">
                  <c:v> 31 Science, engineering and technology associate professionals</c:v>
                </c:pt>
                <c:pt idx="7">
                  <c:v> 32 Health and social care associate professionals</c:v>
                </c:pt>
                <c:pt idx="8">
                  <c:v> 33 Protective service occupations</c:v>
                </c:pt>
                <c:pt idx="9">
                  <c:v> 34 Culture, media and sports occupations</c:v>
                </c:pt>
                <c:pt idx="10">
                  <c:v> 35 Business and public service associate professionals</c:v>
                </c:pt>
                <c:pt idx="11">
                  <c:v> 41 Administrative occupations</c:v>
                </c:pt>
                <c:pt idx="12">
                  <c:v> 42 Secretarial and related occupations</c:v>
                </c:pt>
                <c:pt idx="13">
                  <c:v> 51 Skilled agricultural and related trades</c:v>
                </c:pt>
                <c:pt idx="14">
                  <c:v> 52 Skilled metal, electrical and electronic trades</c:v>
                </c:pt>
                <c:pt idx="15">
                  <c:v> 53 Skilled construction and building trades</c:v>
                </c:pt>
                <c:pt idx="16">
                  <c:v> 54 Textiles, printing and other skilled trades</c:v>
                </c:pt>
                <c:pt idx="17">
                  <c:v> 61 Caring personal service occupations</c:v>
                </c:pt>
                <c:pt idx="18">
                  <c:v> 62 Leisure, travel and related personal service occupations</c:v>
                </c:pt>
                <c:pt idx="19">
                  <c:v> 71 Sales occupations</c:v>
                </c:pt>
                <c:pt idx="20">
                  <c:v> 72 Customer service occupations</c:v>
                </c:pt>
                <c:pt idx="21">
                  <c:v> 81 Process, plant and machine operatives</c:v>
                </c:pt>
                <c:pt idx="22">
                  <c:v> 82 Transport and mobile machine drivers and operatives</c:v>
                </c:pt>
                <c:pt idx="23">
                  <c:v> 91 Elementary trades and related occupations</c:v>
                </c:pt>
                <c:pt idx="24">
                  <c:v> 92 Elementary administration and service occupations</c:v>
                </c:pt>
              </c:strCache>
            </c:strRef>
          </c:cat>
          <c:val>
            <c:numRef>
              <c:f>'ShiftShare T1'!$E$43:$E$67</c:f>
              <c:numCache>
                <c:formatCode>#,##0</c:formatCode>
                <c:ptCount val="25"/>
                <c:pt idx="0">
                  <c:v>2874.8665595685711</c:v>
                </c:pt>
                <c:pt idx="1">
                  <c:v>1130.1048523887098</c:v>
                </c:pt>
                <c:pt idx="2">
                  <c:v>1913.5093729856687</c:v>
                </c:pt>
                <c:pt idx="3">
                  <c:v>1773.4125813814876</c:v>
                </c:pt>
                <c:pt idx="4">
                  <c:v>1932.8816486014659</c:v>
                </c:pt>
                <c:pt idx="5">
                  <c:v>2074.8152806992894</c:v>
                </c:pt>
                <c:pt idx="6">
                  <c:v>680.11357914850748</c:v>
                </c:pt>
                <c:pt idx="7">
                  <c:v>612.80601566154201</c:v>
                </c:pt>
                <c:pt idx="8">
                  <c:v>375.37070820018812</c:v>
                </c:pt>
                <c:pt idx="9">
                  <c:v>891.90974845505184</c:v>
                </c:pt>
                <c:pt idx="10">
                  <c:v>2749.3219079367932</c:v>
                </c:pt>
                <c:pt idx="11">
                  <c:v>2688.2376263800124</c:v>
                </c:pt>
                <c:pt idx="12">
                  <c:v>388.91745057015663</c:v>
                </c:pt>
                <c:pt idx="13">
                  <c:v>360.42857252278969</c:v>
                </c:pt>
                <c:pt idx="14">
                  <c:v>1043.8089392652857</c:v>
                </c:pt>
                <c:pt idx="15">
                  <c:v>1063.8777838174137</c:v>
                </c:pt>
                <c:pt idx="16">
                  <c:v>658.07025657011309</c:v>
                </c:pt>
                <c:pt idx="17">
                  <c:v>3056.5262037008101</c:v>
                </c:pt>
                <c:pt idx="18">
                  <c:v>754.2829899415766</c:v>
                </c:pt>
                <c:pt idx="19">
                  <c:v>2077.8628337740365</c:v>
                </c:pt>
                <c:pt idx="20">
                  <c:v>798.75091212199368</c:v>
                </c:pt>
                <c:pt idx="21">
                  <c:v>708.95931242337531</c:v>
                </c:pt>
                <c:pt idx="22">
                  <c:v>1265.1666013580495</c:v>
                </c:pt>
                <c:pt idx="23">
                  <c:v>530.97531625291219</c:v>
                </c:pt>
                <c:pt idx="24">
                  <c:v>3415.9759462743414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2007-2017</c:v>
                </c:pt>
              </c:strCache>
            </c:strRef>
          </c:tx>
          <c:invertIfNegative val="0"/>
          <c:cat>
            <c:strRef>
              <c:f>'ShiftShare T1'!$A$8:$A$32</c:f>
              <c:strCache>
                <c:ptCount val="25"/>
                <c:pt idx="0">
                  <c:v> 11 Corporate managers and directors</c:v>
                </c:pt>
                <c:pt idx="1">
                  <c:v> 12 Other managers and proprietors</c:v>
                </c:pt>
                <c:pt idx="2">
                  <c:v> 21 Science, research, engineering and technology professionals</c:v>
                </c:pt>
                <c:pt idx="3">
                  <c:v> 22 Health professionals</c:v>
                </c:pt>
                <c:pt idx="4">
                  <c:v> 23 Teaching and educational professionals</c:v>
                </c:pt>
                <c:pt idx="5">
                  <c:v> 24 Business, media and public service professionals</c:v>
                </c:pt>
                <c:pt idx="6">
                  <c:v> 31 Science, engineering and technology associate professionals</c:v>
                </c:pt>
                <c:pt idx="7">
                  <c:v> 32 Health and social care associate professionals</c:v>
                </c:pt>
                <c:pt idx="8">
                  <c:v> 33 Protective service occupations</c:v>
                </c:pt>
                <c:pt idx="9">
                  <c:v> 34 Culture, media and sports occupations</c:v>
                </c:pt>
                <c:pt idx="10">
                  <c:v> 35 Business and public service associate professionals</c:v>
                </c:pt>
                <c:pt idx="11">
                  <c:v> 41 Administrative occupations</c:v>
                </c:pt>
                <c:pt idx="12">
                  <c:v> 42 Secretarial and related occupations</c:v>
                </c:pt>
                <c:pt idx="13">
                  <c:v> 51 Skilled agricultural and related trades</c:v>
                </c:pt>
                <c:pt idx="14">
                  <c:v> 52 Skilled metal, electrical and electronic trades</c:v>
                </c:pt>
                <c:pt idx="15">
                  <c:v> 53 Skilled construction and building trades</c:v>
                </c:pt>
                <c:pt idx="16">
                  <c:v> 54 Textiles, printing and other skilled trades</c:v>
                </c:pt>
                <c:pt idx="17">
                  <c:v> 61 Caring personal service occupations</c:v>
                </c:pt>
                <c:pt idx="18">
                  <c:v> 62 Leisure, travel and related personal service occupations</c:v>
                </c:pt>
                <c:pt idx="19">
                  <c:v> 71 Sales occupations</c:v>
                </c:pt>
                <c:pt idx="20">
                  <c:v> 72 Customer service occupations</c:v>
                </c:pt>
                <c:pt idx="21">
                  <c:v> 81 Process, plant and machine operatives</c:v>
                </c:pt>
                <c:pt idx="22">
                  <c:v> 82 Transport and mobile machine drivers and operatives</c:v>
                </c:pt>
                <c:pt idx="23">
                  <c:v> 91 Elementary trades and related occupations</c:v>
                </c:pt>
                <c:pt idx="24">
                  <c:v> 92 Elementary administration and service occupations</c:v>
                </c:pt>
              </c:strCache>
            </c:strRef>
          </c:cat>
          <c:val>
            <c:numRef>
              <c:f>'ShiftShare T1'!$H$8:$H$32</c:f>
              <c:numCache>
                <c:formatCode>#,##0</c:formatCode>
                <c:ptCount val="25"/>
                <c:pt idx="0">
                  <c:v>566.14041950479736</c:v>
                </c:pt>
                <c:pt idx="1">
                  <c:v>224.61171268690873</c:v>
                </c:pt>
                <c:pt idx="2">
                  <c:v>444.97941261772053</c:v>
                </c:pt>
                <c:pt idx="3">
                  <c:v>309.29966208296037</c:v>
                </c:pt>
                <c:pt idx="4">
                  <c:v>301.76196045699999</c:v>
                </c:pt>
                <c:pt idx="5">
                  <c:v>391.39905978425713</c:v>
                </c:pt>
                <c:pt idx="6">
                  <c:v>61.506449461434727</c:v>
                </c:pt>
                <c:pt idx="7">
                  <c:v>111.63200614366406</c:v>
                </c:pt>
                <c:pt idx="8">
                  <c:v>-14.137032687643341</c:v>
                </c:pt>
                <c:pt idx="9">
                  <c:v>134.36759217941199</c:v>
                </c:pt>
                <c:pt idx="10">
                  <c:v>398.82571523056322</c:v>
                </c:pt>
                <c:pt idx="11">
                  <c:v>-98.238373415928436</c:v>
                </c:pt>
                <c:pt idx="12">
                  <c:v>-244.35272175425484</c:v>
                </c:pt>
                <c:pt idx="13">
                  <c:v>28.365460569894537</c:v>
                </c:pt>
                <c:pt idx="14">
                  <c:v>-51.152190384168534</c:v>
                </c:pt>
                <c:pt idx="15">
                  <c:v>-64.92231105736505</c:v>
                </c:pt>
                <c:pt idx="16">
                  <c:v>-63.069927984636593</c:v>
                </c:pt>
                <c:pt idx="17">
                  <c:v>618.13191880524892</c:v>
                </c:pt>
                <c:pt idx="18">
                  <c:v>81.403384197590185</c:v>
                </c:pt>
                <c:pt idx="19">
                  <c:v>-34.498342601307286</c:v>
                </c:pt>
                <c:pt idx="20">
                  <c:v>171.34802456215937</c:v>
                </c:pt>
                <c:pt idx="21">
                  <c:v>-152.57654368266788</c:v>
                </c:pt>
                <c:pt idx="22">
                  <c:v>18.383931012500625</c:v>
                </c:pt>
                <c:pt idx="23">
                  <c:v>1.9985124374024963</c:v>
                </c:pt>
                <c:pt idx="24">
                  <c:v>-83.222778165628824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T1'!$I$39</c:f>
              <c:strCache>
                <c:ptCount val="1"/>
                <c:pt idx="0">
                  <c:v>2017-2027</c:v>
                </c:pt>
              </c:strCache>
            </c:strRef>
          </c:tx>
          <c:invertIfNegative val="0"/>
          <c:cat>
            <c:strRef>
              <c:f>'ShiftShare T1'!$A$8:$A$32</c:f>
              <c:strCache>
                <c:ptCount val="25"/>
                <c:pt idx="0">
                  <c:v> 11 Corporate managers and directors</c:v>
                </c:pt>
                <c:pt idx="1">
                  <c:v> 12 Other managers and proprietors</c:v>
                </c:pt>
                <c:pt idx="2">
                  <c:v> 21 Science, research, engineering and technology professionals</c:v>
                </c:pt>
                <c:pt idx="3">
                  <c:v> 22 Health professionals</c:v>
                </c:pt>
                <c:pt idx="4">
                  <c:v> 23 Teaching and educational professionals</c:v>
                </c:pt>
                <c:pt idx="5">
                  <c:v> 24 Business, media and public service professionals</c:v>
                </c:pt>
                <c:pt idx="6">
                  <c:v> 31 Science, engineering and technology associate professionals</c:v>
                </c:pt>
                <c:pt idx="7">
                  <c:v> 32 Health and social care associate professionals</c:v>
                </c:pt>
                <c:pt idx="8">
                  <c:v> 33 Protective service occupations</c:v>
                </c:pt>
                <c:pt idx="9">
                  <c:v> 34 Culture, media and sports occupations</c:v>
                </c:pt>
                <c:pt idx="10">
                  <c:v> 35 Business and public service associate professionals</c:v>
                </c:pt>
                <c:pt idx="11">
                  <c:v> 41 Administrative occupations</c:v>
                </c:pt>
                <c:pt idx="12">
                  <c:v> 42 Secretarial and related occupations</c:v>
                </c:pt>
                <c:pt idx="13">
                  <c:v> 51 Skilled agricultural and related trades</c:v>
                </c:pt>
                <c:pt idx="14">
                  <c:v> 52 Skilled metal, electrical and electronic trades</c:v>
                </c:pt>
                <c:pt idx="15">
                  <c:v> 53 Skilled construction and building trades</c:v>
                </c:pt>
                <c:pt idx="16">
                  <c:v> 54 Textiles, printing and other skilled trades</c:v>
                </c:pt>
                <c:pt idx="17">
                  <c:v> 61 Caring personal service occupations</c:v>
                </c:pt>
                <c:pt idx="18">
                  <c:v> 62 Leisure, travel and related personal service occupations</c:v>
                </c:pt>
                <c:pt idx="19">
                  <c:v> 71 Sales occupations</c:v>
                </c:pt>
                <c:pt idx="20">
                  <c:v> 72 Customer service occupations</c:v>
                </c:pt>
                <c:pt idx="21">
                  <c:v> 81 Process, plant and machine operatives</c:v>
                </c:pt>
                <c:pt idx="22">
                  <c:v> 82 Transport and mobile machine drivers and operatives</c:v>
                </c:pt>
                <c:pt idx="23">
                  <c:v> 91 Elementary trades and related occupations</c:v>
                </c:pt>
                <c:pt idx="24">
                  <c:v> 92 Elementary administration and service occupations</c:v>
                </c:pt>
              </c:strCache>
            </c:strRef>
          </c:cat>
          <c:val>
            <c:numRef>
              <c:f>'ShiftShare T1'!$H$43:$H$67</c:f>
              <c:numCache>
                <c:formatCode>#,##0</c:formatCode>
                <c:ptCount val="25"/>
                <c:pt idx="0">
                  <c:v>348.86608245571779</c:v>
                </c:pt>
                <c:pt idx="1">
                  <c:v>89.680972733368208</c:v>
                </c:pt>
                <c:pt idx="2">
                  <c:v>159.46603551192675</c:v>
                </c:pt>
                <c:pt idx="3">
                  <c:v>230.41168911183672</c:v>
                </c:pt>
                <c:pt idx="4">
                  <c:v>212.14232647225754</c:v>
                </c:pt>
                <c:pt idx="5">
                  <c:v>219.10699400771705</c:v>
                </c:pt>
                <c:pt idx="6">
                  <c:v>8.9632573035260066</c:v>
                </c:pt>
                <c:pt idx="7">
                  <c:v>82.923631730797752</c:v>
                </c:pt>
                <c:pt idx="8">
                  <c:v>-10.878479019383633</c:v>
                </c:pt>
                <c:pt idx="9">
                  <c:v>52.226719586066565</c:v>
                </c:pt>
                <c:pt idx="10">
                  <c:v>291.90314787902116</c:v>
                </c:pt>
                <c:pt idx="11">
                  <c:v>-243.56454565603099</c:v>
                </c:pt>
                <c:pt idx="12">
                  <c:v>-360.06677493586011</c:v>
                </c:pt>
                <c:pt idx="13">
                  <c:v>5.4674262816217265</c:v>
                </c:pt>
                <c:pt idx="14">
                  <c:v>-184.2320228269657</c:v>
                </c:pt>
                <c:pt idx="15">
                  <c:v>-5.2272018605553967</c:v>
                </c:pt>
                <c:pt idx="16">
                  <c:v>-122.65900829068846</c:v>
                </c:pt>
                <c:pt idx="17">
                  <c:v>478.06164419821425</c:v>
                </c:pt>
                <c:pt idx="18">
                  <c:v>-12.338576281070459</c:v>
                </c:pt>
                <c:pt idx="19">
                  <c:v>-154.23799766005141</c:v>
                </c:pt>
                <c:pt idx="20">
                  <c:v>101.81815278025499</c:v>
                </c:pt>
                <c:pt idx="21">
                  <c:v>-201.4057457178867</c:v>
                </c:pt>
                <c:pt idx="22">
                  <c:v>-4.4248791864552004</c:v>
                </c:pt>
                <c:pt idx="23">
                  <c:v>-24.158473337065288</c:v>
                </c:pt>
                <c:pt idx="24">
                  <c:v>15.116624719839365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 11 Corporate managers and directors</c:v>
                </c:pt>
              </c:strCache>
            </c:strRef>
          </c:tx>
          <c:cat>
            <c:numRef>
              <c:f>('ShiftShare T1'!$C$4,'ShiftShare T1'!$F$4,'ShiftShare T1'!$F$39)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('ShiftShare T1'!$C$8,'ShiftShare T1'!$F$8,'ShiftShare T1'!$F$43)</c:f>
              <c:numCache>
                <c:formatCode>0.0</c:formatCode>
                <c:ptCount val="3"/>
                <c:pt idx="0">
                  <c:v>6.1650192703891236</c:v>
                </c:pt>
                <c:pt idx="1">
                  <c:v>7.24862562271265</c:v>
                </c:pt>
                <c:pt idx="2">
                  <c:v>8.0256562676279426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 12 Other managers and proprietors</c:v>
                </c:pt>
              </c:strCache>
            </c:strRef>
          </c:tx>
          <c:cat>
            <c:numRef>
              <c:f>('ShiftShare T1'!$C$4,'ShiftShare T1'!$F$4,'ShiftShare T1'!$F$39)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('ShiftShare T1'!$C$9,'ShiftShare T1'!$F$9,'ShiftShare T1'!$F$44)</c:f>
              <c:numCache>
                <c:formatCode>0.0</c:formatCode>
                <c:ptCount val="3"/>
                <c:pt idx="0">
                  <c:v>2.5662534989955521</c:v>
                </c:pt>
                <c:pt idx="1">
                  <c:v>2.9856064006653296</c:v>
                </c:pt>
                <c:pt idx="2">
                  <c:v>3.1548709839984022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 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T1'!$F$39)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('ShiftShare T1'!$C$14,'ShiftShare T1'!$F$14,'ShiftShare T1'!$F$49)</c:f>
              <c:numCache>
                <c:formatCode>0.0</c:formatCode>
                <c:ptCount val="3"/>
                <c:pt idx="0">
                  <c:v>1.9177217305537093</c:v>
                </c:pt>
                <c:pt idx="1">
                  <c:v>1.9259368569786801</c:v>
                </c:pt>
                <c:pt idx="2">
                  <c:v>1.8986473619183295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 32 Health and social care associate professionals</c:v>
                </c:pt>
              </c:strCache>
            </c:strRef>
          </c:tx>
          <c:cat>
            <c:numRef>
              <c:f>('ShiftShare T1'!$C$4,'ShiftShare T1'!$F$4,'ShiftShare T1'!$F$39)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('ShiftShare T1'!$C$15,'ShiftShare T1'!$F$15,'ShiftShare T1'!$F$50)</c:f>
              <c:numCache>
                <c:formatCode>0.0</c:formatCode>
                <c:ptCount val="3"/>
                <c:pt idx="0">
                  <c:v>1.3156662022348067</c:v>
                </c:pt>
                <c:pt idx="1">
                  <c:v>1.5205535628300892</c:v>
                </c:pt>
                <c:pt idx="2">
                  <c:v>1.7107473820183943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 33 Protective service occupations</c:v>
                </c:pt>
              </c:strCache>
            </c:strRef>
          </c:tx>
          <c:cat>
            <c:numRef>
              <c:f>('ShiftShare T1'!$C$4,'ShiftShare T1'!$F$4,'ShiftShare T1'!$F$39)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('ShiftShare T1'!$C$16,'ShiftShare T1'!$F$16,'ShiftShare T1'!$F$51)</c:f>
              <c:numCache>
                <c:formatCode>0.0</c:formatCode>
                <c:ptCount val="3"/>
                <c:pt idx="0">
                  <c:v>1.2594719463484678</c:v>
                </c:pt>
                <c:pt idx="1">
                  <c:v>1.1083829083167029</c:v>
                </c:pt>
                <c:pt idx="2">
                  <c:v>1.0479082122694687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 34 Culture, media and sports occupations</c:v>
                </c:pt>
              </c:strCache>
            </c:strRef>
          </c:tx>
          <c:cat>
            <c:numRef>
              <c:f>('ShiftShare T1'!$C$4,'ShiftShare T1'!$F$4,'ShiftShare T1'!$F$39)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('ShiftShare T1'!$C$17,'ShiftShare T1'!$F$17,'ShiftShare T1'!$F$52)</c:f>
              <c:numCache>
                <c:formatCode>0.0</c:formatCode>
                <c:ptCount val="3"/>
                <c:pt idx="0">
                  <c:v>2.2186702780202965</c:v>
                </c:pt>
                <c:pt idx="1">
                  <c:v>2.4095592907303973</c:v>
                </c:pt>
                <c:pt idx="2">
                  <c:v>2.4899107191677681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 35 Business and public service associate professionals</c:v>
                </c:pt>
              </c:strCache>
            </c:strRef>
          </c:tx>
          <c:cat>
            <c:numRef>
              <c:f>('ShiftShare T1'!$C$4,'ShiftShare T1'!$F$4,'ShiftShare T1'!$F$39)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('ShiftShare T1'!$C$18,'ShiftShare T1'!$F$18,'ShiftShare T1'!$F$53)</c:f>
              <c:numCache>
                <c:formatCode>0.0</c:formatCode>
                <c:ptCount val="3"/>
                <c:pt idx="0">
                  <c:v>6.4755979601615197</c:v>
                </c:pt>
                <c:pt idx="1">
                  <c:v>7.0518231296017673</c:v>
                </c:pt>
                <c:pt idx="2">
                  <c:v>7.6751780108607992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 41 Administrative occupations</c:v>
                </c:pt>
              </c:strCache>
            </c:strRef>
          </c:tx>
          <c:val>
            <c:numRef>
              <c:f>('ShiftShare T1'!$C$19,'ShiftShare T1'!$F$19,'ShiftShare T1'!$F$54)</c:f>
              <c:numCache>
                <c:formatCode>0.0</c:formatCode>
                <c:ptCount val="3"/>
                <c:pt idx="0">
                  <c:v>9.5314245934326625</c:v>
                </c:pt>
                <c:pt idx="1">
                  <c:v>8.4131165205617719</c:v>
                </c:pt>
                <c:pt idx="2">
                  <c:v>7.5046513318057215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 42 Secretarial and related occupations</c:v>
                </c:pt>
              </c:strCache>
            </c:strRef>
          </c:tx>
          <c:cat>
            <c:numRef>
              <c:f>('ShiftShare T1'!$C$4,'ShiftShare T1'!$F$4,'ShiftShare T1'!$F$39)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('ShiftShare T1'!$C$20,'ShiftShare T1'!$F$20,'ShiftShare T1'!$F$55)</c:f>
              <c:numCache>
                <c:formatCode>0.0</c:formatCode>
                <c:ptCount val="3"/>
                <c:pt idx="0">
                  <c:v>3.1246830089099045</c:v>
                </c:pt>
                <c:pt idx="1">
                  <c:v>2.149289478446899</c:v>
                </c:pt>
                <c:pt idx="2">
                  <c:v>1.085726140703613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 61 Caring personal service occupations</c:v>
                </c:pt>
              </c:strCache>
            </c:strRef>
          </c:tx>
          <c:cat>
            <c:numRef>
              <c:f>('ShiftShare T1'!$C$4,'ShiftShare T1'!$F$4,'ShiftShare T1'!$F$39)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('ShiftShare T1'!$C$25,'ShiftShare T1'!$F$25,'ShiftShare T1'!$F$60)</c:f>
              <c:numCache>
                <c:formatCode>0.0</c:formatCode>
                <c:ptCount val="3"/>
                <c:pt idx="0">
                  <c:v>6.1665058478827719</c:v>
                </c:pt>
                <c:pt idx="1">
                  <c:v>7.3991768578878157</c:v>
                </c:pt>
                <c:pt idx="2">
                  <c:v>8.532788627094309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 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T1'!$F$39)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('ShiftShare T1'!$C$26,'ShiftShare T1'!$F$26,'ShiftShare T1'!$F$61)</c:f>
              <c:numCache>
                <c:formatCode>0.0</c:formatCode>
                <c:ptCount val="3"/>
                <c:pt idx="0">
                  <c:v>2.155451497777447</c:v>
                </c:pt>
                <c:pt idx="1">
                  <c:v>2.1999016936833762</c:v>
                </c:pt>
                <c:pt idx="2">
                  <c:v>2.1057033014771367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5131374961304194"/>
          <c:h val="0.1189338965310140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0"/>
          <c:order val="0"/>
          <c:tx>
            <c:strRef>
              <c:f>'ShiftShare T1'!$A$27</c:f>
              <c:strCache>
                <c:ptCount val="1"/>
                <c:pt idx="0">
                  <c:v> 71 Sales occupations</c:v>
                </c:pt>
              </c:strCache>
            </c:strRef>
          </c:tx>
          <c:val>
            <c:numRef>
              <c:f>('ShiftShare T1'!$C$27,'ShiftShare T1'!$F$27,'ShiftShare T1'!$F$62)</c:f>
              <c:numCache>
                <c:formatCode>0.0</c:formatCode>
                <c:ptCount val="3"/>
                <c:pt idx="0">
                  <c:v>7.1299108994703584</c:v>
                </c:pt>
                <c:pt idx="1">
                  <c:v>6.4052494945306719</c:v>
                </c:pt>
                <c:pt idx="2">
                  <c:v>5.8006911032602293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ser>
          <c:idx val="1"/>
          <c:order val="1"/>
          <c:tx>
            <c:strRef>
              <c:f>'ShiftShare T1'!$A$28</c:f>
              <c:strCache>
                <c:ptCount val="1"/>
                <c:pt idx="0">
                  <c:v> 72 Customer service occupations</c:v>
                </c:pt>
              </c:strCache>
            </c:strRef>
          </c:tx>
          <c:cat>
            <c:numRef>
              <c:f>('ShiftShare T1'!$C$4,'ShiftShare T1'!$F$4,'ShiftShare T1'!$F$39)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('ShiftShare T1'!$C$28,'ShiftShare T1'!$F$28,'ShiftShare T1'!$F$63)</c:f>
              <c:numCache>
                <c:formatCode>0.0</c:formatCode>
                <c:ptCount val="3"/>
                <c:pt idx="0">
                  <c:v>1.6533017271105919</c:v>
                </c:pt>
                <c:pt idx="1">
                  <c:v>1.9999222891859565</c:v>
                </c:pt>
                <c:pt idx="2">
                  <c:v>2.2298427183720948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5.891244981579470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'ShiftShare T1'!$A$29</c:f>
              <c:strCache>
                <c:ptCount val="1"/>
                <c:pt idx="0">
                  <c:v> 81 Process, plant and machine operatives</c:v>
                </c:pt>
              </c:strCache>
            </c:strRef>
          </c:tx>
          <c:cat>
            <c:numRef>
              <c:f>('ShiftShare T1'!$C$4,'ShiftShare T1'!$F$4,'ShiftShare T1'!$F$39)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('ShiftShare T1'!$C$29,'ShiftShare T1'!$F$29,'ShiftShare T1'!$F$64)</c:f>
              <c:numCache>
                <c:formatCode>0.0</c:formatCode>
                <c:ptCount val="3"/>
                <c:pt idx="0">
                  <c:v>3.3436343748648039</c:v>
                </c:pt>
                <c:pt idx="1">
                  <c:v>2.6123888519638734</c:v>
                </c:pt>
                <c:pt idx="2">
                  <c:v>1.9791749047641822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ser>
          <c:idx val="4"/>
          <c:order val="1"/>
          <c:tx>
            <c:strRef>
              <c:f>'ShiftShare T1'!$A$30</c:f>
              <c:strCache>
                <c:ptCount val="1"/>
                <c:pt idx="0">
                  <c:v> 82 Transport and mobile machine drivers and operatives</c:v>
                </c:pt>
              </c:strCache>
            </c:strRef>
          </c:tx>
          <c:cat>
            <c:numRef>
              <c:f>('ShiftShare T1'!$C$4,'ShiftShare T1'!$F$4,'ShiftShare T1'!$F$39)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('ShiftShare T1'!$C$30,'ShiftShare T1'!$F$30,'ShiftShare T1'!$F$65)</c:f>
              <c:numCache>
                <c:formatCode>0.0</c:formatCode>
                <c:ptCount val="3"/>
                <c:pt idx="0">
                  <c:v>3.9358517584849895</c:v>
                </c:pt>
                <c:pt idx="1">
                  <c:v>3.643227077601789</c:v>
                </c:pt>
                <c:pt idx="2">
                  <c:v>3.5319177615348321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 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T1'!$F$39)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('ShiftShare T1'!$C$10,'ShiftShare T1'!$F$10,'ShiftShare T1'!$F$45)</c:f>
              <c:numCache>
                <c:formatCode>0.0</c:formatCode>
                <c:ptCount val="3"/>
                <c:pt idx="0">
                  <c:v>4.1178472368880525</c:v>
                </c:pt>
                <c:pt idx="1">
                  <c:v>5.0334129366011764</c:v>
                </c:pt>
                <c:pt idx="2">
                  <c:v>5.3418717614399061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 22 Health professionals</c:v>
                </c:pt>
              </c:strCache>
            </c:strRef>
          </c:tx>
          <c:cat>
            <c:numRef>
              <c:f>('ShiftShare T1'!$C$4,'ShiftShare T1'!$F$4,'ShiftShare T1'!$F$39)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('ShiftShare T1'!$C$11,'ShiftShare T1'!$F$11,'ShiftShare T1'!$F$46)</c:f>
              <c:numCache>
                <c:formatCode>0.0</c:formatCode>
                <c:ptCount val="3"/>
                <c:pt idx="0">
                  <c:v>3.8807831347337784</c:v>
                </c:pt>
                <c:pt idx="1">
                  <c:v>4.4278043115644987</c:v>
                </c:pt>
                <c:pt idx="2">
                  <c:v>4.9507688457687893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 23 Teaching and educational professionals</c:v>
                </c:pt>
              </c:strCache>
            </c:strRef>
          </c:tx>
          <c:cat>
            <c:numRef>
              <c:f>('ShiftShare T1'!$C$4,'ShiftShare T1'!$F$4,'ShiftShare T1'!$F$39)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('ShiftShare T1'!$C$12,'ShiftShare T1'!$F$12,'ShiftShare T1'!$F$47)</c:f>
              <c:numCache>
                <c:formatCode>0.0</c:formatCode>
                <c:ptCount val="3"/>
                <c:pt idx="0">
                  <c:v>4.4635956251038413</c:v>
                </c:pt>
                <c:pt idx="1">
                  <c:v>4.93784354096847</c:v>
                </c:pt>
                <c:pt idx="2">
                  <c:v>5.395952610756777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 24 Business, media and public service professionals</c:v>
                </c:pt>
              </c:strCache>
            </c:strRef>
          </c:tx>
          <c:cat>
            <c:numRef>
              <c:f>('ShiftShare T1'!$C$4,'ShiftShare T1'!$F$4,'ShiftShare T1'!$F$39)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('ShiftShare T1'!$C$13,'ShiftShare T1'!$F$13,'ShiftShare T1'!$F$48)</c:f>
              <c:numCache>
                <c:formatCode>0.0</c:formatCode>
                <c:ptCount val="3"/>
                <c:pt idx="0">
                  <c:v>4.6061934711348496</c:v>
                </c:pt>
                <c:pt idx="1">
                  <c:v>5.3251512646455303</c:v>
                </c:pt>
                <c:pt idx="2">
                  <c:v>5.7921833645779355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 51 Skilled agricultural and related trades</c:v>
                </c:pt>
              </c:strCache>
            </c:strRef>
          </c:tx>
          <c:cat>
            <c:numRef>
              <c:f>('ShiftShare T1'!$C$4,'ShiftShare T1'!$F$4,'ShiftShare T1'!$F$39)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('ShiftShare T1'!$C$21,'ShiftShare T1'!$F$21,'ShiftShare T1'!$F$56)</c:f>
              <c:numCache>
                <c:formatCode>0.0</c:formatCode>
                <c:ptCount val="3"/>
                <c:pt idx="0">
                  <c:v>1.027353299013972</c:v>
                </c:pt>
                <c:pt idx="1">
                  <c:v>1.0185985644199187</c:v>
                </c:pt>
                <c:pt idx="2">
                  <c:v>1.0061948171026835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 52 Skilled metal, electrical and electronic trades</c:v>
                </c:pt>
              </c:strCache>
            </c:strRef>
          </c:tx>
          <c:cat>
            <c:numRef>
              <c:f>('ShiftShare T1'!$C$4,'ShiftShare T1'!$F$4,'ShiftShare T1'!$F$39)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('ShiftShare T1'!$C$22,'ShiftShare T1'!$F$22,'ShiftShare T1'!$F$57)</c:f>
              <c:numCache>
                <c:formatCode>0.0</c:formatCode>
                <c:ptCount val="3"/>
                <c:pt idx="0">
                  <c:v>4.0238844630528607</c:v>
                </c:pt>
                <c:pt idx="1">
                  <c:v>3.5239934688123551</c:v>
                </c:pt>
                <c:pt idx="2">
                  <c:v>2.9139619464208044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 53 Skilled construction and building trades</c:v>
                </c:pt>
              </c:strCache>
            </c:strRef>
          </c:tx>
          <c:cat>
            <c:numRef>
              <c:f>('ShiftShare T1'!$C$4,'ShiftShare T1'!$F$4,'ShiftShare T1'!$F$39)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('ShiftShare T1'!$C$23,'ShiftShare T1'!$F$23,'ShiftShare T1'!$F$58)</c:f>
              <c:numCache>
                <c:formatCode>0.0</c:formatCode>
                <c:ptCount val="3"/>
                <c:pt idx="0">
                  <c:v>3.56724456441715</c:v>
                </c:pt>
                <c:pt idx="1">
                  <c:v>3.0679098688899193</c:v>
                </c:pt>
                <c:pt idx="2">
                  <c:v>2.9699873808980164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 54 Textiles, printing and other skilled trades</c:v>
                </c:pt>
              </c:strCache>
            </c:strRef>
          </c:tx>
          <c:cat>
            <c:numRef>
              <c:f>('ShiftShare T1'!$C$4,'ShiftShare T1'!$F$4,'ShiftShare T1'!$F$39)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('ShiftShare T1'!$C$24,'ShiftShare T1'!$F$24,'ShiftShare T1'!$F$59)</c:f>
              <c:numCache>
                <c:formatCode>0.0</c:formatCode>
                <c:ptCount val="3"/>
                <c:pt idx="0">
                  <c:v>2.6542906796007819</c:v>
                </c:pt>
                <c:pt idx="1">
                  <c:v>2.2403852275356408</c:v>
                </c:pt>
                <c:pt idx="2">
                  <c:v>1.8371098517957085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'ShiftShare T1'!$A$31</c:f>
              <c:strCache>
                <c:ptCount val="1"/>
                <c:pt idx="0">
                  <c:v> 91 Elementary trades and related occupations</c:v>
                </c:pt>
              </c:strCache>
            </c:strRef>
          </c:tx>
          <c:cat>
            <c:numRef>
              <c:f>('ShiftShare T1'!$C$4,'ShiftShare T1'!$F$4,'ShiftShare T1'!$F$39)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('ShiftShare T1'!$C$31,'ShiftShare T1'!$F$31,'ShiftShare T1'!$F$66)</c:f>
              <c:numCache>
                <c:formatCode>0.0</c:formatCode>
                <c:ptCount val="3"/>
                <c:pt idx="0">
                  <c:v>1.739965886615167</c:v>
                </c:pt>
                <c:pt idx="1">
                  <c:v>1.5930151429958368</c:v>
                </c:pt>
                <c:pt idx="2">
                  <c:v>1.482303712726208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ser>
          <c:idx val="4"/>
          <c:order val="1"/>
          <c:tx>
            <c:strRef>
              <c:f>'ShiftShare T1'!$A$32</c:f>
              <c:strCache>
                <c:ptCount val="1"/>
                <c:pt idx="0">
                  <c:v> 92 Elementary administration and service occupations</c:v>
                </c:pt>
              </c:strCache>
            </c:strRef>
          </c:tx>
          <c:cat>
            <c:numRef>
              <c:f>('ShiftShare T1'!$C$4,'ShiftShare T1'!$F$4,'ShiftShare T1'!$F$39)</c:f>
              <c:numCache>
                <c:formatCode>0</c:formatCode>
                <c:ptCount val="3"/>
                <c:pt idx="0">
                  <c:v>2007</c:v>
                </c:pt>
                <c:pt idx="1">
                  <c:v>2017</c:v>
                </c:pt>
                <c:pt idx="2">
                  <c:v>2027</c:v>
                </c:pt>
              </c:numCache>
            </c:numRef>
          </c:cat>
          <c:val>
            <c:numRef>
              <c:f>('ShiftShare T1'!$C$32,'ShiftShare T1'!$F$32,'ShiftShare T1'!$F$67)</c:f>
              <c:numCache>
                <c:formatCode>0.0</c:formatCode>
                <c:ptCount val="3"/>
                <c:pt idx="0">
                  <c:v>10.959677044802547</c:v>
                </c:pt>
                <c:pt idx="1">
                  <c:v>9.7591256378689017</c:v>
                </c:pt>
                <c:pt idx="2">
                  <c:v>9.5362508816399369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</c:v>
                </c:pt>
                <c:pt idx="3">
                  <c:v>Caring, leisure and other service</c:v>
                </c:pt>
                <c:pt idx="4">
                  <c:v>Skilled trades occupations</c:v>
                </c:pt>
                <c:pt idx="5">
                  <c:v>Administrative and secretarial</c:v>
                </c:pt>
                <c:pt idx="6">
                  <c:v>Associate professional and technical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-9.0418486172256962</c:v>
                </c:pt>
                <c:pt idx="1">
                  <c:v>-205.83062490434168</c:v>
                </c:pt>
                <c:pt idx="2">
                  <c:v>-52.419844879796528</c:v>
                </c:pt>
                <c:pt idx="3">
                  <c:v>465.72306791714391</c:v>
                </c:pt>
                <c:pt idx="4">
                  <c:v>-306.65080669658801</c:v>
                </c:pt>
                <c:pt idx="5">
                  <c:v>-603.63132059189093</c:v>
                </c:pt>
                <c:pt idx="6">
                  <c:v>425.13827748002859</c:v>
                </c:pt>
                <c:pt idx="7">
                  <c:v>821.12704510373715</c:v>
                </c:pt>
                <c:pt idx="8">
                  <c:v>438.54705518908577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</c:v>
                </c:pt>
                <c:pt idx="3">
                  <c:v>Caring, leisure and other service</c:v>
                </c:pt>
                <c:pt idx="4">
                  <c:v>Skilled trades occupations</c:v>
                </c:pt>
                <c:pt idx="5">
                  <c:v>Administrative and secretarial</c:v>
                </c:pt>
                <c:pt idx="6">
                  <c:v>Associate professional and technical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1248.7007144494987</c:v>
                </c:pt>
                <c:pt idx="1">
                  <c:v>451.5785873097376</c:v>
                </c:pt>
                <c:pt idx="2">
                  <c:v>854.76427671517251</c:v>
                </c:pt>
                <c:pt idx="3">
                  <c:v>1801.1634526032487</c:v>
                </c:pt>
                <c:pt idx="4">
                  <c:v>622.71730928380612</c:v>
                </c:pt>
                <c:pt idx="5">
                  <c:v>548.52860770599159</c:v>
                </c:pt>
                <c:pt idx="6">
                  <c:v>2024.3875806278147</c:v>
                </c:pt>
                <c:pt idx="7">
                  <c:v>3182.9943930087279</c:v>
                </c:pt>
                <c:pt idx="8">
                  <c:v>1819.0081441885266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F1'!$O$37:$O$61</c:f>
              <c:strCache>
                <c:ptCount val="25"/>
                <c:pt idx="0">
                  <c:v> 11 Corporate managers and directors</c:v>
                </c:pt>
                <c:pt idx="1">
                  <c:v> 12 Other managers and proprietors</c:v>
                </c:pt>
                <c:pt idx="2">
                  <c:v> 21 Science, research, engineering and technology professionals</c:v>
                </c:pt>
                <c:pt idx="3">
                  <c:v> 22 Health professionals</c:v>
                </c:pt>
                <c:pt idx="4">
                  <c:v> 23 Teaching and educational professionals</c:v>
                </c:pt>
                <c:pt idx="5">
                  <c:v> 24 Business, media and public service professionals</c:v>
                </c:pt>
                <c:pt idx="6">
                  <c:v> 31 Science, engineering and technology associate professionals</c:v>
                </c:pt>
                <c:pt idx="7">
                  <c:v> 32 Health and social care associate professionals</c:v>
                </c:pt>
                <c:pt idx="8">
                  <c:v> 33 Protective service occupations</c:v>
                </c:pt>
                <c:pt idx="9">
                  <c:v> 34 Culture, media and sports occupations</c:v>
                </c:pt>
                <c:pt idx="10">
                  <c:v> 35 Business and public service associate professionals</c:v>
                </c:pt>
                <c:pt idx="11">
                  <c:v> 41 Administrative occupations</c:v>
                </c:pt>
                <c:pt idx="12">
                  <c:v> 42 Secretarial and related occupations</c:v>
                </c:pt>
                <c:pt idx="13">
                  <c:v> 51 Skilled agricultural and related trades</c:v>
                </c:pt>
                <c:pt idx="14">
                  <c:v> 52 Skilled metal, electrical and electronic trades</c:v>
                </c:pt>
                <c:pt idx="15">
                  <c:v> 53 Skilled construction and building trades</c:v>
                </c:pt>
                <c:pt idx="16">
                  <c:v> 54 Textiles, printing and other skilled trades</c:v>
                </c:pt>
                <c:pt idx="17">
                  <c:v> 61 Caring personal service occupations</c:v>
                </c:pt>
                <c:pt idx="18">
                  <c:v> 62 Leisure, travel and related personal service occupations</c:v>
                </c:pt>
                <c:pt idx="19">
                  <c:v> 71 Sales occupations</c:v>
                </c:pt>
                <c:pt idx="20">
                  <c:v> 72 Customer service occupations</c:v>
                </c:pt>
                <c:pt idx="21">
                  <c:v> 81 Process, plant and machine operatives</c:v>
                </c:pt>
                <c:pt idx="22">
                  <c:v> 82 Transport and mobile machine drivers and operatives</c:v>
                </c:pt>
                <c:pt idx="23">
                  <c:v> 91 Elementary trades and related occupations</c:v>
                </c:pt>
                <c:pt idx="24">
                  <c:v> 92 Elementary administration and service occupations</c:v>
                </c:pt>
              </c:strCache>
            </c:strRef>
          </c:cat>
          <c:val>
            <c:numRef>
              <c:f>'RD F1'!$P$37:$P$61</c:f>
              <c:numCache>
                <c:formatCode>#,##0</c:formatCode>
                <c:ptCount val="25"/>
                <c:pt idx="0">
                  <c:v>348.86608245571779</c:v>
                </c:pt>
                <c:pt idx="1">
                  <c:v>89.680972733368208</c:v>
                </c:pt>
                <c:pt idx="2">
                  <c:v>159.46603551192675</c:v>
                </c:pt>
                <c:pt idx="3">
                  <c:v>230.41168911183672</c:v>
                </c:pt>
                <c:pt idx="4">
                  <c:v>212.14232647225754</c:v>
                </c:pt>
                <c:pt idx="5">
                  <c:v>219.10699400771705</c:v>
                </c:pt>
                <c:pt idx="6">
                  <c:v>8.9632573035260066</c:v>
                </c:pt>
                <c:pt idx="7">
                  <c:v>82.923631730797752</c:v>
                </c:pt>
                <c:pt idx="8">
                  <c:v>-10.878479019383633</c:v>
                </c:pt>
                <c:pt idx="9">
                  <c:v>52.226719586066565</c:v>
                </c:pt>
                <c:pt idx="10">
                  <c:v>291.90314787902116</c:v>
                </c:pt>
                <c:pt idx="11">
                  <c:v>-243.56454565603099</c:v>
                </c:pt>
                <c:pt idx="12">
                  <c:v>-360.06677493586011</c:v>
                </c:pt>
                <c:pt idx="13">
                  <c:v>5.4674262816217265</c:v>
                </c:pt>
                <c:pt idx="14">
                  <c:v>-184.2320228269657</c:v>
                </c:pt>
                <c:pt idx="15">
                  <c:v>-5.2272018605553967</c:v>
                </c:pt>
                <c:pt idx="16">
                  <c:v>-122.65900829068846</c:v>
                </c:pt>
                <c:pt idx="17">
                  <c:v>478.06164419821425</c:v>
                </c:pt>
                <c:pt idx="18">
                  <c:v>-12.338576281070459</c:v>
                </c:pt>
                <c:pt idx="19">
                  <c:v>-154.23799766005141</c:v>
                </c:pt>
                <c:pt idx="20">
                  <c:v>101.81815278025499</c:v>
                </c:pt>
                <c:pt idx="21">
                  <c:v>-201.4057457178867</c:v>
                </c:pt>
                <c:pt idx="22">
                  <c:v>-4.4248791864552004</c:v>
                </c:pt>
                <c:pt idx="23">
                  <c:v>-24.158473337065288</c:v>
                </c:pt>
                <c:pt idx="24">
                  <c:v>15.116624719839365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F1'!$O$37:$O$61</c:f>
              <c:strCache>
                <c:ptCount val="25"/>
                <c:pt idx="0">
                  <c:v> 11 Corporate managers and directors</c:v>
                </c:pt>
                <c:pt idx="1">
                  <c:v> 12 Other managers and proprietors</c:v>
                </c:pt>
                <c:pt idx="2">
                  <c:v> 21 Science, research, engineering and technology professionals</c:v>
                </c:pt>
                <c:pt idx="3">
                  <c:v> 22 Health professionals</c:v>
                </c:pt>
                <c:pt idx="4">
                  <c:v> 23 Teaching and educational professionals</c:v>
                </c:pt>
                <c:pt idx="5">
                  <c:v> 24 Business, media and public service professionals</c:v>
                </c:pt>
                <c:pt idx="6">
                  <c:v> 31 Science, engineering and technology associate professionals</c:v>
                </c:pt>
                <c:pt idx="7">
                  <c:v> 32 Health and social care associate professionals</c:v>
                </c:pt>
                <c:pt idx="8">
                  <c:v> 33 Protective service occupations</c:v>
                </c:pt>
                <c:pt idx="9">
                  <c:v> 34 Culture, media and sports occupations</c:v>
                </c:pt>
                <c:pt idx="10">
                  <c:v> 35 Business and public service associate professionals</c:v>
                </c:pt>
                <c:pt idx="11">
                  <c:v> 41 Administrative occupations</c:v>
                </c:pt>
                <c:pt idx="12">
                  <c:v> 42 Secretarial and related occupations</c:v>
                </c:pt>
                <c:pt idx="13">
                  <c:v> 51 Skilled agricultural and related trades</c:v>
                </c:pt>
                <c:pt idx="14">
                  <c:v> 52 Skilled metal, electrical and electronic trades</c:v>
                </c:pt>
                <c:pt idx="15">
                  <c:v> 53 Skilled construction and building trades</c:v>
                </c:pt>
                <c:pt idx="16">
                  <c:v> 54 Textiles, printing and other skilled trades</c:v>
                </c:pt>
                <c:pt idx="17">
                  <c:v> 61 Caring personal service occupations</c:v>
                </c:pt>
                <c:pt idx="18">
                  <c:v> 62 Leisure, travel and related personal service occupations</c:v>
                </c:pt>
                <c:pt idx="19">
                  <c:v> 71 Sales occupations</c:v>
                </c:pt>
                <c:pt idx="20">
                  <c:v> 72 Customer service occupations</c:v>
                </c:pt>
                <c:pt idx="21">
                  <c:v> 81 Process, plant and machine operatives</c:v>
                </c:pt>
                <c:pt idx="22">
                  <c:v> 82 Transport and mobile machine drivers and operatives</c:v>
                </c:pt>
                <c:pt idx="23">
                  <c:v> 91 Elementary trades and related occupations</c:v>
                </c:pt>
                <c:pt idx="24">
                  <c:v> 92 Elementary administration and service occupations</c:v>
                </c:pt>
              </c:strCache>
            </c:strRef>
          </c:cat>
          <c:val>
            <c:numRef>
              <c:f>'RD F1'!$Q$37:$Q$61</c:f>
              <c:numCache>
                <c:formatCode>#,##0</c:formatCode>
                <c:ptCount val="25"/>
                <c:pt idx="0">
                  <c:v>1303.4036553482379</c:v>
                </c:pt>
                <c:pt idx="1">
                  <c:v>515.6044888402887</c:v>
                </c:pt>
                <c:pt idx="2">
                  <c:v>622.85218040584698</c:v>
                </c:pt>
                <c:pt idx="3">
                  <c:v>836.46073587720275</c:v>
                </c:pt>
                <c:pt idx="4">
                  <c:v>844.60617538975703</c:v>
                </c:pt>
                <c:pt idx="5">
                  <c:v>879.07530133592184</c:v>
                </c:pt>
                <c:pt idx="6">
                  <c:v>194.53077809684845</c:v>
                </c:pt>
                <c:pt idx="7">
                  <c:v>305.03375260729069</c:v>
                </c:pt>
                <c:pt idx="8">
                  <c:v>77.372998217620676</c:v>
                </c:pt>
                <c:pt idx="9">
                  <c:v>330.88745010074308</c:v>
                </c:pt>
                <c:pt idx="10">
                  <c:v>1116.5626016053111</c:v>
                </c:pt>
                <c:pt idx="11">
                  <c:v>716.93292061052239</c:v>
                </c:pt>
                <c:pt idx="12">
                  <c:v>-168.40431290453097</c:v>
                </c:pt>
                <c:pt idx="13">
                  <c:v>135.36419867020382</c:v>
                </c:pt>
                <c:pt idx="14">
                  <c:v>105.73281491009874</c:v>
                </c:pt>
                <c:pt idx="15">
                  <c:v>302.67792589436237</c:v>
                </c:pt>
                <c:pt idx="16">
                  <c:v>78.942369809141354</c:v>
                </c:pt>
                <c:pt idx="17">
                  <c:v>1552.7383348791845</c:v>
                </c:pt>
                <c:pt idx="18">
                  <c:v>248.42511772406402</c:v>
                </c:pt>
                <c:pt idx="19">
                  <c:v>519.16944024412146</c:v>
                </c:pt>
                <c:pt idx="20">
                  <c:v>335.59483647105117</c:v>
                </c:pt>
                <c:pt idx="21">
                  <c:v>5.1842336356940848</c:v>
                </c:pt>
                <c:pt idx="22">
                  <c:v>446.39435367404326</c:v>
                </c:pt>
                <c:pt idx="23">
                  <c:v>123.33049967487221</c:v>
                </c:pt>
                <c:pt idx="24">
                  <c:v>1125.3702147746262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99060</xdr:rowOff>
        </xdr:from>
        <xdr:to>
          <xdr:col>7</xdr:col>
          <xdr:colOff>609600</xdr:colOff>
          <xdr:row>12</xdr:row>
          <xdr:rowOff>68580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</xdr:colOff>
          <xdr:row>6</xdr:row>
          <xdr:rowOff>83820</xdr:rowOff>
        </xdr:from>
        <xdr:to>
          <xdr:col>1</xdr:col>
          <xdr:colOff>655320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67236</xdr:colOff>
      <xdr:row>0</xdr:row>
      <xdr:rowOff>33618</xdr:rowOff>
    </xdr:from>
    <xdr:to>
      <xdr:col>19</xdr:col>
      <xdr:colOff>437030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44825</xdr:colOff>
      <xdr:row>0</xdr:row>
      <xdr:rowOff>22412</xdr:rowOff>
    </xdr:from>
    <xdr:to>
      <xdr:col>7</xdr:col>
      <xdr:colOff>414619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3737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224118</xdr:colOff>
      <xdr:row>0</xdr:row>
      <xdr:rowOff>0</xdr:rowOff>
    </xdr:from>
    <xdr:to>
      <xdr:col>6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7912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603249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479986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67235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38100</xdr:rowOff>
    </xdr:from>
    <xdr:to>
      <xdr:col>9</xdr:col>
      <xdr:colOff>990600</xdr:colOff>
      <xdr:row>61</xdr:row>
      <xdr:rowOff>76200</xdr:rowOff>
    </xdr:to>
    <xdr:graphicFrame macro="">
      <xdr:nvGraphicFramePr>
        <xdr:cNvPr id="2051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76200</xdr:colOff>
      <xdr:row>0</xdr:row>
      <xdr:rowOff>0</xdr:rowOff>
    </xdr:from>
    <xdr:to>
      <xdr:col>11</xdr:col>
      <xdr:colOff>445994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6800" y="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</xdr:row>
      <xdr:rowOff>9525</xdr:rowOff>
    </xdr:from>
    <xdr:to>
      <xdr:col>9</xdr:col>
      <xdr:colOff>28575</xdr:colOff>
      <xdr:row>44</xdr:row>
      <xdr:rowOff>9525</xdr:rowOff>
    </xdr:to>
    <xdr:graphicFrame macro="">
      <xdr:nvGraphicFramePr>
        <xdr:cNvPr id="3088" name="Sector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228600</xdr:colOff>
      <xdr:row>0</xdr:row>
      <xdr:rowOff>0</xdr:rowOff>
    </xdr:from>
    <xdr:to>
      <xdr:col>10</xdr:col>
      <xdr:colOff>598394</xdr:colOff>
      <xdr:row>2</xdr:row>
      <xdr:rowOff>1494</xdr:rowOff>
    </xdr:to>
    <xdr:pic>
      <xdr:nvPicPr>
        <xdr:cNvPr id="11" name="Picture 10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5300" y="0"/>
          <a:ext cx="369794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367926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1059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44824</xdr:colOff>
      <xdr:row>0</xdr:row>
      <xdr:rowOff>78441</xdr:rowOff>
    </xdr:from>
    <xdr:to>
      <xdr:col>15</xdr:col>
      <xdr:colOff>412750</xdr:colOff>
      <xdr:row>2</xdr:row>
      <xdr:rowOff>89647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5353" y="78441"/>
          <a:ext cx="367926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257736</xdr:colOff>
      <xdr:row>0</xdr:row>
      <xdr:rowOff>0</xdr:rowOff>
    </xdr:from>
    <xdr:to>
      <xdr:col>34</xdr:col>
      <xdr:colOff>22412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54177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112058</xdr:colOff>
      <xdr:row>0</xdr:row>
      <xdr:rowOff>11206</xdr:rowOff>
    </xdr:from>
    <xdr:to>
      <xdr:col>32</xdr:col>
      <xdr:colOff>481852</xdr:colOff>
      <xdr:row>2</xdr:row>
      <xdr:rowOff>22412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79029" y="11206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67235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145677</xdr:colOff>
      <xdr:row>0</xdr:row>
      <xdr:rowOff>22413</xdr:rowOff>
    </xdr:from>
    <xdr:to>
      <xdr:col>47</xdr:col>
      <xdr:colOff>515471</xdr:colOff>
      <xdr:row>2</xdr:row>
      <xdr:rowOff>33619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61736" y="22413"/>
          <a:ext cx="369794" cy="369794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38100</xdr:rowOff>
    </xdr:from>
    <xdr:to>
      <xdr:col>9</xdr:col>
      <xdr:colOff>1057275</xdr:colOff>
      <xdr:row>77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06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25401</xdr:rowOff>
    </xdr:from>
    <xdr:to>
      <xdr:col>9</xdr:col>
      <xdr:colOff>1057275</xdr:colOff>
      <xdr:row>147</xdr:row>
      <xdr:rowOff>139701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</xdr:colOff>
      <xdr:row>232</xdr:row>
      <xdr:rowOff>63500</xdr:rowOff>
    </xdr:from>
    <xdr:to>
      <xdr:col>8</xdr:col>
      <xdr:colOff>2114550</xdr:colOff>
      <xdr:row>264</xdr:row>
      <xdr:rowOff>82550</xdr:rowOff>
    </xdr:to>
    <xdr:graphicFrame macro="">
      <xdr:nvGraphicFramePr>
        <xdr:cNvPr id="4" name="OccGroup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301</xdr:row>
      <xdr:rowOff>190500</xdr:rowOff>
    </xdr:from>
    <xdr:to>
      <xdr:col>8</xdr:col>
      <xdr:colOff>2117725</xdr:colOff>
      <xdr:row>334</xdr:row>
      <xdr:rowOff>25400</xdr:rowOff>
    </xdr:to>
    <xdr:graphicFrame macro="">
      <xdr:nvGraphicFramePr>
        <xdr:cNvPr id="6" name="OccGroup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12700</xdr:colOff>
      <xdr:row>407</xdr:row>
      <xdr:rowOff>22225</xdr:rowOff>
    </xdr:from>
    <xdr:to>
      <xdr:col>9</xdr:col>
      <xdr:colOff>12700</xdr:colOff>
      <xdr:row>437</xdr:row>
      <xdr:rowOff>139700</xdr:rowOff>
    </xdr:to>
    <xdr:graphicFrame macro="">
      <xdr:nvGraphicFramePr>
        <xdr:cNvPr id="9" name="OccGroup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12700</xdr:colOff>
      <xdr:row>1</xdr:row>
      <xdr:rowOff>0</xdr:rowOff>
    </xdr:from>
    <xdr:to>
      <xdr:col>9</xdr:col>
      <xdr:colOff>12700</xdr:colOff>
      <xdr:row>55</xdr:row>
      <xdr:rowOff>142875</xdr:rowOff>
    </xdr:to>
    <xdr:graphicFrame macro="">
      <xdr:nvGraphicFramePr>
        <xdr:cNvPr id="12" name="OccGroup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12700</xdr:colOff>
      <xdr:row>116</xdr:row>
      <xdr:rowOff>0</xdr:rowOff>
    </xdr:from>
    <xdr:to>
      <xdr:col>9</xdr:col>
      <xdr:colOff>12700</xdr:colOff>
      <xdr:row>159</xdr:row>
      <xdr:rowOff>142875</xdr:rowOff>
    </xdr:to>
    <xdr:graphicFrame macro="">
      <xdr:nvGraphicFramePr>
        <xdr:cNvPr id="13" name="OccGroup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12700</xdr:colOff>
      <xdr:row>477</xdr:row>
      <xdr:rowOff>12700</xdr:rowOff>
    </xdr:from>
    <xdr:to>
      <xdr:col>9</xdr:col>
      <xdr:colOff>0</xdr:colOff>
      <xdr:row>501</xdr:row>
      <xdr:rowOff>127000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12700</xdr:colOff>
      <xdr:row>504</xdr:row>
      <xdr:rowOff>190500</xdr:rowOff>
    </xdr:from>
    <xdr:to>
      <xdr:col>8</xdr:col>
      <xdr:colOff>2095500</xdr:colOff>
      <xdr:row>530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371662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58</xdr:row>
      <xdr:rowOff>63500</xdr:rowOff>
    </xdr:from>
    <xdr:to>
      <xdr:col>9</xdr:col>
      <xdr:colOff>12700</xdr:colOff>
      <xdr:row>113</xdr:row>
      <xdr:rowOff>41275</xdr:rowOff>
    </xdr:to>
    <xdr:graphicFrame macro="">
      <xdr:nvGraphicFramePr>
        <xdr:cNvPr id="17" name="OccGroup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76200</xdr:rowOff>
    </xdr:from>
    <xdr:to>
      <xdr:col>18</xdr:col>
      <xdr:colOff>622300</xdr:colOff>
      <xdr:row>28</xdr:row>
      <xdr:rowOff>50800</xdr:rowOff>
    </xdr:to>
    <xdr:grpSp>
      <xdr:nvGrpSpPr>
        <xdr:cNvPr id="17" name="Group 16"/>
        <xdr:cNvGrpSpPr/>
      </xdr:nvGrpSpPr>
      <xdr:grpSpPr>
        <a:xfrm>
          <a:off x="0" y="279400"/>
          <a:ext cx="11582400" cy="4432300"/>
          <a:chOff x="0" y="279400"/>
          <a:chExt cx="11582400" cy="4432300"/>
        </a:xfrm>
      </xdr:grpSpPr>
      <xdr:grpSp>
        <xdr:nvGrpSpPr>
          <xdr:cNvPr id="15" name="Group 14"/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/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/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/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/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/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/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/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38100</xdr:rowOff>
    </xdr:from>
    <xdr:to>
      <xdr:col>9</xdr:col>
      <xdr:colOff>260351</xdr:colOff>
      <xdr:row>37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1</xdr:row>
      <xdr:rowOff>50800</xdr:rowOff>
    </xdr:from>
    <xdr:to>
      <xdr:col>9</xdr:col>
      <xdr:colOff>247651</xdr:colOff>
      <xdr:row>37</xdr:row>
      <xdr:rowOff>50800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40</xdr:row>
      <xdr:rowOff>0</xdr:rowOff>
    </xdr:from>
    <xdr:to>
      <xdr:col>9</xdr:col>
      <xdr:colOff>247651</xdr:colOff>
      <xdr:row>76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79</xdr:row>
      <xdr:rowOff>0</xdr:rowOff>
    </xdr:from>
    <xdr:to>
      <xdr:col>9</xdr:col>
      <xdr:colOff>247651</xdr:colOff>
      <xdr:row>115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371662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9971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52</xdr:row>
      <xdr:rowOff>0</xdr:rowOff>
    </xdr:from>
    <xdr:to>
      <xdr:col>8</xdr:col>
      <xdr:colOff>2117725</xdr:colOff>
      <xdr:row>97</xdr:row>
      <xdr:rowOff>57150</xdr:rowOff>
    </xdr:to>
    <xdr:graphicFrame macro="">
      <xdr:nvGraphicFramePr>
        <xdr:cNvPr id="3" name="Qual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53</xdr:row>
      <xdr:rowOff>44824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53</xdr:row>
      <xdr:rowOff>44823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55</xdr:row>
      <xdr:rowOff>122892</xdr:rowOff>
    </xdr:from>
    <xdr:to>
      <xdr:col>30</xdr:col>
      <xdr:colOff>505946</xdr:colOff>
      <xdr:row>81</xdr:row>
      <xdr:rowOff>123264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56</xdr:row>
      <xdr:rowOff>14382</xdr:rowOff>
    </xdr:from>
    <xdr:to>
      <xdr:col>49</xdr:col>
      <xdr:colOff>480172</xdr:colOff>
      <xdr:row>81</xdr:row>
      <xdr:rowOff>156881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82</xdr:row>
      <xdr:rowOff>85910</xdr:rowOff>
    </xdr:from>
    <xdr:to>
      <xdr:col>30</xdr:col>
      <xdr:colOff>493058</xdr:colOff>
      <xdr:row>107</xdr:row>
      <xdr:rowOff>100852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82</xdr:row>
      <xdr:rowOff>142688</xdr:rowOff>
    </xdr:from>
    <xdr:to>
      <xdr:col>49</xdr:col>
      <xdr:colOff>489698</xdr:colOff>
      <xdr:row>108</xdr:row>
      <xdr:rowOff>44824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109</xdr:row>
      <xdr:rowOff>53041</xdr:rowOff>
    </xdr:from>
    <xdr:to>
      <xdr:col>30</xdr:col>
      <xdr:colOff>518271</xdr:colOff>
      <xdr:row>137</xdr:row>
      <xdr:rowOff>112434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109</xdr:row>
      <xdr:rowOff>53041</xdr:rowOff>
    </xdr:from>
    <xdr:to>
      <xdr:col>40</xdr:col>
      <xdr:colOff>120464</xdr:colOff>
      <xdr:row>137</xdr:row>
      <xdr:rowOff>110939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55</xdr:row>
      <xdr:rowOff>134470</xdr:rowOff>
    </xdr:from>
    <xdr:to>
      <xdr:col>40</xdr:col>
      <xdr:colOff>206190</xdr:colOff>
      <xdr:row>81</xdr:row>
      <xdr:rowOff>120087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82</xdr:row>
      <xdr:rowOff>134470</xdr:rowOff>
    </xdr:from>
    <xdr:to>
      <xdr:col>40</xdr:col>
      <xdr:colOff>102346</xdr:colOff>
      <xdr:row>107</xdr:row>
      <xdr:rowOff>149412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109</xdr:row>
      <xdr:rowOff>56029</xdr:rowOff>
    </xdr:from>
    <xdr:to>
      <xdr:col>49</xdr:col>
      <xdr:colOff>458133</xdr:colOff>
      <xdr:row>137</xdr:row>
      <xdr:rowOff>113927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291353</xdr:colOff>
      <xdr:row>0</xdr:row>
      <xdr:rowOff>89648</xdr:rowOff>
    </xdr:from>
    <xdr:to>
      <xdr:col>31</xdr:col>
      <xdr:colOff>57897</xdr:colOff>
      <xdr:row>2</xdr:row>
      <xdr:rowOff>100854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62706" y="89648"/>
          <a:ext cx="371662" cy="36979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</xdr:row>
      <xdr:rowOff>28575</xdr:rowOff>
    </xdr:from>
    <xdr:to>
      <xdr:col>12</xdr:col>
      <xdr:colOff>0</xdr:colOff>
      <xdr:row>30</xdr:row>
      <xdr:rowOff>66675</xdr:rowOff>
    </xdr:to>
    <xdr:graphicFrame macro="">
      <xdr:nvGraphicFramePr>
        <xdr:cNvPr id="194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22411</xdr:colOff>
      <xdr:row>0</xdr:row>
      <xdr:rowOff>0</xdr:rowOff>
    </xdr:from>
    <xdr:to>
      <xdr:col>14</xdr:col>
      <xdr:colOff>394073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4058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3"/>
  <sheetViews>
    <sheetView workbookViewId="0">
      <selection activeCell="B2" sqref="B2"/>
    </sheetView>
  </sheetViews>
  <sheetFormatPr defaultRowHeight="13.2" x14ac:dyDescent="0.25"/>
  <cols>
    <col min="1" max="1" width="16.44140625" customWidth="1"/>
  </cols>
  <sheetData>
    <row r="1" spans="1:10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5">
      <c r="A2" t="s">
        <v>140</v>
      </c>
      <c r="B2" s="106" t="s">
        <v>528</v>
      </c>
      <c r="C2" t="s">
        <v>416</v>
      </c>
      <c r="D2" t="s">
        <v>415</v>
      </c>
    </row>
    <row r="3" spans="1:10" x14ac:dyDescent="0.25">
      <c r="B3" s="106"/>
    </row>
    <row r="4" spans="1:10" x14ac:dyDescent="0.25">
      <c r="B4" s="170"/>
    </row>
    <row r="11" spans="1:10" x14ac:dyDescent="0.25">
      <c r="A11" t="s">
        <v>141</v>
      </c>
      <c r="B11" s="106" t="s">
        <v>528</v>
      </c>
    </row>
    <row r="12" spans="1:10" x14ac:dyDescent="0.25">
      <c r="B12" s="106"/>
    </row>
    <row r="13" spans="1:10" x14ac:dyDescent="0.25">
      <c r="B13" s="170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N93"/>
  <sheetViews>
    <sheetView showGridLines="0" tabSelected="1" zoomScale="75" zoomScaleNormal="75" workbookViewId="0"/>
  </sheetViews>
  <sheetFormatPr defaultColWidth="10.44140625" defaultRowHeight="13.2" x14ac:dyDescent="0.25"/>
  <cols>
    <col min="1" max="13" width="11.5546875" style="312" customWidth="1"/>
    <col min="14" max="256" width="10.44140625" style="312"/>
    <col min="257" max="269" width="11.5546875" style="312" customWidth="1"/>
    <col min="270" max="512" width="10.44140625" style="312"/>
    <col min="513" max="525" width="11.5546875" style="312" customWidth="1"/>
    <col min="526" max="768" width="10.44140625" style="312"/>
    <col min="769" max="781" width="11.5546875" style="312" customWidth="1"/>
    <col min="782" max="1024" width="10.44140625" style="312"/>
    <col min="1025" max="1037" width="11.5546875" style="312" customWidth="1"/>
    <col min="1038" max="1280" width="10.44140625" style="312"/>
    <col min="1281" max="1293" width="11.5546875" style="312" customWidth="1"/>
    <col min="1294" max="1536" width="10.44140625" style="312"/>
    <col min="1537" max="1549" width="11.5546875" style="312" customWidth="1"/>
    <col min="1550" max="1792" width="10.44140625" style="312"/>
    <col min="1793" max="1805" width="11.5546875" style="312" customWidth="1"/>
    <col min="1806" max="2048" width="10.44140625" style="312"/>
    <col min="2049" max="2061" width="11.5546875" style="312" customWidth="1"/>
    <col min="2062" max="2304" width="10.44140625" style="312"/>
    <col min="2305" max="2317" width="11.5546875" style="312" customWidth="1"/>
    <col min="2318" max="2560" width="10.44140625" style="312"/>
    <col min="2561" max="2573" width="11.5546875" style="312" customWidth="1"/>
    <col min="2574" max="2816" width="10.44140625" style="312"/>
    <col min="2817" max="2829" width="11.5546875" style="312" customWidth="1"/>
    <col min="2830" max="3072" width="10.44140625" style="312"/>
    <col min="3073" max="3085" width="11.5546875" style="312" customWidth="1"/>
    <col min="3086" max="3328" width="10.44140625" style="312"/>
    <col min="3329" max="3341" width="11.5546875" style="312" customWidth="1"/>
    <col min="3342" max="3584" width="10.44140625" style="312"/>
    <col min="3585" max="3597" width="11.5546875" style="312" customWidth="1"/>
    <col min="3598" max="3840" width="10.44140625" style="312"/>
    <col min="3841" max="3853" width="11.5546875" style="312" customWidth="1"/>
    <col min="3854" max="4096" width="10.44140625" style="312"/>
    <col min="4097" max="4109" width="11.5546875" style="312" customWidth="1"/>
    <col min="4110" max="4352" width="10.44140625" style="312"/>
    <col min="4353" max="4365" width="11.5546875" style="312" customWidth="1"/>
    <col min="4366" max="4608" width="10.44140625" style="312"/>
    <col min="4609" max="4621" width="11.5546875" style="312" customWidth="1"/>
    <col min="4622" max="4864" width="10.44140625" style="312"/>
    <col min="4865" max="4877" width="11.5546875" style="312" customWidth="1"/>
    <col min="4878" max="5120" width="10.44140625" style="312"/>
    <col min="5121" max="5133" width="11.5546875" style="312" customWidth="1"/>
    <col min="5134" max="5376" width="10.44140625" style="312"/>
    <col min="5377" max="5389" width="11.5546875" style="312" customWidth="1"/>
    <col min="5390" max="5632" width="10.44140625" style="312"/>
    <col min="5633" max="5645" width="11.5546875" style="312" customWidth="1"/>
    <col min="5646" max="5888" width="10.44140625" style="312"/>
    <col min="5889" max="5901" width="11.5546875" style="312" customWidth="1"/>
    <col min="5902" max="6144" width="10.44140625" style="312"/>
    <col min="6145" max="6157" width="11.5546875" style="312" customWidth="1"/>
    <col min="6158" max="6400" width="10.44140625" style="312"/>
    <col min="6401" max="6413" width="11.5546875" style="312" customWidth="1"/>
    <col min="6414" max="6656" width="10.44140625" style="312"/>
    <col min="6657" max="6669" width="11.5546875" style="312" customWidth="1"/>
    <col min="6670" max="6912" width="10.44140625" style="312"/>
    <col min="6913" max="6925" width="11.5546875" style="312" customWidth="1"/>
    <col min="6926" max="7168" width="10.44140625" style="312"/>
    <col min="7169" max="7181" width="11.5546875" style="312" customWidth="1"/>
    <col min="7182" max="7424" width="10.44140625" style="312"/>
    <col min="7425" max="7437" width="11.5546875" style="312" customWidth="1"/>
    <col min="7438" max="7680" width="10.44140625" style="312"/>
    <col min="7681" max="7693" width="11.5546875" style="312" customWidth="1"/>
    <col min="7694" max="7936" width="10.44140625" style="312"/>
    <col min="7937" max="7949" width="11.5546875" style="312" customWidth="1"/>
    <col min="7950" max="8192" width="10.44140625" style="312"/>
    <col min="8193" max="8205" width="11.5546875" style="312" customWidth="1"/>
    <col min="8206" max="8448" width="10.44140625" style="312"/>
    <col min="8449" max="8461" width="11.5546875" style="312" customWidth="1"/>
    <col min="8462" max="8704" width="10.44140625" style="312"/>
    <col min="8705" max="8717" width="11.5546875" style="312" customWidth="1"/>
    <col min="8718" max="8960" width="10.44140625" style="312"/>
    <col min="8961" max="8973" width="11.5546875" style="312" customWidth="1"/>
    <col min="8974" max="9216" width="10.44140625" style="312"/>
    <col min="9217" max="9229" width="11.5546875" style="312" customWidth="1"/>
    <col min="9230" max="9472" width="10.44140625" style="312"/>
    <col min="9473" max="9485" width="11.5546875" style="312" customWidth="1"/>
    <col min="9486" max="9728" width="10.44140625" style="312"/>
    <col min="9729" max="9741" width="11.5546875" style="312" customWidth="1"/>
    <col min="9742" max="9984" width="10.44140625" style="312"/>
    <col min="9985" max="9997" width="11.5546875" style="312" customWidth="1"/>
    <col min="9998" max="10240" width="10.44140625" style="312"/>
    <col min="10241" max="10253" width="11.5546875" style="312" customWidth="1"/>
    <col min="10254" max="10496" width="10.44140625" style="312"/>
    <col min="10497" max="10509" width="11.5546875" style="312" customWidth="1"/>
    <col min="10510" max="10752" width="10.44140625" style="312"/>
    <col min="10753" max="10765" width="11.5546875" style="312" customWidth="1"/>
    <col min="10766" max="11008" width="10.44140625" style="312"/>
    <col min="11009" max="11021" width="11.5546875" style="312" customWidth="1"/>
    <col min="11022" max="11264" width="10.44140625" style="312"/>
    <col min="11265" max="11277" width="11.5546875" style="312" customWidth="1"/>
    <col min="11278" max="11520" width="10.44140625" style="312"/>
    <col min="11521" max="11533" width="11.5546875" style="312" customWidth="1"/>
    <col min="11534" max="11776" width="10.44140625" style="312"/>
    <col min="11777" max="11789" width="11.5546875" style="312" customWidth="1"/>
    <col min="11790" max="12032" width="10.44140625" style="312"/>
    <col min="12033" max="12045" width="11.5546875" style="312" customWidth="1"/>
    <col min="12046" max="12288" width="10.44140625" style="312"/>
    <col min="12289" max="12301" width="11.5546875" style="312" customWidth="1"/>
    <col min="12302" max="12544" width="10.44140625" style="312"/>
    <col min="12545" max="12557" width="11.5546875" style="312" customWidth="1"/>
    <col min="12558" max="12800" width="10.44140625" style="312"/>
    <col min="12801" max="12813" width="11.5546875" style="312" customWidth="1"/>
    <col min="12814" max="13056" width="10.44140625" style="312"/>
    <col min="13057" max="13069" width="11.5546875" style="312" customWidth="1"/>
    <col min="13070" max="13312" width="10.44140625" style="312"/>
    <col min="13313" max="13325" width="11.5546875" style="312" customWidth="1"/>
    <col min="13326" max="13568" width="10.44140625" style="312"/>
    <col min="13569" max="13581" width="11.5546875" style="312" customWidth="1"/>
    <col min="13582" max="13824" width="10.44140625" style="312"/>
    <col min="13825" max="13837" width="11.5546875" style="312" customWidth="1"/>
    <col min="13838" max="14080" width="10.44140625" style="312"/>
    <col min="14081" max="14093" width="11.5546875" style="312" customWidth="1"/>
    <col min="14094" max="14336" width="10.44140625" style="312"/>
    <col min="14337" max="14349" width="11.5546875" style="312" customWidth="1"/>
    <col min="14350" max="14592" width="10.44140625" style="312"/>
    <col min="14593" max="14605" width="11.5546875" style="312" customWidth="1"/>
    <col min="14606" max="14848" width="10.44140625" style="312"/>
    <col min="14849" max="14861" width="11.5546875" style="312" customWidth="1"/>
    <col min="14862" max="15104" width="10.44140625" style="312"/>
    <col min="15105" max="15117" width="11.5546875" style="312" customWidth="1"/>
    <col min="15118" max="15360" width="10.44140625" style="312"/>
    <col min="15361" max="15373" width="11.5546875" style="312" customWidth="1"/>
    <col min="15374" max="15616" width="10.44140625" style="312"/>
    <col min="15617" max="15629" width="11.5546875" style="312" customWidth="1"/>
    <col min="15630" max="15872" width="10.44140625" style="312"/>
    <col min="15873" max="15885" width="11.5546875" style="312" customWidth="1"/>
    <col min="15886" max="16128" width="10.44140625" style="312"/>
    <col min="16129" max="16141" width="11.5546875" style="312" customWidth="1"/>
    <col min="16142" max="16384" width="10.44140625" style="312"/>
  </cols>
  <sheetData>
    <row r="1" spans="1:14" x14ac:dyDescent="0.25">
      <c r="A1" s="501"/>
      <c r="B1" s="501"/>
      <c r="C1" s="501"/>
      <c r="D1" s="501"/>
      <c r="E1" s="501"/>
      <c r="F1" s="501"/>
      <c r="G1" s="501"/>
      <c r="H1" s="501"/>
      <c r="I1" s="501"/>
      <c r="J1" s="501"/>
      <c r="K1" s="501"/>
      <c r="L1" s="501"/>
      <c r="M1" s="501"/>
      <c r="N1" s="501"/>
    </row>
    <row r="2" spans="1:14" ht="18.75" customHeight="1" x14ac:dyDescent="0.25">
      <c r="A2" s="501"/>
      <c r="B2" s="501"/>
      <c r="C2" s="501"/>
      <c r="D2" s="501"/>
      <c r="E2" s="501"/>
      <c r="F2" s="507" t="s">
        <v>145</v>
      </c>
      <c r="G2" s="507"/>
      <c r="H2" s="507"/>
      <c r="I2" s="501"/>
      <c r="J2" s="501"/>
      <c r="K2" s="501"/>
      <c r="L2" s="501"/>
      <c r="M2" s="501"/>
      <c r="N2" s="501"/>
    </row>
    <row r="3" spans="1:14" ht="18.75" customHeight="1" x14ac:dyDescent="0.25">
      <c r="A3" s="501"/>
      <c r="B3" s="501"/>
      <c r="C3" s="508" t="s">
        <v>519</v>
      </c>
      <c r="D3" s="508"/>
      <c r="E3" s="508"/>
      <c r="F3" s="508"/>
      <c r="G3" s="508"/>
      <c r="H3" s="508"/>
      <c r="I3" s="508"/>
      <c r="J3" s="508"/>
      <c r="K3" s="508"/>
      <c r="L3" s="501"/>
      <c r="M3" s="501"/>
      <c r="N3" s="501"/>
    </row>
    <row r="4" spans="1:14" ht="18.75" customHeight="1" x14ac:dyDescent="0.25">
      <c r="A4" s="501"/>
      <c r="B4" s="501"/>
      <c r="C4" s="508" t="s">
        <v>520</v>
      </c>
      <c r="D4" s="508"/>
      <c r="E4" s="508"/>
      <c r="F4" s="508"/>
      <c r="G4" s="508"/>
      <c r="H4" s="508"/>
      <c r="I4" s="508"/>
      <c r="J4" s="508"/>
      <c r="K4" s="508"/>
      <c r="L4" s="501"/>
      <c r="M4" s="501"/>
      <c r="N4" s="501"/>
    </row>
    <row r="5" spans="1:14" ht="18.75" customHeight="1" x14ac:dyDescent="0.25">
      <c r="A5" s="501"/>
      <c r="B5" s="501"/>
      <c r="C5" s="501"/>
      <c r="D5" s="501"/>
      <c r="E5" s="501"/>
      <c r="F5" s="501"/>
      <c r="G5" s="503" t="s">
        <v>146</v>
      </c>
      <c r="H5" s="501"/>
      <c r="I5" s="501"/>
      <c r="J5" s="501"/>
      <c r="K5" s="501"/>
      <c r="L5" s="501"/>
      <c r="M5" s="501"/>
      <c r="N5" s="501"/>
    </row>
    <row r="6" spans="1:14" ht="12.75" customHeight="1" x14ac:dyDescent="0.25">
      <c r="A6" s="501"/>
      <c r="B6" s="501"/>
      <c r="C6" s="501"/>
      <c r="D6" s="501"/>
      <c r="E6" s="501"/>
      <c r="F6" s="501"/>
      <c r="G6" s="501"/>
      <c r="H6" s="501"/>
      <c r="I6" s="501"/>
      <c r="J6" s="501"/>
      <c r="K6" s="501"/>
      <c r="L6" s="501"/>
      <c r="M6" s="501"/>
      <c r="N6" s="501"/>
    </row>
    <row r="7" spans="1:14" ht="19.5" customHeight="1" x14ac:dyDescent="0.25">
      <c r="A7" s="501"/>
      <c r="B7" s="501"/>
      <c r="C7" s="509" t="s">
        <v>147</v>
      </c>
      <c r="D7" s="509"/>
      <c r="E7" s="509"/>
      <c r="F7" s="509"/>
      <c r="G7" s="509"/>
      <c r="H7" s="509"/>
      <c r="I7" s="509"/>
      <c r="J7" s="509"/>
      <c r="K7" s="509"/>
      <c r="L7" s="501"/>
      <c r="M7" s="501"/>
      <c r="N7" s="501"/>
    </row>
    <row r="8" spans="1:14" ht="18.75" customHeight="1" x14ac:dyDescent="0.25">
      <c r="A8" s="501"/>
      <c r="B8" s="501"/>
      <c r="C8" s="510" t="s">
        <v>148</v>
      </c>
      <c r="D8" s="510"/>
      <c r="E8" s="510"/>
      <c r="F8" s="510"/>
      <c r="G8" s="510"/>
      <c r="H8" s="510"/>
      <c r="I8" s="510"/>
      <c r="J8" s="510"/>
      <c r="K8" s="510"/>
      <c r="L8" s="501"/>
      <c r="M8" s="501"/>
      <c r="N8" s="501"/>
    </row>
    <row r="9" spans="1:14" ht="18.75" customHeight="1" x14ac:dyDescent="0.25">
      <c r="A9" s="501"/>
      <c r="B9" s="510" t="s">
        <v>149</v>
      </c>
      <c r="C9" s="510"/>
      <c r="D9" s="510"/>
      <c r="E9" s="510"/>
      <c r="F9" s="510"/>
      <c r="G9" s="510"/>
      <c r="H9" s="510"/>
      <c r="I9" s="510"/>
      <c r="J9" s="510"/>
      <c r="K9" s="510"/>
      <c r="L9" s="510"/>
      <c r="M9" s="502"/>
      <c r="N9" s="501"/>
    </row>
    <row r="10" spans="1:14" ht="18.75" customHeight="1" x14ac:dyDescent="0.25">
      <c r="A10" s="501"/>
      <c r="B10" s="502"/>
      <c r="C10" s="502"/>
      <c r="D10" s="502"/>
      <c r="E10" s="502"/>
      <c r="F10" s="502"/>
      <c r="G10" s="502"/>
      <c r="H10" s="502"/>
      <c r="I10" s="502"/>
      <c r="J10" s="502"/>
      <c r="K10" s="502"/>
      <c r="L10" s="502"/>
      <c r="M10" s="502"/>
      <c r="N10" s="501"/>
    </row>
    <row r="11" spans="1:14" x14ac:dyDescent="0.25">
      <c r="A11" s="501"/>
      <c r="B11" s="501"/>
      <c r="C11" s="501"/>
      <c r="D11" s="501"/>
      <c r="E11" s="501"/>
      <c r="F11" s="501"/>
      <c r="G11" s="501"/>
      <c r="H11" s="501"/>
      <c r="I11" s="501"/>
      <c r="J11" s="501"/>
      <c r="K11" s="501"/>
      <c r="L11" s="501"/>
      <c r="M11" s="501"/>
      <c r="N11" s="501"/>
    </row>
    <row r="12" spans="1:14" ht="15.6" x14ac:dyDescent="0.25">
      <c r="A12" s="501"/>
      <c r="B12" s="501"/>
      <c r="C12" s="501"/>
      <c r="D12" s="501"/>
      <c r="E12" s="501"/>
      <c r="F12" s="501"/>
      <c r="G12" s="313" t="s">
        <v>521</v>
      </c>
      <c r="H12" s="501"/>
      <c r="I12" s="501"/>
      <c r="J12" s="501"/>
      <c r="K12" s="501"/>
      <c r="L12" s="501"/>
      <c r="M12" s="501"/>
      <c r="N12" s="501"/>
    </row>
    <row r="13" spans="1:14" x14ac:dyDescent="0.25">
      <c r="A13" s="501"/>
      <c r="B13" s="501"/>
      <c r="C13" s="501"/>
      <c r="D13" s="501"/>
      <c r="E13" s="501"/>
      <c r="F13" s="501"/>
      <c r="G13" s="501"/>
      <c r="H13" s="501"/>
      <c r="I13" s="501"/>
      <c r="J13" s="501"/>
      <c r="K13" s="501"/>
      <c r="L13" s="501"/>
      <c r="M13" s="501"/>
      <c r="N13" s="501"/>
    </row>
    <row r="14" spans="1:14" ht="13.8" thickBot="1" x14ac:dyDescent="0.3">
      <c r="A14" s="501"/>
      <c r="B14" s="501"/>
      <c r="C14" s="501"/>
      <c r="D14" s="501"/>
      <c r="E14" s="501"/>
      <c r="F14" s="501"/>
      <c r="G14" s="501"/>
      <c r="H14" s="501"/>
      <c r="I14" s="501"/>
      <c r="J14" s="501"/>
      <c r="K14" s="501"/>
      <c r="L14" s="501"/>
      <c r="M14" s="501"/>
      <c r="N14" s="501"/>
    </row>
    <row r="15" spans="1:14" ht="15.6" x14ac:dyDescent="0.25">
      <c r="A15" s="314"/>
      <c r="B15" s="315"/>
      <c r="C15" s="316"/>
      <c r="D15" s="316"/>
      <c r="E15" s="316"/>
      <c r="F15" s="316"/>
      <c r="G15" s="317" t="s">
        <v>150</v>
      </c>
      <c r="H15" s="316"/>
      <c r="I15" s="316"/>
      <c r="J15" s="316"/>
      <c r="K15" s="316"/>
      <c r="L15" s="318"/>
      <c r="M15" s="501"/>
      <c r="N15" s="501"/>
    </row>
    <row r="16" spans="1:14" ht="15" x14ac:dyDescent="0.25">
      <c r="A16" s="314"/>
      <c r="B16" s="319"/>
      <c r="C16" s="501"/>
      <c r="D16" s="501"/>
      <c r="E16" s="501"/>
      <c r="F16" s="501"/>
      <c r="G16" s="320" t="s">
        <v>151</v>
      </c>
      <c r="H16" s="501"/>
      <c r="I16" s="501"/>
      <c r="J16" s="501"/>
      <c r="K16" s="501"/>
      <c r="L16" s="321"/>
      <c r="M16" s="501"/>
      <c r="N16" s="501"/>
    </row>
    <row r="17" spans="1:14" ht="15" x14ac:dyDescent="0.25">
      <c r="A17" s="314"/>
      <c r="B17" s="319"/>
      <c r="C17" s="501"/>
      <c r="D17" s="501"/>
      <c r="E17" s="501"/>
      <c r="F17" s="501"/>
      <c r="G17" s="320" t="s">
        <v>152</v>
      </c>
      <c r="H17" s="501"/>
      <c r="I17" s="501"/>
      <c r="J17" s="501"/>
      <c r="K17" s="501"/>
      <c r="L17" s="321"/>
      <c r="M17" s="501"/>
      <c r="N17" s="501"/>
    </row>
    <row r="18" spans="1:14" ht="15.6" x14ac:dyDescent="0.25">
      <c r="A18" s="314"/>
      <c r="B18" s="319"/>
      <c r="C18" s="501"/>
      <c r="D18" s="501"/>
      <c r="E18" s="501"/>
      <c r="F18" s="501"/>
      <c r="G18" s="320" t="s">
        <v>153</v>
      </c>
      <c r="H18" s="501"/>
      <c r="I18" s="501"/>
      <c r="J18" s="501"/>
      <c r="K18" s="501"/>
      <c r="L18" s="321"/>
      <c r="M18" s="501"/>
      <c r="N18" s="501"/>
    </row>
    <row r="19" spans="1:14" ht="15" x14ac:dyDescent="0.25">
      <c r="A19" s="314"/>
      <c r="B19" s="319"/>
      <c r="C19" s="501"/>
      <c r="D19" s="501"/>
      <c r="E19" s="501"/>
      <c r="F19" s="501"/>
      <c r="G19" s="501"/>
      <c r="H19" s="501"/>
      <c r="I19" s="501"/>
      <c r="J19" s="501"/>
      <c r="K19" s="501"/>
      <c r="L19" s="321"/>
      <c r="M19" s="501"/>
      <c r="N19" s="501"/>
    </row>
    <row r="20" spans="1:14" ht="15" x14ac:dyDescent="0.25">
      <c r="A20" s="314"/>
      <c r="B20" s="319"/>
      <c r="C20" s="501"/>
      <c r="D20" s="501"/>
      <c r="E20" s="501"/>
      <c r="F20" s="501"/>
      <c r="G20" s="504" t="s">
        <v>522</v>
      </c>
      <c r="H20" s="501"/>
      <c r="I20" s="501"/>
      <c r="J20" s="501"/>
      <c r="K20" s="501"/>
      <c r="L20" s="321"/>
      <c r="M20" s="501"/>
      <c r="N20" s="501"/>
    </row>
    <row r="21" spans="1:14" ht="15" x14ac:dyDescent="0.25">
      <c r="A21" s="314"/>
      <c r="B21" s="319"/>
      <c r="C21" s="501"/>
      <c r="D21" s="501"/>
      <c r="E21" s="501"/>
      <c r="F21" s="501"/>
      <c r="G21" s="504" t="s">
        <v>523</v>
      </c>
      <c r="H21" s="501"/>
      <c r="I21" s="501"/>
      <c r="J21" s="501"/>
      <c r="K21" s="501"/>
      <c r="L21" s="321"/>
      <c r="M21" s="501"/>
      <c r="N21" s="501"/>
    </row>
    <row r="22" spans="1:14" ht="15" x14ac:dyDescent="0.25">
      <c r="A22" s="314"/>
      <c r="B22" s="319"/>
      <c r="C22" s="501"/>
      <c r="D22" s="501"/>
      <c r="E22" s="501"/>
      <c r="F22" s="501"/>
      <c r="G22" s="504" t="s">
        <v>524</v>
      </c>
      <c r="H22" s="501"/>
      <c r="I22" s="501"/>
      <c r="J22" s="501"/>
      <c r="K22" s="501"/>
      <c r="L22" s="321"/>
      <c r="M22" s="501"/>
      <c r="N22" s="501"/>
    </row>
    <row r="23" spans="1:14" ht="15" x14ac:dyDescent="0.25">
      <c r="A23" s="314"/>
      <c r="B23" s="319"/>
      <c r="C23" s="501"/>
      <c r="D23" s="501"/>
      <c r="E23" s="501"/>
      <c r="F23" s="501"/>
      <c r="G23" s="505"/>
      <c r="H23" s="501"/>
      <c r="I23" s="501"/>
      <c r="J23" s="501"/>
      <c r="K23" s="501"/>
      <c r="L23" s="321"/>
      <c r="M23" s="501"/>
      <c r="N23" s="501"/>
    </row>
    <row r="24" spans="1:14" ht="15" x14ac:dyDescent="0.25">
      <c r="A24" s="314"/>
      <c r="B24" s="319"/>
      <c r="C24" s="501"/>
      <c r="D24" s="501"/>
      <c r="E24" s="501"/>
      <c r="F24" s="501"/>
      <c r="G24" s="320" t="s">
        <v>156</v>
      </c>
      <c r="H24" s="501"/>
      <c r="I24" s="501"/>
      <c r="J24" s="501"/>
      <c r="K24" s="501"/>
      <c r="L24" s="321"/>
      <c r="M24" s="501"/>
      <c r="N24" s="501"/>
    </row>
    <row r="25" spans="1:14" ht="15" x14ac:dyDescent="0.25">
      <c r="A25" s="314"/>
      <c r="B25" s="319"/>
      <c r="C25" s="501"/>
      <c r="D25" s="501"/>
      <c r="E25" s="501"/>
      <c r="F25" s="501"/>
      <c r="G25" s="320" t="s">
        <v>525</v>
      </c>
      <c r="H25" s="501"/>
      <c r="I25" s="501"/>
      <c r="J25" s="501"/>
      <c r="K25" s="501"/>
      <c r="L25" s="321"/>
      <c r="M25" s="501"/>
      <c r="N25" s="501"/>
    </row>
    <row r="26" spans="1:14" ht="15" x14ac:dyDescent="0.25">
      <c r="A26" s="314"/>
      <c r="B26" s="319"/>
      <c r="C26" s="501"/>
      <c r="D26" s="501"/>
      <c r="E26" s="501"/>
      <c r="F26" s="501"/>
      <c r="G26" s="504" t="s">
        <v>526</v>
      </c>
      <c r="H26" s="501"/>
      <c r="I26" s="501"/>
      <c r="J26" s="501"/>
      <c r="K26" s="501"/>
      <c r="L26" s="321"/>
      <c r="M26" s="501"/>
      <c r="N26" s="501"/>
    </row>
    <row r="27" spans="1:14" ht="15" x14ac:dyDescent="0.25">
      <c r="A27" s="314"/>
      <c r="B27" s="319"/>
      <c r="C27" s="501"/>
      <c r="D27" s="501"/>
      <c r="E27" s="501"/>
      <c r="F27" s="501"/>
      <c r="G27" s="320" t="s">
        <v>157</v>
      </c>
      <c r="H27" s="501"/>
      <c r="I27" s="501"/>
      <c r="J27" s="501"/>
      <c r="K27" s="501"/>
      <c r="L27" s="321"/>
      <c r="M27" s="501"/>
      <c r="N27" s="501"/>
    </row>
    <row r="28" spans="1:14" ht="15" x14ac:dyDescent="0.25">
      <c r="A28" s="314"/>
      <c r="B28" s="319"/>
      <c r="C28" s="501"/>
      <c r="D28" s="501"/>
      <c r="E28" s="501"/>
      <c r="F28" s="501"/>
      <c r="G28" s="320" t="s">
        <v>158</v>
      </c>
      <c r="H28" s="501"/>
      <c r="I28" s="501"/>
      <c r="J28" s="501"/>
      <c r="K28" s="501"/>
      <c r="L28" s="321"/>
      <c r="M28" s="501"/>
      <c r="N28" s="501"/>
    </row>
    <row r="29" spans="1:14" ht="15" x14ac:dyDescent="0.25">
      <c r="A29" s="314"/>
      <c r="B29" s="319"/>
      <c r="C29" s="501"/>
      <c r="D29" s="501"/>
      <c r="E29" s="501"/>
      <c r="F29" s="501"/>
      <c r="G29" s="501"/>
      <c r="H29" s="501"/>
      <c r="I29" s="501"/>
      <c r="J29" s="501"/>
      <c r="K29" s="501"/>
      <c r="L29" s="321"/>
      <c r="M29" s="501"/>
      <c r="N29" s="501"/>
    </row>
    <row r="30" spans="1:14" ht="15" x14ac:dyDescent="0.25">
      <c r="A30" s="314"/>
      <c r="B30" s="319"/>
      <c r="C30" s="501"/>
      <c r="D30" s="501"/>
      <c r="E30" s="501"/>
      <c r="F30" s="501"/>
      <c r="G30" s="320" t="s">
        <v>154</v>
      </c>
      <c r="H30" s="501"/>
      <c r="I30" s="501"/>
      <c r="J30" s="501"/>
      <c r="K30" s="501"/>
      <c r="L30" s="321"/>
      <c r="M30" s="501"/>
      <c r="N30" s="501"/>
    </row>
    <row r="31" spans="1:14" ht="15" x14ac:dyDescent="0.25">
      <c r="A31" s="314"/>
      <c r="B31" s="319"/>
      <c r="C31" s="501"/>
      <c r="D31" s="501"/>
      <c r="E31" s="501"/>
      <c r="F31" s="501"/>
      <c r="G31" s="504" t="s">
        <v>527</v>
      </c>
      <c r="H31" s="501"/>
      <c r="I31" s="501"/>
      <c r="J31" s="501"/>
      <c r="K31" s="501"/>
      <c r="L31" s="321"/>
      <c r="M31" s="501"/>
      <c r="N31" s="501"/>
    </row>
    <row r="32" spans="1:14" ht="15" x14ac:dyDescent="0.25">
      <c r="A32" s="314"/>
      <c r="B32" s="319"/>
      <c r="C32" s="501"/>
      <c r="D32" s="501"/>
      <c r="E32" s="501"/>
      <c r="F32" s="501"/>
      <c r="G32" s="320" t="s">
        <v>155</v>
      </c>
      <c r="H32" s="501"/>
      <c r="I32" s="501"/>
      <c r="J32" s="501"/>
      <c r="K32" s="501"/>
      <c r="L32" s="321"/>
      <c r="M32" s="501"/>
      <c r="N32" s="501"/>
    </row>
    <row r="33" spans="1:14" ht="15" x14ac:dyDescent="0.25">
      <c r="A33" s="314"/>
      <c r="B33" s="319"/>
      <c r="C33" s="501"/>
      <c r="D33" s="501"/>
      <c r="E33" s="501"/>
      <c r="F33" s="501"/>
      <c r="G33" s="501"/>
      <c r="H33" s="501"/>
      <c r="I33" s="501"/>
      <c r="J33" s="501"/>
      <c r="K33" s="501"/>
      <c r="L33" s="321"/>
      <c r="M33" s="501"/>
      <c r="N33" s="501"/>
    </row>
    <row r="34" spans="1:14" ht="15" x14ac:dyDescent="0.25">
      <c r="A34" s="314"/>
      <c r="B34" s="319"/>
      <c r="C34" s="501"/>
      <c r="D34" s="501"/>
      <c r="E34" s="501"/>
      <c r="F34" s="501"/>
      <c r="G34" s="320" t="s">
        <v>159</v>
      </c>
      <c r="H34" s="501"/>
      <c r="I34" s="501"/>
      <c r="J34" s="501"/>
      <c r="K34" s="501"/>
      <c r="L34" s="321"/>
      <c r="M34" s="501"/>
      <c r="N34" s="501"/>
    </row>
    <row r="35" spans="1:14" ht="15" x14ac:dyDescent="0.25">
      <c r="A35" s="314"/>
      <c r="B35" s="319"/>
      <c r="C35" s="501"/>
      <c r="D35" s="501"/>
      <c r="E35" s="501"/>
      <c r="F35" s="501"/>
      <c r="G35" s="501"/>
      <c r="H35" s="501"/>
      <c r="I35" s="501"/>
      <c r="J35" s="501"/>
      <c r="K35" s="501"/>
      <c r="L35" s="321"/>
      <c r="M35" s="501"/>
      <c r="N35" s="501"/>
    </row>
    <row r="36" spans="1:14" ht="15.6" x14ac:dyDescent="0.25">
      <c r="A36" s="314"/>
      <c r="B36" s="322"/>
      <c r="C36" s="501"/>
      <c r="D36" s="501"/>
      <c r="E36" s="501"/>
      <c r="F36" s="501"/>
      <c r="G36" s="320" t="s">
        <v>160</v>
      </c>
      <c r="H36" s="501"/>
      <c r="I36" s="501"/>
      <c r="J36" s="501"/>
      <c r="K36" s="501"/>
      <c r="L36" s="321"/>
      <c r="M36" s="501"/>
      <c r="N36" s="501"/>
    </row>
    <row r="37" spans="1:14" ht="15.6" x14ac:dyDescent="0.25">
      <c r="A37" s="314"/>
      <c r="B37" s="322"/>
      <c r="C37" s="501"/>
      <c r="D37" s="501"/>
      <c r="E37" s="501"/>
      <c r="F37" s="501"/>
      <c r="G37" s="320" t="s">
        <v>161</v>
      </c>
      <c r="H37" s="501"/>
      <c r="I37" s="501"/>
      <c r="J37" s="501"/>
      <c r="K37" s="501"/>
      <c r="L37" s="321"/>
      <c r="M37" s="501"/>
      <c r="N37" s="501"/>
    </row>
    <row r="38" spans="1:14" ht="15.6" thickBot="1" x14ac:dyDescent="0.3">
      <c r="A38" s="314"/>
      <c r="B38" s="323"/>
      <c r="C38" s="324"/>
      <c r="D38" s="324"/>
      <c r="E38" s="324"/>
      <c r="F38" s="324"/>
      <c r="G38" s="325"/>
      <c r="H38" s="324"/>
      <c r="I38" s="324"/>
      <c r="J38" s="324"/>
      <c r="K38" s="324"/>
      <c r="L38" s="326"/>
      <c r="M38" s="501"/>
      <c r="N38" s="501"/>
    </row>
    <row r="39" spans="1:14" x14ac:dyDescent="0.25">
      <c r="A39" s="501"/>
      <c r="B39" s="501"/>
      <c r="C39" s="501"/>
      <c r="D39" s="501"/>
      <c r="E39" s="501"/>
      <c r="F39" s="501"/>
      <c r="G39" s="501"/>
      <c r="H39" s="501"/>
      <c r="I39" s="501"/>
      <c r="J39" s="501"/>
      <c r="K39" s="501"/>
      <c r="L39" s="501"/>
      <c r="M39" s="501"/>
      <c r="N39" s="501"/>
    </row>
    <row r="40" spans="1:14" x14ac:dyDescent="0.25">
      <c r="A40" s="501"/>
      <c r="B40" s="501"/>
      <c r="C40" s="501"/>
      <c r="D40" s="501"/>
      <c r="E40" s="501"/>
      <c r="F40" s="501"/>
      <c r="G40" s="501"/>
      <c r="H40" s="501"/>
      <c r="I40" s="501"/>
      <c r="J40" s="501"/>
      <c r="K40" s="501"/>
      <c r="L40" s="501"/>
      <c r="M40" s="501"/>
      <c r="N40" s="501"/>
    </row>
    <row r="41" spans="1:14" x14ac:dyDescent="0.25">
      <c r="A41" s="511"/>
      <c r="B41" s="511"/>
      <c r="C41" s="511"/>
      <c r="D41" s="511"/>
      <c r="E41" s="511"/>
      <c r="F41" s="511"/>
      <c r="G41" s="511"/>
      <c r="H41" s="506"/>
      <c r="I41" s="506"/>
      <c r="J41" s="506"/>
      <c r="K41" s="506"/>
      <c r="L41" s="506"/>
      <c r="M41" s="506"/>
      <c r="N41" s="506"/>
    </row>
    <row r="42" spans="1:14" x14ac:dyDescent="0.25">
      <c r="A42" s="511"/>
      <c r="B42" s="511"/>
      <c r="C42" s="511"/>
      <c r="D42" s="511"/>
      <c r="E42" s="511"/>
      <c r="F42" s="511"/>
      <c r="G42" s="511"/>
      <c r="H42" s="506"/>
      <c r="I42" s="506"/>
      <c r="J42" s="506"/>
      <c r="K42" s="506"/>
      <c r="L42" s="506"/>
      <c r="M42" s="506"/>
      <c r="N42" s="506"/>
    </row>
    <row r="43" spans="1:14" x14ac:dyDescent="0.25">
      <c r="A43" s="327"/>
      <c r="B43" s="327"/>
      <c r="C43" s="327"/>
      <c r="D43" s="327"/>
      <c r="E43" s="327"/>
      <c r="F43" s="327"/>
      <c r="G43" s="327"/>
      <c r="H43" s="506"/>
      <c r="I43" s="506"/>
      <c r="J43" s="506"/>
      <c r="K43" s="506"/>
      <c r="L43" s="506"/>
      <c r="M43" s="506"/>
      <c r="N43" s="506"/>
    </row>
    <row r="44" spans="1:14" x14ac:dyDescent="0.25">
      <c r="A44" s="327"/>
      <c r="B44" s="327"/>
      <c r="C44" s="327"/>
      <c r="D44" s="327"/>
      <c r="E44" s="327"/>
      <c r="F44" s="327"/>
      <c r="G44" s="327"/>
      <c r="H44" s="506"/>
      <c r="I44" s="506"/>
      <c r="J44" s="506"/>
      <c r="K44" s="506"/>
      <c r="L44" s="506"/>
      <c r="M44" s="506"/>
      <c r="N44" s="506"/>
    </row>
    <row r="45" spans="1:14" x14ac:dyDescent="0.25">
      <c r="A45" s="327"/>
      <c r="B45" s="327"/>
      <c r="C45" s="327"/>
      <c r="D45" s="327"/>
      <c r="E45" s="327"/>
      <c r="F45" s="327"/>
      <c r="G45" s="327"/>
      <c r="H45" s="506"/>
      <c r="I45" s="506"/>
      <c r="J45" s="506"/>
      <c r="K45" s="506"/>
      <c r="L45" s="506"/>
      <c r="M45" s="506"/>
      <c r="N45" s="506"/>
    </row>
    <row r="46" spans="1:14" x14ac:dyDescent="0.25">
      <c r="A46" s="327"/>
      <c r="B46" s="327"/>
      <c r="C46" s="327"/>
      <c r="D46" s="327"/>
      <c r="E46" s="327"/>
      <c r="F46" s="327"/>
      <c r="G46" s="327"/>
      <c r="H46" s="506"/>
      <c r="I46" s="506"/>
      <c r="J46" s="506"/>
      <c r="K46" s="506"/>
      <c r="L46" s="506"/>
      <c r="M46" s="506"/>
      <c r="N46" s="506"/>
    </row>
    <row r="47" spans="1:14" x14ac:dyDescent="0.25">
      <c r="A47" s="327"/>
      <c r="B47" s="327"/>
      <c r="C47" s="327"/>
      <c r="D47" s="327"/>
      <c r="E47" s="327"/>
      <c r="F47" s="327"/>
      <c r="G47" s="327"/>
      <c r="H47" s="506"/>
      <c r="I47" s="506"/>
      <c r="J47" s="506"/>
      <c r="K47" s="506"/>
      <c r="L47" s="506"/>
      <c r="M47" s="506"/>
      <c r="N47" s="506"/>
    </row>
    <row r="48" spans="1:14" x14ac:dyDescent="0.25">
      <c r="A48" s="327"/>
      <c r="B48" s="327"/>
      <c r="C48" s="327"/>
      <c r="D48" s="327"/>
      <c r="E48" s="327"/>
      <c r="F48" s="327"/>
      <c r="G48" s="327"/>
      <c r="H48" s="506"/>
      <c r="I48" s="506"/>
      <c r="J48" s="506"/>
      <c r="K48" s="506"/>
      <c r="L48" s="506"/>
      <c r="M48" s="506"/>
      <c r="N48" s="506"/>
    </row>
    <row r="49" spans="1:14" x14ac:dyDescent="0.25">
      <c r="A49" s="327"/>
      <c r="B49" s="327"/>
      <c r="C49" s="327"/>
      <c r="D49" s="327"/>
      <c r="E49" s="327"/>
      <c r="F49" s="327"/>
      <c r="G49" s="327"/>
      <c r="H49" s="506"/>
      <c r="I49" s="506"/>
      <c r="J49" s="506"/>
      <c r="K49" s="506"/>
      <c r="L49" s="506"/>
      <c r="M49" s="506"/>
      <c r="N49" s="506"/>
    </row>
    <row r="50" spans="1:14" x14ac:dyDescent="0.25">
      <c r="A50" s="327"/>
      <c r="B50" s="327"/>
      <c r="C50" s="327"/>
      <c r="D50" s="327"/>
      <c r="E50" s="327"/>
      <c r="F50" s="327"/>
      <c r="G50" s="327"/>
      <c r="H50" s="506"/>
      <c r="I50" s="506"/>
      <c r="J50" s="506"/>
      <c r="K50" s="506"/>
      <c r="L50" s="506"/>
      <c r="M50" s="506"/>
      <c r="N50" s="506"/>
    </row>
    <row r="51" spans="1:14" x14ac:dyDescent="0.25">
      <c r="A51" s="327"/>
      <c r="B51" s="327"/>
      <c r="C51" s="327"/>
      <c r="D51" s="327"/>
      <c r="E51" s="327"/>
      <c r="F51" s="327"/>
      <c r="G51" s="327"/>
      <c r="H51" s="506"/>
      <c r="I51" s="506"/>
      <c r="J51" s="506"/>
      <c r="K51" s="506"/>
      <c r="L51" s="506"/>
      <c r="M51" s="506"/>
      <c r="N51" s="506"/>
    </row>
    <row r="52" spans="1:14" x14ac:dyDescent="0.25">
      <c r="A52" s="327"/>
      <c r="B52" s="327"/>
      <c r="C52" s="327"/>
      <c r="D52" s="327"/>
      <c r="E52" s="327"/>
      <c r="F52" s="327"/>
      <c r="G52" s="327"/>
      <c r="H52" s="506"/>
      <c r="I52" s="506"/>
      <c r="J52" s="506"/>
      <c r="K52" s="506"/>
      <c r="L52" s="506"/>
      <c r="M52" s="506"/>
      <c r="N52" s="506"/>
    </row>
    <row r="53" spans="1:14" x14ac:dyDescent="0.25">
      <c r="A53" s="327"/>
      <c r="B53" s="327"/>
      <c r="C53" s="327"/>
      <c r="D53" s="327"/>
      <c r="E53" s="327"/>
      <c r="F53" s="327"/>
      <c r="G53" s="327"/>
      <c r="H53" s="506"/>
      <c r="I53" s="506"/>
      <c r="J53" s="506"/>
      <c r="K53" s="506"/>
      <c r="L53" s="506"/>
      <c r="M53" s="506"/>
      <c r="N53" s="506"/>
    </row>
    <row r="54" spans="1:14" x14ac:dyDescent="0.25">
      <c r="A54" s="327"/>
      <c r="B54" s="327"/>
      <c r="C54" s="327"/>
      <c r="D54" s="327"/>
      <c r="E54" s="327"/>
      <c r="F54" s="327"/>
      <c r="G54" s="327"/>
      <c r="H54" s="506"/>
      <c r="I54" s="506"/>
      <c r="J54" s="506"/>
      <c r="K54" s="506"/>
      <c r="L54" s="506"/>
      <c r="M54" s="506"/>
      <c r="N54" s="506"/>
    </row>
    <row r="55" spans="1:14" x14ac:dyDescent="0.25">
      <c r="A55" s="327"/>
      <c r="B55" s="327"/>
      <c r="C55" s="327"/>
      <c r="D55" s="327"/>
      <c r="E55" s="327"/>
      <c r="F55" s="327"/>
      <c r="G55" s="327"/>
      <c r="H55" s="506"/>
      <c r="I55" s="506"/>
      <c r="J55" s="506"/>
      <c r="K55" s="506"/>
      <c r="L55" s="506"/>
      <c r="M55" s="506"/>
      <c r="N55" s="506"/>
    </row>
    <row r="56" spans="1:14" x14ac:dyDescent="0.25">
      <c r="A56" s="327"/>
      <c r="B56" s="327"/>
      <c r="C56" s="327"/>
      <c r="D56" s="327"/>
      <c r="E56" s="327"/>
      <c r="F56" s="327"/>
      <c r="G56" s="327"/>
      <c r="H56" s="506"/>
      <c r="I56" s="506"/>
      <c r="J56" s="506"/>
      <c r="K56" s="506"/>
      <c r="L56" s="506"/>
      <c r="M56" s="506"/>
      <c r="N56" s="506"/>
    </row>
    <row r="57" spans="1:14" x14ac:dyDescent="0.25">
      <c r="A57" s="327"/>
      <c r="B57" s="327"/>
      <c r="C57" s="327"/>
      <c r="D57" s="327"/>
      <c r="E57" s="327"/>
      <c r="F57" s="327"/>
      <c r="G57" s="327"/>
      <c r="H57" s="506"/>
      <c r="I57" s="506"/>
      <c r="J57" s="506"/>
      <c r="K57" s="506"/>
      <c r="L57" s="506"/>
      <c r="M57" s="506"/>
      <c r="N57" s="506"/>
    </row>
    <row r="58" spans="1:14" x14ac:dyDescent="0.25">
      <c r="A58" s="327"/>
      <c r="B58" s="327"/>
      <c r="C58" s="327"/>
      <c r="D58" s="327"/>
      <c r="E58" s="327"/>
      <c r="F58" s="327"/>
      <c r="G58" s="327"/>
      <c r="H58" s="506"/>
      <c r="I58" s="506"/>
      <c r="J58" s="506"/>
      <c r="K58" s="506"/>
      <c r="L58" s="506"/>
      <c r="M58" s="506"/>
      <c r="N58" s="506"/>
    </row>
    <row r="59" spans="1:14" x14ac:dyDescent="0.25">
      <c r="A59" s="327"/>
      <c r="B59" s="327"/>
      <c r="C59" s="327"/>
      <c r="D59" s="327"/>
      <c r="E59" s="327"/>
      <c r="F59" s="327"/>
      <c r="G59" s="327"/>
      <c r="H59" s="506"/>
      <c r="I59" s="506"/>
      <c r="J59" s="506"/>
      <c r="K59" s="506"/>
      <c r="L59" s="506"/>
      <c r="M59" s="506"/>
      <c r="N59" s="506"/>
    </row>
    <row r="60" spans="1:14" x14ac:dyDescent="0.25">
      <c r="A60" s="327"/>
      <c r="B60" s="327"/>
      <c r="C60" s="327"/>
      <c r="D60" s="327"/>
      <c r="E60" s="327"/>
      <c r="F60" s="327"/>
      <c r="G60" s="327"/>
      <c r="H60" s="506"/>
      <c r="I60" s="506"/>
      <c r="J60" s="506"/>
      <c r="K60" s="506"/>
      <c r="L60" s="506"/>
      <c r="M60" s="506"/>
      <c r="N60" s="506"/>
    </row>
    <row r="61" spans="1:14" x14ac:dyDescent="0.25">
      <c r="A61" s="327"/>
      <c r="B61" s="327"/>
      <c r="C61" s="327"/>
      <c r="D61" s="327"/>
      <c r="E61" s="327"/>
      <c r="F61" s="327"/>
      <c r="G61" s="327"/>
      <c r="H61" s="506"/>
      <c r="I61" s="506"/>
      <c r="J61" s="506"/>
      <c r="K61" s="506"/>
      <c r="L61" s="506"/>
      <c r="M61" s="506"/>
      <c r="N61" s="506"/>
    </row>
    <row r="62" spans="1:14" x14ac:dyDescent="0.25">
      <c r="A62" s="327"/>
      <c r="B62" s="327"/>
      <c r="C62" s="327"/>
      <c r="D62" s="327"/>
      <c r="E62" s="327"/>
      <c r="F62" s="327"/>
      <c r="G62" s="327"/>
      <c r="H62" s="506"/>
      <c r="I62" s="506"/>
      <c r="J62" s="506"/>
      <c r="K62" s="506"/>
      <c r="L62" s="506"/>
      <c r="M62" s="506"/>
      <c r="N62" s="506"/>
    </row>
    <row r="63" spans="1:14" x14ac:dyDescent="0.25">
      <c r="A63" s="327"/>
      <c r="B63" s="327"/>
      <c r="C63" s="327"/>
      <c r="D63" s="327"/>
      <c r="E63" s="327"/>
      <c r="F63" s="327"/>
      <c r="G63" s="327"/>
      <c r="H63" s="506"/>
      <c r="I63" s="506"/>
      <c r="J63" s="506"/>
      <c r="K63" s="506"/>
      <c r="L63" s="506"/>
      <c r="M63" s="506"/>
      <c r="N63" s="506"/>
    </row>
    <row r="64" spans="1:14" x14ac:dyDescent="0.25">
      <c r="A64" s="327"/>
      <c r="B64" s="327"/>
      <c r="C64" s="327"/>
      <c r="D64" s="327"/>
      <c r="E64" s="327"/>
      <c r="F64" s="327"/>
      <c r="G64" s="327"/>
      <c r="H64" s="506"/>
      <c r="I64" s="506"/>
      <c r="J64" s="506"/>
      <c r="K64" s="506"/>
      <c r="L64" s="506"/>
      <c r="M64" s="506"/>
      <c r="N64" s="506"/>
    </row>
    <row r="65" spans="1:14" x14ac:dyDescent="0.25">
      <c r="A65" s="327"/>
      <c r="B65" s="327"/>
      <c r="C65" s="327"/>
      <c r="D65" s="327"/>
      <c r="E65" s="327"/>
      <c r="F65" s="327"/>
      <c r="G65" s="327"/>
      <c r="H65" s="506"/>
      <c r="I65" s="506"/>
      <c r="J65" s="506"/>
      <c r="K65" s="506"/>
      <c r="L65" s="506"/>
      <c r="M65" s="506"/>
      <c r="N65" s="506"/>
    </row>
    <row r="66" spans="1:14" x14ac:dyDescent="0.25">
      <c r="A66" s="327"/>
      <c r="B66" s="327"/>
      <c r="C66" s="327"/>
      <c r="D66" s="327"/>
      <c r="E66" s="327"/>
      <c r="F66" s="327"/>
      <c r="G66" s="327"/>
      <c r="H66" s="506"/>
      <c r="I66" s="506"/>
      <c r="J66" s="506"/>
      <c r="K66" s="506"/>
      <c r="L66" s="506"/>
      <c r="M66" s="506"/>
      <c r="N66" s="506"/>
    </row>
    <row r="67" spans="1:14" x14ac:dyDescent="0.25">
      <c r="A67" s="327"/>
      <c r="B67" s="327"/>
      <c r="C67" s="327"/>
      <c r="D67" s="327"/>
      <c r="E67" s="327"/>
      <c r="F67" s="327"/>
      <c r="G67" s="327"/>
      <c r="H67" s="506"/>
      <c r="I67" s="506"/>
      <c r="J67" s="506"/>
      <c r="K67" s="506"/>
      <c r="L67" s="506"/>
      <c r="M67" s="506"/>
      <c r="N67" s="506"/>
    </row>
    <row r="68" spans="1:14" x14ac:dyDescent="0.25">
      <c r="A68" s="327"/>
      <c r="B68" s="327"/>
      <c r="C68" s="327"/>
      <c r="D68" s="327"/>
      <c r="E68" s="327"/>
      <c r="F68" s="327"/>
      <c r="G68" s="327"/>
      <c r="H68" s="506"/>
      <c r="I68" s="506"/>
      <c r="J68" s="506"/>
      <c r="K68" s="506"/>
      <c r="L68" s="506"/>
      <c r="M68" s="506"/>
      <c r="N68" s="506"/>
    </row>
    <row r="69" spans="1:14" x14ac:dyDescent="0.25">
      <c r="A69" s="327"/>
      <c r="B69" s="327"/>
      <c r="C69" s="327"/>
      <c r="D69" s="327"/>
      <c r="E69" s="327"/>
      <c r="F69" s="327"/>
      <c r="G69" s="327"/>
      <c r="H69" s="506"/>
      <c r="I69" s="506"/>
      <c r="J69" s="506"/>
      <c r="K69" s="506"/>
      <c r="L69" s="506"/>
      <c r="M69" s="506"/>
      <c r="N69" s="506"/>
    </row>
    <row r="70" spans="1:14" x14ac:dyDescent="0.25">
      <c r="A70" s="327"/>
      <c r="B70" s="327"/>
      <c r="C70" s="327"/>
      <c r="D70" s="327"/>
      <c r="E70" s="327"/>
      <c r="F70" s="327"/>
      <c r="G70" s="327"/>
      <c r="H70" s="506"/>
      <c r="I70" s="506"/>
      <c r="J70" s="506"/>
      <c r="K70" s="506"/>
      <c r="L70" s="506"/>
      <c r="M70" s="506"/>
      <c r="N70" s="506"/>
    </row>
    <row r="71" spans="1:14" x14ac:dyDescent="0.25">
      <c r="A71" s="327"/>
      <c r="B71" s="327"/>
      <c r="C71" s="327"/>
      <c r="D71" s="327"/>
      <c r="E71" s="327"/>
      <c r="F71" s="327"/>
      <c r="G71" s="327"/>
      <c r="H71" s="506"/>
      <c r="I71" s="506"/>
      <c r="J71" s="506"/>
      <c r="K71" s="506"/>
      <c r="L71" s="506"/>
      <c r="M71" s="506"/>
      <c r="N71" s="506"/>
    </row>
    <row r="72" spans="1:14" x14ac:dyDescent="0.25">
      <c r="A72" s="327"/>
      <c r="B72" s="327"/>
      <c r="C72" s="327"/>
      <c r="D72" s="327"/>
      <c r="E72" s="327"/>
      <c r="F72" s="327"/>
      <c r="G72" s="327"/>
      <c r="H72" s="506"/>
      <c r="I72" s="506"/>
      <c r="J72" s="506"/>
      <c r="K72" s="506"/>
      <c r="L72" s="506"/>
      <c r="M72" s="506"/>
      <c r="N72" s="506"/>
    </row>
    <row r="73" spans="1:14" x14ac:dyDescent="0.25">
      <c r="A73" s="327"/>
      <c r="B73" s="327"/>
      <c r="C73" s="327"/>
      <c r="D73" s="327"/>
      <c r="E73" s="327"/>
      <c r="F73" s="327"/>
      <c r="G73" s="327"/>
      <c r="H73" s="506"/>
      <c r="I73" s="506"/>
      <c r="J73" s="506"/>
      <c r="K73" s="506"/>
      <c r="L73" s="506"/>
      <c r="M73" s="506"/>
      <c r="N73" s="506"/>
    </row>
    <row r="74" spans="1:14" x14ac:dyDescent="0.25">
      <c r="A74" s="327"/>
      <c r="B74" s="327"/>
      <c r="C74" s="327"/>
      <c r="D74" s="327"/>
      <c r="E74" s="327"/>
      <c r="F74" s="327"/>
      <c r="G74" s="327"/>
      <c r="H74" s="506"/>
      <c r="I74" s="506"/>
      <c r="J74" s="506"/>
      <c r="K74" s="506"/>
      <c r="L74" s="506"/>
      <c r="M74" s="506"/>
      <c r="N74" s="506"/>
    </row>
    <row r="75" spans="1:14" x14ac:dyDescent="0.25">
      <c r="A75" s="327"/>
      <c r="B75" s="327"/>
      <c r="C75" s="327"/>
      <c r="D75" s="327"/>
      <c r="E75" s="327"/>
      <c r="F75" s="327"/>
      <c r="G75" s="327"/>
      <c r="H75" s="506"/>
      <c r="I75" s="506"/>
      <c r="J75" s="506"/>
      <c r="K75" s="506"/>
      <c r="L75" s="506"/>
      <c r="M75" s="506"/>
      <c r="N75" s="506"/>
    </row>
    <row r="76" spans="1:14" x14ac:dyDescent="0.25">
      <c r="A76" s="327"/>
      <c r="B76" s="327"/>
      <c r="C76" s="327"/>
      <c r="D76" s="327"/>
      <c r="E76" s="327"/>
      <c r="F76" s="327"/>
      <c r="G76" s="327"/>
      <c r="H76" s="506"/>
      <c r="I76" s="506"/>
      <c r="J76" s="506"/>
      <c r="K76" s="506"/>
      <c r="L76" s="506"/>
      <c r="M76" s="506"/>
      <c r="N76" s="506"/>
    </row>
    <row r="77" spans="1:14" x14ac:dyDescent="0.25">
      <c r="A77" s="327"/>
      <c r="B77" s="327"/>
      <c r="C77" s="327"/>
      <c r="D77" s="327"/>
      <c r="E77" s="327"/>
      <c r="F77" s="327"/>
      <c r="G77" s="327"/>
      <c r="H77" s="506"/>
      <c r="I77" s="506"/>
      <c r="J77" s="506"/>
      <c r="K77" s="506"/>
      <c r="L77" s="506"/>
      <c r="M77" s="506"/>
      <c r="N77" s="506"/>
    </row>
    <row r="78" spans="1:14" x14ac:dyDescent="0.25">
      <c r="A78" s="327"/>
      <c r="B78" s="327"/>
      <c r="C78" s="327"/>
      <c r="D78" s="327"/>
      <c r="E78" s="327"/>
      <c r="F78" s="327"/>
      <c r="G78" s="327"/>
      <c r="H78" s="506"/>
      <c r="I78" s="506"/>
      <c r="J78" s="506"/>
      <c r="K78" s="506"/>
      <c r="L78" s="506"/>
      <c r="M78" s="506"/>
      <c r="N78" s="506"/>
    </row>
    <row r="79" spans="1:14" x14ac:dyDescent="0.25">
      <c r="A79" s="327"/>
      <c r="B79" s="327"/>
      <c r="C79" s="327"/>
      <c r="D79" s="327"/>
      <c r="E79" s="327"/>
      <c r="F79" s="327"/>
      <c r="G79" s="327"/>
      <c r="H79" s="506"/>
      <c r="I79" s="506"/>
      <c r="J79" s="506"/>
      <c r="K79" s="506"/>
      <c r="L79" s="506"/>
      <c r="M79" s="506"/>
      <c r="N79" s="506"/>
    </row>
    <row r="80" spans="1:14" x14ac:dyDescent="0.25">
      <c r="A80" s="327"/>
      <c r="B80" s="327"/>
      <c r="C80" s="327"/>
      <c r="D80" s="327"/>
      <c r="E80" s="327"/>
      <c r="F80" s="327"/>
      <c r="G80" s="327"/>
      <c r="H80" s="506"/>
      <c r="I80" s="506"/>
      <c r="J80" s="506"/>
      <c r="K80" s="506"/>
      <c r="L80" s="506"/>
      <c r="M80" s="506"/>
      <c r="N80" s="506"/>
    </row>
    <row r="81" spans="1:14" x14ac:dyDescent="0.25">
      <c r="A81" s="327"/>
      <c r="B81" s="327"/>
      <c r="C81" s="327"/>
      <c r="D81" s="327"/>
      <c r="E81" s="327"/>
      <c r="F81" s="327"/>
      <c r="G81" s="327"/>
      <c r="H81" s="506"/>
      <c r="I81" s="506"/>
      <c r="J81" s="506"/>
      <c r="K81" s="506"/>
      <c r="L81" s="506"/>
      <c r="M81" s="506"/>
      <c r="N81" s="506"/>
    </row>
    <row r="82" spans="1:14" x14ac:dyDescent="0.25">
      <c r="A82" s="327"/>
      <c r="B82" s="327"/>
      <c r="C82" s="327"/>
      <c r="D82" s="327"/>
      <c r="E82" s="327"/>
      <c r="F82" s="327"/>
      <c r="G82" s="327"/>
      <c r="H82" s="506"/>
      <c r="I82" s="506"/>
      <c r="J82" s="506"/>
      <c r="K82" s="506"/>
      <c r="L82" s="506"/>
      <c r="M82" s="506"/>
      <c r="N82" s="506"/>
    </row>
    <row r="83" spans="1:14" x14ac:dyDescent="0.25">
      <c r="A83" s="327"/>
      <c r="B83" s="327"/>
      <c r="C83" s="327"/>
      <c r="D83" s="327"/>
      <c r="E83" s="327"/>
      <c r="F83" s="327"/>
      <c r="G83" s="327"/>
      <c r="H83" s="506"/>
      <c r="I83" s="506"/>
      <c r="J83" s="506"/>
      <c r="K83" s="506"/>
      <c r="L83" s="506"/>
      <c r="M83" s="506"/>
      <c r="N83" s="506"/>
    </row>
    <row r="84" spans="1:14" x14ac:dyDescent="0.25">
      <c r="A84" s="327"/>
      <c r="B84" s="327"/>
      <c r="C84" s="327"/>
      <c r="D84" s="327"/>
      <c r="E84" s="327"/>
      <c r="F84" s="327"/>
      <c r="G84" s="327"/>
      <c r="H84" s="506"/>
      <c r="I84" s="506"/>
      <c r="J84" s="506"/>
      <c r="K84" s="506"/>
      <c r="L84" s="506"/>
      <c r="M84" s="506"/>
      <c r="N84" s="506"/>
    </row>
    <row r="85" spans="1:14" x14ac:dyDescent="0.25">
      <c r="A85" s="327"/>
      <c r="B85" s="327"/>
      <c r="C85" s="327"/>
      <c r="D85" s="327"/>
      <c r="E85" s="327"/>
      <c r="F85" s="327"/>
      <c r="G85" s="327"/>
      <c r="H85" s="506"/>
      <c r="I85" s="506"/>
      <c r="J85" s="506"/>
      <c r="K85" s="506"/>
      <c r="L85" s="506"/>
      <c r="M85" s="506"/>
      <c r="N85" s="506"/>
    </row>
    <row r="86" spans="1:14" x14ac:dyDescent="0.25">
      <c r="A86" s="327"/>
      <c r="B86" s="327"/>
      <c r="C86" s="327"/>
      <c r="D86" s="327"/>
      <c r="E86" s="327"/>
      <c r="F86" s="327"/>
      <c r="G86" s="327"/>
      <c r="H86" s="506"/>
      <c r="I86" s="506"/>
      <c r="J86" s="506"/>
      <c r="K86" s="506"/>
      <c r="L86" s="506"/>
      <c r="M86" s="506"/>
      <c r="N86" s="506"/>
    </row>
    <row r="87" spans="1:14" x14ac:dyDescent="0.25">
      <c r="A87" s="327"/>
      <c r="B87" s="327"/>
      <c r="C87" s="327"/>
      <c r="D87" s="327"/>
      <c r="E87" s="327"/>
      <c r="F87" s="327"/>
      <c r="G87" s="327"/>
      <c r="H87" s="506"/>
      <c r="I87" s="506"/>
      <c r="J87" s="506"/>
      <c r="K87" s="506"/>
      <c r="L87" s="506"/>
      <c r="M87" s="506"/>
      <c r="N87" s="506"/>
    </row>
    <row r="88" spans="1:14" x14ac:dyDescent="0.25">
      <c r="A88" s="327"/>
      <c r="B88" s="327"/>
      <c r="C88" s="327"/>
      <c r="D88" s="327"/>
      <c r="E88" s="327"/>
      <c r="F88" s="327"/>
      <c r="G88" s="327"/>
      <c r="H88" s="506"/>
      <c r="I88" s="506"/>
      <c r="J88" s="506"/>
      <c r="K88" s="506"/>
      <c r="L88" s="506"/>
      <c r="M88" s="506"/>
      <c r="N88" s="506"/>
    </row>
    <row r="89" spans="1:14" x14ac:dyDescent="0.25">
      <c r="A89" s="327"/>
      <c r="B89" s="327"/>
      <c r="C89" s="327"/>
      <c r="D89" s="327"/>
      <c r="E89" s="327"/>
      <c r="F89" s="327"/>
      <c r="G89" s="327"/>
      <c r="H89" s="506"/>
      <c r="I89" s="506"/>
      <c r="J89" s="506"/>
      <c r="K89" s="506"/>
      <c r="L89" s="506"/>
      <c r="M89" s="506"/>
      <c r="N89" s="506"/>
    </row>
    <row r="90" spans="1:14" x14ac:dyDescent="0.25">
      <c r="A90" s="327"/>
      <c r="B90" s="327"/>
      <c r="C90" s="327"/>
      <c r="D90" s="327"/>
      <c r="E90" s="327"/>
      <c r="F90" s="327"/>
      <c r="G90" s="327"/>
      <c r="H90" s="506"/>
      <c r="I90" s="506"/>
      <c r="J90" s="506"/>
      <c r="K90" s="506"/>
      <c r="L90" s="506"/>
      <c r="M90" s="506"/>
      <c r="N90" s="506"/>
    </row>
    <row r="91" spans="1:14" x14ac:dyDescent="0.25">
      <c r="A91" s="327"/>
      <c r="B91" s="327"/>
      <c r="C91" s="327"/>
      <c r="D91" s="327"/>
      <c r="E91" s="327"/>
      <c r="F91" s="327"/>
      <c r="G91" s="327"/>
      <c r="H91" s="506"/>
      <c r="I91" s="506"/>
      <c r="J91" s="506"/>
      <c r="K91" s="506"/>
      <c r="L91" s="506"/>
      <c r="M91" s="506"/>
      <c r="N91" s="506"/>
    </row>
    <row r="92" spans="1:14" x14ac:dyDescent="0.25">
      <c r="A92" s="327"/>
      <c r="B92" s="327"/>
      <c r="C92" s="327"/>
      <c r="D92" s="327"/>
      <c r="E92" s="327"/>
      <c r="F92" s="327"/>
      <c r="G92" s="327"/>
      <c r="H92" s="506"/>
      <c r="I92" s="506"/>
      <c r="J92" s="506"/>
      <c r="K92" s="506"/>
      <c r="L92" s="506"/>
      <c r="M92" s="506"/>
      <c r="N92" s="506"/>
    </row>
    <row r="93" spans="1:14" x14ac:dyDescent="0.25">
      <c r="A93" s="327"/>
      <c r="B93" s="327"/>
      <c r="C93" s="327"/>
      <c r="D93" s="327"/>
      <c r="E93" s="327"/>
      <c r="F93" s="327"/>
      <c r="G93" s="327"/>
      <c r="H93" s="506"/>
      <c r="I93" s="506"/>
      <c r="J93" s="506"/>
      <c r="K93" s="506"/>
      <c r="L93" s="506"/>
      <c r="M93" s="506"/>
      <c r="N93" s="506"/>
    </row>
  </sheetData>
  <mergeCells count="15">
    <mergeCell ref="L41:L93"/>
    <mergeCell ref="M41:M93"/>
    <mergeCell ref="N41:N93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A42:G42"/>
  </mergeCells>
  <hyperlinks>
    <hyperlink ref="G17" r:id="rId1" display="mailto:r.a.wilson@warwick.ac.uk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40"/>
  <sheetViews>
    <sheetView zoomScale="85" workbookViewId="0"/>
  </sheetViews>
  <sheetFormatPr defaultRowHeight="13.2" x14ac:dyDescent="0.25"/>
  <cols>
    <col min="1" max="1" width="18.109375" customWidth="1"/>
    <col min="2" max="2" width="25.6640625" customWidth="1"/>
  </cols>
  <sheetData>
    <row r="1" spans="1:5" x14ac:dyDescent="0.25">
      <c r="A1" t="s">
        <v>493</v>
      </c>
      <c r="B1" t="s">
        <v>494</v>
      </c>
      <c r="D1" s="286"/>
      <c r="E1" s="286"/>
    </row>
    <row r="2" spans="1:5" x14ac:dyDescent="0.25">
      <c r="A2" t="s">
        <v>495</v>
      </c>
      <c r="B2" t="s">
        <v>496</v>
      </c>
      <c r="D2" s="286"/>
      <c r="E2" s="286"/>
    </row>
    <row r="3" spans="1:5" x14ac:dyDescent="0.25">
      <c r="A3" t="s">
        <v>497</v>
      </c>
      <c r="B3" t="s">
        <v>498</v>
      </c>
      <c r="D3" s="286"/>
      <c r="E3" s="286"/>
    </row>
    <row r="4" spans="1:5" ht="14.4" x14ac:dyDescent="0.25">
      <c r="A4" t="s">
        <v>529</v>
      </c>
      <c r="B4" t="s">
        <v>530</v>
      </c>
      <c r="C4" s="536"/>
      <c r="D4" s="286"/>
      <c r="E4" s="286"/>
    </row>
    <row r="5" spans="1:5" x14ac:dyDescent="0.25">
      <c r="A5" t="s">
        <v>499</v>
      </c>
      <c r="B5" t="s">
        <v>500</v>
      </c>
      <c r="D5" s="286"/>
      <c r="E5" s="286"/>
    </row>
    <row r="6" spans="1:5" x14ac:dyDescent="0.25">
      <c r="D6" s="286"/>
      <c r="E6" s="286"/>
    </row>
    <row r="7" spans="1:5" ht="14.4" x14ac:dyDescent="0.25">
      <c r="A7" t="s">
        <v>121</v>
      </c>
      <c r="B7" s="537">
        <v>43927</v>
      </c>
      <c r="C7" s="536"/>
    </row>
    <row r="40" spans="7:7" x14ac:dyDescent="0.25">
      <c r="G40" s="483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nager"/>
  <dimension ref="A1:AZ23"/>
  <sheetViews>
    <sheetView showGridLines="0" zoomScale="85" zoomScaleNormal="85" workbookViewId="0"/>
  </sheetViews>
  <sheetFormatPr defaultRowHeight="13.2" x14ac:dyDescent="0.25"/>
  <cols>
    <col min="1" max="1" width="3.44140625" style="2" customWidth="1"/>
    <col min="2" max="2" width="18.33203125" customWidth="1"/>
    <col min="3" max="4" width="6.109375" customWidth="1"/>
    <col min="5" max="5" width="6.33203125" customWidth="1"/>
    <col min="6" max="6" width="9.33203125" customWidth="1"/>
    <col min="7" max="7" width="6.109375" customWidth="1"/>
    <col min="8" max="8" width="10.44140625" customWidth="1"/>
  </cols>
  <sheetData>
    <row r="1" spans="1:52" s="253" customFormat="1" x14ac:dyDescent="0.25">
      <c r="A1" s="289"/>
      <c r="B1" s="12"/>
      <c r="C1" s="12"/>
      <c r="D1" s="12"/>
      <c r="E1" s="12"/>
      <c r="F1" s="12"/>
      <c r="G1" s="290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</row>
    <row r="2" spans="1:52" s="253" customFormat="1" ht="21" x14ac:dyDescent="0.4">
      <c r="A2" s="2"/>
      <c r="B2" s="257" t="s">
        <v>97</v>
      </c>
    </row>
    <row r="3" spans="1:52" s="253" customFormat="1" x14ac:dyDescent="0.25">
      <c r="A3" s="2"/>
    </row>
    <row r="4" spans="1:52" s="253" customFormat="1" x14ac:dyDescent="0.25">
      <c r="A4" s="2"/>
      <c r="B4" s="106" t="s">
        <v>96</v>
      </c>
      <c r="C4" s="253" t="str">
        <f>Stored!B11</f>
        <v>m:/IE/Projects/WorkingFutures/data/Results/Workbooks/UK/UK_Database.Main.xlsx</v>
      </c>
      <c r="AX4"/>
    </row>
    <row r="5" spans="1:52" s="253" customFormat="1" x14ac:dyDescent="0.25">
      <c r="A5" s="2"/>
      <c r="B5" s="106"/>
    </row>
    <row r="6" spans="1:52" ht="22.5" customHeight="1" x14ac:dyDescent="0.25">
      <c r="B6" s="258" t="s">
        <v>137</v>
      </c>
      <c r="C6" s="258"/>
      <c r="D6" s="296"/>
      <c r="E6" s="3"/>
    </row>
    <row r="7" spans="1:52" ht="15.75" customHeight="1" x14ac:dyDescent="0.25">
      <c r="B7" s="65"/>
      <c r="C7" s="66"/>
      <c r="D7" s="67"/>
      <c r="E7" s="3"/>
    </row>
    <row r="8" spans="1:52" ht="21" customHeight="1" x14ac:dyDescent="0.25">
      <c r="B8" s="68"/>
      <c r="C8" s="295"/>
      <c r="D8" s="69"/>
      <c r="E8" s="3"/>
    </row>
    <row r="10" spans="1:52" ht="17.25" customHeight="1" x14ac:dyDescent="0.25">
      <c r="B10" s="259" t="s">
        <v>465</v>
      </c>
      <c r="C10" s="63"/>
      <c r="D10" s="63"/>
      <c r="E10" s="63"/>
      <c r="F10" s="63"/>
      <c r="G10" s="63"/>
      <c r="H10" s="64"/>
    </row>
    <row r="11" spans="1:52" x14ac:dyDescent="0.25">
      <c r="B11" s="65"/>
      <c r="C11" s="71" t="s">
        <v>22</v>
      </c>
      <c r="D11" s="71" t="s">
        <v>23</v>
      </c>
      <c r="E11" s="71" t="s">
        <v>24</v>
      </c>
      <c r="F11" s="71" t="s">
        <v>25</v>
      </c>
      <c r="G11" s="71" t="s">
        <v>26</v>
      </c>
      <c r="H11" s="67"/>
    </row>
    <row r="12" spans="1:52" ht="13.8" thickBot="1" x14ac:dyDescent="0.3">
      <c r="B12" s="256" t="s">
        <v>16</v>
      </c>
      <c r="C12" s="72">
        <f>'Ind T3'!B3</f>
        <v>2007</v>
      </c>
      <c r="D12" s="72">
        <f>'Ind T3'!C3</f>
        <v>2012</v>
      </c>
      <c r="E12" s="72">
        <f>'Ind T3'!D3</f>
        <v>2017</v>
      </c>
      <c r="F12" s="72">
        <f>'Ind T3'!E3</f>
        <v>2022</v>
      </c>
      <c r="G12" s="72">
        <f>'Ind T3'!F3</f>
        <v>2027</v>
      </c>
      <c r="H12" s="67"/>
    </row>
    <row r="13" spans="1:52" ht="13.8" thickBot="1" x14ac:dyDescent="0.3">
      <c r="B13" s="302" t="s">
        <v>12</v>
      </c>
      <c r="C13" s="175">
        <v>2007</v>
      </c>
      <c r="D13" s="73">
        <v>2012</v>
      </c>
      <c r="E13" s="73">
        <v>2017</v>
      </c>
      <c r="F13" s="73">
        <v>2022</v>
      </c>
      <c r="G13" s="74">
        <v>2027</v>
      </c>
      <c r="H13" s="70"/>
    </row>
    <row r="14" spans="1:52" s="137" customFormat="1" x14ac:dyDescent="0.25">
      <c r="A14" s="255"/>
      <c r="G14" s="3"/>
      <c r="H14" s="3"/>
      <c r="I14" s="3"/>
      <c r="J14" s="3"/>
      <c r="K14" s="3"/>
      <c r="L14" s="3"/>
      <c r="M14" s="3"/>
    </row>
    <row r="15" spans="1:52" x14ac:dyDescent="0.25">
      <c r="G15" s="3"/>
      <c r="H15" s="3"/>
      <c r="I15" s="3"/>
      <c r="J15" s="3"/>
      <c r="K15" s="3"/>
      <c r="L15" s="3"/>
    </row>
    <row r="16" spans="1:52" ht="45.75" customHeight="1" x14ac:dyDescent="0.25">
      <c r="D16" s="286"/>
      <c r="E16" s="286"/>
      <c r="F16" s="286"/>
      <c r="G16" s="286"/>
    </row>
    <row r="17" spans="1:52" ht="15.75" customHeight="1" x14ac:dyDescent="0.25">
      <c r="E17" s="66"/>
    </row>
    <row r="18" spans="1:52" ht="24" customHeight="1" x14ac:dyDescent="0.25">
      <c r="E18" s="66"/>
    </row>
    <row r="20" spans="1:52" s="122" customFormat="1" x14ac:dyDescent="0.25">
      <c r="A20" s="2"/>
      <c r="B20"/>
      <c r="C20"/>
      <c r="D20"/>
      <c r="G20" s="3"/>
      <c r="H20" s="3"/>
      <c r="I20" s="3"/>
      <c r="J20" s="3"/>
      <c r="K20" s="3"/>
      <c r="L20" s="3"/>
    </row>
    <row r="23" spans="1:52" x14ac:dyDescent="0.25">
      <c r="D23" s="2"/>
      <c r="E23" s="286"/>
      <c r="F23" s="286"/>
      <c r="G23" s="2"/>
      <c r="H23" s="286"/>
      <c r="I23" s="286"/>
      <c r="J23" s="2"/>
      <c r="K23" s="286"/>
      <c r="L23" s="286"/>
      <c r="M23" s="2"/>
      <c r="N23" s="286"/>
      <c r="O23" s="286"/>
      <c r="P23" s="2"/>
      <c r="Q23" s="286"/>
      <c r="R23" s="286"/>
      <c r="S23" s="2"/>
      <c r="T23" s="286"/>
      <c r="U23" s="286"/>
      <c r="V23" s="2"/>
      <c r="W23" s="286"/>
      <c r="X23" s="286"/>
      <c r="Y23" s="2"/>
      <c r="Z23" s="286"/>
      <c r="AA23" s="286"/>
      <c r="AB23" s="2"/>
      <c r="AC23" s="286"/>
      <c r="AD23" s="286"/>
      <c r="AE23" s="2"/>
      <c r="AF23" s="286"/>
      <c r="AG23" s="286"/>
      <c r="AH23" s="2"/>
      <c r="AI23" s="286"/>
      <c r="AJ23" s="286"/>
      <c r="AK23" s="2"/>
      <c r="AL23" s="286"/>
      <c r="AM23" s="286"/>
      <c r="AN23" s="2"/>
      <c r="AO23" s="286"/>
      <c r="AP23" s="286"/>
      <c r="AQ23" s="2"/>
      <c r="AR23" s="286"/>
      <c r="AS23" s="286"/>
      <c r="AT23" s="2"/>
      <c r="AU23" s="286"/>
      <c r="AV23" s="286"/>
      <c r="AW23" s="2"/>
      <c r="AX23" s="286"/>
      <c r="AY23" s="286"/>
      <c r="AZ23" s="2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installDataButton">
          <controlPr defaultSize="0" autoLine="0" r:id="rId5">
            <anchor moveWithCells="1">
              <from>
                <xdr:col>1</xdr:col>
                <xdr:colOff>83820</xdr:colOff>
                <xdr:row>6</xdr:row>
                <xdr:rowOff>83820</xdr:rowOff>
              </from>
              <to>
                <xdr:col>1</xdr:col>
                <xdr:colOff>655320</xdr:colOff>
                <xdr:row>7</xdr:row>
                <xdr:rowOff>190500</xdr:rowOff>
              </to>
            </anchor>
          </controlPr>
        </control>
      </mc:Choice>
      <mc:Fallback>
        <control shapeId="1029" r:id="rId4" name="installDataButton"/>
      </mc:Fallback>
    </mc:AlternateContent>
    <mc:AlternateContent xmlns:mc="http://schemas.openxmlformats.org/markup-compatibility/2006">
      <mc:Choice Requires="x14">
        <control shapeId="1025" r:id="rId6" name="SummaryTablesA">
          <controlPr autoLine="0" r:id="rId7">
            <anchor moveWithCells="1">
              <from>
                <xdr:col>7</xdr:col>
                <xdr:colOff>38100</xdr:colOff>
                <xdr:row>10</xdr:row>
                <xdr:rowOff>99060</xdr:rowOff>
              </from>
              <to>
                <xdr:col>7</xdr:col>
                <xdr:colOff>609600</xdr:colOff>
                <xdr:row>12</xdr:row>
                <xdr:rowOff>68580</xdr:rowOff>
              </to>
            </anchor>
          </controlPr>
        </control>
      </mc:Choice>
      <mc:Fallback>
        <control shapeId="1025" r:id="rId6" name="SummaryTables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32"/>
  <sheetViews>
    <sheetView showGridLines="0" workbookViewId="0"/>
  </sheetViews>
  <sheetFormatPr defaultColWidth="9.109375" defaultRowHeight="13.2" x14ac:dyDescent="0.25"/>
  <cols>
    <col min="1" max="1" width="14.109375" style="286" customWidth="1"/>
    <col min="2" max="2" width="100.88671875" style="286" customWidth="1"/>
    <col min="3" max="3" width="9.109375" style="286" customWidth="1"/>
    <col min="4" max="16384" width="9.109375" style="286"/>
  </cols>
  <sheetData>
    <row r="1" spans="1:2" ht="13.8" x14ac:dyDescent="0.25">
      <c r="A1" s="311" t="s">
        <v>144</v>
      </c>
    </row>
    <row r="2" spans="1:2" x14ac:dyDescent="0.25">
      <c r="A2" s="106" t="s">
        <v>142</v>
      </c>
    </row>
    <row r="3" spans="1:2" s="1" customFormat="1" x14ac:dyDescent="0.25">
      <c r="A3" s="306"/>
      <c r="B3" s="306"/>
    </row>
    <row r="4" spans="1:2" s="106" customFormat="1" x14ac:dyDescent="0.25">
      <c r="A4" s="307" t="s">
        <v>143</v>
      </c>
      <c r="B4" s="307" t="s">
        <v>144</v>
      </c>
    </row>
    <row r="5" spans="1:2" x14ac:dyDescent="0.25">
      <c r="A5" s="308" t="s">
        <v>418</v>
      </c>
      <c r="B5" s="309" t="s">
        <v>421</v>
      </c>
    </row>
    <row r="6" spans="1:2" x14ac:dyDescent="0.25">
      <c r="A6" s="308" t="s">
        <v>419</v>
      </c>
      <c r="B6" s="309" t="s">
        <v>422</v>
      </c>
    </row>
    <row r="7" spans="1:2" x14ac:dyDescent="0.25">
      <c r="A7" s="308" t="s">
        <v>423</v>
      </c>
      <c r="B7" s="309" t="s">
        <v>425</v>
      </c>
    </row>
    <row r="8" spans="1:2" x14ac:dyDescent="0.25">
      <c r="A8" s="308" t="s">
        <v>426</v>
      </c>
      <c r="B8" s="309" t="s">
        <v>430</v>
      </c>
    </row>
    <row r="9" spans="1:2" x14ac:dyDescent="0.25">
      <c r="A9" s="308" t="s">
        <v>429</v>
      </c>
      <c r="B9" s="310" t="s">
        <v>431</v>
      </c>
    </row>
    <row r="10" spans="1:2" x14ac:dyDescent="0.25">
      <c r="A10" s="308" t="s">
        <v>427</v>
      </c>
      <c r="B10" s="310" t="s">
        <v>432</v>
      </c>
    </row>
    <row r="11" spans="1:2" x14ac:dyDescent="0.25">
      <c r="A11" s="308" t="s">
        <v>433</v>
      </c>
      <c r="B11" s="309" t="s">
        <v>445</v>
      </c>
    </row>
    <row r="12" spans="1:2" x14ac:dyDescent="0.25">
      <c r="A12" s="308" t="s">
        <v>435</v>
      </c>
      <c r="B12" s="309" t="s">
        <v>438</v>
      </c>
    </row>
    <row r="13" spans="1:2" x14ac:dyDescent="0.25">
      <c r="A13" s="308" t="s">
        <v>437</v>
      </c>
      <c r="B13" s="309" t="s">
        <v>439</v>
      </c>
    </row>
    <row r="14" spans="1:2" x14ac:dyDescent="0.25">
      <c r="A14" s="308" t="s">
        <v>463</v>
      </c>
      <c r="B14" s="309" t="s">
        <v>440</v>
      </c>
    </row>
    <row r="15" spans="1:2" x14ac:dyDescent="0.25">
      <c r="A15" s="308" t="s">
        <v>441</v>
      </c>
      <c r="B15" s="309" t="s">
        <v>482</v>
      </c>
    </row>
    <row r="16" spans="1:2" x14ac:dyDescent="0.25">
      <c r="A16" s="308" t="s">
        <v>420</v>
      </c>
      <c r="B16" s="309" t="s">
        <v>442</v>
      </c>
    </row>
    <row r="17" spans="1:2" x14ac:dyDescent="0.25">
      <c r="A17" s="308" t="s">
        <v>424</v>
      </c>
      <c r="B17" s="309" t="s">
        <v>443</v>
      </c>
    </row>
    <row r="18" spans="1:2" x14ac:dyDescent="0.25">
      <c r="A18" s="308" t="s">
        <v>428</v>
      </c>
      <c r="B18" s="309" t="s">
        <v>444</v>
      </c>
    </row>
    <row r="19" spans="1:2" x14ac:dyDescent="0.25">
      <c r="A19" s="308" t="s">
        <v>483</v>
      </c>
      <c r="B19" s="309" t="s">
        <v>484</v>
      </c>
    </row>
    <row r="20" spans="1:2" x14ac:dyDescent="0.25">
      <c r="A20" s="308" t="s">
        <v>434</v>
      </c>
      <c r="B20" s="309" t="s">
        <v>446</v>
      </c>
    </row>
    <row r="21" spans="1:2" x14ac:dyDescent="0.25">
      <c r="A21" s="308" t="s">
        <v>436</v>
      </c>
      <c r="B21" s="309" t="s">
        <v>447</v>
      </c>
    </row>
    <row r="22" spans="1:2" x14ac:dyDescent="0.25">
      <c r="A22" s="308" t="s">
        <v>474</v>
      </c>
      <c r="B22" s="309" t="s">
        <v>476</v>
      </c>
    </row>
    <row r="23" spans="1:2" x14ac:dyDescent="0.25">
      <c r="A23" s="308" t="s">
        <v>475</v>
      </c>
      <c r="B23" s="309" t="s">
        <v>477</v>
      </c>
    </row>
    <row r="24" spans="1:2" x14ac:dyDescent="0.25">
      <c r="A24" s="308" t="s">
        <v>480</v>
      </c>
      <c r="B24" s="309" t="s">
        <v>481</v>
      </c>
    </row>
    <row r="25" spans="1:2" x14ac:dyDescent="0.25">
      <c r="A25" s="308" t="s">
        <v>448</v>
      </c>
      <c r="B25" s="309" t="s">
        <v>449</v>
      </c>
    </row>
    <row r="26" spans="1:2" x14ac:dyDescent="0.25">
      <c r="A26" s="308" t="s">
        <v>450</v>
      </c>
      <c r="B26" s="309" t="s">
        <v>451</v>
      </c>
    </row>
    <row r="27" spans="1:2" x14ac:dyDescent="0.25">
      <c r="A27" s="308" t="s">
        <v>452</v>
      </c>
      <c r="B27" s="309" t="s">
        <v>453</v>
      </c>
    </row>
    <row r="28" spans="1:2" x14ac:dyDescent="0.25">
      <c r="A28" s="308" t="s">
        <v>455</v>
      </c>
      <c r="B28" s="309" t="s">
        <v>456</v>
      </c>
    </row>
    <row r="29" spans="1:2" x14ac:dyDescent="0.25">
      <c r="A29" s="308" t="s">
        <v>454</v>
      </c>
      <c r="B29" s="309" t="s">
        <v>485</v>
      </c>
    </row>
    <row r="30" spans="1:2" x14ac:dyDescent="0.25">
      <c r="A30" s="308" t="s">
        <v>457</v>
      </c>
      <c r="B30" s="309" t="s">
        <v>460</v>
      </c>
    </row>
    <row r="31" spans="1:2" x14ac:dyDescent="0.25">
      <c r="A31" s="308" t="s">
        <v>458</v>
      </c>
      <c r="B31" s="309" t="s">
        <v>461</v>
      </c>
    </row>
    <row r="32" spans="1:2" x14ac:dyDescent="0.25">
      <c r="A32" s="308" t="s">
        <v>459</v>
      </c>
      <c r="B32" s="309" t="s">
        <v>462</v>
      </c>
    </row>
  </sheetData>
  <hyperlinks>
    <hyperlink ref="A5" location="'Ind T1'!A1" display="Ind T1"/>
    <hyperlink ref="A6" location="'Ind T2'!A1" display="Ind T2"/>
    <hyperlink ref="A7" location="'Ind T3'!A1" display="Ind T3"/>
    <hyperlink ref="A8" location="'Ind T4'!A1" display="Ind T4"/>
    <hyperlink ref="A9" location="'Ind T5'!A1" display="Ind T5"/>
    <hyperlink ref="A10" location="'Ind T6'!A1" display="Ind T6"/>
    <hyperlink ref="A11" location="'Ind F1'!A1" display="Ind F1"/>
    <hyperlink ref="A12" location="'Ind F2'!A1" display="Ind F2"/>
    <hyperlink ref="A13" location="'Ind Occ T1'!A1" display="IndOcc T1"/>
    <hyperlink ref="A14" location="'Ind Occ T2'!A1" display="IndOcc T2"/>
    <hyperlink ref="A15" location="'Occ T1'!A1" display="Occ T1"/>
    <hyperlink ref="A16" location="'Occ T2'!A1" display="Occ T2"/>
    <hyperlink ref="A17" location="'Occ T3'!A1" display="Occ T3"/>
    <hyperlink ref="A18" location="'Occ T4'!A1" display="Occ T4"/>
    <hyperlink ref="A20" location="'Occ F1'!A1" display="Occ F1"/>
    <hyperlink ref="A21" location="'Occ F2'!A1" display="Occ F2"/>
    <hyperlink ref="A25" location="'Qual T1'!A1" display="Qual T1"/>
    <hyperlink ref="A26" location="'Qual F1'!A1" display="Qual F1"/>
    <hyperlink ref="A27" location="'ShiftShare T1'!A1" display="ShiftShare T1"/>
    <hyperlink ref="A28" location="'RD T1'!A1" display="RD T1"/>
    <hyperlink ref="A29" location="'RD F1'!A1" display="RD F1"/>
    <hyperlink ref="A30" location="'Basic T1'!A1" display="Basic T1"/>
    <hyperlink ref="A31" location="'Basic T2'!A1" display="Basic T2"/>
    <hyperlink ref="A32" location="'Basic T3'!A1" display="Basic T3"/>
    <hyperlink ref="A22" location="'Occ F3'!A1" display="Occ F3"/>
    <hyperlink ref="A23" location="'Occ F4'!A1" display="Occ F3"/>
    <hyperlink ref="A24" location="'Occ F5'!A1" display="Occ F5"/>
    <hyperlink ref="A19" location="'Occ T5'!A1" display="Occ T5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52"/>
  <sheetViews>
    <sheetView showGridLines="0" zoomScale="85" zoomScaleNormal="85" workbookViewId="0"/>
  </sheetViews>
  <sheetFormatPr defaultRowHeight="13.2" x14ac:dyDescent="0.25"/>
  <cols>
    <col min="1" max="1" width="26.6640625" customWidth="1"/>
    <col min="2" max="6" width="11.6640625" customWidth="1"/>
    <col min="7" max="7" width="4.88671875" style="286" customWidth="1"/>
    <col min="8" max="11" width="11.6640625" style="286" customWidth="1"/>
    <col min="12" max="12" width="26.6640625" customWidth="1"/>
    <col min="13" max="17" width="11.6640625" customWidth="1"/>
    <col min="18" max="19" width="10.6640625" customWidth="1"/>
  </cols>
  <sheetData>
    <row r="1" spans="1:19" ht="15.6" x14ac:dyDescent="0.3">
      <c r="A1" s="23" t="str">
        <f>CONCATENATE("Industry Table 1  Employment by Industry Sector (SIC 2007), ",B$5,"-",F$5)</f>
        <v>Industry Table 1  Employment by Industry Sector (SIC 2007), 2007-2027</v>
      </c>
      <c r="L1" s="23" t="str">
        <f>CONCATENATE("Industry Table 1.1  Employment by Industry Sector (SIC 2007), ",B$5,"-",F$5)</f>
        <v>Industry Table 1.1  Employment by Industry Sector (SIC 2007), 2007-2027</v>
      </c>
    </row>
    <row r="2" spans="1:19" x14ac:dyDescent="0.25">
      <c r="F2" s="19"/>
      <c r="J2" s="19" t="s">
        <v>35</v>
      </c>
    </row>
    <row r="3" spans="1:19" x14ac:dyDescent="0.25">
      <c r="A3" s="41"/>
      <c r="B3" s="41"/>
      <c r="C3" s="41"/>
      <c r="D3" s="41"/>
      <c r="E3" s="41"/>
      <c r="F3" s="41"/>
      <c r="G3" s="498"/>
      <c r="H3" s="32" t="str">
        <f>CONCATENATE(D5,"-",F5)</f>
        <v>2017-2027</v>
      </c>
      <c r="I3" s="41"/>
      <c r="J3" s="41"/>
      <c r="K3" s="498"/>
      <c r="O3" s="1" t="s">
        <v>13</v>
      </c>
      <c r="R3" s="95" t="s">
        <v>41</v>
      </c>
    </row>
    <row r="4" spans="1:19" x14ac:dyDescent="0.25">
      <c r="A4" s="2"/>
      <c r="B4" s="2"/>
      <c r="C4" s="2"/>
      <c r="D4" s="2"/>
      <c r="E4" s="2"/>
      <c r="F4" s="2"/>
      <c r="G4" s="12"/>
      <c r="H4" s="19" t="s">
        <v>29</v>
      </c>
      <c r="I4" s="19" t="s">
        <v>30</v>
      </c>
      <c r="J4" s="19" t="s">
        <v>32</v>
      </c>
      <c r="K4" s="12"/>
      <c r="L4" s="26"/>
      <c r="M4" s="27">
        <f>B5</f>
        <v>2007</v>
      </c>
      <c r="N4" s="27">
        <f>C5</f>
        <v>2012</v>
      </c>
      <c r="O4" s="27">
        <f>D5</f>
        <v>2017</v>
      </c>
      <c r="P4" s="27">
        <f>E5</f>
        <v>2022</v>
      </c>
      <c r="Q4" s="27">
        <f>F5</f>
        <v>2027</v>
      </c>
      <c r="R4" s="94" t="str">
        <f>CONCATENATE(B$5,"-",D$5)</f>
        <v>2007-2017</v>
      </c>
      <c r="S4" s="94" t="str">
        <f>F33</f>
        <v>2017-2027</v>
      </c>
    </row>
    <row r="5" spans="1:19" x14ac:dyDescent="0.25">
      <c r="A5" s="37"/>
      <c r="B5" s="40">
        <f>'Ind T3'!B3</f>
        <v>2007</v>
      </c>
      <c r="C5" s="40">
        <f>'Ind T3'!C3</f>
        <v>2012</v>
      </c>
      <c r="D5" s="40">
        <f>'Ind T3'!D3</f>
        <v>2017</v>
      </c>
      <c r="E5" s="40">
        <f>'Ind T3'!E3</f>
        <v>2022</v>
      </c>
      <c r="F5" s="40">
        <f>'Ind T3'!F3</f>
        <v>2027</v>
      </c>
      <c r="G5" s="13"/>
      <c r="H5" s="75" t="s">
        <v>18</v>
      </c>
      <c r="I5" s="75" t="s">
        <v>31</v>
      </c>
      <c r="J5" s="75" t="s">
        <v>33</v>
      </c>
      <c r="K5" s="13"/>
      <c r="L5" t="str">
        <f t="shared" ref="L5:Q10" si="0">A7</f>
        <v>Primary sector and utilities</v>
      </c>
      <c r="M5" s="13">
        <f t="shared" si="0"/>
        <v>685.98199999852397</v>
      </c>
      <c r="N5" s="13">
        <f t="shared" si="0"/>
        <v>815.00399999710453</v>
      </c>
      <c r="O5" s="13">
        <f t="shared" si="0"/>
        <v>858.01399999967498</v>
      </c>
      <c r="P5" s="13">
        <f t="shared" si="0"/>
        <v>845.00699999766653</v>
      </c>
      <c r="Q5" s="13">
        <f t="shared" si="0"/>
        <v>842.06799999951704</v>
      </c>
      <c r="R5" s="49">
        <f>IF(D$5-B$5 &lt;&gt; 0,(EXP(LN(D7/B7)/(D$5-B$5))-1)*100,0)</f>
        <v>2.2629143637966642</v>
      </c>
      <c r="S5" s="49">
        <f>F34</f>
        <v>-0.18742060078488221</v>
      </c>
    </row>
    <row r="6" spans="1:19" x14ac:dyDescent="0.25">
      <c r="A6" s="21" t="s">
        <v>13</v>
      </c>
      <c r="B6" s="18"/>
      <c r="C6" s="12"/>
      <c r="D6" s="12"/>
      <c r="E6" s="12"/>
      <c r="F6" s="12"/>
      <c r="G6" s="13"/>
      <c r="H6" s="13"/>
      <c r="I6" s="13"/>
      <c r="J6" s="13"/>
      <c r="K6" s="13"/>
      <c r="L6" t="str">
        <f t="shared" si="0"/>
        <v>Manufacturing</v>
      </c>
      <c r="M6" s="13">
        <f t="shared" si="0"/>
        <v>2977.0189999889817</v>
      </c>
      <c r="N6" s="13">
        <f t="shared" si="0"/>
        <v>2599.8869999849671</v>
      </c>
      <c r="O6" s="13">
        <f t="shared" si="0"/>
        <v>2672.0749999920436</v>
      </c>
      <c r="P6" s="13">
        <f t="shared" si="0"/>
        <v>2535.298999986137</v>
      </c>
      <c r="Q6" s="13">
        <f t="shared" si="0"/>
        <v>2414.4589999918867</v>
      </c>
      <c r="R6" s="49">
        <f t="shared" ref="R6:R10" si="1">IF(D$5-B$5 &lt;&gt; 0,(EXP(LN(D8/B8)/(D$5-B$5))-1)*100,0)</f>
        <v>-1.0748531256248084</v>
      </c>
      <c r="S6" s="49">
        <f t="shared" ref="S6:S12" si="2">F35</f>
        <v>-1.0086791491408564</v>
      </c>
    </row>
    <row r="7" spans="1:19" x14ac:dyDescent="0.25">
      <c r="A7" s="18" t="str">
        <f>name!C4</f>
        <v>Primary sector and utilities</v>
      </c>
      <c r="B7" s="13">
        <f t="array" ref="B7:B12">MMULT(aggregation!$B$28:$BX$33,'Ind T3'!B5:B79)</f>
        <v>685.98199999852397</v>
      </c>
      <c r="C7" s="13">
        <f t="array" ref="C7:C12">MMULT(aggregation!$B$28:$BX$33,'Ind T3'!C5:C79)</f>
        <v>815.00399999710453</v>
      </c>
      <c r="D7" s="13">
        <f t="array" ref="D7:D12">MMULT(aggregation!$B$28:$BX$33,'Ind T3'!D5:D79)</f>
        <v>858.01399999967498</v>
      </c>
      <c r="E7" s="13">
        <f t="array" ref="E7:E12">MMULT(aggregation!$B$28:$BX$33,'Ind T3'!E5:E79)</f>
        <v>845.00699999766653</v>
      </c>
      <c r="F7" s="13">
        <f t="array" ref="F7:F12">MMULT(aggregation!$B$28:$BX$33,'Ind T3'!F5:F79)</f>
        <v>842.06799999951704</v>
      </c>
      <c r="G7" s="13"/>
      <c r="H7" s="13">
        <f>F7-D7</f>
        <v>-15.946000000157937</v>
      </c>
      <c r="I7" s="13">
        <f t="array" ref="I7:I12">MMULT(aggregation!$B$28:$BX$33,'RD T1'!AB7:AB81)</f>
        <v>268.77147348659622</v>
      </c>
      <c r="J7" s="13">
        <f>SUM(H7:I7)</f>
        <v>252.82547348643828</v>
      </c>
      <c r="K7" s="13"/>
      <c r="L7" t="str">
        <f t="shared" si="0"/>
        <v>Construction</v>
      </c>
      <c r="M7" s="13">
        <f t="shared" si="0"/>
        <v>2301.0030000110032</v>
      </c>
      <c r="N7" s="13">
        <f t="shared" si="0"/>
        <v>2056.0949999815566</v>
      </c>
      <c r="O7" s="13">
        <f t="shared" si="0"/>
        <v>2286.0480000047291</v>
      </c>
      <c r="P7" s="13">
        <f t="shared" si="0"/>
        <v>2306.6340000232308</v>
      </c>
      <c r="Q7" s="13">
        <f t="shared" si="0"/>
        <v>2336.0260000307353</v>
      </c>
      <c r="R7" s="49">
        <f t="shared" si="1"/>
        <v>-6.518426890419482E-2</v>
      </c>
      <c r="S7" s="49">
        <f t="shared" si="2"/>
        <v>0.21650034953812902</v>
      </c>
    </row>
    <row r="8" spans="1:19" x14ac:dyDescent="0.25">
      <c r="A8" s="18" t="str">
        <f>name!C5</f>
        <v>Manufacturing</v>
      </c>
      <c r="B8" s="13">
        <v>2977.0189999889817</v>
      </c>
      <c r="C8" s="13">
        <v>2599.8869999849671</v>
      </c>
      <c r="D8" s="13">
        <v>2672.0749999920436</v>
      </c>
      <c r="E8" s="13">
        <v>2535.298999986137</v>
      </c>
      <c r="F8" s="13">
        <v>2414.4589999918867</v>
      </c>
      <c r="G8" s="13"/>
      <c r="H8" s="13">
        <f t="shared" ref="H8:H12" si="3">F8-D8</f>
        <v>-257.61600000015687</v>
      </c>
      <c r="I8" s="13">
        <v>734.30249327790602</v>
      </c>
      <c r="J8" s="13">
        <f t="shared" ref="J8:J12" si="4">SUM(H8:I8)</f>
        <v>476.68649327774915</v>
      </c>
      <c r="K8" s="13"/>
      <c r="L8" t="str">
        <f t="shared" si="0"/>
        <v>Trade, accomod. and transport</v>
      </c>
      <c r="M8" s="13">
        <f t="shared" si="0"/>
        <v>8528.996999994597</v>
      </c>
      <c r="N8" s="13">
        <f t="shared" si="0"/>
        <v>8402.6420000008638</v>
      </c>
      <c r="O8" s="13">
        <f t="shared" si="0"/>
        <v>9218.2650000927588</v>
      </c>
      <c r="P8" s="13">
        <f t="shared" si="0"/>
        <v>9163.5969999395293</v>
      </c>
      <c r="Q8" s="13">
        <f t="shared" si="0"/>
        <v>9323.2560000011599</v>
      </c>
      <c r="R8" s="49">
        <f t="shared" si="1"/>
        <v>0.78017837831834136</v>
      </c>
      <c r="S8" s="49">
        <f t="shared" si="2"/>
        <v>0.11331497209003949</v>
      </c>
    </row>
    <row r="9" spans="1:19" x14ac:dyDescent="0.25">
      <c r="A9" s="18" t="str">
        <f>name!C6</f>
        <v>Construction</v>
      </c>
      <c r="B9" s="13">
        <v>2301.0030000110032</v>
      </c>
      <c r="C9" s="13">
        <v>2056.0949999815566</v>
      </c>
      <c r="D9" s="13">
        <v>2286.0480000047291</v>
      </c>
      <c r="E9" s="13">
        <v>2306.6340000232308</v>
      </c>
      <c r="F9" s="13">
        <v>2336.0260000307353</v>
      </c>
      <c r="G9" s="13"/>
      <c r="H9" s="13">
        <f t="shared" si="3"/>
        <v>49.978000026006157</v>
      </c>
      <c r="I9" s="13">
        <v>659.59498694487672</v>
      </c>
      <c r="J9" s="13">
        <f t="shared" si="4"/>
        <v>709.57298697088288</v>
      </c>
      <c r="K9" s="13"/>
      <c r="L9" t="str">
        <f t="shared" si="0"/>
        <v>Business and other services</v>
      </c>
      <c r="M9" s="13">
        <f t="shared" si="0"/>
        <v>9537.0059999813766</v>
      </c>
      <c r="N9" s="13">
        <f t="shared" si="0"/>
        <v>9786.7950000002838</v>
      </c>
      <c r="O9" s="13">
        <f t="shared" si="0"/>
        <v>11176.326999948447</v>
      </c>
      <c r="P9" s="13">
        <f t="shared" si="0"/>
        <v>11609.434999982173</v>
      </c>
      <c r="Q9" s="13">
        <f t="shared" si="0"/>
        <v>11838.384999964905</v>
      </c>
      <c r="R9" s="49">
        <f t="shared" si="1"/>
        <v>1.5988294666661629</v>
      </c>
      <c r="S9" s="49">
        <f t="shared" si="2"/>
        <v>0.57715251908569964</v>
      </c>
    </row>
    <row r="10" spans="1:19" x14ac:dyDescent="0.25">
      <c r="A10" s="18" t="str">
        <f>name!C7</f>
        <v>Trade, accomod. and transport</v>
      </c>
      <c r="B10" s="13">
        <v>8528.996999994597</v>
      </c>
      <c r="C10" s="13">
        <v>8402.6420000008638</v>
      </c>
      <c r="D10" s="13">
        <v>9218.2650000927588</v>
      </c>
      <c r="E10" s="13">
        <v>9163.5969999395293</v>
      </c>
      <c r="F10" s="13">
        <v>9323.2560000011599</v>
      </c>
      <c r="G10" s="13"/>
      <c r="H10" s="13">
        <f t="shared" si="3"/>
        <v>104.99099990840114</v>
      </c>
      <c r="I10" s="13">
        <v>2957.1474690631344</v>
      </c>
      <c r="J10" s="13">
        <f t="shared" si="4"/>
        <v>3062.1384689715355</v>
      </c>
      <c r="K10" s="13"/>
      <c r="L10" t="str">
        <f t="shared" si="0"/>
        <v>Non-marketed services</v>
      </c>
      <c r="M10" s="13">
        <f t="shared" si="0"/>
        <v>7760.0000000255814</v>
      </c>
      <c r="N10" s="13">
        <f t="shared" si="0"/>
        <v>8139.590000035475</v>
      </c>
      <c r="O10" s="13">
        <f t="shared" si="0"/>
        <v>8637.2629999623405</v>
      </c>
      <c r="P10" s="13">
        <f t="shared" si="0"/>
        <v>8790.4760000712104</v>
      </c>
      <c r="Q10" s="13">
        <f t="shared" si="0"/>
        <v>9066.7590000119435</v>
      </c>
      <c r="R10" s="49">
        <f t="shared" si="1"/>
        <v>1.0767902626444892</v>
      </c>
      <c r="S10" s="49">
        <f t="shared" si="2"/>
        <v>0.48647062668596419</v>
      </c>
    </row>
    <row r="11" spans="1:19" x14ac:dyDescent="0.25">
      <c r="A11" s="18" t="str">
        <f>name!C8</f>
        <v>Business and other services</v>
      </c>
      <c r="B11" s="13">
        <v>9537.0059999813766</v>
      </c>
      <c r="C11" s="13">
        <v>9786.7950000002838</v>
      </c>
      <c r="D11" s="13">
        <v>11176.326999948447</v>
      </c>
      <c r="E11" s="13">
        <v>11609.434999982173</v>
      </c>
      <c r="F11" s="13">
        <v>11838.384999964905</v>
      </c>
      <c r="G11" s="13"/>
      <c r="H11" s="13">
        <f t="shared" si="3"/>
        <v>662.0580000164573</v>
      </c>
      <c r="I11" s="13">
        <v>3775.5595040961425</v>
      </c>
      <c r="J11" s="13">
        <f t="shared" si="4"/>
        <v>4437.6175041125998</v>
      </c>
      <c r="K11" s="13"/>
      <c r="M11" s="13"/>
      <c r="N11" s="13"/>
      <c r="O11" s="13"/>
      <c r="P11" s="13"/>
      <c r="Q11" s="13"/>
      <c r="R11" s="49"/>
      <c r="S11" s="49"/>
    </row>
    <row r="12" spans="1:19" x14ac:dyDescent="0.25">
      <c r="A12" s="18" t="str">
        <f>name!C9</f>
        <v>Non-marketed services</v>
      </c>
      <c r="B12" s="13">
        <v>7760.0000000255814</v>
      </c>
      <c r="C12" s="13">
        <v>8139.590000035475</v>
      </c>
      <c r="D12" s="13">
        <v>8637.2629999623405</v>
      </c>
      <c r="E12" s="13">
        <v>8790.4760000712104</v>
      </c>
      <c r="F12" s="13">
        <v>9066.7590000119435</v>
      </c>
      <c r="G12" s="13"/>
      <c r="H12" s="13">
        <f t="shared" si="3"/>
        <v>429.49600004960303</v>
      </c>
      <c r="I12" s="13">
        <v>3185.5061390237147</v>
      </c>
      <c r="J12" s="13">
        <f t="shared" si="4"/>
        <v>3615.0021390733177</v>
      </c>
      <c r="K12" s="13"/>
      <c r="L12" s="37" t="str">
        <f t="shared" ref="L12:Q12" si="5">A14</f>
        <v>All industries</v>
      </c>
      <c r="M12" s="39">
        <f t="shared" si="5"/>
        <v>31790.007000000063</v>
      </c>
      <c r="N12" s="39">
        <f t="shared" si="5"/>
        <v>31800.01300000025</v>
      </c>
      <c r="O12" s="39">
        <f t="shared" si="5"/>
        <v>34847.991999999991</v>
      </c>
      <c r="P12" s="39">
        <f t="shared" si="5"/>
        <v>35250.447999999946</v>
      </c>
      <c r="Q12" s="39">
        <f t="shared" si="5"/>
        <v>35820.953000000147</v>
      </c>
      <c r="R12" s="52">
        <f>IF(D$5-B$5 &lt;&gt; 0,(EXP(LN(D14/B14)/(D$5-B$5))-1)*100,0)</f>
        <v>0.92266577864266175</v>
      </c>
      <c r="S12" s="52">
        <f t="shared" si="2"/>
        <v>0.27575434824573808</v>
      </c>
    </row>
    <row r="13" spans="1:19" x14ac:dyDescent="0.25">
      <c r="A13" s="44"/>
      <c r="B13" s="47"/>
      <c r="C13" s="47"/>
      <c r="D13" s="47"/>
      <c r="E13" s="47"/>
      <c r="F13" s="47"/>
      <c r="G13" s="47"/>
      <c r="H13" s="47"/>
      <c r="I13" s="47"/>
      <c r="J13" s="47"/>
      <c r="K13" s="13"/>
      <c r="L13" s="13"/>
    </row>
    <row r="14" spans="1:19" x14ac:dyDescent="0.25">
      <c r="A14" s="28" t="str">
        <f>name!C3</f>
        <v>All industries</v>
      </c>
      <c r="B14" s="39">
        <f>SUM(B7:B12)</f>
        <v>31790.007000000063</v>
      </c>
      <c r="C14" s="39">
        <f t="shared" ref="C14:F14" si="6">SUM(C7:C12)</f>
        <v>31800.01300000025</v>
      </c>
      <c r="D14" s="39">
        <f t="shared" si="6"/>
        <v>34847.991999999991</v>
      </c>
      <c r="E14" s="39">
        <f t="shared" si="6"/>
        <v>35250.447999999946</v>
      </c>
      <c r="F14" s="39">
        <f t="shared" si="6"/>
        <v>35820.953000000147</v>
      </c>
      <c r="G14" s="39"/>
      <c r="H14" s="39">
        <f>SUM(H7:H12)</f>
        <v>972.96100000015281</v>
      </c>
      <c r="I14" s="39">
        <f t="shared" ref="I14:J14" si="7">SUM(I7:I12)</f>
        <v>11580.882065892371</v>
      </c>
      <c r="J14" s="39">
        <f t="shared" si="7"/>
        <v>12553.843065892523</v>
      </c>
      <c r="K14" s="13"/>
      <c r="L14" s="13"/>
    </row>
    <row r="15" spans="1:19" x14ac:dyDescent="0.25">
      <c r="A15" s="18"/>
      <c r="B15" s="13"/>
      <c r="C15" s="13"/>
      <c r="D15" s="13"/>
      <c r="E15" s="13"/>
      <c r="F15" s="13"/>
      <c r="G15" s="20"/>
      <c r="H15" s="13"/>
      <c r="I15" s="13"/>
      <c r="J15" s="13"/>
      <c r="K15" s="20"/>
      <c r="L15" s="13"/>
    </row>
    <row r="16" spans="1:19" x14ac:dyDescent="0.25">
      <c r="A16" s="18"/>
      <c r="B16" s="13"/>
      <c r="C16" s="13"/>
      <c r="D16" s="13"/>
      <c r="E16" s="13"/>
      <c r="F16" s="13"/>
      <c r="G16" s="22"/>
      <c r="H16" s="20"/>
      <c r="I16" s="20"/>
      <c r="J16" s="500" t="s">
        <v>34</v>
      </c>
      <c r="K16" s="22"/>
      <c r="L16" s="13"/>
    </row>
    <row r="17" spans="1:12" s="286" customFormat="1" x14ac:dyDescent="0.25">
      <c r="A17" s="79"/>
      <c r="B17" s="80"/>
      <c r="C17" s="80"/>
      <c r="D17" s="80"/>
      <c r="E17" s="80"/>
      <c r="F17" s="80"/>
      <c r="G17" s="45"/>
      <c r="H17" s="32" t="str">
        <f>CONCATENATE(D19,"-",F19)</f>
        <v>2017-2027</v>
      </c>
      <c r="I17" s="41"/>
      <c r="J17" s="41"/>
      <c r="K17" s="22"/>
      <c r="L17" s="13"/>
    </row>
    <row r="18" spans="1:12" s="286" customFormat="1" x14ac:dyDescent="0.25">
      <c r="A18" s="18"/>
      <c r="B18" s="13"/>
      <c r="C18" s="13"/>
      <c r="D18" s="13"/>
      <c r="E18" s="13"/>
      <c r="F18" s="13"/>
      <c r="G18" s="45"/>
      <c r="H18" s="19" t="s">
        <v>29</v>
      </c>
      <c r="I18" s="19" t="s">
        <v>30</v>
      </c>
      <c r="J18" s="19" t="s">
        <v>32</v>
      </c>
      <c r="K18" s="22"/>
      <c r="L18" s="13"/>
    </row>
    <row r="19" spans="1:12" x14ac:dyDescent="0.25">
      <c r="A19" s="78" t="s">
        <v>515</v>
      </c>
      <c r="B19" s="40">
        <f>B$5</f>
        <v>2007</v>
      </c>
      <c r="C19" s="40">
        <f>C$5</f>
        <v>2012</v>
      </c>
      <c r="D19" s="40">
        <f>D$5</f>
        <v>2017</v>
      </c>
      <c r="E19" s="40">
        <f>E$5</f>
        <v>2022</v>
      </c>
      <c r="F19" s="40">
        <f>F$5</f>
        <v>2027</v>
      </c>
      <c r="G19" s="45"/>
      <c r="H19" s="75" t="s">
        <v>18</v>
      </c>
      <c r="I19" s="75" t="s">
        <v>31</v>
      </c>
      <c r="J19" s="75" t="s">
        <v>33</v>
      </c>
      <c r="K19" s="22"/>
      <c r="L19" s="13"/>
    </row>
    <row r="20" spans="1:12" x14ac:dyDescent="0.25">
      <c r="A20" s="18" t="str">
        <f>$A$7</f>
        <v>Primary sector and utilities</v>
      </c>
      <c r="B20" s="22">
        <f>B7/B$14*100</f>
        <v>2.1578541961268605</v>
      </c>
      <c r="C20" s="22">
        <f>C7/C$14*100</f>
        <v>2.5629046126399322</v>
      </c>
      <c r="D20" s="22">
        <f>D7/D$14*100</f>
        <v>2.4621619518268809</v>
      </c>
      <c r="E20" s="22">
        <f>E7/E$14*100</f>
        <v>2.3971525127784696</v>
      </c>
      <c r="F20" s="22">
        <f>F7/F$14*100</f>
        <v>2.3507693946599177</v>
      </c>
      <c r="G20" s="22"/>
      <c r="H20" s="49">
        <f>IF(D7&gt;0,(H7/D7)*100,0)</f>
        <v>-1.8584778337141326</v>
      </c>
      <c r="I20" s="49">
        <f>IF(D7&gt;0,(I7/D7)*100,0)</f>
        <v>31.324835432370339</v>
      </c>
      <c r="J20" s="49">
        <f>IF(D7&gt;0,(J7/D7)*100,0)</f>
        <v>29.466357598656206</v>
      </c>
      <c r="K20" s="22"/>
      <c r="L20" s="13"/>
    </row>
    <row r="21" spans="1:12" x14ac:dyDescent="0.25">
      <c r="A21" s="18" t="str">
        <f>$A$8</f>
        <v>Manufacturing</v>
      </c>
      <c r="B21" s="22">
        <f t="shared" ref="B21:F27" si="8">B8/B$14*100</f>
        <v>9.3646377617626069</v>
      </c>
      <c r="C21" s="22">
        <f t="shared" si="8"/>
        <v>8.1757419406870895</v>
      </c>
      <c r="D21" s="22">
        <f t="shared" si="8"/>
        <v>7.667801920960164</v>
      </c>
      <c r="E21" s="22">
        <f t="shared" si="8"/>
        <v>7.1922461807751805</v>
      </c>
      <c r="F21" s="22">
        <f t="shared" si="8"/>
        <v>6.7403538928511395</v>
      </c>
      <c r="G21" s="22"/>
      <c r="H21" s="49">
        <f t="shared" ref="H21:H25" si="9">IF(D8&gt;0,(H8/D8)*100,0)</f>
        <v>-9.6410467520905652</v>
      </c>
      <c r="I21" s="49">
        <f t="shared" ref="I21:I25" si="10">IF(D8&gt;0,(I8/D8)*100,0)</f>
        <v>27.480609387090276</v>
      </c>
      <c r="J21" s="49">
        <f t="shared" ref="J21:J25" si="11">IF(D8&gt;0,(J8/D8)*100,0)</f>
        <v>17.839562634999712</v>
      </c>
      <c r="K21" s="22"/>
      <c r="L21" s="13"/>
    </row>
    <row r="22" spans="1:12" x14ac:dyDescent="0.25">
      <c r="A22" s="18" t="str">
        <f>$A$9</f>
        <v>Construction</v>
      </c>
      <c r="B22" s="22">
        <f t="shared" si="8"/>
        <v>7.2381330397662342</v>
      </c>
      <c r="C22" s="22">
        <f t="shared" si="8"/>
        <v>6.4657049038990655</v>
      </c>
      <c r="D22" s="22">
        <f t="shared" si="8"/>
        <v>6.560056602414079</v>
      </c>
      <c r="E22" s="22">
        <f t="shared" si="8"/>
        <v>6.5435593897224624</v>
      </c>
      <c r="F22" s="22">
        <f t="shared" si="8"/>
        <v>6.5213954526299895</v>
      </c>
      <c r="G22" s="22"/>
      <c r="H22" s="49">
        <f t="shared" si="9"/>
        <v>2.1862183132595101</v>
      </c>
      <c r="I22" s="49">
        <f t="shared" si="10"/>
        <v>28.853068130831559</v>
      </c>
      <c r="J22" s="49">
        <f t="shared" si="11"/>
        <v>31.039286444091069</v>
      </c>
      <c r="K22" s="22"/>
      <c r="L22" s="13"/>
    </row>
    <row r="23" spans="1:12" x14ac:dyDescent="0.25">
      <c r="A23" s="18" t="str">
        <f>$A$10</f>
        <v>Trade, accomod. and transport</v>
      </c>
      <c r="B23" s="22">
        <f t="shared" si="8"/>
        <v>26.829176225077838</v>
      </c>
      <c r="C23" s="22">
        <f t="shared" si="8"/>
        <v>26.423391713710298</v>
      </c>
      <c r="D23" s="22">
        <f t="shared" si="8"/>
        <v>26.452786720373332</v>
      </c>
      <c r="E23" s="22">
        <f t="shared" si="8"/>
        <v>25.995689473051641</v>
      </c>
      <c r="F23" s="22">
        <f t="shared" si="8"/>
        <v>26.027381236900986</v>
      </c>
      <c r="G23" s="22"/>
      <c r="H23" s="49">
        <f t="shared" si="9"/>
        <v>1.1389453428312668</v>
      </c>
      <c r="I23" s="49">
        <f t="shared" si="10"/>
        <v>32.079219560658956</v>
      </c>
      <c r="J23" s="49">
        <f t="shared" si="11"/>
        <v>33.218164903490219</v>
      </c>
      <c r="K23" s="22"/>
      <c r="L23" s="13"/>
    </row>
    <row r="24" spans="1:12" x14ac:dyDescent="0.25">
      <c r="A24" s="18" t="str">
        <f>$A$11</f>
        <v>Business and other services</v>
      </c>
      <c r="B24" s="22">
        <f t="shared" si="8"/>
        <v>30.000012267947461</v>
      </c>
      <c r="C24" s="22">
        <f t="shared" si="8"/>
        <v>30.776072324247817</v>
      </c>
      <c r="D24" s="22">
        <f t="shared" si="8"/>
        <v>32.071652794079071</v>
      </c>
      <c r="E24" s="22">
        <f t="shared" si="8"/>
        <v>32.934148808497952</v>
      </c>
      <c r="F24" s="22">
        <f t="shared" si="8"/>
        <v>33.048771762060206</v>
      </c>
      <c r="G24" s="22"/>
      <c r="H24" s="49">
        <f t="shared" si="9"/>
        <v>5.9237529469163812</v>
      </c>
      <c r="I24" s="49">
        <f t="shared" si="10"/>
        <v>33.781755885574555</v>
      </c>
      <c r="J24" s="49">
        <f t="shared" si="11"/>
        <v>39.705508832490935</v>
      </c>
      <c r="K24" s="22"/>
    </row>
    <row r="25" spans="1:12" x14ac:dyDescent="0.25">
      <c r="A25" s="18" t="str">
        <f>$A$12</f>
        <v>Non-marketed services</v>
      </c>
      <c r="B25" s="22">
        <f t="shared" si="8"/>
        <v>24.410186509319001</v>
      </c>
      <c r="C25" s="22">
        <f t="shared" si="8"/>
        <v>25.596184504815806</v>
      </c>
      <c r="D25" s="22">
        <f t="shared" si="8"/>
        <v>24.785540010346484</v>
      </c>
      <c r="E25" s="22">
        <f t="shared" si="8"/>
        <v>24.937203635174292</v>
      </c>
      <c r="F25" s="22">
        <f t="shared" si="8"/>
        <v>25.311328260897763</v>
      </c>
      <c r="G25" s="45"/>
      <c r="H25" s="49">
        <f t="shared" si="9"/>
        <v>4.9725937493332744</v>
      </c>
      <c r="I25" s="49">
        <f t="shared" si="10"/>
        <v>36.880967258234506</v>
      </c>
      <c r="J25" s="49">
        <f t="shared" si="11"/>
        <v>41.853561007567784</v>
      </c>
      <c r="K25" s="45"/>
      <c r="L25" s="13"/>
    </row>
    <row r="26" spans="1:12" s="286" customFormat="1" x14ac:dyDescent="0.25">
      <c r="A26" s="18"/>
      <c r="B26" s="22"/>
      <c r="C26" s="22"/>
      <c r="D26" s="22"/>
      <c r="E26" s="22"/>
      <c r="F26" s="22"/>
      <c r="G26" s="22"/>
      <c r="H26" s="49"/>
      <c r="I26" s="49"/>
      <c r="J26" s="49"/>
      <c r="K26" s="22"/>
      <c r="L26" s="13"/>
    </row>
    <row r="27" spans="1:12" s="286" customFormat="1" x14ac:dyDescent="0.25">
      <c r="A27" s="28" t="str">
        <f>$A$14</f>
        <v>All industries</v>
      </c>
      <c r="B27" s="30">
        <f t="shared" si="8"/>
        <v>100</v>
      </c>
      <c r="C27" s="30">
        <f t="shared" si="8"/>
        <v>100</v>
      </c>
      <c r="D27" s="30">
        <f t="shared" si="8"/>
        <v>100</v>
      </c>
      <c r="E27" s="30">
        <f t="shared" si="8"/>
        <v>100</v>
      </c>
      <c r="F27" s="30">
        <f t="shared" si="8"/>
        <v>100</v>
      </c>
      <c r="G27" s="22"/>
      <c r="H27" s="52">
        <f>IF(D14&gt;0,(H14/D14)*100,0)</f>
        <v>2.792014529847668</v>
      </c>
      <c r="I27" s="52">
        <f>IF(D14&gt;0,(I14/D14)*100,0)</f>
        <v>33.232566358177465</v>
      </c>
      <c r="J27" s="52">
        <f>IF(D14&gt;0,(J14/D14)*100,0)</f>
        <v>36.024580888025127</v>
      </c>
      <c r="K27" s="22"/>
      <c r="L27" s="13"/>
    </row>
    <row r="28" spans="1:12" s="286" customFormat="1" x14ac:dyDescent="0.25">
      <c r="A28" s="18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13"/>
    </row>
    <row r="29" spans="1:12" x14ac:dyDescent="0.25">
      <c r="A29" s="18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13"/>
    </row>
    <row r="30" spans="1:12" x14ac:dyDescent="0.25">
      <c r="A30" s="18"/>
      <c r="B30" s="22"/>
      <c r="C30" s="22"/>
      <c r="D30" s="22"/>
      <c r="E30" s="22"/>
      <c r="F30" s="22"/>
      <c r="H30" s="22"/>
      <c r="I30" s="22"/>
      <c r="J30" s="22"/>
    </row>
    <row r="31" spans="1:12" ht="15.6" x14ac:dyDescent="0.3">
      <c r="A31" s="287" t="str">
        <f>CONCATENATE(A1," (Continued)")</f>
        <v>Industry Table 1  Employment by Industry Sector (SIC 2007), 2007-2027 (Continued)</v>
      </c>
      <c r="B31" s="22"/>
      <c r="C31" s="22"/>
      <c r="D31" s="22"/>
      <c r="E31" s="22"/>
      <c r="F31" s="22"/>
      <c r="G31" s="77"/>
      <c r="K31" s="77"/>
    </row>
    <row r="32" spans="1:12" x14ac:dyDescent="0.25">
      <c r="G32" s="22"/>
      <c r="H32" s="77"/>
      <c r="I32" s="77"/>
      <c r="J32" s="77"/>
      <c r="K32" s="22"/>
    </row>
    <row r="33" spans="1:11" x14ac:dyDescent="0.25">
      <c r="A33" s="288" t="s">
        <v>14</v>
      </c>
      <c r="B33" s="29" t="str">
        <f>CONCATENATE(B$5,"-",C$5)</f>
        <v>2007-2012</v>
      </c>
      <c r="C33" s="29" t="str">
        <f>CONCATENATE(C$5,"-",D$5)</f>
        <v>2012-2017</v>
      </c>
      <c r="D33" s="29" t="str">
        <f>CONCATENATE(D$5,"-",E$5)</f>
        <v>2017-2022</v>
      </c>
      <c r="E33" s="29" t="str">
        <f>CONCATENATE(E$5,"-",F$5)</f>
        <v>2022-2027</v>
      </c>
      <c r="F33" s="29" t="str">
        <f>CONCATENATE(D$5,"-",F$5)</f>
        <v>2017-2027</v>
      </c>
      <c r="G33" s="22"/>
      <c r="H33" s="22"/>
      <c r="I33" s="22"/>
      <c r="J33" s="22"/>
      <c r="K33" s="22"/>
    </row>
    <row r="34" spans="1:11" x14ac:dyDescent="0.25">
      <c r="A34" s="18" t="str">
        <f>$A$7</f>
        <v>Primary sector and utilities</v>
      </c>
      <c r="B34" s="22">
        <f>IF(C$5-B$5 &lt;&gt; 0,(EXP(LN(C7/B7)/(C$5-B$5))-1)*100,0)</f>
        <v>3.5069243671608907</v>
      </c>
      <c r="C34" s="22">
        <f>IF(D$5-C$5 &lt;&gt; 0,(EXP(LN(D7/C7)/(D$5-C$5))-1)*100,0)</f>
        <v>1.03385563927616</v>
      </c>
      <c r="D34" s="22">
        <f>IF(E$5-D$5 &lt;&gt; 0,(EXP(LN(E7/D7)/(E$5-D$5))-1)*100,0)</f>
        <v>-0.30504389332345339</v>
      </c>
      <c r="E34" s="22">
        <f>IF(F$5-E$5 &lt;&gt; 0,(EXP(LN(F7/E7)/(F$5-E$5))-1)*100,0)</f>
        <v>-6.9658532530003647E-2</v>
      </c>
      <c r="F34" s="22">
        <f>IF(F$5-D$5 &lt;&gt; 0,(EXP(LN(F7/D7)/(F$5-D$5))-1)*100,0)</f>
        <v>-0.18742060078488221</v>
      </c>
      <c r="G34" s="22"/>
      <c r="H34" s="22"/>
      <c r="I34" s="22"/>
      <c r="J34" s="22"/>
      <c r="K34" s="22"/>
    </row>
    <row r="35" spans="1:11" x14ac:dyDescent="0.25">
      <c r="A35" s="18" t="str">
        <f>$A$8</f>
        <v>Manufacturing</v>
      </c>
      <c r="B35" s="22">
        <f t="shared" ref="B35:B41" si="12">IF(C$5-B$5 &lt;&gt; 0,(EXP(LN(C8/B8)/(C$5-B$5))-1)*100,0)</f>
        <v>-2.6727229435902</v>
      </c>
      <c r="C35" s="22">
        <f t="shared" ref="C35:C41" si="13">IF(D$5-C$5 &lt;&gt; 0,(EXP(LN(D8/C8)/(D$5-C$5))-1)*100,0)</f>
        <v>0.54924970771286219</v>
      </c>
      <c r="D35" s="22">
        <f t="shared" ref="D35:E39" si="14">IF(E$5-D$5 &lt;&gt; 0,(EXP(LN(E8/D8)/(E$5-D$5))-1)*100,0)</f>
        <v>-1.0453725077533282</v>
      </c>
      <c r="E35" s="22">
        <f t="shared" si="14"/>
        <v>-0.97197218426661181</v>
      </c>
      <c r="F35" s="22">
        <f t="shared" ref="F35:F41" si="15">IF(F$5-D$5 &lt;&gt; 0,(EXP(LN(F8/D8)/(F$5-D$5))-1)*100,0)</f>
        <v>-1.0086791491408564</v>
      </c>
      <c r="G35" s="22"/>
      <c r="H35" s="22"/>
      <c r="I35" s="22"/>
      <c r="J35" s="22"/>
      <c r="K35" s="22"/>
    </row>
    <row r="36" spans="1:11" x14ac:dyDescent="0.25">
      <c r="A36" s="18" t="str">
        <f>$A$9</f>
        <v>Construction</v>
      </c>
      <c r="B36" s="22">
        <f t="shared" si="12"/>
        <v>-2.2255912507436748</v>
      </c>
      <c r="C36" s="22">
        <f t="shared" si="13"/>
        <v>2.1429587042533171</v>
      </c>
      <c r="D36" s="22">
        <f t="shared" si="14"/>
        <v>0.17945595966306627</v>
      </c>
      <c r="E36" s="22">
        <f t="shared" si="14"/>
        <v>0.25355843769898634</v>
      </c>
      <c r="F36" s="22">
        <f t="shared" si="15"/>
        <v>0.21650034953812902</v>
      </c>
      <c r="G36" s="22"/>
      <c r="H36" s="22"/>
      <c r="I36" s="22"/>
      <c r="J36" s="22"/>
      <c r="K36" s="22"/>
    </row>
    <row r="37" spans="1:11" x14ac:dyDescent="0.25">
      <c r="A37" s="18" t="str">
        <f>$A$10</f>
        <v>Trade, accomod. and transport</v>
      </c>
      <c r="B37" s="22">
        <f t="shared" si="12"/>
        <v>-0.29806668433853822</v>
      </c>
      <c r="C37" s="22">
        <f t="shared" si="13"/>
        <v>1.8700843223290686</v>
      </c>
      <c r="D37" s="22">
        <f t="shared" si="14"/>
        <v>-0.11889036550907228</v>
      </c>
      <c r="E37" s="22">
        <f t="shared" si="14"/>
        <v>0.34606014468905322</v>
      </c>
      <c r="F37" s="22">
        <f t="shared" si="15"/>
        <v>0.11331497209003949</v>
      </c>
      <c r="G37" s="22"/>
      <c r="H37" s="22"/>
      <c r="I37" s="22"/>
      <c r="J37" s="22"/>
      <c r="K37" s="22"/>
    </row>
    <row r="38" spans="1:11" x14ac:dyDescent="0.25">
      <c r="A38" s="18" t="str">
        <f>$A$11</f>
        <v>Business and other services</v>
      </c>
      <c r="B38" s="22">
        <f t="shared" si="12"/>
        <v>0.5184277771963286</v>
      </c>
      <c r="C38" s="22">
        <f t="shared" si="13"/>
        <v>2.6908436319418971</v>
      </c>
      <c r="D38" s="22">
        <f t="shared" si="14"/>
        <v>0.76330339920538393</v>
      </c>
      <c r="E38" s="22">
        <f t="shared" si="14"/>
        <v>0.39134553549382556</v>
      </c>
      <c r="F38" s="22">
        <f t="shared" si="15"/>
        <v>0.57715251908569964</v>
      </c>
      <c r="G38" s="22"/>
      <c r="H38" s="22"/>
      <c r="I38" s="22"/>
      <c r="J38" s="22"/>
      <c r="K38" s="22"/>
    </row>
    <row r="39" spans="1:11" x14ac:dyDescent="0.25">
      <c r="A39" s="18" t="str">
        <f>$A$12</f>
        <v>Non-marketed services</v>
      </c>
      <c r="B39" s="22">
        <f t="shared" si="12"/>
        <v>0.95972563102084685</v>
      </c>
      <c r="C39" s="22">
        <f t="shared" si="13"/>
        <v>1.193990632830122</v>
      </c>
      <c r="D39" s="22">
        <f t="shared" si="14"/>
        <v>0.35228130647688705</v>
      </c>
      <c r="E39" s="22">
        <f t="shared" si="14"/>
        <v>0.6208393825134717</v>
      </c>
      <c r="F39" s="22">
        <f t="shared" si="15"/>
        <v>0.48647062668596419</v>
      </c>
      <c r="G39" s="22"/>
      <c r="H39" s="22"/>
      <c r="I39" s="22"/>
      <c r="J39" s="22"/>
      <c r="K39" s="22"/>
    </row>
    <row r="40" spans="1:11" x14ac:dyDescent="0.25">
      <c r="A40" s="18"/>
      <c r="B40" s="22"/>
      <c r="C40" s="22"/>
      <c r="D40" s="22"/>
      <c r="E40" s="22"/>
      <c r="F40" s="22"/>
      <c r="G40" s="22"/>
      <c r="H40" s="22"/>
      <c r="I40" s="22"/>
      <c r="J40" s="22"/>
      <c r="K40" s="22"/>
    </row>
    <row r="41" spans="1:11" x14ac:dyDescent="0.25">
      <c r="A41" s="18" t="str">
        <f>$A$14</f>
        <v>All industries</v>
      </c>
      <c r="B41" s="22">
        <f t="shared" si="12"/>
        <v>6.2942675480570642E-3</v>
      </c>
      <c r="C41" s="22">
        <f t="shared" si="13"/>
        <v>1.8474341286811802</v>
      </c>
      <c r="D41" s="22">
        <f>IF(E$5-D$5 &lt;&gt; 0,(EXP(LN(E14/D14)/(E$5-D$5))-1)*100,0)</f>
        <v>0.22991833206484902</v>
      </c>
      <c r="E41" s="22">
        <f>IF(F$5-E$5 &lt;&gt; 0,(EXP(LN(F14/E14)/(F$5-E$5))-1)*100,0)</f>
        <v>0.32161132563677253</v>
      </c>
      <c r="F41" s="22">
        <f t="shared" si="15"/>
        <v>0.27575434824573808</v>
      </c>
      <c r="H41" s="22"/>
      <c r="I41" s="22"/>
      <c r="J41" s="22"/>
    </row>
    <row r="42" spans="1:11" x14ac:dyDescent="0.25">
      <c r="A42" s="18"/>
      <c r="B42" s="22"/>
      <c r="C42" s="22"/>
      <c r="D42" s="22"/>
      <c r="E42" s="22"/>
      <c r="F42" s="22"/>
      <c r="G42" s="24"/>
      <c r="K42" s="24"/>
    </row>
    <row r="43" spans="1:11" x14ac:dyDescent="0.25">
      <c r="G43" s="31"/>
      <c r="H43" s="24"/>
      <c r="I43" s="24"/>
      <c r="J43" s="24"/>
      <c r="K43" s="31"/>
    </row>
    <row r="44" spans="1:11" x14ac:dyDescent="0.25">
      <c r="A44" s="1" t="s">
        <v>15</v>
      </c>
      <c r="B44" s="24" t="str">
        <f>CONCATENATE(B$5,"-",C$5)</f>
        <v>2007-2012</v>
      </c>
      <c r="C44" s="24" t="str">
        <f>CONCATENATE(C$5,"-",D$5)</f>
        <v>2012-2017</v>
      </c>
      <c r="D44" s="24" t="str">
        <f>CONCATENATE(D$5,"-",E$5)</f>
        <v>2017-2022</v>
      </c>
      <c r="E44" s="24" t="str">
        <f>CONCATENATE(E$5,"-",F$5)</f>
        <v>2022-2027</v>
      </c>
      <c r="F44" s="24" t="str">
        <f>CONCATENATE(D$5,"-",F$5)</f>
        <v>2017-2027</v>
      </c>
      <c r="G44" s="31"/>
      <c r="H44" s="31"/>
      <c r="I44" s="31"/>
      <c r="J44" s="31"/>
      <c r="K44" s="31"/>
    </row>
    <row r="45" spans="1:11" x14ac:dyDescent="0.25">
      <c r="A45" s="18" t="str">
        <f>$A$7</f>
        <v>Primary sector and utilities</v>
      </c>
      <c r="B45" s="31">
        <f>C7-B7</f>
        <v>129.02199999858055</v>
      </c>
      <c r="C45" s="31">
        <f>D7-C7</f>
        <v>43.01000000257045</v>
      </c>
      <c r="D45" s="31">
        <f>E7-D7</f>
        <v>-13.007000002008454</v>
      </c>
      <c r="E45" s="31">
        <f>F7-E7</f>
        <v>-2.9389999981494839</v>
      </c>
      <c r="F45" s="31">
        <f>F7-D7</f>
        <v>-15.946000000157937</v>
      </c>
      <c r="G45" s="31"/>
      <c r="H45" s="31"/>
      <c r="I45" s="31"/>
      <c r="J45" s="31"/>
      <c r="K45" s="31"/>
    </row>
    <row r="46" spans="1:11" x14ac:dyDescent="0.25">
      <c r="A46" s="18" t="str">
        <f>$A$8</f>
        <v>Manufacturing</v>
      </c>
      <c r="B46" s="31">
        <f t="shared" ref="B46:E52" si="16">C8-B8</f>
        <v>-377.13200000401457</v>
      </c>
      <c r="C46" s="31">
        <f>D8-C8</f>
        <v>72.188000007076425</v>
      </c>
      <c r="D46" s="31">
        <f t="shared" si="16"/>
        <v>-136.77600000590655</v>
      </c>
      <c r="E46" s="31">
        <f t="shared" si="16"/>
        <v>-120.83999999425032</v>
      </c>
      <c r="F46" s="31">
        <f t="shared" ref="F46:F52" si="17">F8-D8</f>
        <v>-257.61600000015687</v>
      </c>
      <c r="G46" s="31"/>
      <c r="H46" s="31"/>
      <c r="I46" s="31"/>
      <c r="J46" s="31"/>
      <c r="K46" s="31"/>
    </row>
    <row r="47" spans="1:11" x14ac:dyDescent="0.25">
      <c r="A47" s="18" t="str">
        <f>$A$9</f>
        <v>Construction</v>
      </c>
      <c r="B47" s="31">
        <f t="shared" si="16"/>
        <v>-244.90800002944661</v>
      </c>
      <c r="C47" s="31">
        <f t="shared" ref="C47:C50" si="18">D9-C9</f>
        <v>229.95300002317254</v>
      </c>
      <c r="D47" s="31">
        <f t="shared" si="16"/>
        <v>20.586000018501636</v>
      </c>
      <c r="E47" s="31">
        <f t="shared" si="16"/>
        <v>29.392000007504521</v>
      </c>
      <c r="F47" s="31">
        <f t="shared" si="17"/>
        <v>49.978000026006157</v>
      </c>
      <c r="G47" s="31"/>
      <c r="H47" s="31"/>
      <c r="I47" s="31"/>
      <c r="J47" s="31"/>
      <c r="K47" s="31"/>
    </row>
    <row r="48" spans="1:11" x14ac:dyDescent="0.25">
      <c r="A48" s="18" t="str">
        <f>$A$10</f>
        <v>Trade, accomod. and transport</v>
      </c>
      <c r="B48" s="31">
        <f t="shared" si="16"/>
        <v>-126.35499999373314</v>
      </c>
      <c r="C48" s="31">
        <f t="shared" si="18"/>
        <v>815.62300009189494</v>
      </c>
      <c r="D48" s="31">
        <f t="shared" si="16"/>
        <v>-54.668000153229514</v>
      </c>
      <c r="E48" s="31">
        <f t="shared" si="16"/>
        <v>159.65900006163065</v>
      </c>
      <c r="F48" s="31">
        <f t="shared" si="17"/>
        <v>104.99099990840114</v>
      </c>
      <c r="G48" s="31"/>
      <c r="H48" s="31"/>
      <c r="I48" s="31"/>
      <c r="J48" s="31"/>
      <c r="K48" s="31"/>
    </row>
    <row r="49" spans="1:11" x14ac:dyDescent="0.25">
      <c r="A49" s="18" t="str">
        <f>$A$11</f>
        <v>Business and other services</v>
      </c>
      <c r="B49" s="31">
        <f t="shared" si="16"/>
        <v>249.78900001890725</v>
      </c>
      <c r="C49" s="31">
        <f t="shared" si="18"/>
        <v>1389.5319999481635</v>
      </c>
      <c r="D49" s="31">
        <f t="shared" si="16"/>
        <v>433.10800003372606</v>
      </c>
      <c r="E49" s="31">
        <f t="shared" si="16"/>
        <v>228.94999998273124</v>
      </c>
      <c r="F49" s="31">
        <f t="shared" si="17"/>
        <v>662.0580000164573</v>
      </c>
      <c r="G49" s="31"/>
      <c r="H49" s="31"/>
      <c r="I49" s="31"/>
      <c r="J49" s="31"/>
      <c r="K49" s="31"/>
    </row>
    <row r="50" spans="1:11" x14ac:dyDescent="0.25">
      <c r="A50" s="18" t="str">
        <f>$A$12</f>
        <v>Non-marketed services</v>
      </c>
      <c r="B50" s="31">
        <f t="shared" si="16"/>
        <v>379.59000000989363</v>
      </c>
      <c r="C50" s="31">
        <f t="shared" si="18"/>
        <v>497.67299992686549</v>
      </c>
      <c r="D50" s="31">
        <f t="shared" si="16"/>
        <v>153.21300010886989</v>
      </c>
      <c r="E50" s="31">
        <f t="shared" si="16"/>
        <v>276.28299994073313</v>
      </c>
      <c r="F50" s="31">
        <f t="shared" si="17"/>
        <v>429.49600004960303</v>
      </c>
      <c r="G50" s="499"/>
      <c r="H50" s="31"/>
      <c r="I50" s="31"/>
      <c r="J50" s="31"/>
      <c r="K50" s="499"/>
    </row>
    <row r="51" spans="1:11" x14ac:dyDescent="0.25">
      <c r="A51" s="18"/>
      <c r="B51" s="31"/>
      <c r="C51" s="31"/>
      <c r="D51" s="31"/>
      <c r="E51" s="31"/>
      <c r="F51" s="31"/>
      <c r="H51" s="499"/>
      <c r="I51" s="499"/>
      <c r="J51" s="499"/>
    </row>
    <row r="52" spans="1:11" x14ac:dyDescent="0.25">
      <c r="A52" s="28" t="str">
        <f>$A$14</f>
        <v>All industries</v>
      </c>
      <c r="B52" s="33">
        <f>C14-B14</f>
        <v>10.006000000186759</v>
      </c>
      <c r="C52" s="33">
        <f>D14-C14</f>
        <v>3047.9789999997411</v>
      </c>
      <c r="D52" s="33">
        <f t="shared" si="16"/>
        <v>402.45599999995466</v>
      </c>
      <c r="E52" s="33">
        <f t="shared" si="16"/>
        <v>570.50500000020111</v>
      </c>
      <c r="F52" s="33">
        <f t="shared" si="17"/>
        <v>972.96100000015576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13"/>
  <sheetViews>
    <sheetView showGridLines="0" zoomScale="85" zoomScaleNormal="85" workbookViewId="0"/>
  </sheetViews>
  <sheetFormatPr defaultRowHeight="13.2" x14ac:dyDescent="0.25"/>
  <cols>
    <col min="1" max="1" width="26.6640625" customWidth="1"/>
    <col min="2" max="6" width="11.6640625" customWidth="1"/>
  </cols>
  <sheetData>
    <row r="1" spans="1:8" ht="15.6" x14ac:dyDescent="0.3">
      <c r="A1" s="23" t="str">
        <f>CONCATENATE("Industry Table 2  Employment by Industry Group (SIC 2007), ",B$3,"-",F$3)</f>
        <v>Industry Table 2  Employment by Industry Group (SIC 2007), 2007-2027</v>
      </c>
    </row>
    <row r="3" spans="1:8" x14ac:dyDescent="0.25">
      <c r="A3" s="26"/>
      <c r="B3" s="27">
        <f>'Ind T3'!B3</f>
        <v>2007</v>
      </c>
      <c r="C3" s="27">
        <f>'Ind T3'!C3</f>
        <v>2012</v>
      </c>
      <c r="D3" s="27">
        <f>'Ind T3'!D3</f>
        <v>2017</v>
      </c>
      <c r="E3" s="27">
        <f>'Ind T3'!E3</f>
        <v>2022</v>
      </c>
      <c r="F3" s="27">
        <f>'Ind T3'!F3</f>
        <v>2027</v>
      </c>
    </row>
    <row r="4" spans="1:8" x14ac:dyDescent="0.25">
      <c r="A4" s="21" t="s">
        <v>13</v>
      </c>
    </row>
    <row r="5" spans="1:8" x14ac:dyDescent="0.25">
      <c r="A5" s="12" t="str">
        <f>name!B4</f>
        <v>Agriculture</v>
      </c>
      <c r="B5" s="13">
        <f t="array" ref="B5:B26">MMULT(aggregation!$B$3:$BX$24,'Ind T3'!B5:B79)</f>
        <v>373.99499999928747</v>
      </c>
      <c r="C5" s="13">
        <f t="array" ref="C5:C26">MMULT(aggregation!$B$3:$BX$24,'Ind T3'!C5:C79)</f>
        <v>422.03399999891894</v>
      </c>
      <c r="D5" s="13">
        <f t="array" ref="D5:D26">MMULT(aggregation!$B$3:$BX$24,'Ind T3'!D5:D79)</f>
        <v>442.01100000123665</v>
      </c>
      <c r="E5" s="13">
        <f t="array" ref="E5:E26">MMULT(aggregation!$B$3:$BX$24,'Ind T3'!E5:E79)</f>
        <v>424.82499999934765</v>
      </c>
      <c r="F5" s="13">
        <f t="array" ref="F5:F26">MMULT(aggregation!$B$3:$BX$24,'Ind T3'!F5:F79)</f>
        <v>419.4320000009501</v>
      </c>
      <c r="G5" s="12"/>
    </row>
    <row r="6" spans="1:8" x14ac:dyDescent="0.25">
      <c r="A6" s="12" t="str">
        <f>name!B5</f>
        <v>Mining and quarrying</v>
      </c>
      <c r="B6" s="13">
        <v>68.00399999997606</v>
      </c>
      <c r="C6" s="13">
        <v>77.000999999858578</v>
      </c>
      <c r="D6" s="13">
        <v>64.003999999661374</v>
      </c>
      <c r="E6" s="13">
        <v>61.19099999992126</v>
      </c>
      <c r="F6" s="13">
        <v>55.927999999928552</v>
      </c>
    </row>
    <row r="7" spans="1:8" x14ac:dyDescent="0.25">
      <c r="A7" s="12" t="str">
        <f>name!B6</f>
        <v>Food drink and tobacco</v>
      </c>
      <c r="B7" s="13">
        <v>432.28399999739617</v>
      </c>
      <c r="C7" s="13">
        <v>403.12399999634022</v>
      </c>
      <c r="D7" s="13">
        <v>436.89199999930247</v>
      </c>
      <c r="E7" s="13">
        <v>415.71299999578639</v>
      </c>
      <c r="F7" s="13">
        <v>403.42699999834389</v>
      </c>
      <c r="G7" s="13"/>
    </row>
    <row r="8" spans="1:8" x14ac:dyDescent="0.25">
      <c r="A8" s="12" t="str">
        <f>name!B7</f>
        <v>Engineering</v>
      </c>
      <c r="B8" s="13">
        <v>495.81599999827222</v>
      </c>
      <c r="C8" s="13">
        <v>422.07399999810599</v>
      </c>
      <c r="D8" s="13">
        <v>396.93399999873714</v>
      </c>
      <c r="E8" s="13">
        <v>398.75099999858503</v>
      </c>
      <c r="F8" s="13">
        <v>376.91199999897333</v>
      </c>
      <c r="G8" s="13"/>
    </row>
    <row r="9" spans="1:8" x14ac:dyDescent="0.25">
      <c r="A9" s="12" t="str">
        <f>name!B8</f>
        <v>Rest of manufacturing</v>
      </c>
      <c r="B9" s="13">
        <v>2048.9189999933137</v>
      </c>
      <c r="C9" s="13">
        <v>1774.6889999905211</v>
      </c>
      <c r="D9" s="13">
        <v>1838.2489999940042</v>
      </c>
      <c r="E9" s="13">
        <v>1720.8349999917655</v>
      </c>
      <c r="F9" s="13">
        <v>1634.1199999945695</v>
      </c>
      <c r="G9" s="13"/>
    </row>
    <row r="10" spans="1:8" x14ac:dyDescent="0.25">
      <c r="A10" s="12" t="str">
        <f>name!B9</f>
        <v>Electricity and gas</v>
      </c>
      <c r="B10" s="13">
        <v>84.992999999709241</v>
      </c>
      <c r="C10" s="13">
        <v>121.98799999957234</v>
      </c>
      <c r="D10" s="13">
        <v>143.9989999994973</v>
      </c>
      <c r="E10" s="13">
        <v>144.44599999965675</v>
      </c>
      <c r="F10" s="13">
        <v>145.17299999955003</v>
      </c>
      <c r="G10" s="13"/>
    </row>
    <row r="11" spans="1:8" x14ac:dyDescent="0.25">
      <c r="A11" s="12" t="str">
        <f>name!B10</f>
        <v>Water and sewerage</v>
      </c>
      <c r="B11" s="13">
        <v>158.9899999995512</v>
      </c>
      <c r="C11" s="13">
        <v>193.98099999875461</v>
      </c>
      <c r="D11" s="13">
        <v>207.99999999927968</v>
      </c>
      <c r="E11" s="13">
        <v>214.54499999874088</v>
      </c>
      <c r="F11" s="13">
        <v>221.53499999908831</v>
      </c>
      <c r="G11" s="13"/>
    </row>
    <row r="12" spans="1:8" x14ac:dyDescent="0.25">
      <c r="A12" s="12" t="str">
        <f>name!B11</f>
        <v>Construction</v>
      </c>
      <c r="B12" s="13">
        <v>2301.0030000110032</v>
      </c>
      <c r="C12" s="13">
        <v>2056.0949999815566</v>
      </c>
      <c r="D12" s="13">
        <v>2286.0480000047291</v>
      </c>
      <c r="E12" s="13">
        <v>2306.6340000232308</v>
      </c>
      <c r="F12" s="13">
        <v>2336.0260000307353</v>
      </c>
      <c r="G12" s="13"/>
      <c r="H12" s="18"/>
    </row>
    <row r="13" spans="1:8" x14ac:dyDescent="0.25">
      <c r="A13" s="12" t="str">
        <f>name!B12</f>
        <v>Wholesale and retail trade</v>
      </c>
      <c r="B13" s="13">
        <v>5012.996000006111</v>
      </c>
      <c r="C13" s="13">
        <v>4840.7770000078981</v>
      </c>
      <c r="D13" s="13">
        <v>4980.1460000528386</v>
      </c>
      <c r="E13" s="13">
        <v>4996.6649999680012</v>
      </c>
      <c r="F13" s="13">
        <v>5045.830000002743</v>
      </c>
      <c r="G13" s="13"/>
    </row>
    <row r="14" spans="1:8" x14ac:dyDescent="0.25">
      <c r="A14" s="12" t="str">
        <f>name!B13</f>
        <v>Transport and storage</v>
      </c>
      <c r="B14" s="13">
        <v>1504.0029999935571</v>
      </c>
      <c r="C14" s="13">
        <v>1507.9670000006272</v>
      </c>
      <c r="D14" s="13">
        <v>1803.0430000179445</v>
      </c>
      <c r="E14" s="13">
        <v>1768.919999987545</v>
      </c>
      <c r="F14" s="13">
        <v>1769.4869999931366</v>
      </c>
      <c r="G14" s="13"/>
    </row>
    <row r="15" spans="1:8" x14ac:dyDescent="0.25">
      <c r="A15" s="12" t="str">
        <f>name!B14</f>
        <v>Accommodation and food</v>
      </c>
      <c r="B15" s="13">
        <v>2011.9979999949289</v>
      </c>
      <c r="C15" s="13">
        <v>2053.8979999923381</v>
      </c>
      <c r="D15" s="13">
        <v>2435.0760000219766</v>
      </c>
      <c r="E15" s="13">
        <v>2398.0119999839822</v>
      </c>
      <c r="F15" s="13">
        <v>2507.9390000052799</v>
      </c>
      <c r="G15" s="13"/>
    </row>
    <row r="16" spans="1:8" x14ac:dyDescent="0.25">
      <c r="A16" s="12" t="str">
        <f>name!B15</f>
        <v>Media</v>
      </c>
      <c r="B16" s="13">
        <v>356.9169999991974</v>
      </c>
      <c r="C16" s="13">
        <v>373.49800000086202</v>
      </c>
      <c r="D16" s="13">
        <v>394.24399999736482</v>
      </c>
      <c r="E16" s="13">
        <v>398.85199999881922</v>
      </c>
      <c r="F16" s="13">
        <v>403.50399999736345</v>
      </c>
      <c r="G16" s="13"/>
    </row>
    <row r="17" spans="1:7" x14ac:dyDescent="0.25">
      <c r="A17" s="12" t="str">
        <f>name!B16</f>
        <v>Information technology</v>
      </c>
      <c r="B17" s="13">
        <v>894.08799999886185</v>
      </c>
      <c r="C17" s="13">
        <v>849.47700000136092</v>
      </c>
      <c r="D17" s="13">
        <v>1102.7999999907265</v>
      </c>
      <c r="E17" s="13">
        <v>1147.5530000012718</v>
      </c>
      <c r="F17" s="13">
        <v>1188.3419999957659</v>
      </c>
      <c r="G17" s="13"/>
    </row>
    <row r="18" spans="1:7" x14ac:dyDescent="0.25">
      <c r="A18" s="12" t="str">
        <f>name!B17</f>
        <v>Finance and insurance</v>
      </c>
      <c r="B18" s="13">
        <v>1180.0009999978142</v>
      </c>
      <c r="C18" s="13">
        <v>1144.9430000015018</v>
      </c>
      <c r="D18" s="13">
        <v>1134.0389999918809</v>
      </c>
      <c r="E18" s="13">
        <v>1136.6719999969075</v>
      </c>
      <c r="F18" s="13">
        <v>1122.6319999933098</v>
      </c>
      <c r="G18" s="13"/>
    </row>
    <row r="19" spans="1:7" x14ac:dyDescent="0.25">
      <c r="A19" s="12" t="str">
        <f>name!B18</f>
        <v>Real estate</v>
      </c>
      <c r="B19" s="13">
        <v>442.99699999944011</v>
      </c>
      <c r="C19" s="13">
        <v>491.98299999944902</v>
      </c>
      <c r="D19" s="13">
        <v>546.01899999880891</v>
      </c>
      <c r="E19" s="13">
        <v>556.52799999846707</v>
      </c>
      <c r="F19" s="13">
        <v>570.10899999955313</v>
      </c>
      <c r="G19" s="13"/>
    </row>
    <row r="20" spans="1:7" x14ac:dyDescent="0.25">
      <c r="A20" s="12" t="str">
        <f>name!B19</f>
        <v>Professional services</v>
      </c>
      <c r="B20" s="13">
        <v>2268.9989999969357</v>
      </c>
      <c r="C20" s="13">
        <v>2528.9640000045051</v>
      </c>
      <c r="D20" s="13">
        <v>3014.0879999685353</v>
      </c>
      <c r="E20" s="13">
        <v>3166.5210000062625</v>
      </c>
      <c r="F20" s="13">
        <v>3236.19099998703</v>
      </c>
      <c r="G20" s="13"/>
    </row>
    <row r="21" spans="1:7" s="286" customFormat="1" x14ac:dyDescent="0.25">
      <c r="A21" s="12" t="str">
        <f>name!B20</f>
        <v>Support services</v>
      </c>
      <c r="B21" s="13">
        <v>2546.0019999911133</v>
      </c>
      <c r="C21" s="13">
        <v>2613.9029999911172</v>
      </c>
      <c r="D21" s="13">
        <v>2997.0850000033129</v>
      </c>
      <c r="E21" s="13">
        <v>3120.143999982587</v>
      </c>
      <c r="F21" s="13">
        <v>3193.7409999954671</v>
      </c>
      <c r="G21" s="13"/>
    </row>
    <row r="22" spans="1:7" s="286" customFormat="1" x14ac:dyDescent="0.25">
      <c r="A22" s="12" t="str">
        <f>name!B21</f>
        <v>Public admin. and defence</v>
      </c>
      <c r="B22" s="13">
        <v>1571.9999999991799</v>
      </c>
      <c r="C22" s="13">
        <v>1389.9119999994225</v>
      </c>
      <c r="D22" s="13">
        <v>1330.0479999937118</v>
      </c>
      <c r="E22" s="13">
        <v>1306.8430000034846</v>
      </c>
      <c r="F22" s="13">
        <v>1323.1529999996937</v>
      </c>
      <c r="G22" s="13"/>
    </row>
    <row r="23" spans="1:7" s="286" customFormat="1" x14ac:dyDescent="0.25">
      <c r="A23" s="12" t="str">
        <f>name!B22</f>
        <v>Education</v>
      </c>
      <c r="B23" s="13">
        <v>2590.9980000533205</v>
      </c>
      <c r="C23" s="13">
        <v>2764.8700000620011</v>
      </c>
      <c r="D23" s="13">
        <v>2926.0890000192853</v>
      </c>
      <c r="E23" s="13">
        <v>2888.1510000897474</v>
      </c>
      <c r="F23" s="13">
        <v>2935.584000038913</v>
      </c>
      <c r="G23" s="13"/>
    </row>
    <row r="24" spans="1:7" s="286" customFormat="1" x14ac:dyDescent="0.25">
      <c r="A24" s="12" t="str">
        <f>name!B23</f>
        <v>Health and social work</v>
      </c>
      <c r="B24" s="13">
        <v>3597.0019999730803</v>
      </c>
      <c r="C24" s="13">
        <v>3984.8079999740512</v>
      </c>
      <c r="D24" s="13">
        <v>4381.1259999493423</v>
      </c>
      <c r="E24" s="13">
        <v>4595.4819999779784</v>
      </c>
      <c r="F24" s="13">
        <v>4808.0219999733354</v>
      </c>
      <c r="G24" s="13"/>
    </row>
    <row r="25" spans="1:7" s="286" customFormat="1" x14ac:dyDescent="0.25">
      <c r="A25" s="12" t="str">
        <f>name!B24</f>
        <v>Arts and entertainment</v>
      </c>
      <c r="B25" s="13">
        <v>869.0009999984519</v>
      </c>
      <c r="C25" s="13">
        <v>901.00499999988631</v>
      </c>
      <c r="D25" s="13">
        <v>981.02599999688744</v>
      </c>
      <c r="E25" s="13">
        <v>1041.4049999970255</v>
      </c>
      <c r="F25" s="13">
        <v>1070.5299999960994</v>
      </c>
      <c r="G25" s="13"/>
    </row>
    <row r="26" spans="1:7" s="286" customFormat="1" x14ac:dyDescent="0.25">
      <c r="A26" s="12" t="str">
        <f>name!B25</f>
        <v>Other services</v>
      </c>
      <c r="B26" s="13">
        <v>979.00099999956262</v>
      </c>
      <c r="C26" s="13">
        <v>883.02200000159814</v>
      </c>
      <c r="D26" s="13">
        <v>1007.0260000009291</v>
      </c>
      <c r="E26" s="13">
        <v>1041.7600000008347</v>
      </c>
      <c r="F26" s="13">
        <v>1053.3360000003177</v>
      </c>
      <c r="G26" s="13"/>
    </row>
    <row r="27" spans="1:7" s="286" customFormat="1" x14ac:dyDescent="0.25">
      <c r="A27" s="18"/>
      <c r="B27" s="13"/>
      <c r="C27" s="13"/>
      <c r="D27" s="13"/>
      <c r="E27" s="13"/>
      <c r="F27" s="13"/>
      <c r="G27" s="13"/>
    </row>
    <row r="28" spans="1:7" x14ac:dyDescent="0.25">
      <c r="A28" s="12" t="str">
        <f>name!B3</f>
        <v>All industries</v>
      </c>
      <c r="B28" s="13">
        <f>SUM(B5:B26)</f>
        <v>31790.007000000063</v>
      </c>
      <c r="C28" s="13">
        <f t="shared" ref="C28:F28" si="0">SUM(C5:C26)</f>
        <v>31800.013000000246</v>
      </c>
      <c r="D28" s="13">
        <f t="shared" si="0"/>
        <v>34847.991999999991</v>
      </c>
      <c r="E28" s="13">
        <f t="shared" si="0"/>
        <v>35250.447999999946</v>
      </c>
      <c r="F28" s="13">
        <f t="shared" si="0"/>
        <v>35820.953000000147</v>
      </c>
      <c r="G28" s="13"/>
    </row>
    <row r="29" spans="1:7" x14ac:dyDescent="0.25">
      <c r="A29" s="18"/>
      <c r="B29" s="13"/>
      <c r="C29" s="13"/>
      <c r="D29" s="13"/>
      <c r="E29" s="13"/>
      <c r="F29" s="13"/>
      <c r="G29" s="13"/>
    </row>
    <row r="31" spans="1:7" x14ac:dyDescent="0.25">
      <c r="A31" s="78" t="s">
        <v>515</v>
      </c>
      <c r="B31" s="20">
        <f>B$3</f>
        <v>2007</v>
      </c>
      <c r="C31" s="20">
        <f>C$3</f>
        <v>2012</v>
      </c>
      <c r="D31" s="20">
        <f>D$3</f>
        <v>2017</v>
      </c>
      <c r="E31" s="20">
        <f>E$3</f>
        <v>2022</v>
      </c>
      <c r="F31" s="20">
        <f>F$3</f>
        <v>2027</v>
      </c>
      <c r="G31" s="13"/>
    </row>
    <row r="32" spans="1:7" x14ac:dyDescent="0.25">
      <c r="A32" s="18" t="str">
        <f>$A$5</f>
        <v>Agriculture</v>
      </c>
      <c r="B32" s="22">
        <f>B5/B$28*100</f>
        <v>1.1764546009671741</v>
      </c>
      <c r="C32" s="22">
        <f t="shared" ref="C32:E32" si="1">C5/C$28*100</f>
        <v>1.3271504008470552</v>
      </c>
      <c r="D32" s="22">
        <f t="shared" si="1"/>
        <v>1.2683973297550022</v>
      </c>
      <c r="E32" s="22">
        <f t="shared" si="1"/>
        <v>1.2051619882940163</v>
      </c>
      <c r="F32" s="22">
        <f>F5/F$28*100</f>
        <v>1.1709124545093716</v>
      </c>
    </row>
    <row r="33" spans="1:6" x14ac:dyDescent="0.25">
      <c r="A33" s="18" t="str">
        <f>$A$6</f>
        <v>Mining and quarrying</v>
      </c>
      <c r="B33" s="22">
        <f t="shared" ref="B33:F53" si="2">B6/B$28*100</f>
        <v>0.21391627878526712</v>
      </c>
      <c r="C33" s="22">
        <f t="shared" si="2"/>
        <v>0.24214141044488877</v>
      </c>
      <c r="D33" s="22">
        <f t="shared" si="2"/>
        <v>0.18366624969284137</v>
      </c>
      <c r="E33" s="22">
        <f t="shared" si="2"/>
        <v>0.17358928317711411</v>
      </c>
      <c r="F33" s="22">
        <f t="shared" si="2"/>
        <v>0.15613208280619537</v>
      </c>
    </row>
    <row r="34" spans="1:6" x14ac:dyDescent="0.25">
      <c r="A34" s="18" t="str">
        <f>$A$7</f>
        <v>Food drink and tobacco</v>
      </c>
      <c r="B34" s="22">
        <f t="shared" si="2"/>
        <v>1.359810961971148</v>
      </c>
      <c r="C34" s="22">
        <f t="shared" si="2"/>
        <v>1.2676850163436635</v>
      </c>
      <c r="D34" s="22">
        <f t="shared" si="2"/>
        <v>1.2537078176536043</v>
      </c>
      <c r="E34" s="22">
        <f t="shared" si="2"/>
        <v>1.1793126714184938</v>
      </c>
      <c r="F34" s="22">
        <f t="shared" si="2"/>
        <v>1.1262319011957673</v>
      </c>
    </row>
    <row r="35" spans="1:6" x14ac:dyDescent="0.25">
      <c r="A35" s="18" t="str">
        <f>$A$8</f>
        <v>Engineering</v>
      </c>
      <c r="B35" s="22">
        <f t="shared" si="2"/>
        <v>1.55965992709052</v>
      </c>
      <c r="C35" s="22">
        <f t="shared" si="2"/>
        <v>1.3272761869565988</v>
      </c>
      <c r="D35" s="22">
        <f t="shared" si="2"/>
        <v>1.1390441090514978</v>
      </c>
      <c r="E35" s="22">
        <f t="shared" si="2"/>
        <v>1.1311941340393337</v>
      </c>
      <c r="F35" s="22">
        <f t="shared" si="2"/>
        <v>1.0522109783035973</v>
      </c>
    </row>
    <row r="36" spans="1:6" x14ac:dyDescent="0.25">
      <c r="A36" s="18" t="str">
        <f>$A$9</f>
        <v>Rest of manufacturing</v>
      </c>
      <c r="B36" s="22">
        <f t="shared" si="2"/>
        <v>6.4451668727009386</v>
      </c>
      <c r="C36" s="22">
        <f t="shared" si="2"/>
        <v>5.5807807373868288</v>
      </c>
      <c r="D36" s="22">
        <f t="shared" si="2"/>
        <v>5.2750499942550624</v>
      </c>
      <c r="E36" s="22">
        <f t="shared" si="2"/>
        <v>4.8817393753173528</v>
      </c>
      <c r="F36" s="22">
        <f t="shared" si="2"/>
        <v>4.5619110133517742</v>
      </c>
    </row>
    <row r="37" spans="1:6" x14ac:dyDescent="0.25">
      <c r="A37" s="18" t="str">
        <f>$A$10</f>
        <v>Electricity and gas</v>
      </c>
      <c r="B37" s="22">
        <f t="shared" si="2"/>
        <v>0.26735760076966664</v>
      </c>
      <c r="C37" s="22">
        <f t="shared" si="2"/>
        <v>0.38360990607007422</v>
      </c>
      <c r="D37" s="22">
        <f t="shared" si="2"/>
        <v>0.41322036575162596</v>
      </c>
      <c r="E37" s="22">
        <f t="shared" si="2"/>
        <v>0.4097706786582031</v>
      </c>
      <c r="F37" s="22">
        <f t="shared" si="2"/>
        <v>0.4052739747028769</v>
      </c>
    </row>
    <row r="38" spans="1:6" x14ac:dyDescent="0.25">
      <c r="A38" s="18" t="str">
        <f>$A$11</f>
        <v>Water and sewerage</v>
      </c>
      <c r="B38" s="22">
        <f t="shared" si="2"/>
        <v>0.50012571560475239</v>
      </c>
      <c r="C38" s="22">
        <f t="shared" si="2"/>
        <v>0.61000289527791429</v>
      </c>
      <c r="D38" s="22">
        <f t="shared" si="2"/>
        <v>0.5968780066274112</v>
      </c>
      <c r="E38" s="22">
        <f t="shared" si="2"/>
        <v>0.60863056264913629</v>
      </c>
      <c r="F38" s="22">
        <f t="shared" si="2"/>
        <v>0.61845088264147352</v>
      </c>
    </row>
    <row r="39" spans="1:6" x14ac:dyDescent="0.25">
      <c r="A39" s="18" t="str">
        <f>$A$12</f>
        <v>Construction</v>
      </c>
      <c r="B39" s="22">
        <f t="shared" si="2"/>
        <v>7.2381330397662342</v>
      </c>
      <c r="C39" s="22">
        <f t="shared" si="2"/>
        <v>6.4657049038990664</v>
      </c>
      <c r="D39" s="22">
        <f t="shared" si="2"/>
        <v>6.560056602414079</v>
      </c>
      <c r="E39" s="22">
        <f t="shared" si="2"/>
        <v>6.5435593897224624</v>
      </c>
      <c r="F39" s="22">
        <f t="shared" si="2"/>
        <v>6.5213954526299895</v>
      </c>
    </row>
    <row r="40" spans="1:6" x14ac:dyDescent="0.25">
      <c r="A40" s="18" t="str">
        <f>$A$13</f>
        <v>Wholesale and retail trade</v>
      </c>
      <c r="B40" s="22">
        <f t="shared" si="2"/>
        <v>15.769093728120604</v>
      </c>
      <c r="C40" s="22">
        <f t="shared" si="2"/>
        <v>15.222562959354327</v>
      </c>
      <c r="D40" s="22">
        <f t="shared" si="2"/>
        <v>14.291055852092827</v>
      </c>
      <c r="E40" s="22">
        <f t="shared" si="2"/>
        <v>14.174756020031317</v>
      </c>
      <c r="F40" s="22">
        <f t="shared" si="2"/>
        <v>14.086252814107771</v>
      </c>
    </row>
    <row r="41" spans="1:6" x14ac:dyDescent="0.25">
      <c r="A41" s="18" t="str">
        <f>$A$14</f>
        <v>Transport and storage</v>
      </c>
      <c r="B41" s="22">
        <f t="shared" si="2"/>
        <v>4.7310558943681702</v>
      </c>
      <c r="C41" s="22">
        <f t="shared" si="2"/>
        <v>4.7420326526300967</v>
      </c>
      <c r="D41" s="22">
        <f t="shared" si="2"/>
        <v>5.1740226524901205</v>
      </c>
      <c r="E41" s="22">
        <f t="shared" si="2"/>
        <v>5.0181489891633371</v>
      </c>
      <c r="F41" s="22">
        <f t="shared" si="2"/>
        <v>4.9398099486441058</v>
      </c>
    </row>
    <row r="42" spans="1:6" x14ac:dyDescent="0.25">
      <c r="A42" s="18" t="str">
        <f>$A$15</f>
        <v>Accommodation and food</v>
      </c>
      <c r="B42" s="22">
        <f t="shared" si="2"/>
        <v>6.329026602589062</v>
      </c>
      <c r="C42" s="22">
        <f t="shared" si="2"/>
        <v>6.4587961017258779</v>
      </c>
      <c r="D42" s="22">
        <f t="shared" si="2"/>
        <v>6.9877082157903878</v>
      </c>
      <c r="E42" s="22">
        <f t="shared" si="2"/>
        <v>6.8027844638569865</v>
      </c>
      <c r="F42" s="22">
        <f t="shared" si="2"/>
        <v>7.0013184741491097</v>
      </c>
    </row>
    <row r="43" spans="1:6" x14ac:dyDescent="0.25">
      <c r="A43" s="18" t="str">
        <f>$A$16</f>
        <v>Media</v>
      </c>
      <c r="B43" s="22">
        <f t="shared" si="2"/>
        <v>1.1227333167910176</v>
      </c>
      <c r="C43" s="22">
        <f t="shared" si="2"/>
        <v>1.1745215324310059</v>
      </c>
      <c r="D43" s="22">
        <f t="shared" si="2"/>
        <v>1.1313248694425921</v>
      </c>
      <c r="E43" s="22">
        <f t="shared" si="2"/>
        <v>1.1314806552212324</v>
      </c>
      <c r="F43" s="22">
        <f t="shared" si="2"/>
        <v>1.1264468591814454</v>
      </c>
    </row>
    <row r="44" spans="1:6" x14ac:dyDescent="0.25">
      <c r="A44" s="18" t="str">
        <f>$A$17</f>
        <v>Information technology</v>
      </c>
      <c r="B44" s="22">
        <f t="shared" si="2"/>
        <v>2.8124812932531285</v>
      </c>
      <c r="C44" s="22">
        <f t="shared" si="2"/>
        <v>2.6713102287139137</v>
      </c>
      <c r="D44" s="22">
        <f t="shared" si="2"/>
        <v>3.1646012774300645</v>
      </c>
      <c r="E44" s="22">
        <f t="shared" si="2"/>
        <v>3.2554281295978806</v>
      </c>
      <c r="F44" s="22">
        <f t="shared" si="2"/>
        <v>3.3174494268641066</v>
      </c>
    </row>
    <row r="45" spans="1:6" x14ac:dyDescent="0.25">
      <c r="A45" s="18" t="str">
        <f>$A$18</f>
        <v>Finance and insurance</v>
      </c>
      <c r="B45" s="22">
        <f t="shared" si="2"/>
        <v>3.7118614034838431</v>
      </c>
      <c r="C45" s="22">
        <f t="shared" si="2"/>
        <v>3.6004482136579403</v>
      </c>
      <c r="D45" s="22">
        <f t="shared" si="2"/>
        <v>3.2542448930540422</v>
      </c>
      <c r="E45" s="22">
        <f t="shared" si="2"/>
        <v>3.2245604367834115</v>
      </c>
      <c r="F45" s="22">
        <f t="shared" si="2"/>
        <v>3.1340093045355468</v>
      </c>
    </row>
    <row r="46" spans="1:6" x14ac:dyDescent="0.25">
      <c r="A46" s="18" t="str">
        <f>$A$19</f>
        <v>Real estate</v>
      </c>
      <c r="B46" s="22">
        <f t="shared" si="2"/>
        <v>1.3935102310592105</v>
      </c>
      <c r="C46" s="22">
        <f t="shared" si="2"/>
        <v>1.5471157197308227</v>
      </c>
      <c r="D46" s="22">
        <f t="shared" si="2"/>
        <v>1.5668592899091833</v>
      </c>
      <c r="E46" s="22">
        <f t="shared" si="2"/>
        <v>1.5787827717777314</v>
      </c>
      <c r="F46" s="22">
        <f t="shared" si="2"/>
        <v>1.59155173788802</v>
      </c>
    </row>
    <row r="47" spans="1:6" s="286" customFormat="1" x14ac:dyDescent="0.25">
      <c r="A47" s="12" t="str">
        <f>$A$20</f>
        <v>Professional services</v>
      </c>
      <c r="B47" s="22">
        <f t="shared" si="2"/>
        <v>7.1374598942269216</v>
      </c>
      <c r="C47" s="22">
        <f t="shared" si="2"/>
        <v>7.9527137300367947</v>
      </c>
      <c r="D47" s="22">
        <f t="shared" si="2"/>
        <v>8.6492444097454335</v>
      </c>
      <c r="E47" s="22">
        <f t="shared" si="2"/>
        <v>8.9829241319323589</v>
      </c>
      <c r="F47" s="22">
        <f t="shared" si="2"/>
        <v>9.0343520452597019</v>
      </c>
    </row>
    <row r="48" spans="1:6" x14ac:dyDescent="0.25">
      <c r="A48" s="12" t="str">
        <f>$A$21</f>
        <v>Support services</v>
      </c>
      <c r="B48" s="22">
        <f t="shared" si="2"/>
        <v>8.0088123289532707</v>
      </c>
      <c r="C48" s="22">
        <f t="shared" si="2"/>
        <v>8.2198173943862756</v>
      </c>
      <c r="D48" s="22">
        <f t="shared" si="2"/>
        <v>8.6004525024090732</v>
      </c>
      <c r="E48" s="22">
        <f t="shared" si="2"/>
        <v>8.8513598464978145</v>
      </c>
      <c r="F48" s="22">
        <f t="shared" si="2"/>
        <v>8.9158459854361052</v>
      </c>
    </row>
    <row r="49" spans="1:6" s="286" customFormat="1" x14ac:dyDescent="0.25">
      <c r="A49" s="12" t="str">
        <f>$A$22</f>
        <v>Public admin. and defence</v>
      </c>
      <c r="B49" s="22">
        <f t="shared" si="2"/>
        <v>4.9449501536730605</v>
      </c>
      <c r="C49" s="22">
        <f t="shared" si="2"/>
        <v>4.3707906660271227</v>
      </c>
      <c r="D49" s="22">
        <f t="shared" si="2"/>
        <v>3.816713456527745</v>
      </c>
      <c r="E49" s="22">
        <f t="shared" si="2"/>
        <v>3.7073089113746489</v>
      </c>
      <c r="F49" s="22">
        <f t="shared" si="2"/>
        <v>3.6937961979953138</v>
      </c>
    </row>
    <row r="50" spans="1:6" s="286" customFormat="1" x14ac:dyDescent="0.25">
      <c r="A50" s="12" t="str">
        <f>$A$23</f>
        <v>Education</v>
      </c>
      <c r="B50" s="22">
        <f t="shared" si="2"/>
        <v>8.1503536631914404</v>
      </c>
      <c r="C50" s="22">
        <f t="shared" si="2"/>
        <v>8.6945561942442584</v>
      </c>
      <c r="D50" s="22">
        <f t="shared" si="2"/>
        <v>8.3967219689997812</v>
      </c>
      <c r="E50" s="22">
        <f t="shared" si="2"/>
        <v>8.1932320408800248</v>
      </c>
      <c r="F50" s="22">
        <f t="shared" si="2"/>
        <v>8.1951588502932928</v>
      </c>
    </row>
    <row r="51" spans="1:6" s="286" customFormat="1" x14ac:dyDescent="0.25">
      <c r="A51" s="12" t="str">
        <f>$A$24</f>
        <v>Health and social work</v>
      </c>
      <c r="B51" s="22">
        <f t="shared" si="2"/>
        <v>11.314882692454498</v>
      </c>
      <c r="C51" s="22">
        <f t="shared" si="2"/>
        <v>12.530837644544423</v>
      </c>
      <c r="D51" s="22">
        <f t="shared" si="2"/>
        <v>12.572104584818957</v>
      </c>
      <c r="E51" s="22">
        <f t="shared" si="2"/>
        <v>13.036662682919619</v>
      </c>
      <c r="F51" s="22">
        <f t="shared" si="2"/>
        <v>13.422373212609157</v>
      </c>
    </row>
    <row r="52" spans="1:6" s="286" customFormat="1" x14ac:dyDescent="0.25">
      <c r="A52" s="12" t="str">
        <f>$A$25</f>
        <v>Arts and entertainment</v>
      </c>
      <c r="B52" s="22">
        <f t="shared" si="2"/>
        <v>2.7335665575614692</v>
      </c>
      <c r="C52" s="22">
        <f t="shared" si="2"/>
        <v>2.8333478983165175</v>
      </c>
      <c r="D52" s="22">
        <f t="shared" si="2"/>
        <v>2.8151579006241958</v>
      </c>
      <c r="E52" s="22">
        <f t="shared" si="2"/>
        <v>2.9543028786386687</v>
      </c>
      <c r="F52" s="22">
        <f t="shared" si="2"/>
        <v>2.9885581212652128</v>
      </c>
    </row>
    <row r="53" spans="1:6" s="286" customFormat="1" x14ac:dyDescent="0.25">
      <c r="A53" s="12" t="str">
        <f>$A$26</f>
        <v>Other services</v>
      </c>
      <c r="B53" s="22">
        <f t="shared" si="2"/>
        <v>3.0795872426186022</v>
      </c>
      <c r="C53" s="22">
        <f t="shared" si="2"/>
        <v>2.7767976069745357</v>
      </c>
      <c r="D53" s="22">
        <f t="shared" si="2"/>
        <v>2.8897676514644788</v>
      </c>
      <c r="E53" s="22">
        <f t="shared" si="2"/>
        <v>2.9553099580488631</v>
      </c>
      <c r="F53" s="22">
        <f t="shared" si="2"/>
        <v>2.9405582816300653</v>
      </c>
    </row>
    <row r="54" spans="1:6" x14ac:dyDescent="0.25">
      <c r="B54" s="22"/>
      <c r="C54" s="22"/>
      <c r="D54" s="22"/>
      <c r="E54" s="22"/>
      <c r="F54" s="22"/>
    </row>
    <row r="55" spans="1:6" x14ac:dyDescent="0.25">
      <c r="A55" s="28" t="str">
        <f>$A$28</f>
        <v>All industries</v>
      </c>
      <c r="B55" s="30">
        <f>B28/B$28*100</f>
        <v>100</v>
      </c>
      <c r="C55" s="30">
        <f>C28/C$28*100</f>
        <v>100</v>
      </c>
      <c r="D55" s="30">
        <f>D28/D$28*100</f>
        <v>100</v>
      </c>
      <c r="E55" s="30">
        <f>E28/E$28*100</f>
        <v>100</v>
      </c>
      <c r="F55" s="30">
        <f>F28/F$28*100</f>
        <v>100</v>
      </c>
    </row>
    <row r="56" spans="1:6" x14ac:dyDescent="0.25">
      <c r="A56" s="44"/>
      <c r="B56" s="45"/>
      <c r="C56" s="45"/>
      <c r="D56" s="45"/>
      <c r="E56" s="45"/>
      <c r="F56" s="45"/>
    </row>
    <row r="57" spans="1:6" x14ac:dyDescent="0.25">
      <c r="A57" s="44"/>
      <c r="B57" s="45"/>
      <c r="C57" s="45"/>
      <c r="D57" s="45"/>
      <c r="E57" s="45"/>
      <c r="F57" s="45"/>
    </row>
    <row r="58" spans="1:6" x14ac:dyDescent="0.25">
      <c r="A58" s="44"/>
      <c r="B58" s="45"/>
      <c r="C58" s="45"/>
      <c r="D58" s="45"/>
      <c r="E58" s="45"/>
      <c r="F58" s="45"/>
    </row>
    <row r="59" spans="1:6" ht="15.6" x14ac:dyDescent="0.3">
      <c r="A59" s="23" t="str">
        <f>CONCATENATE(A1," (Continued)")</f>
        <v>Industry Table 2  Employment by Industry Group (SIC 2007), 2007-2027 (Continued)</v>
      </c>
      <c r="B59" s="22"/>
      <c r="C59" s="22"/>
      <c r="D59" s="22"/>
      <c r="E59" s="22"/>
      <c r="F59" s="22"/>
    </row>
    <row r="61" spans="1:6" x14ac:dyDescent="0.25">
      <c r="A61" s="26"/>
      <c r="B61" s="29" t="str">
        <f>CONCATENATE(B$3,"-",C$3)</f>
        <v>2007-2012</v>
      </c>
      <c r="C61" s="29" t="str">
        <f>CONCATENATE(C$3,"-",D$3)</f>
        <v>2012-2017</v>
      </c>
      <c r="D61" s="29" t="str">
        <f>CONCATENATE(D$3,"-",E$3)</f>
        <v>2017-2022</v>
      </c>
      <c r="E61" s="29" t="str">
        <f>CONCATENATE(E$3,"-",F$3)</f>
        <v>2022-2027</v>
      </c>
      <c r="F61" s="29" t="str">
        <f>CONCATENATE(C$3,"-",F$3)</f>
        <v>2012-2027</v>
      </c>
    </row>
    <row r="62" spans="1:6" x14ac:dyDescent="0.25">
      <c r="A62" s="32" t="s">
        <v>14</v>
      </c>
    </row>
    <row r="63" spans="1:6" x14ac:dyDescent="0.25">
      <c r="A63" s="18" t="str">
        <f>$A$5</f>
        <v>Agriculture</v>
      </c>
      <c r="B63" s="22">
        <f>IF(AND(C$3-B$3 &lt;&gt; 0,B5&lt;&gt;0,C5&lt;&gt;0),(EXP(LN(C5/B5)/(C$3-B$3))-1)*100,0)</f>
        <v>2.4463120238458425</v>
      </c>
      <c r="C63" s="22">
        <f>IF(AND(D$3-C$3 &lt;&gt; 0,C5&lt;&gt;0,D5&lt;&gt;0),(EXP(LN(D5/C5)/(D$3-C$3))-1)*100,0)</f>
        <v>0.92926892279201478</v>
      </c>
      <c r="D63" s="22">
        <f t="shared" ref="B63:E78" si="3">IF(AND(E$3-D$3 &lt;&gt; 0,D5&lt;&gt;0,E5&lt;&gt;0),(EXP(LN(E5/D5)/(E$3-D$3))-1)*100,0)</f>
        <v>-0.79001185755103176</v>
      </c>
      <c r="E63" s="22">
        <f t="shared" si="3"/>
        <v>-0.25519191807623631</v>
      </c>
      <c r="F63" s="22">
        <f>IF(AND(F$3-C$3 &lt;&gt; 0,C5&lt;&gt;0,F5&lt;&gt;0),(EXP(LN(F5/C5)/(F$3-C$3))-1)*100,0)</f>
        <v>-4.1221264857638218E-2</v>
      </c>
    </row>
    <row r="64" spans="1:6" x14ac:dyDescent="0.25">
      <c r="A64" s="18" t="str">
        <f>$A$6</f>
        <v>Mining and quarrying</v>
      </c>
      <c r="B64" s="22">
        <f t="shared" si="3"/>
        <v>2.5161720621462713</v>
      </c>
      <c r="C64" s="22">
        <f t="shared" ref="C64:C78" si="4">IF(AND(D$3-C$3 &lt;&gt; 0,C6&lt;&gt;0,D6&lt;&gt;0),(EXP(LN(D6/C6)/(D$3-C$3))-1)*100,0)</f>
        <v>-3.6299353695282144</v>
      </c>
      <c r="D64" s="22">
        <f t="shared" si="3"/>
        <v>-0.89488112013975663</v>
      </c>
      <c r="E64" s="22">
        <f t="shared" si="3"/>
        <v>-1.7826193704020832</v>
      </c>
      <c r="F64" s="22">
        <f t="shared" ref="F64:F78" si="5">IF(AND(F$3-C$3 &lt;&gt; 0,C6&lt;&gt;0,F6&lt;&gt;0),(EXP(LN(F6/C6)/(F$3-C$3))-1)*100,0)</f>
        <v>-2.1091285065810594</v>
      </c>
    </row>
    <row r="65" spans="1:6" x14ac:dyDescent="0.25">
      <c r="A65" s="18" t="str">
        <f>$A$7</f>
        <v>Food drink and tobacco</v>
      </c>
      <c r="B65" s="22">
        <f t="shared" si="3"/>
        <v>-1.3870618616333319</v>
      </c>
      <c r="C65" s="22">
        <f t="shared" si="4"/>
        <v>1.6218478170920037</v>
      </c>
      <c r="D65" s="22">
        <f t="shared" si="3"/>
        <v>-0.98889607950894964</v>
      </c>
      <c r="E65" s="22">
        <f t="shared" si="3"/>
        <v>-0.59819492577163347</v>
      </c>
      <c r="F65" s="22">
        <f t="shared" si="5"/>
        <v>5.0091084134118447E-3</v>
      </c>
    </row>
    <row r="66" spans="1:6" x14ac:dyDescent="0.25">
      <c r="A66" s="18" t="str">
        <f>$A$8</f>
        <v>Engineering</v>
      </c>
      <c r="B66" s="22">
        <f t="shared" si="3"/>
        <v>-3.1691793472037988</v>
      </c>
      <c r="C66" s="22">
        <f t="shared" si="4"/>
        <v>-1.2207009348346398</v>
      </c>
      <c r="D66" s="22">
        <f t="shared" si="3"/>
        <v>9.1384568620855866E-2</v>
      </c>
      <c r="E66" s="22">
        <f t="shared" si="3"/>
        <v>-1.1201871220805959</v>
      </c>
      <c r="F66" s="22">
        <f t="shared" si="5"/>
        <v>-0.75162053646508076</v>
      </c>
    </row>
    <row r="67" spans="1:6" x14ac:dyDescent="0.25">
      <c r="A67" s="18" t="str">
        <f>$A$9</f>
        <v>Rest of manufacturing</v>
      </c>
      <c r="B67" s="22">
        <f t="shared" si="3"/>
        <v>-2.832843541398955</v>
      </c>
      <c r="C67" s="22">
        <f t="shared" si="4"/>
        <v>0.7062480872607857</v>
      </c>
      <c r="D67" s="22">
        <f t="shared" si="3"/>
        <v>-1.3114021960624167</v>
      </c>
      <c r="E67" s="22">
        <f t="shared" si="3"/>
        <v>-1.0287756264192982</v>
      </c>
      <c r="F67" s="22">
        <f t="shared" si="5"/>
        <v>-0.54862793080510119</v>
      </c>
    </row>
    <row r="68" spans="1:6" x14ac:dyDescent="0.25">
      <c r="A68" s="18" t="str">
        <f>$A$10</f>
        <v>Electricity and gas</v>
      </c>
      <c r="B68" s="22">
        <f t="shared" si="3"/>
        <v>7.4946352643147085</v>
      </c>
      <c r="C68" s="22">
        <f t="shared" si="4"/>
        <v>3.3733220117806217</v>
      </c>
      <c r="D68" s="22">
        <f t="shared" si="3"/>
        <v>6.2006819882598485E-2</v>
      </c>
      <c r="E68" s="22">
        <f t="shared" si="3"/>
        <v>0.10045841368875319</v>
      </c>
      <c r="F68" s="22">
        <f t="shared" si="5"/>
        <v>1.1667773956462568</v>
      </c>
    </row>
    <row r="69" spans="1:6" x14ac:dyDescent="0.25">
      <c r="A69" s="18" t="str">
        <f>$A$11</f>
        <v>Water and sewerage</v>
      </c>
      <c r="B69" s="22">
        <f t="shared" si="3"/>
        <v>4.0585756278980867</v>
      </c>
      <c r="C69" s="22">
        <f t="shared" si="4"/>
        <v>1.4053406299354032</v>
      </c>
      <c r="D69" s="22">
        <f t="shared" si="3"/>
        <v>0.62155220619473095</v>
      </c>
      <c r="E69" s="22">
        <f t="shared" si="3"/>
        <v>0.64328190686187003</v>
      </c>
      <c r="F69" s="22">
        <f t="shared" si="5"/>
        <v>0.88940103764254541</v>
      </c>
    </row>
    <row r="70" spans="1:6" x14ac:dyDescent="0.25">
      <c r="A70" s="18" t="str">
        <f>$A$12</f>
        <v>Construction</v>
      </c>
      <c r="B70" s="22">
        <f t="shared" si="3"/>
        <v>-2.2255912507436748</v>
      </c>
      <c r="C70" s="22">
        <f t="shared" si="4"/>
        <v>2.1429587042533171</v>
      </c>
      <c r="D70" s="22">
        <f t="shared" si="3"/>
        <v>0.17945595966306627</v>
      </c>
      <c r="E70" s="22">
        <f t="shared" si="3"/>
        <v>0.25355843769898634</v>
      </c>
      <c r="F70" s="22">
        <f t="shared" si="5"/>
        <v>0.85458182802586879</v>
      </c>
    </row>
    <row r="71" spans="1:6" x14ac:dyDescent="0.25">
      <c r="A71" s="18" t="str">
        <f>$A$13</f>
        <v>Wholesale and retail trade</v>
      </c>
      <c r="B71" s="22">
        <f t="shared" si="3"/>
        <v>-0.69673140004701262</v>
      </c>
      <c r="C71" s="22">
        <f t="shared" si="4"/>
        <v>0.56929360904844906</v>
      </c>
      <c r="D71" s="22">
        <f t="shared" si="3"/>
        <v>6.6251576623210795E-2</v>
      </c>
      <c r="E71" s="22">
        <f t="shared" si="3"/>
        <v>0.19602126530711139</v>
      </c>
      <c r="F71" s="22">
        <f t="shared" si="5"/>
        <v>0.27696226420397263</v>
      </c>
    </row>
    <row r="72" spans="1:6" x14ac:dyDescent="0.25">
      <c r="A72" s="18" t="str">
        <f>$A$14</f>
        <v>Transport and storage</v>
      </c>
      <c r="B72" s="22">
        <f t="shared" si="3"/>
        <v>5.2657176133763528E-2</v>
      </c>
      <c r="C72" s="22">
        <f t="shared" si="4"/>
        <v>3.6389129982959956</v>
      </c>
      <c r="D72" s="22">
        <f t="shared" si="3"/>
        <v>-0.3814028492091337</v>
      </c>
      <c r="E72" s="22">
        <f t="shared" si="3"/>
        <v>6.4098695512937454E-3</v>
      </c>
      <c r="F72" s="22">
        <f t="shared" si="5"/>
        <v>1.0718858930308883</v>
      </c>
    </row>
    <row r="73" spans="1:6" x14ac:dyDescent="0.25">
      <c r="A73" s="18" t="str">
        <f>$A$15</f>
        <v>Accommodation and food</v>
      </c>
      <c r="B73" s="22">
        <f t="shared" si="3"/>
        <v>0.41307466861009168</v>
      </c>
      <c r="C73" s="22">
        <f t="shared" si="4"/>
        <v>3.4633961002565439</v>
      </c>
      <c r="D73" s="22">
        <f t="shared" si="3"/>
        <v>-0.3062881139475282</v>
      </c>
      <c r="E73" s="22">
        <f t="shared" si="3"/>
        <v>0.90045471079573947</v>
      </c>
      <c r="F73" s="22">
        <f t="shared" si="5"/>
        <v>1.3403826493800786</v>
      </c>
    </row>
    <row r="74" spans="1:6" x14ac:dyDescent="0.25">
      <c r="A74" s="18" t="str">
        <f>$A$16</f>
        <v>Media</v>
      </c>
      <c r="B74" s="22">
        <f t="shared" si="3"/>
        <v>0.91232429925547365</v>
      </c>
      <c r="C74" s="22">
        <f t="shared" si="4"/>
        <v>1.0870126577932737</v>
      </c>
      <c r="D74" s="22">
        <f t="shared" si="3"/>
        <v>0.2326785535201159</v>
      </c>
      <c r="E74" s="22">
        <f t="shared" si="3"/>
        <v>0.23218874464057127</v>
      </c>
      <c r="F74" s="22">
        <f t="shared" si="5"/>
        <v>0.51648756283140251</v>
      </c>
    </row>
    <row r="75" spans="1:6" x14ac:dyDescent="0.25">
      <c r="A75" s="18" t="str">
        <f>$A$17</f>
        <v>Information technology</v>
      </c>
      <c r="B75" s="22">
        <f t="shared" si="3"/>
        <v>-1.018445131029555</v>
      </c>
      <c r="C75" s="22">
        <f t="shared" si="4"/>
        <v>5.3583660035926073</v>
      </c>
      <c r="D75" s="22">
        <f t="shared" si="3"/>
        <v>0.79876220065380199</v>
      </c>
      <c r="E75" s="22">
        <f t="shared" si="3"/>
        <v>0.70098969176599635</v>
      </c>
      <c r="F75" s="22">
        <f t="shared" si="5"/>
        <v>2.2631865825354147</v>
      </c>
    </row>
    <row r="76" spans="1:6" x14ac:dyDescent="0.25">
      <c r="A76" s="18" t="str">
        <f>$A$18</f>
        <v>Finance and insurance</v>
      </c>
      <c r="B76" s="22">
        <f t="shared" si="3"/>
        <v>-0.60139298573966826</v>
      </c>
      <c r="C76" s="22">
        <f t="shared" si="4"/>
        <v>-0.19120213273821074</v>
      </c>
      <c r="D76" s="22">
        <f t="shared" si="3"/>
        <v>4.6392727184119131E-2</v>
      </c>
      <c r="E76" s="22">
        <f t="shared" si="3"/>
        <v>-0.24826663389222459</v>
      </c>
      <c r="F76" s="22">
        <f t="shared" si="5"/>
        <v>-0.13110681808140567</v>
      </c>
    </row>
    <row r="77" spans="1:6" x14ac:dyDescent="0.25">
      <c r="A77" s="18" t="str">
        <f>$A$19</f>
        <v>Real estate</v>
      </c>
      <c r="B77" s="22">
        <f t="shared" si="3"/>
        <v>2.1197780548966927</v>
      </c>
      <c r="C77" s="22">
        <f t="shared" si="4"/>
        <v>2.1060631784159733</v>
      </c>
      <c r="D77" s="22">
        <f t="shared" si="3"/>
        <v>0.38200197955056137</v>
      </c>
      <c r="E77" s="22">
        <f t="shared" si="3"/>
        <v>0.48336619757123334</v>
      </c>
      <c r="F77" s="22">
        <f t="shared" si="5"/>
        <v>0.98739898091786404</v>
      </c>
    </row>
    <row r="78" spans="1:6" x14ac:dyDescent="0.25">
      <c r="A78" s="18" t="str">
        <f>$A$20</f>
        <v>Professional services</v>
      </c>
      <c r="B78" s="22">
        <f t="shared" si="3"/>
        <v>2.1931223499077612</v>
      </c>
      <c r="C78" s="22">
        <f t="shared" si="4"/>
        <v>3.5720699929027377</v>
      </c>
      <c r="D78" s="22">
        <f t="shared" si="3"/>
        <v>0.99160841555159251</v>
      </c>
      <c r="E78" s="22">
        <f t="shared" si="3"/>
        <v>0.43621891792791079</v>
      </c>
      <c r="F78" s="22">
        <f t="shared" si="5"/>
        <v>1.6575018904687822</v>
      </c>
    </row>
    <row r="79" spans="1:6" s="286" customFormat="1" x14ac:dyDescent="0.25">
      <c r="A79" s="12" t="str">
        <f>$A$21</f>
        <v>Support services</v>
      </c>
      <c r="B79" s="22">
        <f t="shared" ref="B79:B84" si="6">IF(AND(C$3-B$3 &lt;&gt; 0,B21&lt;&gt;0,C21&lt;&gt;0),(EXP(LN(C21/B21)/(C$3-B$3))-1)*100,0)</f>
        <v>0.52779236143201125</v>
      </c>
      <c r="C79" s="22">
        <f t="shared" ref="C79:C84" si="7">IF(AND(D$3-C$3 &lt;&gt; 0,C21&lt;&gt;0,D21&lt;&gt;0),(EXP(LN(D21/C21)/(D$3-C$3))-1)*100,0)</f>
        <v>2.7736826183441199</v>
      </c>
      <c r="D79" s="22">
        <f t="shared" ref="D79:D84" si="8">IF(AND(E$3-D$3 &lt;&gt; 0,D21&lt;&gt;0,E21&lt;&gt;0),(EXP(LN(E21/D21)/(E$3-D$3))-1)*100,0)</f>
        <v>0.80802715912908774</v>
      </c>
      <c r="E79" s="22">
        <f t="shared" ref="E79:E84" si="9">IF(AND(F$3-E$3 &lt;&gt; 0,E21&lt;&gt;0,F21&lt;&gt;0),(EXP(LN(F21/E21)/(F$3-E$3))-1)*100,0)</f>
        <v>0.46736480558329241</v>
      </c>
      <c r="F79" s="22">
        <f t="shared" ref="F79:F84" si="10">IF(AND(F$3-C$3 &lt;&gt; 0,C21&lt;&gt;0,F21&lt;&gt;0),(EXP(LN(F21/C21)/(F$3-C$3))-1)*100,0)</f>
        <v>1.3446160707583088</v>
      </c>
    </row>
    <row r="80" spans="1:6" s="286" customFormat="1" x14ac:dyDescent="0.25">
      <c r="A80" s="12" t="str">
        <f>$A$22</f>
        <v>Public admin. and defence</v>
      </c>
      <c r="B80" s="22">
        <f t="shared" si="6"/>
        <v>-2.4321011254663905</v>
      </c>
      <c r="C80" s="22">
        <f t="shared" si="7"/>
        <v>-0.87664295980390827</v>
      </c>
      <c r="D80" s="22">
        <f t="shared" si="8"/>
        <v>-0.35139569101774182</v>
      </c>
      <c r="E80" s="22">
        <f t="shared" si="9"/>
        <v>0.24837232814700627</v>
      </c>
      <c r="F80" s="22">
        <f t="shared" si="10"/>
        <v>-0.32761490789918746</v>
      </c>
    </row>
    <row r="81" spans="1:6" s="286" customFormat="1" x14ac:dyDescent="0.25">
      <c r="A81" s="12" t="str">
        <f>$A$23</f>
        <v>Education</v>
      </c>
      <c r="B81" s="22">
        <f t="shared" si="6"/>
        <v>1.307483542148602</v>
      </c>
      <c r="C81" s="22">
        <f t="shared" si="7"/>
        <v>1.1399100493224568</v>
      </c>
      <c r="D81" s="22">
        <f t="shared" si="8"/>
        <v>-0.26066396157305993</v>
      </c>
      <c r="E81" s="22">
        <f t="shared" si="9"/>
        <v>0.32632942572687895</v>
      </c>
      <c r="F81" s="22">
        <f t="shared" si="10"/>
        <v>0.40021736418525133</v>
      </c>
    </row>
    <row r="82" spans="1:6" s="286" customFormat="1" x14ac:dyDescent="0.25">
      <c r="A82" s="12" t="str">
        <f>$A$24</f>
        <v>Health and social work</v>
      </c>
      <c r="B82" s="22">
        <f t="shared" si="6"/>
        <v>2.068878818979103</v>
      </c>
      <c r="C82" s="22">
        <f t="shared" si="7"/>
        <v>1.9144273581042093</v>
      </c>
      <c r="D82" s="22">
        <f t="shared" si="8"/>
        <v>0.95993566711169986</v>
      </c>
      <c r="E82" s="22">
        <f t="shared" si="9"/>
        <v>0.90834314312819853</v>
      </c>
      <c r="F82" s="22">
        <f t="shared" si="10"/>
        <v>1.2598476660663271</v>
      </c>
    </row>
    <row r="83" spans="1:6" s="286" customFormat="1" x14ac:dyDescent="0.25">
      <c r="A83" s="12" t="str">
        <f>$A$25</f>
        <v>Arts and entertainment</v>
      </c>
      <c r="B83" s="22">
        <f>IF(AND(C$3-B$3 &lt;&gt; 0,B25&lt;&gt;0,C25&lt;&gt;0),(EXP(LN(C25/B25)/(C$3-B$3))-1)*100,0)</f>
        <v>0.72595297430615435</v>
      </c>
      <c r="C83" s="22">
        <f t="shared" si="7"/>
        <v>1.7163255934520949</v>
      </c>
      <c r="D83" s="22">
        <f t="shared" si="8"/>
        <v>1.2017047250871382</v>
      </c>
      <c r="E83" s="22">
        <f t="shared" si="9"/>
        <v>0.55318625524825027</v>
      </c>
      <c r="F83" s="22">
        <f t="shared" si="10"/>
        <v>1.1559522494599905</v>
      </c>
    </row>
    <row r="84" spans="1:6" s="286" customFormat="1" x14ac:dyDescent="0.25">
      <c r="A84" s="12" t="str">
        <f>$A$26</f>
        <v>Other services</v>
      </c>
      <c r="B84" s="22">
        <f t="shared" si="6"/>
        <v>-2.0425034161718925</v>
      </c>
      <c r="C84" s="22">
        <f t="shared" si="7"/>
        <v>2.6629718564657345</v>
      </c>
      <c r="D84" s="22">
        <f t="shared" si="8"/>
        <v>0.68050816229698885</v>
      </c>
      <c r="E84" s="22">
        <f t="shared" si="9"/>
        <v>0.22125801641343923</v>
      </c>
      <c r="F84" s="22">
        <f t="shared" si="10"/>
        <v>1.1827223928702058</v>
      </c>
    </row>
    <row r="85" spans="1:6" x14ac:dyDescent="0.25">
      <c r="B85" s="22"/>
      <c r="C85" s="22"/>
      <c r="D85" s="22"/>
      <c r="E85" s="22"/>
      <c r="F85" s="22"/>
    </row>
    <row r="86" spans="1:6" x14ac:dyDescent="0.25">
      <c r="A86" s="18" t="str">
        <f>$A$28</f>
        <v>All industries</v>
      </c>
      <c r="B86" s="22">
        <f>IF(AND(C$3-B$3 &lt;&gt; 0,B28&lt;&gt;0,C28&lt;&gt;0),(EXP(LN(C28/B28)/(C$3-B$3))-1)*100,0)</f>
        <v>6.2942675480570642E-3</v>
      </c>
      <c r="C86" s="22">
        <f>IF(AND(D$3-C$3 &lt;&gt; 0,C28&lt;&gt;0,D28&lt;&gt;0),(EXP(LN(D28/C28)/(D$3-C$3))-1)*100,0)</f>
        <v>1.8474341286811802</v>
      </c>
      <c r="D86" s="22">
        <f>IF(AND(E$3-D$3 &lt;&gt; 0,D28&lt;&gt;0,E28&lt;&gt;0),(EXP(LN(E28/D28)/(E$3-D$3))-1)*100,0)</f>
        <v>0.22991833206484902</v>
      </c>
      <c r="E86" s="22">
        <f>IF(AND(F$3-E$3 &lt;&gt; 0,E28&lt;&gt;0,F28&lt;&gt;0),(EXP(LN(F28/E28)/(F$3-E$3))-1)*100,0)</f>
        <v>0.32161132563677253</v>
      </c>
      <c r="F86" s="22">
        <f>IF(AND(F$3-C$3 &lt;&gt; 0,C28&lt;&gt;0,F28&lt;&gt;0),(EXP(LN(F28/C28)/(F$3-C$3))-1)*100,0)</f>
        <v>0.79693410171972623</v>
      </c>
    </row>
    <row r="89" spans="1:6" x14ac:dyDescent="0.25">
      <c r="A89" s="1" t="s">
        <v>15</v>
      </c>
      <c r="B89" s="24" t="str">
        <f>CONCATENATE(B$3,"-",C$3)</f>
        <v>2007-2012</v>
      </c>
      <c r="C89" s="24" t="str">
        <f>CONCATENATE(C$3,"-",D$3)</f>
        <v>2012-2017</v>
      </c>
      <c r="D89" s="24" t="str">
        <f>CONCATENATE(D$3,"-",E$3)</f>
        <v>2017-2022</v>
      </c>
      <c r="E89" s="24" t="str">
        <f>CONCATENATE(E$3,"-",F$3)</f>
        <v>2022-2027</v>
      </c>
      <c r="F89" s="24" t="str">
        <f>CONCATENATE(C$3,"-",F$3)</f>
        <v>2012-2027</v>
      </c>
    </row>
    <row r="90" spans="1:6" x14ac:dyDescent="0.25">
      <c r="A90" s="18" t="str">
        <f>$A$5</f>
        <v>Agriculture</v>
      </c>
      <c r="B90" s="31">
        <f t="shared" ref="B90:E105" si="11">C5-B5</f>
        <v>48.038999999631471</v>
      </c>
      <c r="C90" s="31">
        <f>D5-C5</f>
        <v>19.977000002317709</v>
      </c>
      <c r="D90" s="31">
        <f t="shared" si="11"/>
        <v>-17.186000001888999</v>
      </c>
      <c r="E90" s="31">
        <f t="shared" si="11"/>
        <v>-5.3929999983975563</v>
      </c>
      <c r="F90" s="31">
        <f>F5-C5</f>
        <v>-2.6019999979688464</v>
      </c>
    </row>
    <row r="91" spans="1:6" x14ac:dyDescent="0.25">
      <c r="A91" s="18" t="str">
        <f>$A$6</f>
        <v>Mining and quarrying</v>
      </c>
      <c r="B91" s="31">
        <f t="shared" si="11"/>
        <v>8.9969999998825188</v>
      </c>
      <c r="C91" s="31">
        <f t="shared" ref="C91:C105" si="12">D6-C6</f>
        <v>-12.997000000197204</v>
      </c>
      <c r="D91" s="31">
        <f t="shared" si="11"/>
        <v>-2.8129999997401143</v>
      </c>
      <c r="E91" s="31">
        <f t="shared" si="11"/>
        <v>-5.262999999992708</v>
      </c>
      <c r="F91" s="31">
        <f t="shared" ref="F91:F104" si="13">F6-C6</f>
        <v>-21.072999999930026</v>
      </c>
    </row>
    <row r="92" spans="1:6" x14ac:dyDescent="0.25">
      <c r="A92" s="18" t="str">
        <f>$A$7</f>
        <v>Food drink and tobacco</v>
      </c>
      <c r="B92" s="31">
        <f t="shared" si="11"/>
        <v>-29.160000001055948</v>
      </c>
      <c r="C92" s="31">
        <f t="shared" si="12"/>
        <v>33.768000002962253</v>
      </c>
      <c r="D92" s="31">
        <f t="shared" si="11"/>
        <v>-21.17900000351608</v>
      </c>
      <c r="E92" s="31">
        <f t="shared" si="11"/>
        <v>-12.285999997442502</v>
      </c>
      <c r="F92" s="31">
        <f t="shared" si="13"/>
        <v>0.30300000200367094</v>
      </c>
    </row>
    <row r="93" spans="1:6" x14ac:dyDescent="0.25">
      <c r="A93" s="18" t="str">
        <f>$A$8</f>
        <v>Engineering</v>
      </c>
      <c r="B93" s="31">
        <f t="shared" si="11"/>
        <v>-73.742000000166229</v>
      </c>
      <c r="C93" s="31">
        <f t="shared" si="12"/>
        <v>-25.139999999368854</v>
      </c>
      <c r="D93" s="31">
        <f t="shared" si="11"/>
        <v>1.8169999998478943</v>
      </c>
      <c r="E93" s="31">
        <f t="shared" si="11"/>
        <v>-21.838999999611701</v>
      </c>
      <c r="F93" s="31">
        <f t="shared" si="13"/>
        <v>-45.161999999132661</v>
      </c>
    </row>
    <row r="94" spans="1:6" x14ac:dyDescent="0.25">
      <c r="A94" s="18" t="str">
        <f>$A$9</f>
        <v>Rest of manufacturing</v>
      </c>
      <c r="B94" s="31">
        <f t="shared" si="11"/>
        <v>-274.23000000279262</v>
      </c>
      <c r="C94" s="31">
        <f t="shared" si="12"/>
        <v>63.560000003483083</v>
      </c>
      <c r="D94" s="31">
        <f t="shared" si="11"/>
        <v>-117.41400000223871</v>
      </c>
      <c r="E94" s="31">
        <f t="shared" si="11"/>
        <v>-86.714999997195946</v>
      </c>
      <c r="F94" s="31">
        <f t="shared" si="13"/>
        <v>-140.56899999595157</v>
      </c>
    </row>
    <row r="95" spans="1:6" x14ac:dyDescent="0.25">
      <c r="A95" s="18" t="str">
        <f>$A$10</f>
        <v>Electricity and gas</v>
      </c>
      <c r="B95" s="31">
        <f t="shared" si="11"/>
        <v>36.994999999863097</v>
      </c>
      <c r="C95" s="31">
        <f t="shared" si="12"/>
        <v>22.010999999924962</v>
      </c>
      <c r="D95" s="31">
        <f t="shared" si="11"/>
        <v>0.44700000015944852</v>
      </c>
      <c r="E95" s="31">
        <f t="shared" si="11"/>
        <v>0.72699999989328035</v>
      </c>
      <c r="F95" s="31">
        <f t="shared" si="13"/>
        <v>23.184999999977691</v>
      </c>
    </row>
    <row r="96" spans="1:6" x14ac:dyDescent="0.25">
      <c r="A96" s="18" t="str">
        <f>$A$11</f>
        <v>Water and sewerage</v>
      </c>
      <c r="B96" s="31">
        <f t="shared" si="11"/>
        <v>34.99099999920341</v>
      </c>
      <c r="C96" s="31">
        <f t="shared" si="12"/>
        <v>14.019000000525068</v>
      </c>
      <c r="D96" s="31">
        <f t="shared" si="11"/>
        <v>6.5449999994611971</v>
      </c>
      <c r="E96" s="31">
        <f t="shared" si="11"/>
        <v>6.9900000003474361</v>
      </c>
      <c r="F96" s="31">
        <f t="shared" si="13"/>
        <v>27.554000000333701</v>
      </c>
    </row>
    <row r="97" spans="1:6" x14ac:dyDescent="0.25">
      <c r="A97" s="18" t="str">
        <f>$A$12</f>
        <v>Construction</v>
      </c>
      <c r="B97" s="31">
        <f t="shared" si="11"/>
        <v>-244.90800002944661</v>
      </c>
      <c r="C97" s="31">
        <f t="shared" si="12"/>
        <v>229.95300002317254</v>
      </c>
      <c r="D97" s="31">
        <f t="shared" si="11"/>
        <v>20.586000018501636</v>
      </c>
      <c r="E97" s="31">
        <f t="shared" si="11"/>
        <v>29.392000007504521</v>
      </c>
      <c r="F97" s="31">
        <f t="shared" si="13"/>
        <v>279.93100004917869</v>
      </c>
    </row>
    <row r="98" spans="1:6" x14ac:dyDescent="0.25">
      <c r="A98" s="18" t="str">
        <f>$A$13</f>
        <v>Wholesale and retail trade</v>
      </c>
      <c r="B98" s="31">
        <f t="shared" si="11"/>
        <v>-172.21899999821289</v>
      </c>
      <c r="C98" s="31">
        <f t="shared" si="12"/>
        <v>139.36900004494055</v>
      </c>
      <c r="D98" s="31">
        <f t="shared" si="11"/>
        <v>16.518999915162567</v>
      </c>
      <c r="E98" s="31">
        <f t="shared" si="11"/>
        <v>49.165000034741752</v>
      </c>
      <c r="F98" s="31">
        <f t="shared" si="13"/>
        <v>205.05299999484487</v>
      </c>
    </row>
    <row r="99" spans="1:6" x14ac:dyDescent="0.25">
      <c r="A99" s="18" t="str">
        <f>$A$14</f>
        <v>Transport and storage</v>
      </c>
      <c r="B99" s="31">
        <f t="shared" si="11"/>
        <v>3.9640000070701262</v>
      </c>
      <c r="C99" s="31">
        <f t="shared" si="12"/>
        <v>295.07600001731726</v>
      </c>
      <c r="D99" s="31">
        <f t="shared" si="11"/>
        <v>-34.123000030399453</v>
      </c>
      <c r="E99" s="31">
        <f t="shared" si="11"/>
        <v>0.5670000055915807</v>
      </c>
      <c r="F99" s="31">
        <f t="shared" si="13"/>
        <v>261.51999999250938</v>
      </c>
    </row>
    <row r="100" spans="1:6" x14ac:dyDescent="0.25">
      <c r="A100" s="18" t="str">
        <f>$A$15</f>
        <v>Accommodation and food</v>
      </c>
      <c r="B100" s="31">
        <f t="shared" si="11"/>
        <v>41.899999997409168</v>
      </c>
      <c r="C100" s="31">
        <f t="shared" si="12"/>
        <v>381.1780000296385</v>
      </c>
      <c r="D100" s="31">
        <f t="shared" si="11"/>
        <v>-37.064000037994447</v>
      </c>
      <c r="E100" s="31">
        <f t="shared" si="11"/>
        <v>109.92700002129777</v>
      </c>
      <c r="F100" s="31">
        <f t="shared" si="13"/>
        <v>454.04100001294182</v>
      </c>
    </row>
    <row r="101" spans="1:6" x14ac:dyDescent="0.25">
      <c r="A101" s="18" t="str">
        <f>$A$16</f>
        <v>Media</v>
      </c>
      <c r="B101" s="31">
        <f t="shared" si="11"/>
        <v>16.58100000166462</v>
      </c>
      <c r="C101" s="31">
        <f t="shared" si="12"/>
        <v>20.745999996502803</v>
      </c>
      <c r="D101" s="31">
        <f t="shared" si="11"/>
        <v>4.6080000014543998</v>
      </c>
      <c r="E101" s="31">
        <f t="shared" si="11"/>
        <v>4.6519999985442269</v>
      </c>
      <c r="F101" s="31">
        <f t="shared" si="13"/>
        <v>30.00599999650143</v>
      </c>
    </row>
    <row r="102" spans="1:6" x14ac:dyDescent="0.25">
      <c r="A102" s="18" t="str">
        <f>$A$17</f>
        <v>Information technology</v>
      </c>
      <c r="B102" s="31">
        <f t="shared" si="11"/>
        <v>-44.610999997500926</v>
      </c>
      <c r="C102" s="31">
        <f t="shared" si="12"/>
        <v>253.3229999893656</v>
      </c>
      <c r="D102" s="31">
        <f t="shared" si="11"/>
        <v>44.753000010545293</v>
      </c>
      <c r="E102" s="31">
        <f t="shared" si="11"/>
        <v>40.788999994494134</v>
      </c>
      <c r="F102" s="31">
        <f t="shared" si="13"/>
        <v>338.86499999440503</v>
      </c>
    </row>
    <row r="103" spans="1:6" x14ac:dyDescent="0.25">
      <c r="A103" s="18" t="str">
        <f>$A$18</f>
        <v>Finance and insurance</v>
      </c>
      <c r="B103" s="31">
        <f t="shared" si="11"/>
        <v>-35.057999996312446</v>
      </c>
      <c r="C103" s="31">
        <f t="shared" si="12"/>
        <v>-10.904000009620859</v>
      </c>
      <c r="D103" s="31">
        <f t="shared" si="11"/>
        <v>2.633000005026588</v>
      </c>
      <c r="E103" s="31">
        <f t="shared" si="11"/>
        <v>-14.040000003597697</v>
      </c>
      <c r="F103" s="31">
        <f t="shared" si="13"/>
        <v>-22.311000008191968</v>
      </c>
    </row>
    <row r="104" spans="1:6" x14ac:dyDescent="0.25">
      <c r="A104" s="18" t="str">
        <f>$A$19</f>
        <v>Real estate</v>
      </c>
      <c r="B104" s="31">
        <f t="shared" si="11"/>
        <v>48.986000000008914</v>
      </c>
      <c r="C104" s="31">
        <f t="shared" si="12"/>
        <v>54.035999999359888</v>
      </c>
      <c r="D104" s="31">
        <f t="shared" si="11"/>
        <v>10.508999999658158</v>
      </c>
      <c r="E104" s="31">
        <f t="shared" si="11"/>
        <v>13.581000001086068</v>
      </c>
      <c r="F104" s="31">
        <f t="shared" si="13"/>
        <v>78.126000000104113</v>
      </c>
    </row>
    <row r="105" spans="1:6" x14ac:dyDescent="0.25">
      <c r="A105" s="18" t="str">
        <f>$A$20</f>
        <v>Professional services</v>
      </c>
      <c r="B105" s="31">
        <f t="shared" si="11"/>
        <v>259.96500000756942</v>
      </c>
      <c r="C105" s="31">
        <f t="shared" si="12"/>
        <v>485.12399996403019</v>
      </c>
      <c r="D105" s="31">
        <f t="shared" si="11"/>
        <v>152.4330000377272</v>
      </c>
      <c r="E105" s="31">
        <f t="shared" si="11"/>
        <v>69.669999980767443</v>
      </c>
      <c r="F105" s="31">
        <f>F20-C20</f>
        <v>707.22699998252483</v>
      </c>
    </row>
    <row r="106" spans="1:6" s="286" customFormat="1" x14ac:dyDescent="0.25">
      <c r="A106" s="12" t="str">
        <f>$A$21</f>
        <v>Support services</v>
      </c>
      <c r="B106" s="31">
        <f t="shared" ref="B106:B111" si="14">C21-B21</f>
        <v>67.901000000003933</v>
      </c>
      <c r="C106" s="31">
        <f t="shared" ref="C106:C111" si="15">D21-C21</f>
        <v>383.18200001219566</v>
      </c>
      <c r="D106" s="31">
        <f t="shared" ref="D106:D111" si="16">E21-D21</f>
        <v>123.05899997927418</v>
      </c>
      <c r="E106" s="31">
        <f t="shared" ref="E106:E111" si="17">F21-E21</f>
        <v>73.597000012880017</v>
      </c>
      <c r="F106" s="31">
        <f t="shared" ref="F106:F111" si="18">F21-C21</f>
        <v>579.83800000434985</v>
      </c>
    </row>
    <row r="107" spans="1:6" s="286" customFormat="1" x14ac:dyDescent="0.25">
      <c r="A107" s="12" t="str">
        <f>$A$22</f>
        <v>Public admin. and defence</v>
      </c>
      <c r="B107" s="31">
        <f t="shared" si="14"/>
        <v>-182.08799999975736</v>
      </c>
      <c r="C107" s="31">
        <f t="shared" si="15"/>
        <v>-59.86400000571075</v>
      </c>
      <c r="D107" s="31">
        <f t="shared" si="16"/>
        <v>-23.204999990227179</v>
      </c>
      <c r="E107" s="31">
        <f t="shared" si="17"/>
        <v>16.309999996209172</v>
      </c>
      <c r="F107" s="31">
        <f t="shared" si="18"/>
        <v>-66.758999999728758</v>
      </c>
    </row>
    <row r="108" spans="1:6" s="286" customFormat="1" x14ac:dyDescent="0.25">
      <c r="A108" s="12" t="str">
        <f>$A$23</f>
        <v>Education</v>
      </c>
      <c r="B108" s="31">
        <f t="shared" si="14"/>
        <v>173.87200000868052</v>
      </c>
      <c r="C108" s="31">
        <f t="shared" si="15"/>
        <v>161.21899995728427</v>
      </c>
      <c r="D108" s="31">
        <f t="shared" si="16"/>
        <v>-37.937999929537909</v>
      </c>
      <c r="E108" s="31">
        <f t="shared" si="17"/>
        <v>47.432999949165605</v>
      </c>
      <c r="F108" s="31">
        <f t="shared" si="18"/>
        <v>170.71399997691196</v>
      </c>
    </row>
    <row r="109" spans="1:6" s="286" customFormat="1" x14ac:dyDescent="0.25">
      <c r="A109" s="12" t="str">
        <f>$A$24</f>
        <v>Health and social work</v>
      </c>
      <c r="B109" s="31">
        <f t="shared" si="14"/>
        <v>387.80600000097093</v>
      </c>
      <c r="C109" s="31">
        <f t="shared" si="15"/>
        <v>396.31799997529106</v>
      </c>
      <c r="D109" s="31">
        <f t="shared" si="16"/>
        <v>214.35600002863612</v>
      </c>
      <c r="E109" s="31">
        <f t="shared" si="17"/>
        <v>212.53999999535699</v>
      </c>
      <c r="F109" s="31">
        <f t="shared" si="18"/>
        <v>823.21399999928417</v>
      </c>
    </row>
    <row r="110" spans="1:6" s="286" customFormat="1" x14ac:dyDescent="0.25">
      <c r="A110" s="12" t="str">
        <f>$A$25</f>
        <v>Arts and entertainment</v>
      </c>
      <c r="B110" s="31">
        <f t="shared" si="14"/>
        <v>32.004000001434406</v>
      </c>
      <c r="C110" s="31">
        <f t="shared" si="15"/>
        <v>80.020999997001127</v>
      </c>
      <c r="D110" s="31">
        <f t="shared" si="16"/>
        <v>60.379000000138035</v>
      </c>
      <c r="E110" s="31">
        <f t="shared" si="17"/>
        <v>29.124999999073907</v>
      </c>
      <c r="F110" s="31">
        <f t="shared" si="18"/>
        <v>169.52499999621307</v>
      </c>
    </row>
    <row r="111" spans="1:6" s="286" customFormat="1" x14ac:dyDescent="0.25">
      <c r="A111" s="12" t="str">
        <f>$A$26</f>
        <v>Other services</v>
      </c>
      <c r="B111" s="31">
        <f t="shared" si="14"/>
        <v>-95.978999997964479</v>
      </c>
      <c r="C111" s="31">
        <f t="shared" si="15"/>
        <v>124.00399999933097</v>
      </c>
      <c r="D111" s="31">
        <f t="shared" si="16"/>
        <v>34.733999999905564</v>
      </c>
      <c r="E111" s="31">
        <f t="shared" si="17"/>
        <v>11.575999999482974</v>
      </c>
      <c r="F111" s="31">
        <f t="shared" si="18"/>
        <v>170.31399999871951</v>
      </c>
    </row>
    <row r="112" spans="1:6" x14ac:dyDescent="0.25">
      <c r="B112" s="31"/>
      <c r="C112" s="31"/>
      <c r="D112" s="31"/>
      <c r="E112" s="31"/>
      <c r="F112" s="31"/>
    </row>
    <row r="113" spans="1:6" x14ac:dyDescent="0.25">
      <c r="A113" s="28" t="str">
        <f>$A$28</f>
        <v>All industries</v>
      </c>
      <c r="B113" s="33">
        <f>C28-B28</f>
        <v>10.006000000183121</v>
      </c>
      <c r="C113" s="33">
        <f>D28-C28</f>
        <v>3047.9789999997447</v>
      </c>
      <c r="D113" s="33">
        <f>E28-D28</f>
        <v>402.45599999995466</v>
      </c>
      <c r="E113" s="33">
        <f>F28-E28</f>
        <v>570.50500000020111</v>
      </c>
      <c r="F113" s="33">
        <f>F28-C28</f>
        <v>4020.9399999999005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33"/>
  <sheetViews>
    <sheetView showGridLines="0" zoomScale="85" zoomScaleNormal="85" workbookViewId="0"/>
  </sheetViews>
  <sheetFormatPr defaultColWidth="9.109375" defaultRowHeight="13.2" x14ac:dyDescent="0.25"/>
  <cols>
    <col min="1" max="1" width="26.6640625" style="286" customWidth="1"/>
    <col min="2" max="6" width="11.6640625" style="286" customWidth="1"/>
    <col min="7" max="16384" width="9.109375" style="286"/>
  </cols>
  <sheetData>
    <row r="1" spans="1:8" ht="15.6" x14ac:dyDescent="0.3">
      <c r="A1" s="23" t="str">
        <f>CONCATENATE("Industry Table 3  Employment by Industry (SIC 2007), ",B$3,"-",F$3)</f>
        <v>Industry Table 3  Employment by Industry (SIC 2007), 2007-2027</v>
      </c>
    </row>
    <row r="3" spans="1:8" x14ac:dyDescent="0.25">
      <c r="A3" s="26"/>
      <c r="B3" s="27">
        <v>2007</v>
      </c>
      <c r="C3" s="27">
        <v>2012</v>
      </c>
      <c r="D3" s="27">
        <v>2017</v>
      </c>
      <c r="E3" s="27">
        <v>2022</v>
      </c>
      <c r="F3" s="27">
        <v>2027</v>
      </c>
    </row>
    <row r="4" spans="1:8" x14ac:dyDescent="0.25">
      <c r="A4" s="21" t="s">
        <v>13</v>
      </c>
    </row>
    <row r="5" spans="1:8" x14ac:dyDescent="0.25">
      <c r="A5" s="18" t="str">
        <f>name!A4</f>
        <v>Agriculture, etc</v>
      </c>
      <c r="B5" s="13">
        <v>373.99499999928747</v>
      </c>
      <c r="C5" s="13">
        <v>422.03399999891894</v>
      </c>
      <c r="D5" s="13">
        <v>442.01100000123665</v>
      </c>
      <c r="E5" s="13">
        <v>424.82499999934765</v>
      </c>
      <c r="F5" s="13">
        <v>419.4320000009501</v>
      </c>
      <c r="G5" s="12"/>
      <c r="H5" s="18"/>
    </row>
    <row r="6" spans="1:8" x14ac:dyDescent="0.25">
      <c r="A6" s="18" t="str">
        <f>name!A5</f>
        <v>Coal, oil &amp; gas; Mining &amp; related</v>
      </c>
      <c r="B6" s="13">
        <v>68.00399999997606</v>
      </c>
      <c r="C6" s="13">
        <v>77.000999999858578</v>
      </c>
      <c r="D6" s="13">
        <v>64.003999999661374</v>
      </c>
      <c r="E6" s="13">
        <v>61.19099999992126</v>
      </c>
      <c r="F6" s="13">
        <v>55.927999999928552</v>
      </c>
      <c r="H6" s="18"/>
    </row>
    <row r="7" spans="1:8" x14ac:dyDescent="0.25">
      <c r="A7" s="18" t="str">
        <f>name!A6</f>
        <v>Food products</v>
      </c>
      <c r="B7" s="13">
        <v>385.9719999975996</v>
      </c>
      <c r="C7" s="13">
        <v>363.58499999659705</v>
      </c>
      <c r="D7" s="13">
        <v>392.30099999932452</v>
      </c>
      <c r="E7" s="13">
        <v>373.09399999599884</v>
      </c>
      <c r="F7" s="13">
        <v>361.94299999846402</v>
      </c>
      <c r="G7" s="13"/>
      <c r="H7" s="18"/>
    </row>
    <row r="8" spans="1:8" x14ac:dyDescent="0.25">
      <c r="A8" s="18" t="str">
        <f>name!A7</f>
        <v>Beverages and tobacco</v>
      </c>
      <c r="B8" s="13">
        <v>46.311999999796583</v>
      </c>
      <c r="C8" s="13">
        <v>39.53899999974314</v>
      </c>
      <c r="D8" s="13">
        <v>44.590999999977946</v>
      </c>
      <c r="E8" s="13">
        <v>42.618999999787547</v>
      </c>
      <c r="F8" s="13">
        <v>41.483999999879863</v>
      </c>
      <c r="G8" s="13"/>
      <c r="H8" s="18"/>
    </row>
    <row r="9" spans="1:8" x14ac:dyDescent="0.25">
      <c r="A9" s="18" t="str">
        <f>name!A8</f>
        <v>Textiles</v>
      </c>
      <c r="B9" s="13">
        <v>63.217999999842348</v>
      </c>
      <c r="C9" s="13">
        <v>57.436999999822412</v>
      </c>
      <c r="D9" s="13">
        <v>61.378000000038824</v>
      </c>
      <c r="E9" s="13">
        <v>50.441999999775014</v>
      </c>
      <c r="F9" s="13">
        <v>46.958999999979113</v>
      </c>
      <c r="G9" s="13"/>
      <c r="H9" s="18"/>
    </row>
    <row r="10" spans="1:8" x14ac:dyDescent="0.25">
      <c r="A10" s="18" t="str">
        <f>name!A9</f>
        <v>Wearing apparel; Leather, etc</v>
      </c>
      <c r="B10" s="13">
        <v>70.883999999845727</v>
      </c>
      <c r="C10" s="13">
        <v>59.873999999757473</v>
      </c>
      <c r="D10" s="13">
        <v>44.506000000190738</v>
      </c>
      <c r="E10" s="13">
        <v>36.22000000001497</v>
      </c>
      <c r="F10" s="13">
        <v>33.956000000164913</v>
      </c>
      <c r="G10" s="13"/>
      <c r="H10" s="18"/>
    </row>
    <row r="11" spans="1:8" x14ac:dyDescent="0.25">
      <c r="A11" s="18" t="str">
        <f>name!A10</f>
        <v xml:space="preserve">Wood and cork </v>
      </c>
      <c r="B11" s="13">
        <v>86.782999999687277</v>
      </c>
      <c r="C11" s="13">
        <v>79.056999999423326</v>
      </c>
      <c r="D11" s="13">
        <v>82.419999999812617</v>
      </c>
      <c r="E11" s="13">
        <v>79.291999999358467</v>
      </c>
      <c r="F11" s="13">
        <v>75.395999999662621</v>
      </c>
      <c r="G11" s="13"/>
      <c r="H11" s="18"/>
    </row>
    <row r="12" spans="1:8" x14ac:dyDescent="0.25">
      <c r="A12" s="18" t="str">
        <f>name!A11</f>
        <v>Paper, etc</v>
      </c>
      <c r="B12" s="13">
        <v>69.191999999795243</v>
      </c>
      <c r="C12" s="13">
        <v>65.170999999649297</v>
      </c>
      <c r="D12" s="13">
        <v>65.529999999524563</v>
      </c>
      <c r="E12" s="13">
        <v>63.206999999514373</v>
      </c>
      <c r="F12" s="13">
        <v>60.309999999586196</v>
      </c>
      <c r="G12" s="13"/>
      <c r="H12" s="18"/>
    </row>
    <row r="13" spans="1:8" x14ac:dyDescent="0.25">
      <c r="A13" s="18" t="str">
        <f>name!A12</f>
        <v>Printing and recording</v>
      </c>
      <c r="B13" s="13">
        <v>179.33299999944978</v>
      </c>
      <c r="C13" s="13">
        <v>124.11799999952343</v>
      </c>
      <c r="D13" s="13">
        <v>116.96199999942091</v>
      </c>
      <c r="E13" s="13">
        <v>110.54999999953689</v>
      </c>
      <c r="F13" s="13">
        <v>102.47799999956645</v>
      </c>
      <c r="G13" s="13"/>
      <c r="H13" s="18"/>
    </row>
    <row r="14" spans="1:8" x14ac:dyDescent="0.25">
      <c r="A14" s="18" t="str">
        <f>name!A13</f>
        <v>Coke and petroleum; Chemicals, etc</v>
      </c>
      <c r="B14" s="13">
        <v>138.7859999994821</v>
      </c>
      <c r="C14" s="13">
        <v>112.03899999956342</v>
      </c>
      <c r="D14" s="13">
        <v>105.98799999958885</v>
      </c>
      <c r="E14" s="13">
        <v>96.997999999677788</v>
      </c>
      <c r="F14" s="13">
        <v>93.119999999869876</v>
      </c>
      <c r="G14" s="13"/>
      <c r="H14" s="18"/>
    </row>
    <row r="15" spans="1:8" x14ac:dyDescent="0.25">
      <c r="A15" s="18" t="str">
        <f>name!A14</f>
        <v>Pharmaceuticals</v>
      </c>
      <c r="B15" s="13">
        <v>50.94399999988223</v>
      </c>
      <c r="C15" s="13">
        <v>47.01999999990084</v>
      </c>
      <c r="D15" s="13">
        <v>44.973999999894147</v>
      </c>
      <c r="E15" s="13">
        <v>43.576000000059281</v>
      </c>
      <c r="F15" s="13">
        <v>42.571000000008645</v>
      </c>
      <c r="G15" s="13"/>
      <c r="H15" s="18"/>
    </row>
    <row r="16" spans="1:8" x14ac:dyDescent="0.25">
      <c r="A16" s="18" t="str">
        <f>name!A15</f>
        <v>Rubber and plastic</v>
      </c>
      <c r="B16" s="13">
        <v>200.8859999990737</v>
      </c>
      <c r="C16" s="13">
        <v>169.529999999117</v>
      </c>
      <c r="D16" s="13">
        <v>166.9639999993274</v>
      </c>
      <c r="E16" s="13">
        <v>147.06699999898677</v>
      </c>
      <c r="F16" s="13">
        <v>132.81599999941474</v>
      </c>
      <c r="G16" s="13"/>
      <c r="H16" s="18"/>
    </row>
    <row r="17" spans="1:8" x14ac:dyDescent="0.25">
      <c r="A17" s="18" t="str">
        <f>name!A16</f>
        <v>Other non-metallic</v>
      </c>
      <c r="B17" s="13">
        <v>113.19999999962216</v>
      </c>
      <c r="C17" s="13">
        <v>74.627999999564253</v>
      </c>
      <c r="D17" s="13">
        <v>75.960999999833376</v>
      </c>
      <c r="E17" s="13">
        <v>66.785999999623485</v>
      </c>
      <c r="F17" s="13">
        <v>60.170999999836333</v>
      </c>
      <c r="G17" s="13"/>
      <c r="H17" s="18"/>
    </row>
    <row r="18" spans="1:8" x14ac:dyDescent="0.25">
      <c r="A18" s="18" t="str">
        <f>name!A17</f>
        <v>Basic metals</v>
      </c>
      <c r="B18" s="13">
        <v>88.557999999742933</v>
      </c>
      <c r="C18" s="13">
        <v>70.764999999478547</v>
      </c>
      <c r="D18" s="13">
        <v>68.630999999807429</v>
      </c>
      <c r="E18" s="13">
        <v>61.529999999638079</v>
      </c>
      <c r="F18" s="13">
        <v>56.631999999698451</v>
      </c>
      <c r="G18" s="13"/>
      <c r="H18" s="18"/>
    </row>
    <row r="19" spans="1:8" x14ac:dyDescent="0.25">
      <c r="A19" s="18" t="str">
        <f>name!A18</f>
        <v>Metal products</v>
      </c>
      <c r="B19" s="13">
        <v>353.6749999987353</v>
      </c>
      <c r="C19" s="13">
        <v>308.39199999790662</v>
      </c>
      <c r="D19" s="13">
        <v>333.29999999873661</v>
      </c>
      <c r="E19" s="13">
        <v>300.72199999830809</v>
      </c>
      <c r="F19" s="13">
        <v>278.80999999890543</v>
      </c>
      <c r="G19" s="13"/>
      <c r="H19" s="18"/>
    </row>
    <row r="20" spans="1:8" x14ac:dyDescent="0.25">
      <c r="A20" s="18" t="str">
        <f>name!A19</f>
        <v>Computer, etc</v>
      </c>
      <c r="B20" s="13">
        <v>171.33499999949413</v>
      </c>
      <c r="C20" s="13">
        <v>132.04799999960105</v>
      </c>
      <c r="D20" s="13">
        <v>125.97099999971756</v>
      </c>
      <c r="E20" s="13">
        <v>126.45699999974707</v>
      </c>
      <c r="F20" s="13">
        <v>119.90199999976502</v>
      </c>
      <c r="G20" s="13"/>
      <c r="H20" s="18"/>
    </row>
    <row r="21" spans="1:8" x14ac:dyDescent="0.25">
      <c r="A21" s="18" t="str">
        <f>name!A20</f>
        <v>Electrical equipment</v>
      </c>
      <c r="B21" s="13">
        <v>98.843999999562868</v>
      </c>
      <c r="C21" s="13">
        <v>88.000999999497424</v>
      </c>
      <c r="D21" s="13">
        <v>81.982999999743029</v>
      </c>
      <c r="E21" s="13">
        <v>80.29399999964869</v>
      </c>
      <c r="F21" s="13">
        <v>78.983999999742878</v>
      </c>
      <c r="G21" s="13"/>
      <c r="H21" s="18"/>
    </row>
    <row r="22" spans="1:8" x14ac:dyDescent="0.25">
      <c r="A22" s="18" t="str">
        <f>name!A21</f>
        <v>Machinery n.e.c.</v>
      </c>
      <c r="B22" s="13">
        <v>225.63699999921522</v>
      </c>
      <c r="C22" s="13">
        <v>202.02499999900752</v>
      </c>
      <c r="D22" s="13">
        <v>188.97999999927654</v>
      </c>
      <c r="E22" s="13">
        <v>191.9999999991893</v>
      </c>
      <c r="F22" s="13">
        <v>178.02599999946545</v>
      </c>
      <c r="G22" s="13"/>
      <c r="H22" s="18"/>
    </row>
    <row r="23" spans="1:8" x14ac:dyDescent="0.25">
      <c r="A23" s="18" t="str">
        <f>name!A22</f>
        <v>Motor vehicles, etc</v>
      </c>
      <c r="B23" s="13">
        <v>174.69499999933498</v>
      </c>
      <c r="C23" s="13">
        <v>136.07699999906845</v>
      </c>
      <c r="D23" s="13">
        <v>180.97899999906687</v>
      </c>
      <c r="E23" s="13">
        <v>172.27099999894085</v>
      </c>
      <c r="F23" s="13">
        <v>167.16399999919992</v>
      </c>
      <c r="G23" s="13"/>
      <c r="H23" s="18"/>
    </row>
    <row r="24" spans="1:8" x14ac:dyDescent="0.25">
      <c r="A24" s="18" t="str">
        <f>name!A23</f>
        <v>Other transport equipment</v>
      </c>
      <c r="B24" s="13">
        <v>128.55099999982727</v>
      </c>
      <c r="C24" s="13">
        <v>138.0489999993558</v>
      </c>
      <c r="D24" s="13">
        <v>150.9629999995478</v>
      </c>
      <c r="E24" s="13">
        <v>159.66399999958006</v>
      </c>
      <c r="F24" s="13">
        <v>162.53199999955078</v>
      </c>
      <c r="G24" s="13"/>
      <c r="H24" s="18"/>
    </row>
    <row r="25" spans="1:8" x14ac:dyDescent="0.25">
      <c r="A25" s="18" t="str">
        <f>name!A24</f>
        <v>Furniture</v>
      </c>
      <c r="B25" s="13">
        <v>92.029999999779136</v>
      </c>
      <c r="C25" s="13">
        <v>89.958999999518738</v>
      </c>
      <c r="D25" s="13">
        <v>95.174999999729252</v>
      </c>
      <c r="E25" s="13">
        <v>94.088999999590584</v>
      </c>
      <c r="F25" s="13">
        <v>91.713999999683509</v>
      </c>
      <c r="G25" s="13"/>
      <c r="H25" s="18"/>
    </row>
    <row r="26" spans="1:8" x14ac:dyDescent="0.25">
      <c r="A26" s="18" t="str">
        <f>name!A25</f>
        <v>Other manufacturing</v>
      </c>
      <c r="B26" s="13">
        <v>115.15799999954884</v>
      </c>
      <c r="C26" s="13">
        <v>105.40299999953106</v>
      </c>
      <c r="D26" s="13">
        <v>103.46499999981707</v>
      </c>
      <c r="E26" s="13">
        <v>101.45699999953835</v>
      </c>
      <c r="F26" s="13">
        <v>98.352999999705261</v>
      </c>
      <c r="G26" s="13"/>
      <c r="H26" s="18"/>
    </row>
    <row r="27" spans="1:8" x14ac:dyDescent="0.25">
      <c r="A27" s="18" t="str">
        <f>name!A26</f>
        <v>Repair and installation</v>
      </c>
      <c r="B27" s="13">
        <v>123.02599999966483</v>
      </c>
      <c r="C27" s="13">
        <v>137.16999999934075</v>
      </c>
      <c r="D27" s="13">
        <v>141.05299999966789</v>
      </c>
      <c r="E27" s="13">
        <v>136.96399999962239</v>
      </c>
      <c r="F27" s="13">
        <v>131.13799999973722</v>
      </c>
      <c r="G27" s="13"/>
      <c r="H27" s="18"/>
    </row>
    <row r="28" spans="1:8" x14ac:dyDescent="0.25">
      <c r="A28" s="18" t="str">
        <f>name!A27</f>
        <v>Electricity, gas, etc</v>
      </c>
      <c r="B28" s="13">
        <v>84.992999999709241</v>
      </c>
      <c r="C28" s="13">
        <v>121.98799999957234</v>
      </c>
      <c r="D28" s="13">
        <v>143.9989999994973</v>
      </c>
      <c r="E28" s="13">
        <v>144.44599999965675</v>
      </c>
      <c r="F28" s="13">
        <v>145.17299999955003</v>
      </c>
      <c r="G28" s="13"/>
      <c r="H28" s="18"/>
    </row>
    <row r="29" spans="1:8" x14ac:dyDescent="0.25">
      <c r="A29" s="18" t="str">
        <f>name!A28</f>
        <v>Water</v>
      </c>
      <c r="B29" s="13">
        <v>30.687999999925001</v>
      </c>
      <c r="C29" s="13">
        <v>36.850999999850949</v>
      </c>
      <c r="D29" s="13">
        <v>37.092999999870166</v>
      </c>
      <c r="E29" s="13">
        <v>38.296999999890879</v>
      </c>
      <c r="F29" s="13">
        <v>42.30999999989421</v>
      </c>
      <c r="G29" s="13"/>
      <c r="H29" s="18"/>
    </row>
    <row r="30" spans="1:8" x14ac:dyDescent="0.25">
      <c r="A30" s="18" t="str">
        <f>name!A29</f>
        <v>Sewerage</v>
      </c>
      <c r="B30" s="13">
        <v>15.312999999952131</v>
      </c>
      <c r="C30" s="13">
        <v>24.442999999857271</v>
      </c>
      <c r="D30" s="13">
        <v>21.783999999952226</v>
      </c>
      <c r="E30" s="13">
        <v>22.442999999856024</v>
      </c>
      <c r="F30" s="13">
        <v>21.402999999932653</v>
      </c>
      <c r="G30" s="13"/>
      <c r="H30" s="18"/>
    </row>
    <row r="31" spans="1:8" x14ac:dyDescent="0.25">
      <c r="A31" s="18" t="str">
        <f>name!A30</f>
        <v>Waste management</v>
      </c>
      <c r="B31" s="13">
        <v>112.98899999967406</v>
      </c>
      <c r="C31" s="13">
        <v>132.68699999904641</v>
      </c>
      <c r="D31" s="13">
        <v>149.12299999945731</v>
      </c>
      <c r="E31" s="13">
        <v>153.80499999899399</v>
      </c>
      <c r="F31" s="13">
        <v>157.82199999926144</v>
      </c>
      <c r="G31" s="13"/>
      <c r="H31" s="18"/>
    </row>
    <row r="32" spans="1:8" x14ac:dyDescent="0.25">
      <c r="A32" s="18" t="str">
        <f>name!A31</f>
        <v>Construction</v>
      </c>
      <c r="B32" s="13">
        <v>601.75500000206</v>
      </c>
      <c r="C32" s="13">
        <v>595.55999999423682</v>
      </c>
      <c r="D32" s="13">
        <v>704.99900000155344</v>
      </c>
      <c r="E32" s="13">
        <v>711.63200000711277</v>
      </c>
      <c r="F32" s="13">
        <v>720.8450000095396</v>
      </c>
      <c r="G32" s="13"/>
      <c r="H32" s="18"/>
    </row>
    <row r="33" spans="1:8" x14ac:dyDescent="0.25">
      <c r="A33" s="18" t="str">
        <f>name!A32</f>
        <v>Civil engineering</v>
      </c>
      <c r="B33" s="13">
        <v>405.55600000231175</v>
      </c>
      <c r="C33" s="13">
        <v>330.85599999728157</v>
      </c>
      <c r="D33" s="13">
        <v>346.35000000039383</v>
      </c>
      <c r="E33" s="13">
        <v>349.00700000339452</v>
      </c>
      <c r="F33" s="13">
        <v>353.0720000043973</v>
      </c>
      <c r="G33" s="13"/>
      <c r="H33" s="18"/>
    </row>
    <row r="34" spans="1:8" x14ac:dyDescent="0.25">
      <c r="A34" s="18" t="str">
        <f>name!A33</f>
        <v>Specialised construction</v>
      </c>
      <c r="B34" s="13">
        <v>1293.6920000066314</v>
      </c>
      <c r="C34" s="13">
        <v>1129.6789999900379</v>
      </c>
      <c r="D34" s="13">
        <v>1234.6990000027815</v>
      </c>
      <c r="E34" s="13">
        <v>1245.9950000127235</v>
      </c>
      <c r="F34" s="13">
        <v>1262.1090000167985</v>
      </c>
      <c r="G34" s="13"/>
      <c r="H34" s="18"/>
    </row>
    <row r="35" spans="1:8" x14ac:dyDescent="0.25">
      <c r="A35" s="18" t="str">
        <f>name!A34</f>
        <v>Motor vehicle trade</v>
      </c>
      <c r="B35" s="13">
        <v>600.8869999985277</v>
      </c>
      <c r="C35" s="13">
        <v>555.88199999698918</v>
      </c>
      <c r="D35" s="13">
        <v>632.12499999983629</v>
      </c>
      <c r="E35" s="13">
        <v>629.05199999491992</v>
      </c>
      <c r="F35" s="13">
        <v>632.07799999743645</v>
      </c>
      <c r="G35" s="13"/>
      <c r="H35" s="18"/>
    </row>
    <row r="36" spans="1:8" x14ac:dyDescent="0.25">
      <c r="A36" s="18" t="str">
        <f>name!A35</f>
        <v>Wholesale trade</v>
      </c>
      <c r="B36" s="13">
        <v>1247.7459999939167</v>
      </c>
      <c r="C36" s="13">
        <v>1189.6859999915046</v>
      </c>
      <c r="D36" s="13">
        <v>1225.9319999996226</v>
      </c>
      <c r="E36" s="13">
        <v>1207.3679999865999</v>
      </c>
      <c r="F36" s="13">
        <v>1196.4899999944462</v>
      </c>
      <c r="G36" s="13"/>
      <c r="H36" s="18"/>
    </row>
    <row r="37" spans="1:8" x14ac:dyDescent="0.25">
      <c r="A37" s="18" t="str">
        <f>name!A36</f>
        <v>Retail trade</v>
      </c>
      <c r="B37" s="13">
        <v>3164.3630000136664</v>
      </c>
      <c r="C37" s="13">
        <v>3095.2090000194039</v>
      </c>
      <c r="D37" s="13">
        <v>3122.0890000533796</v>
      </c>
      <c r="E37" s="13">
        <v>3160.2449999864812</v>
      </c>
      <c r="F37" s="13">
        <v>3217.2620000108604</v>
      </c>
      <c r="G37" s="13"/>
      <c r="H37" s="18"/>
    </row>
    <row r="38" spans="1:8" x14ac:dyDescent="0.25">
      <c r="A38" s="18" t="str">
        <f>name!A37</f>
        <v>Land transport, etc</v>
      </c>
      <c r="B38" s="13">
        <v>729.73099999748422</v>
      </c>
      <c r="C38" s="13">
        <v>703.59100000637341</v>
      </c>
      <c r="D38" s="13">
        <v>844.0760000171631</v>
      </c>
      <c r="E38" s="13">
        <v>802.89299999676723</v>
      </c>
      <c r="F38" s="13">
        <v>795.67999999672213</v>
      </c>
      <c r="G38" s="13"/>
      <c r="H38" s="18"/>
    </row>
    <row r="39" spans="1:8" x14ac:dyDescent="0.25">
      <c r="A39" s="18" t="str">
        <f>name!A38</f>
        <v>Water transport</v>
      </c>
      <c r="B39" s="13">
        <v>18.46699999992795</v>
      </c>
      <c r="C39" s="13">
        <v>18.994999999958885</v>
      </c>
      <c r="D39" s="13">
        <v>14.975999999988062</v>
      </c>
      <c r="E39" s="13">
        <v>11.946999999915949</v>
      </c>
      <c r="F39" s="13">
        <v>10.677999999962854</v>
      </c>
      <c r="G39" s="13"/>
      <c r="H39" s="18"/>
    </row>
    <row r="40" spans="1:8" x14ac:dyDescent="0.25">
      <c r="A40" s="18" t="str">
        <f>name!A39</f>
        <v>Air transport</v>
      </c>
      <c r="B40" s="13">
        <v>89.519999999732775</v>
      </c>
      <c r="C40" s="13">
        <v>76.050999999435277</v>
      </c>
      <c r="D40" s="13">
        <v>77.938000000403036</v>
      </c>
      <c r="E40" s="13">
        <v>77.172999999457303</v>
      </c>
      <c r="F40" s="13">
        <v>78.192000000076291</v>
      </c>
      <c r="G40" s="13"/>
      <c r="H40" s="18"/>
    </row>
    <row r="41" spans="1:8" x14ac:dyDescent="0.25">
      <c r="A41" s="18" t="str">
        <f>name!A40</f>
        <v>Warehousing, etc</v>
      </c>
      <c r="B41" s="13">
        <v>380.35899999803792</v>
      </c>
      <c r="C41" s="13">
        <v>430.01299999690002</v>
      </c>
      <c r="D41" s="13">
        <v>579.10799999939559</v>
      </c>
      <c r="E41" s="13">
        <v>581.24799999470872</v>
      </c>
      <c r="F41" s="13">
        <v>582.62799999733613</v>
      </c>
      <c r="G41" s="13"/>
      <c r="H41" s="18"/>
    </row>
    <row r="42" spans="1:8" x14ac:dyDescent="0.25">
      <c r="A42" s="18" t="str">
        <f>name!A41</f>
        <v>Postal and courier</v>
      </c>
      <c r="B42" s="13">
        <v>285.92599999837415</v>
      </c>
      <c r="C42" s="13">
        <v>279.31699999795956</v>
      </c>
      <c r="D42" s="13">
        <v>286.94500000099475</v>
      </c>
      <c r="E42" s="13">
        <v>295.65899999669597</v>
      </c>
      <c r="F42" s="13">
        <v>302.30899999903937</v>
      </c>
      <c r="G42" s="13"/>
      <c r="H42" s="18"/>
    </row>
    <row r="43" spans="1:8" x14ac:dyDescent="0.25">
      <c r="A43" s="18" t="str">
        <f>name!A42</f>
        <v>Accommodation</v>
      </c>
      <c r="B43" s="13">
        <v>440.71799999938077</v>
      </c>
      <c r="C43" s="13">
        <v>454.46299999893353</v>
      </c>
      <c r="D43" s="13">
        <v>546.40200000535958</v>
      </c>
      <c r="E43" s="13">
        <v>561.03999999642178</v>
      </c>
      <c r="F43" s="13">
        <v>576.94300000132455</v>
      </c>
      <c r="G43" s="13"/>
      <c r="H43" s="18"/>
    </row>
    <row r="44" spans="1:8" x14ac:dyDescent="0.25">
      <c r="A44" s="18" t="str">
        <f>name!A43</f>
        <v>Food and beverage services</v>
      </c>
      <c r="B44" s="13">
        <v>1571.2799999955482</v>
      </c>
      <c r="C44" s="13">
        <v>1599.4349999934045</v>
      </c>
      <c r="D44" s="13">
        <v>1888.6740000166171</v>
      </c>
      <c r="E44" s="13">
        <v>1836.9719999875604</v>
      </c>
      <c r="F44" s="13">
        <v>1930.9960000039553</v>
      </c>
      <c r="G44" s="13"/>
      <c r="H44" s="18"/>
    </row>
    <row r="45" spans="1:8" x14ac:dyDescent="0.25">
      <c r="A45" s="18" t="str">
        <f>name!A44</f>
        <v>Publishing activities</v>
      </c>
      <c r="B45" s="13">
        <v>189.91799999957573</v>
      </c>
      <c r="C45" s="13">
        <v>191.03700000023409</v>
      </c>
      <c r="D45" s="13">
        <v>175.66799999857798</v>
      </c>
      <c r="E45" s="13">
        <v>174.83199999968855</v>
      </c>
      <c r="F45" s="13">
        <v>174.89199999887589</v>
      </c>
      <c r="G45" s="13"/>
      <c r="H45" s="18"/>
    </row>
    <row r="46" spans="1:8" x14ac:dyDescent="0.25">
      <c r="A46" s="18" t="str">
        <f>name!A45</f>
        <v>Film and music</v>
      </c>
      <c r="B46" s="13">
        <v>135.84499999964783</v>
      </c>
      <c r="C46" s="13">
        <v>137.12500000035317</v>
      </c>
      <c r="D46" s="13">
        <v>172.77299999912742</v>
      </c>
      <c r="E46" s="13">
        <v>177.09099999937013</v>
      </c>
      <c r="F46" s="13">
        <v>180.72799999892004</v>
      </c>
      <c r="G46" s="13"/>
      <c r="H46" s="18"/>
    </row>
    <row r="47" spans="1:8" x14ac:dyDescent="0.25">
      <c r="A47" s="18" t="str">
        <f>name!A46</f>
        <v>Broadcasting</v>
      </c>
      <c r="B47" s="13">
        <v>31.153999999973827</v>
      </c>
      <c r="C47" s="13">
        <v>45.336000000274808</v>
      </c>
      <c r="D47" s="13">
        <v>45.80299999965947</v>
      </c>
      <c r="E47" s="13">
        <v>46.928999999760535</v>
      </c>
      <c r="F47" s="13">
        <v>47.883999999567507</v>
      </c>
      <c r="G47" s="13"/>
      <c r="H47" s="18"/>
    </row>
    <row r="48" spans="1:8" x14ac:dyDescent="0.25">
      <c r="A48" s="18" t="str">
        <f>name!A47</f>
        <v>Telecommunications</v>
      </c>
      <c r="B48" s="13">
        <v>215.02299999972277</v>
      </c>
      <c r="C48" s="13">
        <v>205.82600000025192</v>
      </c>
      <c r="D48" s="13">
        <v>211.41499999840494</v>
      </c>
      <c r="E48" s="13">
        <v>217.61900000016212</v>
      </c>
      <c r="F48" s="13">
        <v>223.55999999963234</v>
      </c>
      <c r="G48" s="13"/>
      <c r="H48" s="18"/>
    </row>
    <row r="49" spans="1:8" x14ac:dyDescent="0.25">
      <c r="A49" s="18" t="str">
        <f>name!A48</f>
        <v>Computing services</v>
      </c>
      <c r="B49" s="13">
        <v>596.92999999931556</v>
      </c>
      <c r="C49" s="13">
        <v>572.18000000109907</v>
      </c>
      <c r="D49" s="13">
        <v>801.27799999279375</v>
      </c>
      <c r="E49" s="13">
        <v>834.75200000139</v>
      </c>
      <c r="F49" s="13">
        <v>865.29599999661787</v>
      </c>
      <c r="G49" s="13"/>
      <c r="H49" s="18"/>
    </row>
    <row r="50" spans="1:8" x14ac:dyDescent="0.25">
      <c r="A50" s="18" t="str">
        <f>name!A49</f>
        <v>Information services</v>
      </c>
      <c r="B50" s="13">
        <v>82.134999999823521</v>
      </c>
      <c r="C50" s="13">
        <v>71.471000000009866</v>
      </c>
      <c r="D50" s="13">
        <v>90.106999999527858</v>
      </c>
      <c r="E50" s="13">
        <v>95.181999999719679</v>
      </c>
      <c r="F50" s="13">
        <v>99.485999999515911</v>
      </c>
      <c r="G50" s="13"/>
      <c r="H50" s="18"/>
    </row>
    <row r="51" spans="1:8" x14ac:dyDescent="0.25">
      <c r="A51" s="18" t="str">
        <f>name!A50</f>
        <v>Financial services</v>
      </c>
      <c r="B51" s="13">
        <v>638.40099999908557</v>
      </c>
      <c r="C51" s="13">
        <v>547.29700000092657</v>
      </c>
      <c r="D51" s="13">
        <v>513.96899999663572</v>
      </c>
      <c r="E51" s="13">
        <v>516.43699999838645</v>
      </c>
      <c r="F51" s="13">
        <v>511.1519999970306</v>
      </c>
      <c r="G51" s="13"/>
      <c r="H51" s="18"/>
    </row>
    <row r="52" spans="1:8" x14ac:dyDescent="0.25">
      <c r="A52" s="18" t="str">
        <f>name!A51</f>
        <v>Insurance and pensions</v>
      </c>
      <c r="B52" s="13">
        <v>148.83099999944116</v>
      </c>
      <c r="C52" s="13">
        <v>129.13099999969782</v>
      </c>
      <c r="D52" s="13">
        <v>115.34599999925126</v>
      </c>
      <c r="E52" s="13">
        <v>114.36799999993238</v>
      </c>
      <c r="F52" s="13">
        <v>111.86899999967196</v>
      </c>
      <c r="G52" s="13"/>
      <c r="H52" s="18"/>
    </row>
    <row r="53" spans="1:8" x14ac:dyDescent="0.25">
      <c r="A53" s="18" t="str">
        <f>name!A52</f>
        <v>Auxiliary financial services</v>
      </c>
      <c r="B53" s="13">
        <v>392.76899999928747</v>
      </c>
      <c r="C53" s="13">
        <v>468.51500000087748</v>
      </c>
      <c r="D53" s="13">
        <v>504.72399999599395</v>
      </c>
      <c r="E53" s="13">
        <v>505.8669999985886</v>
      </c>
      <c r="F53" s="13">
        <v>499.61099999660735</v>
      </c>
      <c r="G53" s="13"/>
      <c r="H53" s="18"/>
    </row>
    <row r="54" spans="1:8" x14ac:dyDescent="0.25">
      <c r="A54" s="18" t="str">
        <f>name!A53</f>
        <v>Real estate</v>
      </c>
      <c r="B54" s="13">
        <v>442.99699999944011</v>
      </c>
      <c r="C54" s="13">
        <v>491.98299999944902</v>
      </c>
      <c r="D54" s="13">
        <v>546.01899999880891</v>
      </c>
      <c r="E54" s="13">
        <v>556.52799999846707</v>
      </c>
      <c r="F54" s="13">
        <v>570.10899999955313</v>
      </c>
      <c r="G54" s="13"/>
      <c r="H54" s="18"/>
    </row>
    <row r="55" spans="1:8" x14ac:dyDescent="0.25">
      <c r="A55" s="18" t="str">
        <f>name!A54</f>
        <v>Legal and accounting</v>
      </c>
      <c r="B55" s="13">
        <v>681.36799999895152</v>
      </c>
      <c r="C55" s="13">
        <v>708.96800000137034</v>
      </c>
      <c r="D55" s="13">
        <v>777.99299999175355</v>
      </c>
      <c r="E55" s="13">
        <v>799.58700000141027</v>
      </c>
      <c r="F55" s="13">
        <v>817.35099999651675</v>
      </c>
      <c r="G55" s="13"/>
      <c r="H55" s="18"/>
    </row>
    <row r="56" spans="1:8" x14ac:dyDescent="0.25">
      <c r="A56" s="18" t="str">
        <f>name!A55</f>
        <v>Head offices, etc</v>
      </c>
      <c r="B56" s="13">
        <v>508.39799999955255</v>
      </c>
      <c r="C56" s="13">
        <v>654.08800000119436</v>
      </c>
      <c r="D56" s="13">
        <v>852.8949999911041</v>
      </c>
      <c r="E56" s="13">
        <v>890.84500000235948</v>
      </c>
      <c r="F56" s="13">
        <v>896.38899999633111</v>
      </c>
      <c r="G56" s="13"/>
      <c r="H56" s="18"/>
    </row>
    <row r="57" spans="1:8" x14ac:dyDescent="0.25">
      <c r="A57" s="18" t="str">
        <f>name!A56</f>
        <v>Architectural and related</v>
      </c>
      <c r="B57" s="13">
        <v>463.72399999905622</v>
      </c>
      <c r="C57" s="13">
        <v>496.03700000118658</v>
      </c>
      <c r="D57" s="13">
        <v>601.980999994066</v>
      </c>
      <c r="E57" s="13">
        <v>646.63200000144752</v>
      </c>
      <c r="F57" s="13">
        <v>651.83999999849061</v>
      </c>
      <c r="G57" s="13"/>
      <c r="H57" s="18"/>
    </row>
    <row r="58" spans="1:8" x14ac:dyDescent="0.25">
      <c r="A58" s="18" t="str">
        <f>name!A57</f>
        <v>Scientific research and development</v>
      </c>
      <c r="B58" s="13">
        <v>127.13800000064214</v>
      </c>
      <c r="C58" s="13">
        <v>146.94500000081717</v>
      </c>
      <c r="D58" s="13">
        <v>156.65799999918147</v>
      </c>
      <c r="E58" s="13">
        <v>166.45400000245297</v>
      </c>
      <c r="F58" s="13">
        <v>174.72400000115371</v>
      </c>
      <c r="G58" s="13"/>
      <c r="H58" s="18"/>
    </row>
    <row r="59" spans="1:8" x14ac:dyDescent="0.25">
      <c r="A59" s="18" t="str">
        <f>name!A58</f>
        <v>Advertising, etc</v>
      </c>
      <c r="B59" s="13">
        <v>216.26999999976218</v>
      </c>
      <c r="C59" s="13">
        <v>247.76400000065212</v>
      </c>
      <c r="D59" s="13">
        <v>278.67099999653612</v>
      </c>
      <c r="E59" s="13">
        <v>295.28000000056039</v>
      </c>
      <c r="F59" s="13">
        <v>309.33899999778987</v>
      </c>
      <c r="G59" s="13"/>
      <c r="H59" s="18"/>
    </row>
    <row r="60" spans="1:8" x14ac:dyDescent="0.25">
      <c r="A60" s="18" t="str">
        <f>name!A59</f>
        <v>Other professional</v>
      </c>
      <c r="B60" s="13">
        <v>216.06999999955693</v>
      </c>
      <c r="C60" s="13">
        <v>205.4210000000368</v>
      </c>
      <c r="D60" s="13">
        <v>259.80699999765943</v>
      </c>
      <c r="E60" s="13">
        <v>276.63999999916336</v>
      </c>
      <c r="F60" s="13">
        <v>291.28899999787495</v>
      </c>
      <c r="G60" s="13"/>
      <c r="H60" s="18"/>
    </row>
    <row r="61" spans="1:8" x14ac:dyDescent="0.25">
      <c r="A61" s="18" t="str">
        <f>name!A60</f>
        <v>Veterinary</v>
      </c>
      <c r="B61" s="13">
        <v>56.030999999414639</v>
      </c>
      <c r="C61" s="13">
        <v>69.740999999247919</v>
      </c>
      <c r="D61" s="13">
        <v>86.082999998234897</v>
      </c>
      <c r="E61" s="13">
        <v>91.082999998868175</v>
      </c>
      <c r="F61" s="13">
        <v>95.258999998872824</v>
      </c>
      <c r="G61" s="13"/>
      <c r="H61" s="18"/>
    </row>
    <row r="62" spans="1:8" x14ac:dyDescent="0.25">
      <c r="A62" s="18" t="str">
        <f>name!A61</f>
        <v>Rental and leasing</v>
      </c>
      <c r="B62" s="13">
        <v>161.22299999959881</v>
      </c>
      <c r="C62" s="13">
        <v>157.09199999975297</v>
      </c>
      <c r="D62" s="13">
        <v>151.88899999989192</v>
      </c>
      <c r="E62" s="13">
        <v>158.89599999943425</v>
      </c>
      <c r="F62" s="13">
        <v>163.84199999957113</v>
      </c>
      <c r="G62" s="13"/>
      <c r="H62" s="18"/>
    </row>
    <row r="63" spans="1:8" x14ac:dyDescent="0.25">
      <c r="A63" s="18" t="str">
        <f>name!A62</f>
        <v>Employment activities</v>
      </c>
      <c r="B63" s="13">
        <v>962.75099999566135</v>
      </c>
      <c r="C63" s="13">
        <v>951.97799999619383</v>
      </c>
      <c r="D63" s="13">
        <v>1135.0140000004797</v>
      </c>
      <c r="E63" s="13">
        <v>1181.7789999935446</v>
      </c>
      <c r="F63" s="13">
        <v>1210.7139999977931</v>
      </c>
      <c r="G63" s="13"/>
      <c r="H63" s="18"/>
    </row>
    <row r="64" spans="1:8" x14ac:dyDescent="0.25">
      <c r="A64" s="18" t="str">
        <f>name!A63</f>
        <v>Travel, etc</v>
      </c>
      <c r="B64" s="13">
        <v>108.04399999938846</v>
      </c>
      <c r="C64" s="13">
        <v>103.43199999924425</v>
      </c>
      <c r="D64" s="13">
        <v>102.0340000003452</v>
      </c>
      <c r="E64" s="13">
        <v>106.67999999934254</v>
      </c>
      <c r="F64" s="13">
        <v>109.71199999994703</v>
      </c>
      <c r="G64" s="13"/>
      <c r="H64" s="18"/>
    </row>
    <row r="65" spans="1:8" x14ac:dyDescent="0.25">
      <c r="A65" s="18" t="str">
        <f>name!A64</f>
        <v>Security, etc</v>
      </c>
      <c r="B65" s="13">
        <v>191.9989999990639</v>
      </c>
      <c r="C65" s="13">
        <v>200.89899999900192</v>
      </c>
      <c r="D65" s="13">
        <v>209.20499999989735</v>
      </c>
      <c r="E65" s="13">
        <v>217.96499999868601</v>
      </c>
      <c r="F65" s="13">
        <v>223.62499999943518</v>
      </c>
      <c r="G65" s="13"/>
      <c r="H65" s="18"/>
    </row>
    <row r="66" spans="1:8" x14ac:dyDescent="0.25">
      <c r="A66" s="18" t="str">
        <f>name!A65</f>
        <v>Services to buildings</v>
      </c>
      <c r="B66" s="13">
        <v>728.14399999898683</v>
      </c>
      <c r="C66" s="13">
        <v>796.13399999848104</v>
      </c>
      <c r="D66" s="13">
        <v>847.40900000210911</v>
      </c>
      <c r="E66" s="13">
        <v>879.35999999439662</v>
      </c>
      <c r="F66" s="13">
        <v>894.8529999992528</v>
      </c>
      <c r="G66" s="13"/>
      <c r="H66" s="18"/>
    </row>
    <row r="67" spans="1:8" x14ac:dyDescent="0.25">
      <c r="A67" s="18" t="str">
        <f>name!A66</f>
        <v>Office administrative</v>
      </c>
      <c r="B67" s="13">
        <v>393.84099999841391</v>
      </c>
      <c r="C67" s="13">
        <v>404.36799999844345</v>
      </c>
      <c r="D67" s="13">
        <v>551.53400000058957</v>
      </c>
      <c r="E67" s="13">
        <v>575.46399999718312</v>
      </c>
      <c r="F67" s="13">
        <v>590.99499999946784</v>
      </c>
      <c r="G67" s="13"/>
      <c r="H67" s="18"/>
    </row>
    <row r="68" spans="1:8" x14ac:dyDescent="0.25">
      <c r="A68" s="18" t="str">
        <f>name!A67</f>
        <v>Public administration and defence</v>
      </c>
      <c r="B68" s="13">
        <v>1571.9999999991799</v>
      </c>
      <c r="C68" s="13">
        <v>1389.9119999994225</v>
      </c>
      <c r="D68" s="13">
        <v>1330.0479999937118</v>
      </c>
      <c r="E68" s="13">
        <v>1306.8430000034846</v>
      </c>
      <c r="F68" s="13">
        <v>1323.1529999996937</v>
      </c>
      <c r="G68" s="13"/>
      <c r="H68" s="18"/>
    </row>
    <row r="69" spans="1:8" x14ac:dyDescent="0.25">
      <c r="A69" s="18" t="str">
        <f>name!A68</f>
        <v xml:space="preserve">Education </v>
      </c>
      <c r="B69" s="13">
        <v>2590.9980000533205</v>
      </c>
      <c r="C69" s="13">
        <v>2764.8700000620011</v>
      </c>
      <c r="D69" s="13">
        <v>2926.0890000192853</v>
      </c>
      <c r="E69" s="13">
        <v>2888.1510000897474</v>
      </c>
      <c r="F69" s="13">
        <v>2935.584000038913</v>
      </c>
      <c r="G69" s="13"/>
      <c r="H69" s="18"/>
    </row>
    <row r="70" spans="1:8" x14ac:dyDescent="0.25">
      <c r="A70" s="18" t="str">
        <f>name!A69</f>
        <v>Health</v>
      </c>
      <c r="B70" s="13">
        <v>2046.0009999853207</v>
      </c>
      <c r="C70" s="13">
        <v>2225.8949999873648</v>
      </c>
      <c r="D70" s="13">
        <v>2589.0749999706618</v>
      </c>
      <c r="E70" s="13">
        <v>2689.1649999877582</v>
      </c>
      <c r="F70" s="13">
        <v>2798.2849999855348</v>
      </c>
      <c r="G70" s="13"/>
      <c r="H70" s="18"/>
    </row>
    <row r="71" spans="1:8" x14ac:dyDescent="0.25">
      <c r="A71" s="18" t="str">
        <f>name!A70</f>
        <v>Residential care</v>
      </c>
      <c r="B71" s="13">
        <v>700.75499999482645</v>
      </c>
      <c r="C71" s="13">
        <v>760.43999999417201</v>
      </c>
      <c r="D71" s="13">
        <v>778.19999999143363</v>
      </c>
      <c r="E71" s="13">
        <v>826.14799999638524</v>
      </c>
      <c r="F71" s="13">
        <v>868.94999999526931</v>
      </c>
      <c r="G71" s="13"/>
      <c r="H71" s="18"/>
    </row>
    <row r="72" spans="1:8" x14ac:dyDescent="0.25">
      <c r="A72" s="18" t="str">
        <f>name!A71</f>
        <v>Social work</v>
      </c>
      <c r="B72" s="13">
        <v>850.24599999293321</v>
      </c>
      <c r="C72" s="13">
        <v>998.47299999251413</v>
      </c>
      <c r="D72" s="13">
        <v>1013.8509999872468</v>
      </c>
      <c r="E72" s="13">
        <v>1080.1689999938346</v>
      </c>
      <c r="F72" s="13">
        <v>1140.7869999925317</v>
      </c>
      <c r="G72" s="13"/>
      <c r="H72" s="18"/>
    </row>
    <row r="73" spans="1:8" x14ac:dyDescent="0.25">
      <c r="A73" s="18" t="str">
        <f>name!A72</f>
        <v>Arts and entertainment</v>
      </c>
      <c r="B73" s="13">
        <v>142.48699999946714</v>
      </c>
      <c r="C73" s="13">
        <v>143.51900000017352</v>
      </c>
      <c r="D73" s="13">
        <v>146.36899999895658</v>
      </c>
      <c r="E73" s="13">
        <v>162.33099999900404</v>
      </c>
      <c r="F73" s="13">
        <v>165.02799999861557</v>
      </c>
      <c r="G73" s="13"/>
      <c r="H73" s="18"/>
    </row>
    <row r="74" spans="1:8" x14ac:dyDescent="0.25">
      <c r="A74" s="18" t="str">
        <f>name!A73</f>
        <v>Libraries, etc</v>
      </c>
      <c r="B74" s="13">
        <v>185.58299999962193</v>
      </c>
      <c r="C74" s="13">
        <v>169.77000000026453</v>
      </c>
      <c r="D74" s="13">
        <v>189.63499999912665</v>
      </c>
      <c r="E74" s="13">
        <v>211.94399999960277</v>
      </c>
      <c r="F74" s="13">
        <v>218.39199999907416</v>
      </c>
      <c r="G74" s="13"/>
      <c r="H74" s="18"/>
    </row>
    <row r="75" spans="1:8" x14ac:dyDescent="0.25">
      <c r="A75" s="18" t="str">
        <f>name!A74</f>
        <v>Gambling and betting</v>
      </c>
      <c r="B75" s="13">
        <v>113.90499999997775</v>
      </c>
      <c r="C75" s="13">
        <v>112.16100000002466</v>
      </c>
      <c r="D75" s="13">
        <v>107.9519999997556</v>
      </c>
      <c r="E75" s="13">
        <v>112.38899999980812</v>
      </c>
      <c r="F75" s="13">
        <v>116.55799999972228</v>
      </c>
      <c r="G75" s="13"/>
      <c r="H75" s="18"/>
    </row>
    <row r="76" spans="1:8" x14ac:dyDescent="0.25">
      <c r="A76" s="18" t="str">
        <f>name!A75</f>
        <v>Sport and recreation</v>
      </c>
      <c r="B76" s="13">
        <v>427.02599999938508</v>
      </c>
      <c r="C76" s="13">
        <v>475.55499999942361</v>
      </c>
      <c r="D76" s="13">
        <v>537.0699999990486</v>
      </c>
      <c r="E76" s="13">
        <v>554.7409999986105</v>
      </c>
      <c r="F76" s="13">
        <v>570.55199999868739</v>
      </c>
      <c r="G76" s="13"/>
      <c r="H76" s="18"/>
    </row>
    <row r="77" spans="1:8" x14ac:dyDescent="0.25">
      <c r="A77" s="18" t="str">
        <f>name!A76</f>
        <v>Membership organisations</v>
      </c>
      <c r="B77" s="13">
        <v>371.25500000027625</v>
      </c>
      <c r="C77" s="13">
        <v>383.02100000071306</v>
      </c>
      <c r="D77" s="13">
        <v>419.73999999753113</v>
      </c>
      <c r="E77" s="13">
        <v>433.05000000137426</v>
      </c>
      <c r="F77" s="13">
        <v>436.83499999923777</v>
      </c>
      <c r="G77" s="13"/>
      <c r="H77" s="18"/>
    </row>
    <row r="78" spans="1:8" x14ac:dyDescent="0.25">
      <c r="A78" s="18" t="str">
        <f>name!A77</f>
        <v>Repair of goods</v>
      </c>
      <c r="B78" s="13">
        <v>57.122999999954445</v>
      </c>
      <c r="C78" s="13">
        <v>58.067000000067473</v>
      </c>
      <c r="D78" s="13">
        <v>56.498000000023943</v>
      </c>
      <c r="E78" s="13">
        <v>59.277000000090567</v>
      </c>
      <c r="F78" s="13">
        <v>60.750000000120572</v>
      </c>
      <c r="G78" s="13"/>
      <c r="H78" s="18"/>
    </row>
    <row r="79" spans="1:8" x14ac:dyDescent="0.25">
      <c r="A79" s="18" t="str">
        <f>name!A78</f>
        <v>Other personal service</v>
      </c>
      <c r="B79" s="13">
        <v>550.62299999933191</v>
      </c>
      <c r="C79" s="13">
        <v>441.9340000008176</v>
      </c>
      <c r="D79" s="13">
        <v>530.78800000337401</v>
      </c>
      <c r="E79" s="13">
        <v>549.43299999936971</v>
      </c>
      <c r="F79" s="13">
        <v>555.75100000095927</v>
      </c>
      <c r="G79" s="13"/>
      <c r="H79" s="18"/>
    </row>
    <row r="80" spans="1:8" x14ac:dyDescent="0.25">
      <c r="A80" s="18"/>
      <c r="B80" s="13"/>
      <c r="C80" s="13"/>
      <c r="D80" s="13"/>
      <c r="E80" s="13"/>
      <c r="F80" s="13"/>
      <c r="G80" s="13"/>
      <c r="H80" s="18"/>
    </row>
    <row r="81" spans="1:7" x14ac:dyDescent="0.25">
      <c r="A81" s="28" t="str">
        <f>name!A3</f>
        <v>All industries</v>
      </c>
      <c r="B81" s="39">
        <f>SUM(B5:B79)</f>
        <v>31790.007000000063</v>
      </c>
      <c r="C81" s="39">
        <f t="shared" ref="C81:F81" si="0">SUM(C5:C79)</f>
        <v>31800.01300000025</v>
      </c>
      <c r="D81" s="39">
        <f t="shared" si="0"/>
        <v>34847.991999999998</v>
      </c>
      <c r="E81" s="39">
        <f t="shared" si="0"/>
        <v>35250.447999999946</v>
      </c>
      <c r="F81" s="39">
        <f t="shared" si="0"/>
        <v>35820.953000000154</v>
      </c>
      <c r="G81" s="13"/>
    </row>
    <row r="82" spans="1:7" x14ac:dyDescent="0.25">
      <c r="A82" s="44"/>
      <c r="B82" s="47"/>
      <c r="C82" s="47"/>
      <c r="D82" s="47"/>
      <c r="E82" s="47"/>
      <c r="F82" s="47"/>
      <c r="G82" s="13"/>
    </row>
    <row r="83" spans="1:7" x14ac:dyDescent="0.25">
      <c r="A83" s="44"/>
      <c r="B83" s="47"/>
      <c r="C83" s="47"/>
      <c r="D83" s="47"/>
      <c r="E83" s="47"/>
      <c r="F83" s="47"/>
      <c r="G83" s="13"/>
    </row>
    <row r="84" spans="1:7" x14ac:dyDescent="0.25">
      <c r="A84" s="18"/>
      <c r="B84" s="13"/>
      <c r="C84" s="13"/>
      <c r="D84" s="13"/>
      <c r="E84" s="13"/>
      <c r="F84" s="13"/>
      <c r="G84" s="13"/>
    </row>
    <row r="85" spans="1:7" ht="15.6" x14ac:dyDescent="0.3">
      <c r="A85" s="23" t="str">
        <f>CONCATENATE($A$1," (Continued)")</f>
        <v>Industry Table 3  Employment by Industry (SIC 2007), 2007-2027 (Continued)</v>
      </c>
      <c r="B85" s="22"/>
      <c r="C85" s="22"/>
      <c r="D85" s="22"/>
      <c r="E85" s="22"/>
      <c r="F85" s="22"/>
      <c r="G85" s="13"/>
    </row>
    <row r="87" spans="1:7" x14ac:dyDescent="0.25">
      <c r="A87" s="41"/>
      <c r="B87" s="27">
        <f>B$3</f>
        <v>2007</v>
      </c>
      <c r="C87" s="27">
        <f>C$3</f>
        <v>2012</v>
      </c>
      <c r="D87" s="27">
        <f>D$3</f>
        <v>2017</v>
      </c>
      <c r="E87" s="27">
        <f>E$3</f>
        <v>2022</v>
      </c>
      <c r="F87" s="27">
        <f>F$3</f>
        <v>2027</v>
      </c>
      <c r="G87" s="13"/>
    </row>
    <row r="88" spans="1:7" x14ac:dyDescent="0.25">
      <c r="A88" s="78" t="s">
        <v>515</v>
      </c>
    </row>
    <row r="89" spans="1:7" x14ac:dyDescent="0.25">
      <c r="A89" s="18" t="str">
        <f>$A$5</f>
        <v>Agriculture, etc</v>
      </c>
      <c r="B89" s="22">
        <f t="shared" ref="B89:F98" si="1">B5/B$81*100</f>
        <v>1.1764546009671741</v>
      </c>
      <c r="C89" s="22">
        <f t="shared" si="1"/>
        <v>1.3271504008470552</v>
      </c>
      <c r="D89" s="22">
        <f t="shared" si="1"/>
        <v>1.268397329755002</v>
      </c>
      <c r="E89" s="22">
        <f t="shared" si="1"/>
        <v>1.2051619882940163</v>
      </c>
      <c r="F89" s="22">
        <f t="shared" si="1"/>
        <v>1.1709124545093712</v>
      </c>
    </row>
    <row r="90" spans="1:7" x14ac:dyDescent="0.25">
      <c r="A90" s="18" t="str">
        <f>$A$6</f>
        <v>Coal, oil &amp; gas; Mining &amp; related</v>
      </c>
      <c r="B90" s="22">
        <f t="shared" si="1"/>
        <v>0.21391627878526712</v>
      </c>
      <c r="C90" s="22">
        <f t="shared" si="1"/>
        <v>0.24214141044488874</v>
      </c>
      <c r="D90" s="22">
        <f t="shared" si="1"/>
        <v>0.18366624969284134</v>
      </c>
      <c r="E90" s="22">
        <f t="shared" si="1"/>
        <v>0.17358928317711411</v>
      </c>
      <c r="F90" s="22">
        <f t="shared" si="1"/>
        <v>0.15613208280619534</v>
      </c>
    </row>
    <row r="91" spans="1:7" x14ac:dyDescent="0.25">
      <c r="A91" s="18" t="str">
        <f>$A$7</f>
        <v>Food products</v>
      </c>
      <c r="B91" s="22">
        <f t="shared" si="1"/>
        <v>1.2141299622790231</v>
      </c>
      <c r="C91" s="22">
        <f t="shared" si="1"/>
        <v>1.1433485891864077</v>
      </c>
      <c r="D91" s="22">
        <f t="shared" si="1"/>
        <v>1.1257492253766717</v>
      </c>
      <c r="E91" s="22">
        <f t="shared" si="1"/>
        <v>1.0584092434683368</v>
      </c>
      <c r="F91" s="22">
        <f t="shared" si="1"/>
        <v>1.0104225870217982</v>
      </c>
    </row>
    <row r="92" spans="1:7" x14ac:dyDescent="0.25">
      <c r="A92" s="18" t="str">
        <f>$A$8</f>
        <v>Beverages and tobacco</v>
      </c>
      <c r="B92" s="22">
        <f t="shared" si="1"/>
        <v>0.14568099969212492</v>
      </c>
      <c r="C92" s="22">
        <f t="shared" si="1"/>
        <v>0.12433642715725567</v>
      </c>
      <c r="D92" s="22">
        <f t="shared" si="1"/>
        <v>0.12795859227693218</v>
      </c>
      <c r="E92" s="22">
        <f t="shared" si="1"/>
        <v>0.12090342795015716</v>
      </c>
      <c r="F92" s="22">
        <f t="shared" si="1"/>
        <v>0.11580931417396875</v>
      </c>
    </row>
    <row r="93" spans="1:7" x14ac:dyDescent="0.25">
      <c r="A93" s="18" t="str">
        <f>$A$9</f>
        <v>Textiles</v>
      </c>
      <c r="B93" s="22">
        <f t="shared" si="1"/>
        <v>0.19886123334242178</v>
      </c>
      <c r="C93" s="22">
        <f t="shared" si="1"/>
        <v>0.18061942301665712</v>
      </c>
      <c r="D93" s="22">
        <f t="shared" si="1"/>
        <v>0.17613066486022733</v>
      </c>
      <c r="E93" s="22">
        <f t="shared" si="1"/>
        <v>0.14309605370058018</v>
      </c>
      <c r="F93" s="22">
        <f t="shared" si="1"/>
        <v>0.13109366464923172</v>
      </c>
    </row>
    <row r="94" spans="1:7" x14ac:dyDescent="0.25">
      <c r="A94" s="18" t="str">
        <f>$A$10</f>
        <v>Wearing apparel; Leather, etc</v>
      </c>
      <c r="B94" s="22">
        <f t="shared" si="1"/>
        <v>0.22297572944807967</v>
      </c>
      <c r="C94" s="22">
        <f t="shared" si="1"/>
        <v>0.18828294189614639</v>
      </c>
      <c r="D94" s="22">
        <f t="shared" si="1"/>
        <v>0.12771467578444903</v>
      </c>
      <c r="E94" s="22">
        <f t="shared" si="1"/>
        <v>0.10275046717141022</v>
      </c>
      <c r="F94" s="22">
        <f t="shared" si="1"/>
        <v>9.4793681229432297E-2</v>
      </c>
    </row>
    <row r="95" spans="1:7" x14ac:dyDescent="0.25">
      <c r="A95" s="18" t="str">
        <f>$A$11</f>
        <v xml:space="preserve">Wood and cork </v>
      </c>
      <c r="B95" s="22">
        <f t="shared" si="1"/>
        <v>0.27298830100819765</v>
      </c>
      <c r="C95" s="22">
        <f t="shared" si="1"/>
        <v>0.2486068166054608</v>
      </c>
      <c r="D95" s="22">
        <f t="shared" si="1"/>
        <v>0.236512910126393</v>
      </c>
      <c r="E95" s="22">
        <f t="shared" si="1"/>
        <v>0.22493898517079439</v>
      </c>
      <c r="F95" s="22">
        <f t="shared" si="1"/>
        <v>0.21048016226609687</v>
      </c>
    </row>
    <row r="96" spans="1:7" x14ac:dyDescent="0.25">
      <c r="A96" s="18" t="str">
        <f>$A$12</f>
        <v>Paper, etc</v>
      </c>
      <c r="B96" s="22">
        <f t="shared" si="1"/>
        <v>0.21765330218327761</v>
      </c>
      <c r="C96" s="22">
        <f t="shared" si="1"/>
        <v>0.20494016779065086</v>
      </c>
      <c r="D96" s="22">
        <f t="shared" si="1"/>
        <v>0.18804526814493233</v>
      </c>
      <c r="E96" s="22">
        <f t="shared" si="1"/>
        <v>0.17930835942713261</v>
      </c>
      <c r="F96" s="22">
        <f t="shared" si="1"/>
        <v>0.16836514650960274</v>
      </c>
    </row>
    <row r="97" spans="1:6" x14ac:dyDescent="0.25">
      <c r="A97" s="18" t="str">
        <f>$A$13</f>
        <v>Printing and recording</v>
      </c>
      <c r="B97" s="22">
        <f t="shared" si="1"/>
        <v>0.56411752284121686</v>
      </c>
      <c r="C97" s="22">
        <f t="shared" si="1"/>
        <v>0.39030801653924624</v>
      </c>
      <c r="D97" s="22">
        <f t="shared" si="1"/>
        <v>0.33563483370697778</v>
      </c>
      <c r="E97" s="22">
        <f t="shared" si="1"/>
        <v>0.31361303549826391</v>
      </c>
      <c r="F97" s="22">
        <f t="shared" si="1"/>
        <v>0.28608395761990479</v>
      </c>
    </row>
    <row r="98" spans="1:6" x14ac:dyDescent="0.25">
      <c r="A98" s="18" t="str">
        <f>$A$14</f>
        <v>Coke and petroleum; Chemicals, etc</v>
      </c>
      <c r="B98" s="22">
        <f t="shared" si="1"/>
        <v>0.43657115268795577</v>
      </c>
      <c r="C98" s="22">
        <f t="shared" si="1"/>
        <v>0.35232375533796961</v>
      </c>
      <c r="D98" s="22">
        <f t="shared" si="1"/>
        <v>0.30414377964615252</v>
      </c>
      <c r="E98" s="22">
        <f t="shared" si="1"/>
        <v>0.27516813403244672</v>
      </c>
      <c r="F98" s="22">
        <f t="shared" si="1"/>
        <v>0.25995958287282162</v>
      </c>
    </row>
    <row r="99" spans="1:6" x14ac:dyDescent="0.25">
      <c r="A99" s="18" t="str">
        <f>$A$15</f>
        <v>Pharmaceuticals</v>
      </c>
      <c r="B99" s="22">
        <f t="shared" ref="B99:F108" si="2">B15/B$81*100</f>
        <v>0.16025161617574393</v>
      </c>
      <c r="C99" s="22">
        <f t="shared" si="2"/>
        <v>0.14786157477325707</v>
      </c>
      <c r="D99" s="22">
        <f t="shared" si="2"/>
        <v>0.12905765129851426</v>
      </c>
      <c r="E99" s="22">
        <f t="shared" si="2"/>
        <v>0.12361828706420794</v>
      </c>
      <c r="F99" s="22">
        <f t="shared" si="2"/>
        <v>0.11884385097182776</v>
      </c>
    </row>
    <row r="100" spans="1:6" x14ac:dyDescent="0.25">
      <c r="A100" s="18" t="str">
        <f>$A$16</f>
        <v>Rubber and plastic</v>
      </c>
      <c r="B100" s="22">
        <f t="shared" si="2"/>
        <v>0.63191555761240725</v>
      </c>
      <c r="C100" s="22">
        <f t="shared" si="2"/>
        <v>0.53311298960511644</v>
      </c>
      <c r="D100" s="22">
        <f t="shared" si="2"/>
        <v>0.47912086297347461</v>
      </c>
      <c r="E100" s="22">
        <f t="shared" si="2"/>
        <v>0.41720604515150278</v>
      </c>
      <c r="F100" s="22">
        <f t="shared" si="2"/>
        <v>0.37077740505512002</v>
      </c>
    </row>
    <row r="101" spans="1:6" x14ac:dyDescent="0.25">
      <c r="A101" s="18" t="str">
        <f>$A$17</f>
        <v>Other non-metallic</v>
      </c>
      <c r="B101" s="22">
        <f t="shared" si="2"/>
        <v>0.35608674134491997</v>
      </c>
      <c r="C101" s="22">
        <f t="shared" si="2"/>
        <v>0.23467914934362971</v>
      </c>
      <c r="D101" s="22">
        <f t="shared" si="2"/>
        <v>0.21797812625712659</v>
      </c>
      <c r="E101" s="22">
        <f t="shared" si="2"/>
        <v>0.1894614218793009</v>
      </c>
      <c r="F101" s="22">
        <f t="shared" si="2"/>
        <v>0.16797710546627856</v>
      </c>
    </row>
    <row r="102" spans="1:6" x14ac:dyDescent="0.25">
      <c r="A102" s="18" t="str">
        <f>$A$18</f>
        <v>Basic metals</v>
      </c>
      <c r="B102" s="22">
        <f t="shared" si="2"/>
        <v>0.27857181660810193</v>
      </c>
      <c r="C102" s="22">
        <f t="shared" si="2"/>
        <v>0.22253135556730116</v>
      </c>
      <c r="D102" s="22">
        <f t="shared" si="2"/>
        <v>0.19694391573496522</v>
      </c>
      <c r="E102" s="22">
        <f t="shared" si="2"/>
        <v>0.17455097308164191</v>
      </c>
      <c r="F102" s="22">
        <f t="shared" si="2"/>
        <v>0.15809741298535024</v>
      </c>
    </row>
    <row r="103" spans="1:6" x14ac:dyDescent="0.25">
      <c r="A103" s="18" t="str">
        <f>$A$19</f>
        <v>Metal products</v>
      </c>
      <c r="B103" s="22">
        <f t="shared" si="2"/>
        <v>1.1125351435082558</v>
      </c>
      <c r="C103" s="22">
        <f t="shared" si="2"/>
        <v>0.96978576706212105</v>
      </c>
      <c r="D103" s="22">
        <f t="shared" si="2"/>
        <v>0.95643961350409112</v>
      </c>
      <c r="E103" s="22">
        <f t="shared" si="2"/>
        <v>0.85310121448189413</v>
      </c>
      <c r="F103" s="22">
        <f t="shared" si="2"/>
        <v>0.77834333441353232</v>
      </c>
    </row>
    <row r="104" spans="1:6" x14ac:dyDescent="0.25">
      <c r="A104" s="18" t="str">
        <f>$A$20</f>
        <v>Computer, etc</v>
      </c>
      <c r="B104" s="22">
        <f t="shared" si="2"/>
        <v>0.53895867339536541</v>
      </c>
      <c r="C104" s="22">
        <f t="shared" si="2"/>
        <v>0.41524511326331853</v>
      </c>
      <c r="D104" s="22">
        <f t="shared" si="2"/>
        <v>0.36148711236996833</v>
      </c>
      <c r="E104" s="22">
        <f t="shared" si="2"/>
        <v>0.35873870312158096</v>
      </c>
      <c r="F104" s="22">
        <f t="shared" si="2"/>
        <v>0.33472587957044164</v>
      </c>
    </row>
    <row r="105" spans="1:6" x14ac:dyDescent="0.25">
      <c r="A105" s="18" t="str">
        <f>$A$21</f>
        <v>Electrical equipment</v>
      </c>
      <c r="B105" s="22">
        <f t="shared" si="2"/>
        <v>0.31092789630264211</v>
      </c>
      <c r="C105" s="22">
        <f t="shared" si="2"/>
        <v>0.27673259127125743</v>
      </c>
      <c r="D105" s="22">
        <f t="shared" si="2"/>
        <v>0.23525889239111117</v>
      </c>
      <c r="E105" s="22">
        <f t="shared" si="2"/>
        <v>0.22778150223693278</v>
      </c>
      <c r="F105" s="22">
        <f t="shared" si="2"/>
        <v>0.22049664619403769</v>
      </c>
    </row>
    <row r="106" spans="1:6" x14ac:dyDescent="0.25">
      <c r="A106" s="18" t="str">
        <f>$A$22</f>
        <v>Machinery n.e.c.</v>
      </c>
      <c r="B106" s="22">
        <f t="shared" si="2"/>
        <v>0.70977335739251268</v>
      </c>
      <c r="C106" s="22">
        <f t="shared" si="2"/>
        <v>0.63529848242202269</v>
      </c>
      <c r="D106" s="22">
        <f t="shared" si="2"/>
        <v>0.54229810429041803</v>
      </c>
      <c r="E106" s="22">
        <f t="shared" si="2"/>
        <v>0.5446739286808201</v>
      </c>
      <c r="F106" s="22">
        <f t="shared" si="2"/>
        <v>0.49698845253911778</v>
      </c>
    </row>
    <row r="107" spans="1:6" x14ac:dyDescent="0.25">
      <c r="A107" s="18" t="str">
        <f>$A$23</f>
        <v>Motor vehicles, etc</v>
      </c>
      <c r="B107" s="22">
        <f t="shared" si="2"/>
        <v>0.5495280325019577</v>
      </c>
      <c r="C107" s="22">
        <f t="shared" si="2"/>
        <v>0.42791491940291776</v>
      </c>
      <c r="D107" s="22">
        <f t="shared" si="2"/>
        <v>0.5193383882751893</v>
      </c>
      <c r="E107" s="22">
        <f t="shared" si="2"/>
        <v>0.48870584566454622</v>
      </c>
      <c r="F107" s="22">
        <f t="shared" si="2"/>
        <v>0.46666541786087934</v>
      </c>
    </row>
    <row r="108" spans="1:6" x14ac:dyDescent="0.25">
      <c r="A108" s="18" t="str">
        <f>$A$24</f>
        <v>Other transport equipment</v>
      </c>
      <c r="B108" s="22">
        <f t="shared" si="2"/>
        <v>0.40437550076609619</v>
      </c>
      <c r="C108" s="22">
        <f t="shared" si="2"/>
        <v>0.43411617473035219</v>
      </c>
      <c r="D108" s="22">
        <f t="shared" si="2"/>
        <v>0.43320430055065384</v>
      </c>
      <c r="E108" s="22">
        <f t="shared" si="2"/>
        <v>0.45294176119287982</v>
      </c>
      <c r="F108" s="22">
        <f t="shared" si="2"/>
        <v>0.45373443861069263</v>
      </c>
    </row>
    <row r="109" spans="1:6" x14ac:dyDescent="0.25">
      <c r="A109" s="18" t="str">
        <f>$A$25</f>
        <v>Furniture</v>
      </c>
      <c r="B109" s="22">
        <f t="shared" ref="B109:F118" si="3">B25/B$81*100</f>
        <v>0.28949348768554523</v>
      </c>
      <c r="C109" s="22">
        <f t="shared" si="3"/>
        <v>0.28288982145862024</v>
      </c>
      <c r="D109" s="22">
        <f t="shared" si="3"/>
        <v>0.27311473211922588</v>
      </c>
      <c r="E109" s="22">
        <f t="shared" si="3"/>
        <v>0.26691575664397438</v>
      </c>
      <c r="F109" s="22">
        <f t="shared" si="3"/>
        <v>0.25603450583708121</v>
      </c>
    </row>
    <row r="110" spans="1:6" x14ac:dyDescent="0.25">
      <c r="A110" s="18" t="str">
        <f>$A$26</f>
        <v>Other manufacturing</v>
      </c>
      <c r="B110" s="22">
        <f t="shared" si="3"/>
        <v>0.36224590953864405</v>
      </c>
      <c r="C110" s="22">
        <f t="shared" si="3"/>
        <v>0.33145583934047523</v>
      </c>
      <c r="D110" s="22">
        <f t="shared" si="3"/>
        <v>0.29690376421062387</v>
      </c>
      <c r="E110" s="22">
        <f t="shared" si="3"/>
        <v>0.28781761865704092</v>
      </c>
      <c r="F110" s="22">
        <f t="shared" si="3"/>
        <v>0.27456835109804262</v>
      </c>
    </row>
    <row r="111" spans="1:6" x14ac:dyDescent="0.25">
      <c r="A111" s="18" t="str">
        <f>$A$27</f>
        <v>Repair and installation</v>
      </c>
      <c r="B111" s="22">
        <f t="shared" si="3"/>
        <v>0.38699582544811828</v>
      </c>
      <c r="C111" s="22">
        <f t="shared" si="3"/>
        <v>0.43135202491690705</v>
      </c>
      <c r="D111" s="22">
        <f t="shared" si="3"/>
        <v>0.40476650706206513</v>
      </c>
      <c r="E111" s="22">
        <f t="shared" si="3"/>
        <v>0.38854541649973529</v>
      </c>
      <c r="F111" s="22">
        <f t="shared" si="3"/>
        <v>0.36609299590587852</v>
      </c>
    </row>
    <row r="112" spans="1:6" x14ac:dyDescent="0.25">
      <c r="A112" s="18" t="str">
        <f>$A$28</f>
        <v>Electricity, gas, etc</v>
      </c>
      <c r="B112" s="22">
        <f t="shared" si="3"/>
        <v>0.26735760076966664</v>
      </c>
      <c r="C112" s="22">
        <f t="shared" si="3"/>
        <v>0.38360990607007417</v>
      </c>
      <c r="D112" s="22">
        <f t="shared" si="3"/>
        <v>0.41322036575162585</v>
      </c>
      <c r="E112" s="22">
        <f t="shared" si="3"/>
        <v>0.4097706786582031</v>
      </c>
      <c r="F112" s="22">
        <f t="shared" si="3"/>
        <v>0.40527397470287685</v>
      </c>
    </row>
    <row r="113" spans="1:6" x14ac:dyDescent="0.25">
      <c r="A113" s="18" t="str">
        <f>$A$29</f>
        <v>Water</v>
      </c>
      <c r="B113" s="22">
        <f t="shared" si="3"/>
        <v>9.6533479844546549E-2</v>
      </c>
      <c r="C113" s="22">
        <f t="shared" si="3"/>
        <v>0.1158836004244736</v>
      </c>
      <c r="D113" s="22">
        <f t="shared" si="3"/>
        <v>0.10644228797995067</v>
      </c>
      <c r="E113" s="22">
        <f t="shared" si="3"/>
        <v>0.10864259086832298</v>
      </c>
      <c r="F113" s="22">
        <f t="shared" si="3"/>
        <v>0.11811522714064593</v>
      </c>
    </row>
    <row r="114" spans="1:6" x14ac:dyDescent="0.25">
      <c r="A114" s="18" t="str">
        <f>$A$30</f>
        <v>Sewerage</v>
      </c>
      <c r="B114" s="22">
        <f t="shared" si="3"/>
        <v>4.8169225001907359E-2</v>
      </c>
      <c r="C114" s="22">
        <f t="shared" si="3"/>
        <v>7.6864748451068499E-2</v>
      </c>
      <c r="D114" s="22">
        <f t="shared" si="3"/>
        <v>6.2511492771096328E-2</v>
      </c>
      <c r="E114" s="22">
        <f t="shared" si="3"/>
        <v>6.3667275944566878E-2</v>
      </c>
      <c r="F114" s="22">
        <f t="shared" si="3"/>
        <v>5.9749945792711215E-2</v>
      </c>
    </row>
    <row r="115" spans="1:6" x14ac:dyDescent="0.25">
      <c r="A115" s="18" t="str">
        <f>$A$31</f>
        <v>Waste management</v>
      </c>
      <c r="B115" s="22">
        <f t="shared" si="3"/>
        <v>0.35542301075829846</v>
      </c>
      <c r="C115" s="22">
        <f t="shared" si="3"/>
        <v>0.41725454640237208</v>
      </c>
      <c r="D115" s="22">
        <f t="shared" si="3"/>
        <v>0.42792422587636414</v>
      </c>
      <c r="E115" s="22">
        <f t="shared" si="3"/>
        <v>0.43632069583624644</v>
      </c>
      <c r="F115" s="22">
        <f t="shared" si="3"/>
        <v>0.44058570970811628</v>
      </c>
    </row>
    <row r="116" spans="1:6" x14ac:dyDescent="0.25">
      <c r="A116" s="18" t="str">
        <f>$A$32</f>
        <v>Construction</v>
      </c>
      <c r="B116" s="22">
        <f t="shared" si="3"/>
        <v>1.8929061575924122</v>
      </c>
      <c r="C116" s="22">
        <f t="shared" si="3"/>
        <v>1.8728294230390161</v>
      </c>
      <c r="D116" s="22">
        <f t="shared" si="3"/>
        <v>2.0230692201764553</v>
      </c>
      <c r="E116" s="22">
        <f t="shared" si="3"/>
        <v>2.0187885271901052</v>
      </c>
      <c r="F116" s="22">
        <f t="shared" si="3"/>
        <v>2.0123557293674921</v>
      </c>
    </row>
    <row r="117" spans="1:6" x14ac:dyDescent="0.25">
      <c r="A117" s="18" t="str">
        <f>$A$33</f>
        <v>Civil engineering</v>
      </c>
      <c r="B117" s="22">
        <f t="shared" si="3"/>
        <v>1.2757342268037593</v>
      </c>
      <c r="C117" s="22">
        <f t="shared" si="3"/>
        <v>1.0404272476155245</v>
      </c>
      <c r="D117" s="22">
        <f t="shared" si="3"/>
        <v>0.99388796921324429</v>
      </c>
      <c r="E117" s="22">
        <f t="shared" si="3"/>
        <v>0.99007819702999245</v>
      </c>
      <c r="F117" s="22">
        <f t="shared" si="3"/>
        <v>0.985657751775604</v>
      </c>
    </row>
    <row r="118" spans="1:6" x14ac:dyDescent="0.25">
      <c r="A118" s="18" t="str">
        <f>$A$34</f>
        <v>Specialised construction</v>
      </c>
      <c r="B118" s="22">
        <f t="shared" si="3"/>
        <v>4.0694926553700626</v>
      </c>
      <c r="C118" s="22">
        <f t="shared" si="3"/>
        <v>3.5524482332445242</v>
      </c>
      <c r="D118" s="22">
        <f t="shared" si="3"/>
        <v>3.5430994130243763</v>
      </c>
      <c r="E118" s="22">
        <f t="shared" si="3"/>
        <v>3.5346926655023663</v>
      </c>
      <c r="F118" s="22">
        <f t="shared" si="3"/>
        <v>3.5233819714868919</v>
      </c>
    </row>
    <row r="119" spans="1:6" x14ac:dyDescent="0.25">
      <c r="A119" s="18" t="str">
        <f>$A$35</f>
        <v>Motor vehicle trade</v>
      </c>
      <c r="B119" s="22">
        <f t="shared" ref="B119:F128" si="4">B35/B$81*100</f>
        <v>1.8901757398119681</v>
      </c>
      <c r="C119" s="22">
        <f t="shared" si="4"/>
        <v>1.7480558891500602</v>
      </c>
      <c r="D119" s="22">
        <f t="shared" si="4"/>
        <v>1.8139495670219286</v>
      </c>
      <c r="E119" s="22">
        <f t="shared" si="4"/>
        <v>1.7845220009542033</v>
      </c>
      <c r="F119" s="22">
        <f t="shared" si="4"/>
        <v>1.7645482519614533</v>
      </c>
    </row>
    <row r="120" spans="1:6" x14ac:dyDescent="0.25">
      <c r="A120" s="18" t="str">
        <f>$A$36</f>
        <v>Wholesale trade</v>
      </c>
      <c r="B120" s="22">
        <f t="shared" si="4"/>
        <v>3.9249629608257535</v>
      </c>
      <c r="C120" s="22">
        <f t="shared" si="4"/>
        <v>3.741149413968778</v>
      </c>
      <c r="D120" s="22">
        <f t="shared" si="4"/>
        <v>3.5179415789570387</v>
      </c>
      <c r="E120" s="22">
        <f t="shared" si="4"/>
        <v>3.4251139162447006</v>
      </c>
      <c r="F120" s="22">
        <f t="shared" si="4"/>
        <v>3.3401958903618252</v>
      </c>
    </row>
    <row r="121" spans="1:6" x14ac:dyDescent="0.25">
      <c r="A121" s="18" t="str">
        <f>$A$37</f>
        <v>Retail trade</v>
      </c>
      <c r="B121" s="22">
        <f t="shared" si="4"/>
        <v>9.9539550274828823</v>
      </c>
      <c r="C121" s="22">
        <f t="shared" si="4"/>
        <v>9.7333576562354853</v>
      </c>
      <c r="D121" s="22">
        <f t="shared" si="4"/>
        <v>8.9591647061138548</v>
      </c>
      <c r="E121" s="22">
        <f t="shared" si="4"/>
        <v>8.9651201028324117</v>
      </c>
      <c r="F121" s="22">
        <f t="shared" si="4"/>
        <v>8.981508671784491</v>
      </c>
    </row>
    <row r="122" spans="1:6" x14ac:dyDescent="0.25">
      <c r="A122" s="18" t="str">
        <f>$A$38</f>
        <v>Land transport, etc</v>
      </c>
      <c r="B122" s="22">
        <f t="shared" si="4"/>
        <v>2.2954729138546046</v>
      </c>
      <c r="C122" s="22">
        <f t="shared" si="4"/>
        <v>2.2125494099841023</v>
      </c>
      <c r="D122" s="22">
        <f t="shared" si="4"/>
        <v>2.4221653862212871</v>
      </c>
      <c r="E122" s="22">
        <f t="shared" si="4"/>
        <v>2.2776816907313306</v>
      </c>
      <c r="F122" s="22">
        <f t="shared" si="4"/>
        <v>2.2212697691117227</v>
      </c>
    </row>
    <row r="123" spans="1:6" x14ac:dyDescent="0.25">
      <c r="A123" s="18" t="str">
        <f>$A$39</f>
        <v>Water transport</v>
      </c>
      <c r="B123" s="22">
        <f t="shared" si="4"/>
        <v>5.8090581735096548E-2</v>
      </c>
      <c r="C123" s="22">
        <f t="shared" si="4"/>
        <v>5.9732679983365844E-2</v>
      </c>
      <c r="D123" s="22">
        <f t="shared" si="4"/>
        <v>4.2975216477288171E-2</v>
      </c>
      <c r="E123" s="22">
        <f t="shared" si="4"/>
        <v>3.3891767843392991E-2</v>
      </c>
      <c r="F123" s="22">
        <f t="shared" si="4"/>
        <v>2.9809368834946427E-2</v>
      </c>
    </row>
    <row r="124" spans="1:6" x14ac:dyDescent="0.25">
      <c r="A124" s="18" t="str">
        <f>$A$40</f>
        <v>Air transport</v>
      </c>
      <c r="B124" s="22">
        <f t="shared" si="4"/>
        <v>0.2815979247809936</v>
      </c>
      <c r="C124" s="22">
        <f t="shared" si="4"/>
        <v>0.2391539902811822</v>
      </c>
      <c r="D124" s="22">
        <f t="shared" si="4"/>
        <v>0.22365133692754244</v>
      </c>
      <c r="E124" s="22">
        <f t="shared" si="4"/>
        <v>0.21892771405191053</v>
      </c>
      <c r="F124" s="22">
        <f t="shared" si="4"/>
        <v>0.21828564974269654</v>
      </c>
    </row>
    <row r="125" spans="1:6" x14ac:dyDescent="0.25">
      <c r="A125" s="18" t="str">
        <f>$A$41</f>
        <v>Warehousing, etc</v>
      </c>
      <c r="B125" s="22">
        <f t="shared" si="4"/>
        <v>1.1964734704148923</v>
      </c>
      <c r="C125" s="22">
        <f t="shared" si="4"/>
        <v>1.352241585551857</v>
      </c>
      <c r="D125" s="22">
        <f t="shared" si="4"/>
        <v>1.6618116762635724</v>
      </c>
      <c r="E125" s="22">
        <f t="shared" si="4"/>
        <v>1.6489095400850213</v>
      </c>
      <c r="F125" s="22">
        <f t="shared" si="4"/>
        <v>1.6265005568035378</v>
      </c>
    </row>
    <row r="126" spans="1:6" x14ac:dyDescent="0.25">
      <c r="A126" s="18" t="str">
        <f>$A$42</f>
        <v>Postal and courier</v>
      </c>
      <c r="B126" s="22">
        <f t="shared" si="4"/>
        <v>0.89942100358258359</v>
      </c>
      <c r="C126" s="22">
        <f t="shared" si="4"/>
        <v>0.87835498682958835</v>
      </c>
      <c r="D126" s="22">
        <f t="shared" si="4"/>
        <v>0.82341903660042948</v>
      </c>
      <c r="E126" s="22">
        <f t="shared" si="4"/>
        <v>0.83873827645168197</v>
      </c>
      <c r="F126" s="22">
        <f t="shared" si="4"/>
        <v>0.84394460415120198</v>
      </c>
    </row>
    <row r="127" spans="1:6" x14ac:dyDescent="0.25">
      <c r="A127" s="18" t="str">
        <f>$A$43</f>
        <v>Accommodation</v>
      </c>
      <c r="B127" s="22">
        <f t="shared" si="4"/>
        <v>1.3863413115932308</v>
      </c>
      <c r="C127" s="22">
        <f t="shared" si="4"/>
        <v>1.4291283465793865</v>
      </c>
      <c r="D127" s="22">
        <f t="shared" si="4"/>
        <v>1.5679583489498037</v>
      </c>
      <c r="E127" s="22">
        <f t="shared" si="4"/>
        <v>1.5915826090959828</v>
      </c>
      <c r="F127" s="22">
        <f t="shared" si="4"/>
        <v>1.6106299572803719</v>
      </c>
    </row>
    <row r="128" spans="1:6" x14ac:dyDescent="0.25">
      <c r="A128" s="18" t="str">
        <f>$A$44</f>
        <v>Food and beverage services</v>
      </c>
      <c r="B128" s="22">
        <f t="shared" si="4"/>
        <v>4.942685290995831</v>
      </c>
      <c r="C128" s="22">
        <f t="shared" si="4"/>
        <v>5.0296677551464901</v>
      </c>
      <c r="D128" s="22">
        <f t="shared" si="4"/>
        <v>5.4197498668405837</v>
      </c>
      <c r="E128" s="22">
        <f t="shared" si="4"/>
        <v>5.2112018547610033</v>
      </c>
      <c r="F128" s="22">
        <f t="shared" si="4"/>
        <v>5.3906885168687353</v>
      </c>
    </row>
    <row r="129" spans="1:6" x14ac:dyDescent="0.25">
      <c r="A129" s="18" t="str">
        <f>$A$45</f>
        <v>Publishing activities</v>
      </c>
      <c r="B129" s="22">
        <f t="shared" ref="B129:F129" si="5">B45/B$81*100</f>
        <v>0.59741414967154727</v>
      </c>
      <c r="C129" s="22">
        <f t="shared" si="5"/>
        <v>0.60074503743200547</v>
      </c>
      <c r="D129" s="22">
        <f t="shared" si="5"/>
        <v>0.50409791186412689</v>
      </c>
      <c r="E129" s="22">
        <f t="shared" si="5"/>
        <v>0.49597100155915408</v>
      </c>
      <c r="F129" s="22">
        <f t="shared" si="5"/>
        <v>0.4882393832427494</v>
      </c>
    </row>
    <row r="130" spans="1:6" x14ac:dyDescent="0.25">
      <c r="A130" s="18" t="str">
        <f>$A$46</f>
        <v>Film and music</v>
      </c>
      <c r="B130" s="22">
        <f t="shared" ref="B130:B154" si="6">B46/B$81*100</f>
        <v>0.42731981782717932</v>
      </c>
      <c r="C130" s="22">
        <f t="shared" ref="C130:F130" si="7">C46/C$81*100</f>
        <v>0.43121051554397816</v>
      </c>
      <c r="D130" s="22">
        <f t="shared" si="7"/>
        <v>0.49579040307150962</v>
      </c>
      <c r="E130" s="22">
        <f t="shared" si="7"/>
        <v>0.50237943075041314</v>
      </c>
      <c r="F130" s="22">
        <f t="shared" si="7"/>
        <v>0.50453152376744204</v>
      </c>
    </row>
    <row r="131" spans="1:6" x14ac:dyDescent="0.25">
      <c r="A131" s="18" t="str">
        <f>$A$47</f>
        <v>Broadcasting</v>
      </c>
      <c r="B131" s="22">
        <f t="shared" si="6"/>
        <v>9.799934929229101E-2</v>
      </c>
      <c r="C131" s="22">
        <f t="shared" ref="C131:F131" si="8">C47/C$81*100</f>
        <v>0.14256597945502239</v>
      </c>
      <c r="D131" s="22">
        <f t="shared" si="8"/>
        <v>0.13143655450695543</v>
      </c>
      <c r="E131" s="22">
        <f t="shared" si="8"/>
        <v>0.13313022291166512</v>
      </c>
      <c r="F131" s="22">
        <f t="shared" si="8"/>
        <v>0.13367595217125378</v>
      </c>
    </row>
    <row r="132" spans="1:6" x14ac:dyDescent="0.25">
      <c r="A132" s="18" t="str">
        <f>$A$48</f>
        <v>Telecommunications</v>
      </c>
      <c r="B132" s="22">
        <f t="shared" si="6"/>
        <v>0.67638550692902433</v>
      </c>
      <c r="C132" s="22">
        <f t="shared" ref="C132:F132" si="9">C48/C$81*100</f>
        <v>0.64725130772823991</v>
      </c>
      <c r="D132" s="22">
        <f t="shared" si="9"/>
        <v>0.60667771043566854</v>
      </c>
      <c r="E132" s="22">
        <f t="shared" si="9"/>
        <v>0.61735101919885516</v>
      </c>
      <c r="F132" s="22">
        <f t="shared" si="9"/>
        <v>0.62410399857209653</v>
      </c>
    </row>
    <row r="133" spans="1:6" x14ac:dyDescent="0.25">
      <c r="A133" s="18" t="str">
        <f>$A$49</f>
        <v>Computing services</v>
      </c>
      <c r="B133" s="22">
        <f t="shared" si="6"/>
        <v>1.8777284320802896</v>
      </c>
      <c r="C133" s="22">
        <f t="shared" ref="C133:F133" si="10">C49/C$81*100</f>
        <v>1.7993074405381362</v>
      </c>
      <c r="D133" s="22">
        <f t="shared" si="10"/>
        <v>2.299351997075739</v>
      </c>
      <c r="E133" s="22">
        <f t="shared" si="10"/>
        <v>2.3680606839419212</v>
      </c>
      <c r="F133" s="22">
        <f t="shared" si="10"/>
        <v>2.4156141239363849</v>
      </c>
    </row>
    <row r="134" spans="1:6" x14ac:dyDescent="0.25">
      <c r="A134" s="18" t="str">
        <f>$A$50</f>
        <v>Information services</v>
      </c>
      <c r="B134" s="22">
        <f t="shared" si="6"/>
        <v>0.2583673542438143</v>
      </c>
      <c r="C134" s="22">
        <f t="shared" ref="C134:F134" si="11">C50/C$81*100</f>
        <v>0.22475148044753726</v>
      </c>
      <c r="D134" s="22">
        <f t="shared" si="11"/>
        <v>0.2585715699186566</v>
      </c>
      <c r="E134" s="22">
        <f t="shared" si="11"/>
        <v>0.27001642645710439</v>
      </c>
      <c r="F134" s="22">
        <f t="shared" si="11"/>
        <v>0.27773130435562526</v>
      </c>
    </row>
    <row r="135" spans="1:6" x14ac:dyDescent="0.25">
      <c r="A135" s="18" t="str">
        <f>$A$51</f>
        <v>Financial services</v>
      </c>
      <c r="B135" s="22">
        <f t="shared" si="6"/>
        <v>2.0081813759873794</v>
      </c>
      <c r="C135" s="22">
        <f t="shared" ref="C135:F135" si="12">C51/C$81*100</f>
        <v>1.7210590448529763</v>
      </c>
      <c r="D135" s="22">
        <f t="shared" si="12"/>
        <v>1.4748884239775875</v>
      </c>
      <c r="E135" s="22">
        <f t="shared" si="12"/>
        <v>1.4650508838877374</v>
      </c>
      <c r="F135" s="22">
        <f t="shared" si="12"/>
        <v>1.4269637103095174</v>
      </c>
    </row>
    <row r="136" spans="1:6" x14ac:dyDescent="0.25">
      <c r="A136" s="18" t="str">
        <f>$A$52</f>
        <v>Insurance and pensions</v>
      </c>
      <c r="B136" s="22">
        <f t="shared" si="6"/>
        <v>0.46816913251840697</v>
      </c>
      <c r="C136" s="22">
        <f t="shared" ref="C136:F136" si="13">C52/C$81*100</f>
        <v>0.40607216103872917</v>
      </c>
      <c r="D136" s="22">
        <f t="shared" si="13"/>
        <v>0.33099755073190806</v>
      </c>
      <c r="E136" s="22">
        <f t="shared" si="13"/>
        <v>0.32444410351872</v>
      </c>
      <c r="F136" s="22">
        <f t="shared" si="13"/>
        <v>0.31230045722030758</v>
      </c>
    </row>
    <row r="137" spans="1:6" x14ac:dyDescent="0.25">
      <c r="A137" s="18" t="str">
        <f>$A$53</f>
        <v>Auxiliary financial services</v>
      </c>
      <c r="B137" s="22">
        <f t="shared" si="6"/>
        <v>1.2355108949780562</v>
      </c>
      <c r="C137" s="22">
        <f t="shared" ref="C137:F137" si="14">C53/C$81*100</f>
        <v>1.4733170077662352</v>
      </c>
      <c r="D137" s="22">
        <f t="shared" si="14"/>
        <v>1.4483589183445462</v>
      </c>
      <c r="E137" s="22">
        <f t="shared" si="14"/>
        <v>1.4350654493769537</v>
      </c>
      <c r="F137" s="22">
        <f t="shared" si="14"/>
        <v>1.3947451370057218</v>
      </c>
    </row>
    <row r="138" spans="1:6" x14ac:dyDescent="0.25">
      <c r="A138" s="18" t="str">
        <f>$A$54</f>
        <v>Real estate</v>
      </c>
      <c r="B138" s="22">
        <f t="shared" si="6"/>
        <v>1.3935102310592105</v>
      </c>
      <c r="C138" s="22">
        <f t="shared" ref="C138:F138" si="15">C54/C$81*100</f>
        <v>1.5471157197308227</v>
      </c>
      <c r="D138" s="22">
        <f t="shared" si="15"/>
        <v>1.5668592899091831</v>
      </c>
      <c r="E138" s="22">
        <f t="shared" si="15"/>
        <v>1.5787827717777314</v>
      </c>
      <c r="F138" s="22">
        <f t="shared" si="15"/>
        <v>1.5915517378880195</v>
      </c>
    </row>
    <row r="139" spans="1:6" x14ac:dyDescent="0.25">
      <c r="A139" s="18" t="str">
        <f>$A$55</f>
        <v>Legal and accounting</v>
      </c>
      <c r="B139" s="22">
        <f t="shared" si="6"/>
        <v>2.1433402012115006</v>
      </c>
      <c r="C139" s="22">
        <f t="shared" ref="C139:F139" si="16">C55/C$81*100</f>
        <v>2.2294582080874141</v>
      </c>
      <c r="D139" s="22">
        <f t="shared" si="16"/>
        <v>2.2325332259940649</v>
      </c>
      <c r="E139" s="22">
        <f t="shared" si="16"/>
        <v>2.2683030865349894</v>
      </c>
      <c r="F139" s="22">
        <f t="shared" si="16"/>
        <v>2.2817678803702215</v>
      </c>
    </row>
    <row r="140" spans="1:6" x14ac:dyDescent="0.25">
      <c r="A140" s="18" t="str">
        <f>$A$56</f>
        <v>Head offices, etc</v>
      </c>
      <c r="B140" s="22">
        <f t="shared" si="6"/>
        <v>1.5992384021795012</v>
      </c>
      <c r="C140" s="22">
        <f t="shared" ref="C140:F140" si="17">C56/C$81*100</f>
        <v>2.0568796622856387</v>
      </c>
      <c r="D140" s="22">
        <f t="shared" si="17"/>
        <v>2.4474724397064374</v>
      </c>
      <c r="E140" s="22">
        <f t="shared" si="17"/>
        <v>2.5271877395781206</v>
      </c>
      <c r="F140" s="22">
        <f t="shared" si="17"/>
        <v>2.502415276322568</v>
      </c>
    </row>
    <row r="141" spans="1:6" x14ac:dyDescent="0.25">
      <c r="A141" s="18" t="str">
        <f>$A$57</f>
        <v>Architectural and related</v>
      </c>
      <c r="B141" s="22">
        <f t="shared" si="6"/>
        <v>1.4587099650498827</v>
      </c>
      <c r="C141" s="22">
        <f t="shared" ref="C141:F141" si="18">C57/C$81*100</f>
        <v>1.5598641421976234</v>
      </c>
      <c r="D141" s="22">
        <f t="shared" si="18"/>
        <v>1.7274481697369135</v>
      </c>
      <c r="E141" s="22">
        <f t="shared" si="18"/>
        <v>1.8343937075677692</v>
      </c>
      <c r="F141" s="22">
        <f t="shared" si="18"/>
        <v>1.8197170801080804</v>
      </c>
    </row>
    <row r="142" spans="1:6" x14ac:dyDescent="0.25">
      <c r="A142" s="18" t="str">
        <f>$A$58</f>
        <v>Scientific research and development</v>
      </c>
      <c r="B142" s="22">
        <f t="shared" si="6"/>
        <v>0.39993070778701589</v>
      </c>
      <c r="C142" s="22">
        <f t="shared" ref="C142:F142" si="19">C58/C$81*100</f>
        <v>0.46209100606599124</v>
      </c>
      <c r="D142" s="22">
        <f t="shared" si="19"/>
        <v>0.4495467055868857</v>
      </c>
      <c r="E142" s="22">
        <f t="shared" si="19"/>
        <v>0.47220392774143816</v>
      </c>
      <c r="F142" s="22">
        <f t="shared" si="19"/>
        <v>0.48777038400165662</v>
      </c>
    </row>
    <row r="143" spans="1:6" x14ac:dyDescent="0.25">
      <c r="A143" s="18" t="str">
        <f>$A$59</f>
        <v>Advertising, etc</v>
      </c>
      <c r="B143" s="22">
        <f t="shared" si="6"/>
        <v>0.68030812324062007</v>
      </c>
      <c r="C143" s="22">
        <f t="shared" ref="C143:F143" si="20">C59/C$81*100</f>
        <v>0.7791317569607602</v>
      </c>
      <c r="D143" s="22">
        <f t="shared" si="20"/>
        <v>0.79967591818930672</v>
      </c>
      <c r="E143" s="22">
        <f t="shared" si="20"/>
        <v>0.83766311282217132</v>
      </c>
      <c r="F143" s="22">
        <f t="shared" si="20"/>
        <v>0.86356998932381435</v>
      </c>
    </row>
    <row r="144" spans="1:6" x14ac:dyDescent="0.25">
      <c r="A144" s="18" t="str">
        <f>$A$60</f>
        <v>Other professional</v>
      </c>
      <c r="B144" s="22">
        <f t="shared" si="6"/>
        <v>0.67967899472169513</v>
      </c>
      <c r="C144" s="22">
        <f t="shared" ref="C144:F144" si="21">C60/C$81*100</f>
        <v>0.64597772334255077</v>
      </c>
      <c r="D144" s="22">
        <f t="shared" si="21"/>
        <v>0.74554367436051816</v>
      </c>
      <c r="E144" s="22">
        <f t="shared" si="21"/>
        <v>0.78478435224188858</v>
      </c>
      <c r="F144" s="22">
        <f t="shared" si="21"/>
        <v>0.81318048684487465</v>
      </c>
    </row>
    <row r="145" spans="1:6" x14ac:dyDescent="0.25">
      <c r="A145" s="18" t="str">
        <f>$A$61</f>
        <v>Veterinary</v>
      </c>
      <c r="B145" s="22">
        <f t="shared" si="6"/>
        <v>0.17625350003670814</v>
      </c>
      <c r="C145" s="22">
        <f t="shared" ref="C145:F145" si="22">C61/C$81*100</f>
        <v>0.2193112310968155</v>
      </c>
      <c r="D145" s="22">
        <f t="shared" si="22"/>
        <v>0.24702427617130682</v>
      </c>
      <c r="E145" s="22">
        <f t="shared" si="22"/>
        <v>0.2583882054459799</v>
      </c>
      <c r="F145" s="22">
        <f t="shared" si="22"/>
        <v>0.26593094828848468</v>
      </c>
    </row>
    <row r="146" spans="1:6" x14ac:dyDescent="0.25">
      <c r="A146" s="18" t="str">
        <f>$A$62</f>
        <v>Rental and leasing</v>
      </c>
      <c r="B146" s="22">
        <f t="shared" si="6"/>
        <v>0.50714993551149112</v>
      </c>
      <c r="C146" s="22">
        <f t="shared" ref="C146:F146" si="23">C62/C$81*100</f>
        <v>0.4939997980496163</v>
      </c>
      <c r="D146" s="22">
        <f t="shared" si="23"/>
        <v>0.43586155552346295</v>
      </c>
      <c r="E146" s="22">
        <f t="shared" si="23"/>
        <v>0.45076306547773376</v>
      </c>
      <c r="F146" s="22">
        <f t="shared" si="23"/>
        <v>0.45739151607599726</v>
      </c>
    </row>
    <row r="147" spans="1:6" x14ac:dyDescent="0.25">
      <c r="A147" s="18" t="str">
        <f>$A$63</f>
        <v>Employment activities</v>
      </c>
      <c r="B147" s="22">
        <f t="shared" si="6"/>
        <v>3.0284705504961336</v>
      </c>
      <c r="C147" s="22">
        <f t="shared" ref="C147:F147" si="24">C63/C$81*100</f>
        <v>2.9936402856067588</v>
      </c>
      <c r="D147" s="22">
        <f t="shared" si="24"/>
        <v>3.2570427587347921</v>
      </c>
      <c r="E147" s="22">
        <f t="shared" si="24"/>
        <v>3.3525219310504832</v>
      </c>
      <c r="F147" s="22">
        <f t="shared" si="24"/>
        <v>3.3799044933220732</v>
      </c>
    </row>
    <row r="148" spans="1:6" x14ac:dyDescent="0.25">
      <c r="A148" s="18" t="str">
        <f>$A$64</f>
        <v>Travel, etc</v>
      </c>
      <c r="B148" s="22">
        <f t="shared" si="6"/>
        <v>0.33986780814294332</v>
      </c>
      <c r="C148" s="22">
        <f t="shared" ref="C148:F148" si="25">C64/C$81*100</f>
        <v>0.32525772866584501</v>
      </c>
      <c r="D148" s="22">
        <f t="shared" si="25"/>
        <v>0.29279735831076065</v>
      </c>
      <c r="E148" s="22">
        <f t="shared" si="25"/>
        <v>0.30263445162269342</v>
      </c>
      <c r="F148" s="22">
        <f t="shared" si="25"/>
        <v>0.3062788418832591</v>
      </c>
    </row>
    <row r="149" spans="1:6" x14ac:dyDescent="0.25">
      <c r="A149" s="18" t="str">
        <f>$A$65</f>
        <v>Security, etc</v>
      </c>
      <c r="B149" s="22">
        <f t="shared" si="6"/>
        <v>0.60396023190263382</v>
      </c>
      <c r="C149" s="22">
        <f t="shared" ref="C149:F149" si="26">C65/C$81*100</f>
        <v>0.63175760336638964</v>
      </c>
      <c r="D149" s="22">
        <f t="shared" si="26"/>
        <v>0.60033588161951301</v>
      </c>
      <c r="E149" s="22">
        <f t="shared" si="26"/>
        <v>0.61833256700364869</v>
      </c>
      <c r="F149" s="22">
        <f t="shared" si="26"/>
        <v>0.62428545661371493</v>
      </c>
    </row>
    <row r="150" spans="1:6" x14ac:dyDescent="0.25">
      <c r="A150" s="18" t="str">
        <f>$A$66</f>
        <v>Services to buildings</v>
      </c>
      <c r="B150" s="22">
        <f t="shared" si="6"/>
        <v>2.2904807790667845</v>
      </c>
      <c r="C150" s="22">
        <f t="shared" ref="C150:F150" si="27">C66/C$81*100</f>
        <v>2.5035650142610786</v>
      </c>
      <c r="D150" s="22">
        <f t="shared" si="27"/>
        <v>2.4317297823131652</v>
      </c>
      <c r="E150" s="22">
        <f t="shared" si="27"/>
        <v>2.4946065933527937</v>
      </c>
      <c r="F150" s="22">
        <f t="shared" si="27"/>
        <v>2.4981272832111667</v>
      </c>
    </row>
    <row r="151" spans="1:6" x14ac:dyDescent="0.25">
      <c r="A151" s="18" t="str">
        <f>$A$67</f>
        <v>Office administrative</v>
      </c>
      <c r="B151" s="22">
        <f t="shared" si="6"/>
        <v>1.2388830238332855</v>
      </c>
      <c r="C151" s="22">
        <f t="shared" ref="C151:F151" si="28">C67/C$81*100</f>
        <v>1.2715969644365877</v>
      </c>
      <c r="D151" s="22">
        <f t="shared" si="28"/>
        <v>1.5826851659073775</v>
      </c>
      <c r="E151" s="22">
        <f t="shared" si="28"/>
        <v>1.6325012379904618</v>
      </c>
      <c r="F151" s="22">
        <f t="shared" si="28"/>
        <v>1.6498583943298919</v>
      </c>
    </row>
    <row r="152" spans="1:6" x14ac:dyDescent="0.25">
      <c r="A152" s="18" t="str">
        <f>$A$68</f>
        <v>Public administration and defence</v>
      </c>
      <c r="B152" s="22">
        <f t="shared" si="6"/>
        <v>4.9449501536730605</v>
      </c>
      <c r="C152" s="22">
        <f t="shared" ref="C152:F152" si="29">C68/C$81*100</f>
        <v>4.3707906660271227</v>
      </c>
      <c r="D152" s="22">
        <f t="shared" si="29"/>
        <v>3.8167134565277441</v>
      </c>
      <c r="E152" s="22">
        <f t="shared" si="29"/>
        <v>3.7073089113746489</v>
      </c>
      <c r="F152" s="22">
        <f t="shared" si="29"/>
        <v>3.6937961979953129</v>
      </c>
    </row>
    <row r="153" spans="1:6" x14ac:dyDescent="0.25">
      <c r="A153" s="18" t="str">
        <f>$A$69</f>
        <v xml:space="preserve">Education </v>
      </c>
      <c r="B153" s="22">
        <f t="shared" si="6"/>
        <v>8.1503536631914404</v>
      </c>
      <c r="C153" s="22">
        <f t="shared" ref="C153:F153" si="30">C69/C$81*100</f>
        <v>8.6945561942442584</v>
      </c>
      <c r="D153" s="22">
        <f t="shared" si="30"/>
        <v>8.3967219689997794</v>
      </c>
      <c r="E153" s="22">
        <f t="shared" si="30"/>
        <v>8.1932320408800248</v>
      </c>
      <c r="F153" s="22">
        <f t="shared" si="30"/>
        <v>8.1951588502932928</v>
      </c>
    </row>
    <row r="154" spans="1:6" x14ac:dyDescent="0.25">
      <c r="A154" s="18" t="str">
        <f>$A$70</f>
        <v>Health</v>
      </c>
      <c r="B154" s="22">
        <f t="shared" si="6"/>
        <v>6.4359878875941012</v>
      </c>
      <c r="C154" s="22">
        <f t="shared" ref="C154:F154" si="31">C70/C$81*100</f>
        <v>6.9996669497818989</v>
      </c>
      <c r="D154" s="22">
        <f t="shared" si="31"/>
        <v>7.4296246394072343</v>
      </c>
      <c r="E154" s="22">
        <f t="shared" si="31"/>
        <v>7.6287399240649716</v>
      </c>
      <c r="F154" s="22">
        <f t="shared" si="31"/>
        <v>7.8118664235022521</v>
      </c>
    </row>
    <row r="155" spans="1:6" x14ac:dyDescent="0.25">
      <c r="A155" s="18" t="str">
        <f>$A$71</f>
        <v>Residential care</v>
      </c>
      <c r="B155" s="22">
        <f t="shared" ref="B155:F155" si="32">B71/B$81*100</f>
        <v>2.204324774117933</v>
      </c>
      <c r="C155" s="22">
        <f t="shared" si="32"/>
        <v>2.3913197771150787</v>
      </c>
      <c r="D155" s="22">
        <f t="shared" si="32"/>
        <v>2.233127234393975</v>
      </c>
      <c r="E155" s="22">
        <f t="shared" si="32"/>
        <v>2.343652483498611</v>
      </c>
      <c r="F155" s="22">
        <f t="shared" si="32"/>
        <v>2.425814857564693</v>
      </c>
    </row>
    <row r="156" spans="1:6" x14ac:dyDescent="0.25">
      <c r="A156" s="18" t="str">
        <f>$A$72</f>
        <v>Social work</v>
      </c>
      <c r="B156" s="22">
        <f t="shared" ref="B156:F156" si="33">B72/B$81*100</f>
        <v>2.6745700307424642</v>
      </c>
      <c r="C156" s="22">
        <f t="shared" si="33"/>
        <v>3.139850917647443</v>
      </c>
      <c r="D156" s="22">
        <f t="shared" si="33"/>
        <v>2.9093527110177448</v>
      </c>
      <c r="E156" s="22">
        <f t="shared" si="33"/>
        <v>3.0642702753560362</v>
      </c>
      <c r="F156" s="22">
        <f t="shared" si="33"/>
        <v>3.1846919315422086</v>
      </c>
    </row>
    <row r="157" spans="1:6" x14ac:dyDescent="0.25">
      <c r="A157" s="18" t="str">
        <f>$A$73</f>
        <v>Arts and entertainment</v>
      </c>
      <c r="B157" s="22">
        <f t="shared" ref="B157:F157" si="34">B73/B$81*100</f>
        <v>0.44821317591866799</v>
      </c>
      <c r="C157" s="22">
        <f t="shared" si="34"/>
        <v>0.45131742556260079</v>
      </c>
      <c r="D157" s="22">
        <f t="shared" si="34"/>
        <v>0.42002133149868892</v>
      </c>
      <c r="E157" s="22">
        <f t="shared" si="34"/>
        <v>0.46050762248185972</v>
      </c>
      <c r="F157" s="22">
        <f t="shared" si="34"/>
        <v>0.46070242742736311</v>
      </c>
    </row>
    <row r="158" spans="1:6" x14ac:dyDescent="0.25">
      <c r="A158" s="18" t="str">
        <f>$A$74</f>
        <v>Libraries, etc</v>
      </c>
      <c r="B158" s="22">
        <f t="shared" ref="B158:F158" si="35">B74/B$81*100</f>
        <v>0.58377778903798783</v>
      </c>
      <c r="C158" s="22">
        <f t="shared" si="35"/>
        <v>0.53386770628132507</v>
      </c>
      <c r="D158" s="22">
        <f t="shared" si="35"/>
        <v>0.54417769608971056</v>
      </c>
      <c r="E158" s="22">
        <f t="shared" si="35"/>
        <v>0.60125193302395219</v>
      </c>
      <c r="F158" s="22">
        <f t="shared" si="35"/>
        <v>0.60967668838702649</v>
      </c>
    </row>
    <row r="159" spans="1:6" x14ac:dyDescent="0.25">
      <c r="A159" s="18" t="str">
        <f>$A$75</f>
        <v>Gambling and betting</v>
      </c>
      <c r="B159" s="22">
        <f t="shared" ref="B159:F159" si="36">B75/B$81*100</f>
        <v>0.35830441937297314</v>
      </c>
      <c r="C159" s="22">
        <f t="shared" si="36"/>
        <v>0.35270740298132514</v>
      </c>
      <c r="D159" s="22">
        <f t="shared" si="36"/>
        <v>0.30977968543999784</v>
      </c>
      <c r="E159" s="22">
        <f t="shared" si="36"/>
        <v>0.31882999047220134</v>
      </c>
      <c r="F159" s="22">
        <f t="shared" si="36"/>
        <v>0.32539056121628529</v>
      </c>
    </row>
    <row r="160" spans="1:6" x14ac:dyDescent="0.25">
      <c r="A160" s="18" t="str">
        <f>$A$76</f>
        <v>Sport and recreation</v>
      </c>
      <c r="B160" s="22">
        <f t="shared" ref="B160:F160" si="37">B76/B$81*100</f>
        <v>1.3432711732318405</v>
      </c>
      <c r="C160" s="22">
        <f t="shared" si="37"/>
        <v>1.4954553634912662</v>
      </c>
      <c r="D160" s="22">
        <f t="shared" si="37"/>
        <v>1.5411791875957979</v>
      </c>
      <c r="E160" s="22">
        <f t="shared" si="37"/>
        <v>1.5737133326606554</v>
      </c>
      <c r="F160" s="22">
        <f t="shared" si="37"/>
        <v>1.5927884442345375</v>
      </c>
    </row>
    <row r="161" spans="1:6" x14ac:dyDescent="0.25">
      <c r="A161" s="18" t="str">
        <f>$A$77</f>
        <v>Membership organisations</v>
      </c>
      <c r="B161" s="22">
        <f t="shared" ref="B161:F161" si="38">B77/B$81*100</f>
        <v>1.1678355402698575</v>
      </c>
      <c r="C161" s="22">
        <f t="shared" si="38"/>
        <v>1.2044680610687486</v>
      </c>
      <c r="D161" s="22">
        <f t="shared" si="38"/>
        <v>1.2044883389479977</v>
      </c>
      <c r="E161" s="22">
        <f t="shared" si="38"/>
        <v>1.2284950250884044</v>
      </c>
      <c r="F161" s="22">
        <f t="shared" si="38"/>
        <v>1.2194957515486422</v>
      </c>
    </row>
    <row r="162" spans="1:6" x14ac:dyDescent="0.25">
      <c r="A162" s="18" t="str">
        <f>$A$78</f>
        <v>Repair of goods</v>
      </c>
      <c r="B162" s="22">
        <f t="shared" ref="B162:F162" si="39">B78/B$81*100</f>
        <v>0.17968854174821142</v>
      </c>
      <c r="C162" s="22">
        <f t="shared" si="39"/>
        <v>0.18260055428300301</v>
      </c>
      <c r="D162" s="22">
        <f t="shared" si="39"/>
        <v>0.16212698855080071</v>
      </c>
      <c r="E162" s="22">
        <f t="shared" si="39"/>
        <v>0.16815956495103454</v>
      </c>
      <c r="F162" s="22">
        <f t="shared" si="39"/>
        <v>0.16959347787346785</v>
      </c>
    </row>
    <row r="163" spans="1:6" x14ac:dyDescent="0.25">
      <c r="A163" s="18" t="str">
        <f>$A$79</f>
        <v>Other personal service</v>
      </c>
      <c r="B163" s="22">
        <f>B79/B$81*100</f>
        <v>1.7320631606005337</v>
      </c>
      <c r="C163" s="22">
        <f t="shared" ref="C163:F163" si="40">C79/C$81*100</f>
        <v>1.3897289916227837</v>
      </c>
      <c r="D163" s="22">
        <f t="shared" si="40"/>
        <v>1.5231523239656792</v>
      </c>
      <c r="E163" s="22">
        <f t="shared" si="40"/>
        <v>1.5586553680094237</v>
      </c>
      <c r="F163" s="22">
        <f t="shared" si="40"/>
        <v>1.5514690522079546</v>
      </c>
    </row>
    <row r="164" spans="1:6" x14ac:dyDescent="0.25">
      <c r="A164" s="44"/>
      <c r="B164" s="22"/>
      <c r="C164" s="22"/>
      <c r="D164" s="22"/>
      <c r="E164" s="22"/>
      <c r="F164" s="22"/>
    </row>
    <row r="165" spans="1:6" x14ac:dyDescent="0.25">
      <c r="A165" s="28" t="str">
        <f>$A$81</f>
        <v>All industries</v>
      </c>
      <c r="B165" s="30">
        <f>B81/B$81*100</f>
        <v>100</v>
      </c>
      <c r="C165" s="30">
        <f>C81/C$81*100</f>
        <v>100</v>
      </c>
      <c r="D165" s="30">
        <f>D81/D$81*100</f>
        <v>100</v>
      </c>
      <c r="E165" s="30">
        <f>E81/E$81*100</f>
        <v>100</v>
      </c>
      <c r="F165" s="30">
        <f>F81/F$81*100</f>
        <v>100</v>
      </c>
    </row>
    <row r="166" spans="1:6" x14ac:dyDescent="0.25">
      <c r="A166" s="44"/>
      <c r="B166" s="45"/>
      <c r="C166" s="45"/>
      <c r="D166" s="45"/>
      <c r="E166" s="45"/>
      <c r="F166" s="45"/>
    </row>
    <row r="167" spans="1:6" x14ac:dyDescent="0.25">
      <c r="A167" s="44"/>
      <c r="B167" s="45"/>
      <c r="C167" s="45"/>
      <c r="D167" s="45"/>
      <c r="E167" s="45"/>
      <c r="F167" s="45"/>
    </row>
    <row r="168" spans="1:6" x14ac:dyDescent="0.25">
      <c r="A168" s="44"/>
      <c r="B168" s="45"/>
      <c r="C168" s="45"/>
      <c r="D168" s="45"/>
      <c r="E168" s="45"/>
      <c r="F168" s="45"/>
    </row>
    <row r="169" spans="1:6" ht="15.6" x14ac:dyDescent="0.3">
      <c r="A169" s="23" t="str">
        <f>CONCATENATE($A$1," (Continued)")</f>
        <v>Industry Table 3  Employment by Industry (SIC 2007), 2007-2027 (Continued)</v>
      </c>
      <c r="B169" s="22"/>
      <c r="C169" s="22"/>
      <c r="D169" s="22"/>
      <c r="E169" s="22"/>
      <c r="F169" s="22"/>
    </row>
    <row r="171" spans="1:6" x14ac:dyDescent="0.25">
      <c r="A171" s="26"/>
      <c r="B171" s="29" t="str">
        <f>CONCATENATE(B$3,"-",C$3)</f>
        <v>2007-2012</v>
      </c>
      <c r="C171" s="29" t="str">
        <f>CONCATENATE(C$3,"-",D$3)</f>
        <v>2012-2017</v>
      </c>
      <c r="D171" s="29" t="str">
        <f>CONCATENATE(D$3,"-",E$3)</f>
        <v>2017-2022</v>
      </c>
      <c r="E171" s="29" t="str">
        <f>CONCATENATE(E$3,"-",F$3)</f>
        <v>2022-2027</v>
      </c>
      <c r="F171" s="29" t="str">
        <f>CONCATENATE(C$3,"-",F$3)</f>
        <v>2012-2027</v>
      </c>
    </row>
    <row r="172" spans="1:6" x14ac:dyDescent="0.25">
      <c r="A172" s="32" t="s">
        <v>14</v>
      </c>
    </row>
    <row r="173" spans="1:6" x14ac:dyDescent="0.25">
      <c r="A173" s="18" t="str">
        <f>$A$5</f>
        <v>Agriculture, etc</v>
      </c>
      <c r="B173" s="22">
        <f t="shared" ref="B173:E192" si="41">IF(AND(C$3-B$3 &lt;&gt; 0,B5&lt;&gt;0,C5&lt;&gt;0),(EXP(LN(C5/B5)/(C$3-B$3))-1)*100,0)</f>
        <v>2.4463120238458425</v>
      </c>
      <c r="C173" s="22">
        <f t="shared" si="41"/>
        <v>0.92926892279201478</v>
      </c>
      <c r="D173" s="22">
        <f t="shared" si="41"/>
        <v>-0.79001185755103176</v>
      </c>
      <c r="E173" s="22">
        <f t="shared" si="41"/>
        <v>-0.25519191807623631</v>
      </c>
      <c r="F173" s="22">
        <f t="shared" ref="F173:F204" si="42">IF(AND(F$3-C$3 &lt;&gt; 0,C5&lt;&gt;0,F5&lt;&gt;0),(EXP(LN(F5/C5)/(F$3-C$3))-1)*100,0)</f>
        <v>-4.1221264857638218E-2</v>
      </c>
    </row>
    <row r="174" spans="1:6" x14ac:dyDescent="0.25">
      <c r="A174" s="18" t="str">
        <f>$A$6</f>
        <v>Coal, oil &amp; gas; Mining &amp; related</v>
      </c>
      <c r="B174" s="22">
        <f t="shared" si="41"/>
        <v>2.5161720621462713</v>
      </c>
      <c r="C174" s="22">
        <f t="shared" si="41"/>
        <v>-3.6299353695282144</v>
      </c>
      <c r="D174" s="22">
        <f t="shared" si="41"/>
        <v>-0.89488112013975663</v>
      </c>
      <c r="E174" s="22">
        <f t="shared" si="41"/>
        <v>-1.7826193704020832</v>
      </c>
      <c r="F174" s="22">
        <f t="shared" si="42"/>
        <v>-2.1091285065810594</v>
      </c>
    </row>
    <row r="175" spans="1:6" x14ac:dyDescent="0.25">
      <c r="A175" s="18" t="str">
        <f>$A$7</f>
        <v>Food products</v>
      </c>
      <c r="B175" s="22">
        <f t="shared" si="41"/>
        <v>-1.187922235935035</v>
      </c>
      <c r="C175" s="22">
        <f t="shared" si="41"/>
        <v>1.5319416445238376</v>
      </c>
      <c r="D175" s="22">
        <f t="shared" si="41"/>
        <v>-0.99895701772573231</v>
      </c>
      <c r="E175" s="22">
        <f t="shared" si="41"/>
        <v>-0.60503539931341388</v>
      </c>
      <c r="F175" s="22">
        <f t="shared" si="42"/>
        <v>-3.0171223953767701E-2</v>
      </c>
    </row>
    <row r="176" spans="1:6" x14ac:dyDescent="0.25">
      <c r="A176" s="18" t="str">
        <f>$A$8</f>
        <v>Beverages and tobacco</v>
      </c>
      <c r="B176" s="22">
        <f t="shared" si="41"/>
        <v>-3.1127946983571908</v>
      </c>
      <c r="C176" s="22">
        <f t="shared" si="41"/>
        <v>2.4340410675058211</v>
      </c>
      <c r="D176" s="22">
        <f t="shared" si="41"/>
        <v>-0.90055809895356331</v>
      </c>
      <c r="E176" s="22">
        <f t="shared" si="41"/>
        <v>-0.53839249450415849</v>
      </c>
      <c r="F176" s="22">
        <f t="shared" si="42"/>
        <v>0.32064820777162328</v>
      </c>
    </row>
    <row r="177" spans="1:6" x14ac:dyDescent="0.25">
      <c r="A177" s="18" t="str">
        <f>$A$9</f>
        <v>Textiles</v>
      </c>
      <c r="B177" s="22">
        <f t="shared" si="41"/>
        <v>-1.8997307873646951</v>
      </c>
      <c r="C177" s="22">
        <f t="shared" si="41"/>
        <v>1.3361025283901817</v>
      </c>
      <c r="D177" s="22">
        <f t="shared" si="41"/>
        <v>-3.8485333862222304</v>
      </c>
      <c r="E177" s="22">
        <f t="shared" si="41"/>
        <v>-1.4207956803043209</v>
      </c>
      <c r="F177" s="22">
        <f t="shared" si="42"/>
        <v>-1.3337839719447464</v>
      </c>
    </row>
    <row r="178" spans="1:6" x14ac:dyDescent="0.25">
      <c r="A178" s="18" t="str">
        <f>$A$10</f>
        <v>Wearing apparel; Leather, etc</v>
      </c>
      <c r="B178" s="22">
        <f t="shared" si="41"/>
        <v>-3.3196951330747182</v>
      </c>
      <c r="C178" s="22">
        <f t="shared" si="41"/>
        <v>-5.7598305969243757</v>
      </c>
      <c r="D178" s="22">
        <f t="shared" si="41"/>
        <v>-4.0365227114296465</v>
      </c>
      <c r="E178" s="22">
        <f t="shared" si="41"/>
        <v>-1.2826210684731554</v>
      </c>
      <c r="F178" s="22">
        <f t="shared" si="42"/>
        <v>-3.7105845697257944</v>
      </c>
    </row>
    <row r="179" spans="1:6" x14ac:dyDescent="0.25">
      <c r="A179" s="18" t="str">
        <f>$A$11</f>
        <v xml:space="preserve">Wood and cork </v>
      </c>
      <c r="B179" s="22">
        <f t="shared" si="41"/>
        <v>-1.8475523507355485</v>
      </c>
      <c r="C179" s="22">
        <f t="shared" si="41"/>
        <v>0.83666089948180034</v>
      </c>
      <c r="D179" s="22">
        <f t="shared" si="41"/>
        <v>-0.77083144029711503</v>
      </c>
      <c r="E179" s="22">
        <f t="shared" si="41"/>
        <v>-1.0026004651367826</v>
      </c>
      <c r="F179" s="22">
        <f t="shared" si="42"/>
        <v>-0.3156001861172264</v>
      </c>
    </row>
    <row r="180" spans="1:6" x14ac:dyDescent="0.25">
      <c r="A180" s="18" t="str">
        <f>$A$12</f>
        <v>Paper, etc</v>
      </c>
      <c r="B180" s="22">
        <f t="shared" si="41"/>
        <v>-1.1902728217466962</v>
      </c>
      <c r="C180" s="22">
        <f t="shared" si="41"/>
        <v>0.10992974528545307</v>
      </c>
      <c r="D180" s="22">
        <f t="shared" si="41"/>
        <v>-0.71926081952539134</v>
      </c>
      <c r="E180" s="22">
        <f t="shared" si="41"/>
        <v>-0.93395384509390444</v>
      </c>
      <c r="F180" s="22">
        <f t="shared" si="42"/>
        <v>-0.51544471616062904</v>
      </c>
    </row>
    <row r="181" spans="1:6" x14ac:dyDescent="0.25">
      <c r="A181" s="18" t="str">
        <f>$A$13</f>
        <v>Printing and recording</v>
      </c>
      <c r="B181" s="22">
        <f t="shared" si="41"/>
        <v>-7.0958934673260092</v>
      </c>
      <c r="C181" s="22">
        <f t="shared" si="41"/>
        <v>-1.1806476136007271</v>
      </c>
      <c r="D181" s="22">
        <f t="shared" si="41"/>
        <v>-1.121289921147528</v>
      </c>
      <c r="E181" s="22">
        <f t="shared" si="41"/>
        <v>-1.5049559394282763</v>
      </c>
      <c r="F181" s="22">
        <f t="shared" si="42"/>
        <v>-1.2691085900963239</v>
      </c>
    </row>
    <row r="182" spans="1:6" x14ac:dyDescent="0.25">
      <c r="A182" s="18" t="str">
        <f>$A$14</f>
        <v>Coke and petroleum; Chemicals, etc</v>
      </c>
      <c r="B182" s="22">
        <f t="shared" si="41"/>
        <v>-4.1913517131559219</v>
      </c>
      <c r="C182" s="22">
        <f t="shared" si="41"/>
        <v>-1.1042804578976217</v>
      </c>
      <c r="D182" s="22">
        <f t="shared" si="41"/>
        <v>-1.7570903332297161</v>
      </c>
      <c r="E182" s="22">
        <f t="shared" si="41"/>
        <v>-0.81270704856704068</v>
      </c>
      <c r="F182" s="22">
        <f t="shared" si="42"/>
        <v>-1.2254826504989325</v>
      </c>
    </row>
    <row r="183" spans="1:6" x14ac:dyDescent="0.25">
      <c r="A183" s="18" t="str">
        <f>$A$15</f>
        <v>Pharmaceuticals</v>
      </c>
      <c r="B183" s="22">
        <f t="shared" si="41"/>
        <v>-1.5902980189566818</v>
      </c>
      <c r="C183" s="22">
        <f t="shared" si="41"/>
        <v>-0.88582322333045083</v>
      </c>
      <c r="D183" s="22">
        <f t="shared" si="41"/>
        <v>-0.62956994966667512</v>
      </c>
      <c r="E183" s="22">
        <f t="shared" si="41"/>
        <v>-0.4655782048243462</v>
      </c>
      <c r="F183" s="22">
        <f t="shared" si="42"/>
        <v>-0.66047436850021901</v>
      </c>
    </row>
    <row r="184" spans="1:6" x14ac:dyDescent="0.25">
      <c r="A184" s="18" t="str">
        <f>$A$16</f>
        <v>Rubber and plastic</v>
      </c>
      <c r="B184" s="22">
        <f t="shared" si="41"/>
        <v>-3.3371984204090155</v>
      </c>
      <c r="C184" s="22">
        <f t="shared" si="41"/>
        <v>-0.3045688849160344</v>
      </c>
      <c r="D184" s="22">
        <f t="shared" si="41"/>
        <v>-2.5058676687222503</v>
      </c>
      <c r="E184" s="22">
        <f t="shared" si="41"/>
        <v>-2.0178347092151827</v>
      </c>
      <c r="F184" s="22">
        <f t="shared" si="42"/>
        <v>-1.6139354815418727</v>
      </c>
    </row>
    <row r="185" spans="1:6" x14ac:dyDescent="0.25">
      <c r="A185" s="18" t="str">
        <f>$A$17</f>
        <v>Other non-metallic</v>
      </c>
      <c r="B185" s="22">
        <f t="shared" si="41"/>
        <v>-7.9950750928506231</v>
      </c>
      <c r="C185" s="22">
        <f t="shared" si="41"/>
        <v>0.35471319902831144</v>
      </c>
      <c r="D185" s="22">
        <f t="shared" si="41"/>
        <v>-2.5416729855925246</v>
      </c>
      <c r="E185" s="22">
        <f t="shared" si="41"/>
        <v>-2.0644516732741813</v>
      </c>
      <c r="F185" s="22">
        <f t="shared" si="42"/>
        <v>-1.4252475535090126</v>
      </c>
    </row>
    <row r="186" spans="1:6" x14ac:dyDescent="0.25">
      <c r="A186" s="18" t="str">
        <f>$A$18</f>
        <v>Basic metals</v>
      </c>
      <c r="B186" s="22">
        <f t="shared" si="41"/>
        <v>-4.386736429872073</v>
      </c>
      <c r="C186" s="22">
        <f t="shared" si="41"/>
        <v>-0.61053263830120885</v>
      </c>
      <c r="D186" s="22">
        <f t="shared" si="41"/>
        <v>-2.1607043262284353</v>
      </c>
      <c r="E186" s="22">
        <f t="shared" si="41"/>
        <v>-1.6453274479952262</v>
      </c>
      <c r="F186" s="22">
        <f t="shared" si="42"/>
        <v>-1.4742931666774761</v>
      </c>
    </row>
    <row r="187" spans="1:6" x14ac:dyDescent="0.25">
      <c r="A187" s="18" t="str">
        <f>$A$19</f>
        <v>Metal products</v>
      </c>
      <c r="B187" s="22">
        <f t="shared" si="41"/>
        <v>-2.7029331100608012</v>
      </c>
      <c r="C187" s="22">
        <f t="shared" si="41"/>
        <v>1.5655540632272258</v>
      </c>
      <c r="D187" s="22">
        <f t="shared" si="41"/>
        <v>-2.0361200382172373</v>
      </c>
      <c r="E187" s="22">
        <f t="shared" si="41"/>
        <v>-1.5017240232803153</v>
      </c>
      <c r="F187" s="22">
        <f t="shared" si="42"/>
        <v>-0.67001965642078387</v>
      </c>
    </row>
    <row r="188" spans="1:6" x14ac:dyDescent="0.25">
      <c r="A188" s="18" t="str">
        <f>$A$20</f>
        <v>Computer, etc</v>
      </c>
      <c r="B188" s="22">
        <f t="shared" si="41"/>
        <v>-5.0757558309398876</v>
      </c>
      <c r="C188" s="22">
        <f t="shared" si="41"/>
        <v>-0.93784991857106537</v>
      </c>
      <c r="D188" s="22">
        <f t="shared" si="41"/>
        <v>7.7041816018219578E-2</v>
      </c>
      <c r="E188" s="22">
        <f t="shared" si="41"/>
        <v>-1.0589054410787946</v>
      </c>
      <c r="F188" s="22">
        <f t="shared" si="42"/>
        <v>-0.64120710633772671</v>
      </c>
    </row>
    <row r="189" spans="1:6" x14ac:dyDescent="0.25">
      <c r="A189" s="18" t="str">
        <f>$A$21</f>
        <v>Electrical equipment</v>
      </c>
      <c r="B189" s="22">
        <f t="shared" si="41"/>
        <v>-2.2970989899426919</v>
      </c>
      <c r="C189" s="22">
        <f t="shared" si="41"/>
        <v>-1.4067370575808091</v>
      </c>
      <c r="D189" s="22">
        <f t="shared" si="41"/>
        <v>-0.4154747124885505</v>
      </c>
      <c r="E189" s="22">
        <f t="shared" si="41"/>
        <v>-0.32845137543889846</v>
      </c>
      <c r="F189" s="22">
        <f t="shared" si="42"/>
        <v>-0.71809513847616024</v>
      </c>
    </row>
    <row r="190" spans="1:6" x14ac:dyDescent="0.25">
      <c r="A190" s="18" t="str">
        <f>$A$22</f>
        <v>Machinery n.e.c.</v>
      </c>
      <c r="B190" s="22">
        <f t="shared" si="41"/>
        <v>-2.1864638643958823</v>
      </c>
      <c r="C190" s="22">
        <f t="shared" si="41"/>
        <v>-1.3261335830989762</v>
      </c>
      <c r="D190" s="22">
        <f t="shared" si="41"/>
        <v>0.31758689543337493</v>
      </c>
      <c r="E190" s="22">
        <f t="shared" si="41"/>
        <v>-1.4999522459140602</v>
      </c>
      <c r="F190" s="22">
        <f t="shared" si="42"/>
        <v>-0.83953502286238102</v>
      </c>
    </row>
    <row r="191" spans="1:6" x14ac:dyDescent="0.25">
      <c r="A191" s="18" t="str">
        <f>$A$23</f>
        <v>Motor vehicles, etc</v>
      </c>
      <c r="B191" s="22">
        <f t="shared" si="41"/>
        <v>-4.8736462706929773</v>
      </c>
      <c r="C191" s="22">
        <f t="shared" si="41"/>
        <v>5.8689709192074169</v>
      </c>
      <c r="D191" s="22">
        <f t="shared" si="41"/>
        <v>-0.98139624898642142</v>
      </c>
      <c r="E191" s="22">
        <f t="shared" si="41"/>
        <v>-0.60006143296648107</v>
      </c>
      <c r="F191" s="22">
        <f t="shared" si="42"/>
        <v>1.3811473485150216</v>
      </c>
    </row>
    <row r="192" spans="1:6" x14ac:dyDescent="0.25">
      <c r="A192" s="18" t="str">
        <f>$A$24</f>
        <v>Other transport equipment</v>
      </c>
      <c r="B192" s="22">
        <f t="shared" si="41"/>
        <v>1.4358706307364466</v>
      </c>
      <c r="C192" s="22">
        <f t="shared" si="41"/>
        <v>1.8046114090639165</v>
      </c>
      <c r="D192" s="22">
        <f t="shared" si="41"/>
        <v>1.1270404503042064</v>
      </c>
      <c r="E192" s="22">
        <f t="shared" si="41"/>
        <v>0.3567006342736434</v>
      </c>
      <c r="F192" s="22">
        <f t="shared" si="42"/>
        <v>1.0943864791983282</v>
      </c>
    </row>
    <row r="193" spans="1:6" x14ac:dyDescent="0.25">
      <c r="A193" s="18" t="str">
        <f>$A$25</f>
        <v>Furniture</v>
      </c>
      <c r="B193" s="22">
        <f t="shared" ref="B193:E212" si="43">IF(AND(C$3-B$3 &lt;&gt; 0,B25&lt;&gt;0,C25&lt;&gt;0),(EXP(LN(C25/B25)/(C$3-B$3))-1)*100,0)</f>
        <v>-0.45417747805336361</v>
      </c>
      <c r="C193" s="22">
        <f t="shared" si="43"/>
        <v>1.1336434086523628</v>
      </c>
      <c r="D193" s="22">
        <f t="shared" si="43"/>
        <v>-0.2292599855363342</v>
      </c>
      <c r="E193" s="22">
        <f t="shared" si="43"/>
        <v>-0.51001704343486276</v>
      </c>
      <c r="F193" s="22">
        <f t="shared" si="42"/>
        <v>0.12888984758745448</v>
      </c>
    </row>
    <row r="194" spans="1:6" x14ac:dyDescent="0.25">
      <c r="A194" s="18" t="str">
        <f>$A$26</f>
        <v>Other manufacturing</v>
      </c>
      <c r="B194" s="22">
        <f t="shared" si="43"/>
        <v>-1.7547025953779216</v>
      </c>
      <c r="C194" s="22">
        <f t="shared" si="43"/>
        <v>-0.3704662230175404</v>
      </c>
      <c r="D194" s="22">
        <f t="shared" si="43"/>
        <v>-0.3911993711472328</v>
      </c>
      <c r="E194" s="22">
        <f t="shared" si="43"/>
        <v>-0.61951336780556865</v>
      </c>
      <c r="F194" s="22">
        <f t="shared" si="42"/>
        <v>-0.46045697155766563</v>
      </c>
    </row>
    <row r="195" spans="1:6" x14ac:dyDescent="0.25">
      <c r="A195" s="18" t="str">
        <f>$A$27</f>
        <v>Repair and installation</v>
      </c>
      <c r="B195" s="22">
        <f t="shared" si="43"/>
        <v>2.2003650270118413</v>
      </c>
      <c r="C195" s="22">
        <f t="shared" si="43"/>
        <v>0.55985483808402847</v>
      </c>
      <c r="D195" s="22">
        <f t="shared" si="43"/>
        <v>-0.58662437436555193</v>
      </c>
      <c r="E195" s="22">
        <f t="shared" si="43"/>
        <v>-0.86559028260299042</v>
      </c>
      <c r="F195" s="22">
        <f t="shared" si="42"/>
        <v>-0.2993565563287337</v>
      </c>
    </row>
    <row r="196" spans="1:6" x14ac:dyDescent="0.25">
      <c r="A196" s="18" t="str">
        <f>$A$28</f>
        <v>Electricity, gas, etc</v>
      </c>
      <c r="B196" s="22">
        <f t="shared" si="43"/>
        <v>7.4946352643147085</v>
      </c>
      <c r="C196" s="22">
        <f t="shared" si="43"/>
        <v>3.3733220117806217</v>
      </c>
      <c r="D196" s="22">
        <f t="shared" si="43"/>
        <v>6.2006819882598485E-2</v>
      </c>
      <c r="E196" s="22">
        <f t="shared" si="43"/>
        <v>0.10045841368875319</v>
      </c>
      <c r="F196" s="22">
        <f t="shared" si="42"/>
        <v>1.1667773956462568</v>
      </c>
    </row>
    <row r="197" spans="1:6" x14ac:dyDescent="0.25">
      <c r="A197" s="18" t="str">
        <f>$A$29</f>
        <v>Water</v>
      </c>
      <c r="B197" s="22">
        <f t="shared" si="43"/>
        <v>3.7280320391742228</v>
      </c>
      <c r="C197" s="22">
        <f t="shared" si="43"/>
        <v>0.13099607014142034</v>
      </c>
      <c r="D197" s="22">
        <f t="shared" si="43"/>
        <v>0.64091093201716909</v>
      </c>
      <c r="E197" s="22">
        <f t="shared" si="43"/>
        <v>2.0130316203296639</v>
      </c>
      <c r="F197" s="22">
        <f t="shared" si="42"/>
        <v>0.92519174530616421</v>
      </c>
    </row>
    <row r="198" spans="1:6" x14ac:dyDescent="0.25">
      <c r="A198" s="18" t="str">
        <f>$A$30</f>
        <v>Sewerage</v>
      </c>
      <c r="B198" s="22">
        <f t="shared" si="43"/>
        <v>9.8041729204398251</v>
      </c>
      <c r="C198" s="22">
        <f t="shared" si="43"/>
        <v>-2.277037534076165</v>
      </c>
      <c r="D198" s="22">
        <f t="shared" si="43"/>
        <v>0.59784009682171124</v>
      </c>
      <c r="E198" s="22">
        <f t="shared" si="43"/>
        <v>-0.94446489606855311</v>
      </c>
      <c r="F198" s="22">
        <f t="shared" si="42"/>
        <v>-0.88151022860327721</v>
      </c>
    </row>
    <row r="199" spans="1:6" x14ac:dyDescent="0.25">
      <c r="A199" s="18" t="str">
        <f>$A$31</f>
        <v>Waste management</v>
      </c>
      <c r="B199" s="22">
        <f t="shared" si="43"/>
        <v>3.2662584693243346</v>
      </c>
      <c r="C199" s="22">
        <f t="shared" si="43"/>
        <v>2.3630579696657827</v>
      </c>
      <c r="D199" s="22">
        <f t="shared" si="43"/>
        <v>0.62019725880211318</v>
      </c>
      <c r="E199" s="22">
        <f t="shared" si="43"/>
        <v>0.51697672446344711</v>
      </c>
      <c r="F199" s="22">
        <f t="shared" si="42"/>
        <v>1.1632122672373235</v>
      </c>
    </row>
    <row r="200" spans="1:6" x14ac:dyDescent="0.25">
      <c r="A200" s="18" t="str">
        <f>$A$32</f>
        <v>Construction</v>
      </c>
      <c r="B200" s="22">
        <f t="shared" si="43"/>
        <v>-0.20675090232983306</v>
      </c>
      <c r="C200" s="22">
        <f t="shared" si="43"/>
        <v>3.4314459198858671</v>
      </c>
      <c r="D200" s="22">
        <f t="shared" si="43"/>
        <v>0.18746628875936366</v>
      </c>
      <c r="E200" s="22">
        <f t="shared" si="43"/>
        <v>0.25759543070507096</v>
      </c>
      <c r="F200" s="22">
        <f t="shared" si="42"/>
        <v>1.2809480493608305</v>
      </c>
    </row>
    <row r="201" spans="1:6" x14ac:dyDescent="0.25">
      <c r="A201" s="18" t="str">
        <f>$A$33</f>
        <v>Civil engineering</v>
      </c>
      <c r="B201" s="22">
        <f t="shared" si="43"/>
        <v>-3.9897419891206987</v>
      </c>
      <c r="C201" s="22">
        <f t="shared" si="43"/>
        <v>0.91953375378468483</v>
      </c>
      <c r="D201" s="22">
        <f t="shared" si="43"/>
        <v>0.15295996155062497</v>
      </c>
      <c r="E201" s="22">
        <f t="shared" si="43"/>
        <v>0.23186885773536225</v>
      </c>
      <c r="F201" s="22">
        <f t="shared" si="42"/>
        <v>0.43419836641525045</v>
      </c>
    </row>
    <row r="202" spans="1:6" x14ac:dyDescent="0.25">
      <c r="A202" s="18" t="str">
        <f>$A$34</f>
        <v>Specialised construction</v>
      </c>
      <c r="B202" s="22">
        <f t="shared" si="43"/>
        <v>-2.6749058300903905</v>
      </c>
      <c r="C202" s="22">
        <f t="shared" si="43"/>
        <v>1.793772137266636</v>
      </c>
      <c r="D202" s="22">
        <f t="shared" si="43"/>
        <v>0.18230981957074732</v>
      </c>
      <c r="E202" s="22">
        <f t="shared" si="43"/>
        <v>0.25732498819648342</v>
      </c>
      <c r="F202" s="22">
        <f t="shared" si="42"/>
        <v>0.74174143851259977</v>
      </c>
    </row>
    <row r="203" spans="1:6" x14ac:dyDescent="0.25">
      <c r="A203" s="18" t="str">
        <f>$A$35</f>
        <v>Motor vehicle trade</v>
      </c>
      <c r="B203" s="22">
        <f t="shared" si="43"/>
        <v>-1.5449582634980419</v>
      </c>
      <c r="C203" s="22">
        <f t="shared" si="43"/>
        <v>2.6039477987413573</v>
      </c>
      <c r="D203" s="22">
        <f t="shared" si="43"/>
        <v>-9.7417222951623472E-2</v>
      </c>
      <c r="E203" s="22">
        <f t="shared" si="43"/>
        <v>9.6023674587941699E-2</v>
      </c>
      <c r="F203" s="22">
        <f t="shared" si="42"/>
        <v>0.86005582828700966</v>
      </c>
    </row>
    <row r="204" spans="1:6" x14ac:dyDescent="0.25">
      <c r="A204" s="18" t="str">
        <f>$A$36</f>
        <v>Wholesale trade</v>
      </c>
      <c r="B204" s="22">
        <f t="shared" si="43"/>
        <v>-0.94845981238971255</v>
      </c>
      <c r="C204" s="22">
        <f t="shared" si="43"/>
        <v>0.60204433167487803</v>
      </c>
      <c r="D204" s="22">
        <f t="shared" si="43"/>
        <v>-0.30470656956665954</v>
      </c>
      <c r="E204" s="22">
        <f t="shared" si="43"/>
        <v>-0.18084653864491873</v>
      </c>
      <c r="F204" s="22">
        <f t="shared" si="42"/>
        <v>3.8026320608253172E-2</v>
      </c>
    </row>
    <row r="205" spans="1:6" x14ac:dyDescent="0.25">
      <c r="A205" s="18" t="str">
        <f>$A$37</f>
        <v>Retail trade</v>
      </c>
      <c r="B205" s="22">
        <f t="shared" si="43"/>
        <v>-0.44095172818618966</v>
      </c>
      <c r="C205" s="22">
        <f t="shared" si="43"/>
        <v>0.17308756262859326</v>
      </c>
      <c r="D205" s="22">
        <f t="shared" si="43"/>
        <v>0.2432398926576429</v>
      </c>
      <c r="E205" s="22">
        <f t="shared" si="43"/>
        <v>0.35826285361133525</v>
      </c>
      <c r="F205" s="22">
        <f t="shared" ref="F205:F236" si="44">IF(AND(F$3-C$3 &lt;&gt; 0,C37&lt;&gt;0,F37&lt;&gt;0),(EXP(LN(F37/C37)/(F$3-C$3))-1)*100,0)</f>
        <v>0.25816771470066335</v>
      </c>
    </row>
    <row r="206" spans="1:6" x14ac:dyDescent="0.25">
      <c r="A206" s="18" t="str">
        <f>$A$38</f>
        <v>Land transport, etc</v>
      </c>
      <c r="B206" s="22">
        <f t="shared" si="43"/>
        <v>-0.72692009479072839</v>
      </c>
      <c r="C206" s="22">
        <f t="shared" si="43"/>
        <v>3.7079991102452636</v>
      </c>
      <c r="D206" s="22">
        <f t="shared" si="43"/>
        <v>-0.99543409263239679</v>
      </c>
      <c r="E206" s="22">
        <f t="shared" si="43"/>
        <v>-0.18032441561759427</v>
      </c>
      <c r="F206" s="22">
        <f t="shared" si="44"/>
        <v>0.82337035826314242</v>
      </c>
    </row>
    <row r="207" spans="1:6" x14ac:dyDescent="0.25">
      <c r="A207" s="18" t="str">
        <f>$A$39</f>
        <v>Water transport</v>
      </c>
      <c r="B207" s="22">
        <f t="shared" si="43"/>
        <v>0.56540101564646061</v>
      </c>
      <c r="C207" s="22">
        <f t="shared" si="43"/>
        <v>-4.6432794416707557</v>
      </c>
      <c r="D207" s="22">
        <f t="shared" si="43"/>
        <v>-4.4187718792608184</v>
      </c>
      <c r="E207" s="22">
        <f t="shared" si="43"/>
        <v>-2.2208605886092525</v>
      </c>
      <c r="F207" s="22">
        <f t="shared" si="44"/>
        <v>-3.7671440902970255</v>
      </c>
    </row>
    <row r="208" spans="1:6" x14ac:dyDescent="0.25">
      <c r="A208" s="18" t="str">
        <f>$A$40</f>
        <v>Air transport</v>
      </c>
      <c r="B208" s="22">
        <f t="shared" si="43"/>
        <v>-3.2085555341687777</v>
      </c>
      <c r="C208" s="22">
        <f t="shared" si="43"/>
        <v>0.49139281316283867</v>
      </c>
      <c r="D208" s="22">
        <f t="shared" si="43"/>
        <v>-0.19708520963370724</v>
      </c>
      <c r="E208" s="22">
        <f t="shared" si="43"/>
        <v>0.26269816073705154</v>
      </c>
      <c r="F208" s="22">
        <f t="shared" si="44"/>
        <v>0.18525921105074783</v>
      </c>
    </row>
    <row r="209" spans="1:6" x14ac:dyDescent="0.25">
      <c r="A209" s="18" t="str">
        <f>$A$41</f>
        <v>Warehousing, etc</v>
      </c>
      <c r="B209" s="22">
        <f t="shared" si="43"/>
        <v>2.4843562961377019</v>
      </c>
      <c r="C209" s="22">
        <f t="shared" si="43"/>
        <v>6.1342599094694306</v>
      </c>
      <c r="D209" s="22">
        <f t="shared" si="43"/>
        <v>7.3797764185257186E-2</v>
      </c>
      <c r="E209" s="22">
        <f t="shared" si="43"/>
        <v>4.7439003905691557E-2</v>
      </c>
      <c r="F209" s="22">
        <f t="shared" si="44"/>
        <v>2.0455297227356395</v>
      </c>
    </row>
    <row r="210" spans="1:6" x14ac:dyDescent="0.25">
      <c r="A210" s="18" t="str">
        <f>$A$42</f>
        <v>Postal and courier</v>
      </c>
      <c r="B210" s="22">
        <f t="shared" si="43"/>
        <v>-0.46662189212791638</v>
      </c>
      <c r="C210" s="22">
        <f t="shared" si="43"/>
        <v>0.54031893032717715</v>
      </c>
      <c r="D210" s="22">
        <f t="shared" si="43"/>
        <v>0.6001176022194521</v>
      </c>
      <c r="E210" s="22">
        <f t="shared" si="43"/>
        <v>0.44584916092331728</v>
      </c>
      <c r="F210" s="22">
        <f t="shared" si="44"/>
        <v>0.52874183542861442</v>
      </c>
    </row>
    <row r="211" spans="1:6" x14ac:dyDescent="0.25">
      <c r="A211" s="18" t="str">
        <f>$A$43</f>
        <v>Accommodation</v>
      </c>
      <c r="B211" s="22">
        <f t="shared" si="43"/>
        <v>0.61611597515269789</v>
      </c>
      <c r="C211" s="22">
        <f t="shared" si="43"/>
        <v>3.7534985257441811</v>
      </c>
      <c r="D211" s="22">
        <f t="shared" si="43"/>
        <v>0.53014503462085472</v>
      </c>
      <c r="E211" s="22">
        <f t="shared" si="43"/>
        <v>0.56059087440534228</v>
      </c>
      <c r="F211" s="22">
        <f t="shared" si="44"/>
        <v>1.6035678163900391</v>
      </c>
    </row>
    <row r="212" spans="1:6" x14ac:dyDescent="0.25">
      <c r="A212" s="18" t="str">
        <f>$A$44</f>
        <v>Food and beverage services</v>
      </c>
      <c r="B212" s="22">
        <f t="shared" si="43"/>
        <v>0.35582893462955401</v>
      </c>
      <c r="C212" s="22">
        <f t="shared" si="43"/>
        <v>3.3803697862467397</v>
      </c>
      <c r="D212" s="22">
        <f t="shared" si="43"/>
        <v>-0.55359064193963858</v>
      </c>
      <c r="E212" s="22">
        <f t="shared" si="43"/>
        <v>1.0033474751937721</v>
      </c>
      <c r="F212" s="22">
        <f t="shared" si="44"/>
        <v>1.2638228518132122</v>
      </c>
    </row>
    <row r="213" spans="1:6" x14ac:dyDescent="0.25">
      <c r="A213" s="18" t="str">
        <f>$A$45</f>
        <v>Publishing activities</v>
      </c>
      <c r="B213" s="22">
        <f t="shared" ref="B213:C238" si="45">IF(AND(C$3-B$3 &lt;&gt; 0,B45&lt;&gt;0,C45&lt;&gt;0),(EXP(LN(C45/B45)/(C$3-B$3))-1)*100,0)</f>
        <v>0.11756358207830608</v>
      </c>
      <c r="C213" s="22">
        <f t="shared" si="45"/>
        <v>-1.6634350854991431</v>
      </c>
      <c r="D213" s="22">
        <f t="shared" ref="D213:E213" si="46">IF(AND(E$3-D$3 &lt;&gt; 0,D45&lt;&gt;0,E45&lt;&gt;0),(EXP(LN(E45/D45)/(E$3-D$3))-1)*100,0)</f>
        <v>-9.5361245088998459E-2</v>
      </c>
      <c r="E213" s="22">
        <f t="shared" si="46"/>
        <v>6.8627899245887747E-3</v>
      </c>
      <c r="F213" s="22">
        <f t="shared" si="44"/>
        <v>-0.58692738528753896</v>
      </c>
    </row>
    <row r="214" spans="1:6" x14ac:dyDescent="0.25">
      <c r="A214" s="18" t="str">
        <f>$A$46</f>
        <v>Film and music</v>
      </c>
      <c r="B214" s="22">
        <f t="shared" si="45"/>
        <v>0.18774379249348883</v>
      </c>
      <c r="C214" s="22">
        <f t="shared" si="45"/>
        <v>4.7301792261485343</v>
      </c>
      <c r="D214" s="22">
        <f t="shared" ref="D214:E214" si="47">IF(AND(E$3-D$3 &lt;&gt; 0,D46&lt;&gt;0,E46&lt;&gt;0),(EXP(LN(E46/D46)/(E$3-D$3))-1)*100,0)</f>
        <v>0.49492333124254717</v>
      </c>
      <c r="E214" s="22">
        <f t="shared" si="47"/>
        <v>0.40741596754643172</v>
      </c>
      <c r="F214" s="22">
        <f t="shared" si="44"/>
        <v>1.857712847150661</v>
      </c>
    </row>
    <row r="215" spans="1:6" x14ac:dyDescent="0.25">
      <c r="A215" s="18" t="str">
        <f>$A$47</f>
        <v>Broadcasting</v>
      </c>
      <c r="B215" s="22">
        <f t="shared" si="45"/>
        <v>7.7918378770462926</v>
      </c>
      <c r="C215" s="22">
        <f t="shared" si="45"/>
        <v>0.20517363920338205</v>
      </c>
      <c r="D215" s="22">
        <f t="shared" ref="D215:E215" si="48">IF(AND(E$3-D$3 &lt;&gt; 0,D47&lt;&gt;0,E47&lt;&gt;0),(EXP(LN(E47/D47)/(E$3-D$3))-1)*100,0)</f>
        <v>0.48690615603677045</v>
      </c>
      <c r="E215" s="22">
        <f t="shared" si="48"/>
        <v>0.40372474422898375</v>
      </c>
      <c r="F215" s="22">
        <f t="shared" si="44"/>
        <v>0.36519856756307423</v>
      </c>
    </row>
    <row r="216" spans="1:6" x14ac:dyDescent="0.25">
      <c r="A216" s="18" t="str">
        <f>$A$48</f>
        <v>Telecommunications</v>
      </c>
      <c r="B216" s="22">
        <f t="shared" si="45"/>
        <v>-0.87046626205926625</v>
      </c>
      <c r="C216" s="22">
        <f t="shared" si="45"/>
        <v>0.53727567223778028</v>
      </c>
      <c r="D216" s="22">
        <f t="shared" ref="D216:E216" si="49">IF(AND(E$3-D$3 &lt;&gt; 0,D48&lt;&gt;0,E48&lt;&gt;0),(EXP(LN(E48/D48)/(E$3-D$3))-1)*100,0)</f>
        <v>0.58013230548588091</v>
      </c>
      <c r="E216" s="22">
        <f t="shared" si="49"/>
        <v>0.54013363124119085</v>
      </c>
      <c r="F216" s="22">
        <f t="shared" si="44"/>
        <v>0.55251196659071855</v>
      </c>
    </row>
    <row r="217" spans="1:6" x14ac:dyDescent="0.25">
      <c r="A217" s="18" t="str">
        <f>$A$49</f>
        <v>Computing services</v>
      </c>
      <c r="B217" s="22">
        <f t="shared" si="45"/>
        <v>-0.84334822537860399</v>
      </c>
      <c r="C217" s="22">
        <f t="shared" si="45"/>
        <v>6.9670722534100449</v>
      </c>
      <c r="D217" s="22">
        <f t="shared" ref="D217:E217" si="50">IF(AND(E$3-D$3 &lt;&gt; 0,D49&lt;&gt;0,E49&lt;&gt;0),(EXP(LN(E49/D49)/(E$3-D$3))-1)*100,0)</f>
        <v>0.82189358684843228</v>
      </c>
      <c r="E217" s="22">
        <f t="shared" si="50"/>
        <v>0.72132853445636691</v>
      </c>
      <c r="F217" s="22">
        <f t="shared" si="44"/>
        <v>2.7958230620504843</v>
      </c>
    </row>
    <row r="218" spans="1:6" x14ac:dyDescent="0.25">
      <c r="A218" s="18" t="str">
        <f>$A$50</f>
        <v>Information services</v>
      </c>
      <c r="B218" s="22">
        <f t="shared" si="45"/>
        <v>-2.7431231028677172</v>
      </c>
      <c r="C218" s="22">
        <f t="shared" si="45"/>
        <v>4.7431750466171207</v>
      </c>
      <c r="D218" s="22">
        <f t="shared" ref="D218:E218" si="51">IF(AND(E$3-D$3 &lt;&gt; 0,D50&lt;&gt;0,E50&lt;&gt;0),(EXP(LN(E50/D50)/(E$3-D$3))-1)*100,0)</f>
        <v>1.101886443515232</v>
      </c>
      <c r="E218" s="22">
        <f t="shared" si="51"/>
        <v>0.88844510124184151</v>
      </c>
      <c r="F218" s="22">
        <f t="shared" si="44"/>
        <v>2.2293204863393701</v>
      </c>
    </row>
    <row r="219" spans="1:6" x14ac:dyDescent="0.25">
      <c r="A219" s="18" t="str">
        <f>$A$51</f>
        <v>Financial services</v>
      </c>
      <c r="B219" s="22">
        <f t="shared" si="45"/>
        <v>-3.0325663257434021</v>
      </c>
      <c r="C219" s="22">
        <f t="shared" si="45"/>
        <v>-1.2487113693077201</v>
      </c>
      <c r="D219" s="22">
        <f t="shared" ref="D219:E219" si="52">IF(AND(E$3-D$3 &lt;&gt; 0,D51&lt;&gt;0,E51&lt;&gt;0),(EXP(LN(E51/D51)/(E$3-D$3))-1)*100,0)</f>
        <v>9.5852988455535915E-2</v>
      </c>
      <c r="E219" s="22">
        <f t="shared" si="52"/>
        <v>-0.20551461594980891</v>
      </c>
      <c r="F219" s="22">
        <f t="shared" si="44"/>
        <v>-0.45446161539641761</v>
      </c>
    </row>
    <row r="220" spans="1:6" x14ac:dyDescent="0.25">
      <c r="A220" s="18" t="str">
        <f>$A$52</f>
        <v>Insurance and pensions</v>
      </c>
      <c r="B220" s="22">
        <f t="shared" si="45"/>
        <v>-2.7997408345490027</v>
      </c>
      <c r="C220" s="22">
        <f t="shared" si="45"/>
        <v>-2.2325236783391378</v>
      </c>
      <c r="D220" s="22">
        <f t="shared" ref="D220:E220" si="53">IF(AND(E$3-D$3 &lt;&gt; 0,D52&lt;&gt;0,E52&lt;&gt;0),(EXP(LN(E52/D52)/(E$3-D$3))-1)*100,0)</f>
        <v>-0.17015482037813223</v>
      </c>
      <c r="E220" s="22">
        <f t="shared" si="53"/>
        <v>-0.44088076805854914</v>
      </c>
      <c r="F220" s="22">
        <f t="shared" si="44"/>
        <v>-0.95209756913609001</v>
      </c>
    </row>
    <row r="221" spans="1:6" x14ac:dyDescent="0.25">
      <c r="A221" s="18" t="str">
        <f>$A$53</f>
        <v>Auxiliary financial services</v>
      </c>
      <c r="B221" s="22">
        <f t="shared" si="45"/>
        <v>3.5898631585322471</v>
      </c>
      <c r="C221" s="22">
        <f t="shared" si="45"/>
        <v>1.500011459292061</v>
      </c>
      <c r="D221" s="22">
        <f t="shared" ref="D221:E221" si="54">IF(AND(E$3-D$3 &lt;&gt; 0,D53&lt;&gt;0,E53&lt;&gt;0),(EXP(LN(E53/D53)/(E$3-D$3))-1)*100,0)</f>
        <v>4.5251108734500889E-2</v>
      </c>
      <c r="E221" s="22">
        <f t="shared" si="54"/>
        <v>-0.24857041620537368</v>
      </c>
      <c r="F221" s="22">
        <f t="shared" si="44"/>
        <v>0.42933017507842397</v>
      </c>
    </row>
    <row r="222" spans="1:6" x14ac:dyDescent="0.25">
      <c r="A222" s="18" t="str">
        <f>$A$54</f>
        <v>Real estate</v>
      </c>
      <c r="B222" s="22">
        <f t="shared" si="45"/>
        <v>2.1197780548966927</v>
      </c>
      <c r="C222" s="22">
        <f t="shared" si="45"/>
        <v>2.1060631784159733</v>
      </c>
      <c r="D222" s="22">
        <f t="shared" ref="D222:E222" si="55">IF(AND(E$3-D$3 &lt;&gt; 0,D54&lt;&gt;0,E54&lt;&gt;0),(EXP(LN(E54/D54)/(E$3-D$3))-1)*100,0)</f>
        <v>0.38200197955056137</v>
      </c>
      <c r="E222" s="22">
        <f t="shared" si="55"/>
        <v>0.48336619757123334</v>
      </c>
      <c r="F222" s="22">
        <f t="shared" si="44"/>
        <v>0.98739898091786404</v>
      </c>
    </row>
    <row r="223" spans="1:6" x14ac:dyDescent="0.25">
      <c r="A223" s="18" t="str">
        <f>$A$55</f>
        <v>Legal and accounting</v>
      </c>
      <c r="B223" s="22">
        <f t="shared" si="45"/>
        <v>0.7973187817122751</v>
      </c>
      <c r="C223" s="22">
        <f t="shared" si="45"/>
        <v>1.875513600223222</v>
      </c>
      <c r="D223" s="22">
        <f t="shared" ref="D223:E223" si="56">IF(AND(E$3-D$3 &lt;&gt; 0,D55&lt;&gt;0,E55&lt;&gt;0),(EXP(LN(E55/D55)/(E$3-D$3))-1)*100,0)</f>
        <v>0.54905818304604725</v>
      </c>
      <c r="E223" s="22">
        <f t="shared" si="56"/>
        <v>0.44043264191373499</v>
      </c>
      <c r="F223" s="22">
        <f t="shared" si="44"/>
        <v>0.95289966263512049</v>
      </c>
    </row>
    <row r="224" spans="1:6" x14ac:dyDescent="0.25">
      <c r="A224" s="18" t="str">
        <f>$A$56</f>
        <v>Head offices, etc</v>
      </c>
      <c r="B224" s="22">
        <f t="shared" si="45"/>
        <v>5.1686912908870175</v>
      </c>
      <c r="C224" s="22">
        <f t="shared" si="45"/>
        <v>5.4512852594274852</v>
      </c>
      <c r="D224" s="22">
        <f t="shared" ref="D224:E224" si="57">IF(AND(E$3-D$3 &lt;&gt; 0,D56&lt;&gt;0,E56&lt;&gt;0),(EXP(LN(E56/D56)/(E$3-D$3))-1)*100,0)</f>
        <v>0.8744815551601226</v>
      </c>
      <c r="E224" s="22">
        <f t="shared" si="57"/>
        <v>0.12415741238251954</v>
      </c>
      <c r="F224" s="22">
        <f t="shared" si="44"/>
        <v>2.1231077343970783</v>
      </c>
    </row>
    <row r="225" spans="1:6" x14ac:dyDescent="0.25">
      <c r="A225" s="18" t="str">
        <f>$A$57</f>
        <v>Architectural and related</v>
      </c>
      <c r="B225" s="22">
        <f t="shared" si="45"/>
        <v>1.3563353536368172</v>
      </c>
      <c r="C225" s="22">
        <f t="shared" si="45"/>
        <v>3.9474266672768987</v>
      </c>
      <c r="D225" s="22">
        <f t="shared" ref="D225:E225" si="58">IF(AND(E$3-D$3 &lt;&gt; 0,D57&lt;&gt;0,E57&lt;&gt;0),(EXP(LN(E57/D57)/(E$3-D$3))-1)*100,0)</f>
        <v>1.4413176505322811</v>
      </c>
      <c r="E225" s="22">
        <f t="shared" si="58"/>
        <v>0.16056435332094665</v>
      </c>
      <c r="F225" s="22">
        <f t="shared" si="44"/>
        <v>1.8376718854613117</v>
      </c>
    </row>
    <row r="226" spans="1:6" x14ac:dyDescent="0.25">
      <c r="A226" s="18" t="str">
        <f>$A$58</f>
        <v>Scientific research and development</v>
      </c>
      <c r="B226" s="22">
        <f t="shared" si="45"/>
        <v>2.9380382958760221</v>
      </c>
      <c r="C226" s="22">
        <f t="shared" si="45"/>
        <v>1.288363160456929</v>
      </c>
      <c r="D226" s="22">
        <f t="shared" ref="D226:E226" si="59">IF(AND(E$3-D$3 &lt;&gt; 0,D58&lt;&gt;0,E58&lt;&gt;0),(EXP(LN(E58/D58)/(E$3-D$3))-1)*100,0)</f>
        <v>1.2204658286049552</v>
      </c>
      <c r="E226" s="22">
        <f t="shared" si="59"/>
        <v>0.97448934606654269</v>
      </c>
      <c r="F226" s="22">
        <f t="shared" si="44"/>
        <v>1.161016202865861</v>
      </c>
    </row>
    <row r="227" spans="1:6" x14ac:dyDescent="0.25">
      <c r="A227" s="18" t="str">
        <f>$A$59</f>
        <v>Advertising, etc</v>
      </c>
      <c r="B227" s="22">
        <f t="shared" si="45"/>
        <v>2.7562826593341194</v>
      </c>
      <c r="C227" s="22">
        <f t="shared" si="45"/>
        <v>2.3789602160301682</v>
      </c>
      <c r="D227" s="22">
        <f t="shared" ref="D227:E227" si="60">IF(AND(E$3-D$3 &lt;&gt; 0,D59&lt;&gt;0,E59&lt;&gt;0),(EXP(LN(E59/D59)/(E$3-D$3))-1)*100,0)</f>
        <v>1.164572639189676</v>
      </c>
      <c r="E227" s="22">
        <f t="shared" si="60"/>
        <v>0.93461458212464876</v>
      </c>
      <c r="F227" s="22">
        <f t="shared" si="44"/>
        <v>1.4907429137530182</v>
      </c>
    </row>
    <row r="228" spans="1:6" x14ac:dyDescent="0.25">
      <c r="A228" s="18" t="str">
        <f>$A$60</f>
        <v>Other professional</v>
      </c>
      <c r="B228" s="22">
        <f t="shared" si="45"/>
        <v>-1.0057263544818285</v>
      </c>
      <c r="C228" s="22">
        <f t="shared" si="45"/>
        <v>4.8096333730877516</v>
      </c>
      <c r="D228" s="22">
        <f t="shared" ref="D228:E228" si="61">IF(AND(E$3-D$3 &lt;&gt; 0,D60&lt;&gt;0,E60&lt;&gt;0),(EXP(LN(E60/D60)/(E$3-D$3))-1)*100,0)</f>
        <v>1.2634747255562573</v>
      </c>
      <c r="E228" s="22">
        <f t="shared" si="61"/>
        <v>1.0373208444275139</v>
      </c>
      <c r="F228" s="22">
        <f t="shared" si="44"/>
        <v>2.3556804318184188</v>
      </c>
    </row>
    <row r="229" spans="1:6" x14ac:dyDescent="0.25">
      <c r="A229" s="18" t="str">
        <f>$A$61</f>
        <v>Veterinary</v>
      </c>
      <c r="B229" s="22">
        <f t="shared" si="45"/>
        <v>4.4748988554753844</v>
      </c>
      <c r="C229" s="22">
        <f t="shared" si="45"/>
        <v>4.3003689491021735</v>
      </c>
      <c r="D229" s="22">
        <f t="shared" ref="D229:E229" si="62">IF(AND(E$3-D$3 &lt;&gt; 0,D61&lt;&gt;0,E61&lt;&gt;0),(EXP(LN(E61/D61)/(E$3-D$3))-1)*100,0)</f>
        <v>1.1355839864359174</v>
      </c>
      <c r="E229" s="22">
        <f t="shared" si="62"/>
        <v>0.90059757487146452</v>
      </c>
      <c r="F229" s="22">
        <f t="shared" si="44"/>
        <v>2.100497091226261</v>
      </c>
    </row>
    <row r="230" spans="1:6" x14ac:dyDescent="0.25">
      <c r="A230" s="18" t="str">
        <f>$A$62</f>
        <v>Rental and leasing</v>
      </c>
      <c r="B230" s="22">
        <f t="shared" si="45"/>
        <v>-0.51779238585955012</v>
      </c>
      <c r="C230" s="22">
        <f t="shared" si="45"/>
        <v>-0.67136878309161929</v>
      </c>
      <c r="D230" s="22">
        <f t="shared" ref="D230:E230" si="63">IF(AND(E$3-D$3 &lt;&gt; 0,D62&lt;&gt;0,E62&lt;&gt;0),(EXP(LN(E62/D62)/(E$3-D$3))-1)*100,0)</f>
        <v>0.90607844720036468</v>
      </c>
      <c r="E230" s="22">
        <f t="shared" si="63"/>
        <v>0.61493598868949118</v>
      </c>
      <c r="F230" s="22">
        <f t="shared" si="44"/>
        <v>0.28086654522450072</v>
      </c>
    </row>
    <row r="231" spans="1:6" x14ac:dyDescent="0.25">
      <c r="A231" s="18" t="str">
        <f>$A$63</f>
        <v>Employment activities</v>
      </c>
      <c r="B231" s="22">
        <f t="shared" si="45"/>
        <v>-0.22480465708316633</v>
      </c>
      <c r="C231" s="22">
        <f t="shared" si="45"/>
        <v>3.5797506692919479</v>
      </c>
      <c r="D231" s="22">
        <f t="shared" ref="D231:E231" si="64">IF(AND(E$3-D$3 &lt;&gt; 0,D63&lt;&gt;0,E63&lt;&gt;0),(EXP(LN(E63/D63)/(E$3-D$3))-1)*100,0)</f>
        <v>0.81078811980686005</v>
      </c>
      <c r="E231" s="22">
        <f t="shared" si="64"/>
        <v>0.48495889677901971</v>
      </c>
      <c r="F231" s="22">
        <f t="shared" si="44"/>
        <v>1.6157382770749074</v>
      </c>
    </row>
    <row r="232" spans="1:6" x14ac:dyDescent="0.25">
      <c r="A232" s="18" t="str">
        <f>$A$64</f>
        <v>Travel, etc</v>
      </c>
      <c r="B232" s="22">
        <f t="shared" si="45"/>
        <v>-0.86868810285177789</v>
      </c>
      <c r="C232" s="22">
        <f t="shared" si="45"/>
        <v>-0.27179598141857664</v>
      </c>
      <c r="D232" s="22">
        <f t="shared" ref="D232:E232" si="65">IF(AND(E$3-D$3 &lt;&gt; 0,D64&lt;&gt;0,E64&lt;&gt;0),(EXP(LN(E64/D64)/(E$3-D$3))-1)*100,0)</f>
        <v>0.89452937800653665</v>
      </c>
      <c r="E232" s="22">
        <f t="shared" si="65"/>
        <v>0.56207477058425326</v>
      </c>
      <c r="F232" s="22">
        <f t="shared" si="44"/>
        <v>0.3937355001910614</v>
      </c>
    </row>
    <row r="233" spans="1:6" x14ac:dyDescent="0.25">
      <c r="A233" s="18" t="str">
        <f>$A$65</f>
        <v>Security, etc</v>
      </c>
      <c r="B233" s="22">
        <f t="shared" si="45"/>
        <v>0.91036142161864397</v>
      </c>
      <c r="C233" s="22">
        <f t="shared" si="45"/>
        <v>0.81353814805067426</v>
      </c>
      <c r="D233" s="22">
        <f t="shared" ref="D233:E233" si="66">IF(AND(E$3-D$3 &lt;&gt; 0,D65&lt;&gt;0,E65&lt;&gt;0),(EXP(LN(E65/D65)/(E$3-D$3))-1)*100,0)</f>
        <v>0.82377181983717129</v>
      </c>
      <c r="E233" s="22">
        <f t="shared" si="66"/>
        <v>0.51403751047751634</v>
      </c>
      <c r="F233" s="22">
        <f t="shared" si="44"/>
        <v>0.71701330282865072</v>
      </c>
    </row>
    <row r="234" spans="1:6" x14ac:dyDescent="0.25">
      <c r="A234" s="18" t="str">
        <f>$A$66</f>
        <v>Services to buildings</v>
      </c>
      <c r="B234" s="22">
        <f t="shared" si="45"/>
        <v>1.8014067209797258</v>
      </c>
      <c r="C234" s="22">
        <f t="shared" si="45"/>
        <v>1.2561429324089879</v>
      </c>
      <c r="D234" s="22">
        <f t="shared" ref="D234:E234" si="67">IF(AND(E$3-D$3 &lt;&gt; 0,D66&lt;&gt;0,E66&lt;&gt;0),(EXP(LN(E66/D66)/(E$3-D$3))-1)*100,0)</f>
        <v>0.74296461308127615</v>
      </c>
      <c r="E234" s="22">
        <f t="shared" si="67"/>
        <v>0.34991254612422029</v>
      </c>
      <c r="F234" s="22">
        <f t="shared" si="44"/>
        <v>0.78232392373551729</v>
      </c>
    </row>
    <row r="235" spans="1:6" x14ac:dyDescent="0.25">
      <c r="A235" s="18" t="str">
        <f>$A$67</f>
        <v>Office administrative</v>
      </c>
      <c r="B235" s="22">
        <f t="shared" si="45"/>
        <v>0.52895565446211545</v>
      </c>
      <c r="C235" s="22">
        <f t="shared" si="45"/>
        <v>6.404281149828317</v>
      </c>
      <c r="D235" s="22">
        <f t="shared" ref="D235:E235" si="68">IF(AND(E$3-D$3 &lt;&gt; 0,D67&lt;&gt;0,E67&lt;&gt;0),(EXP(LN(E67/D67)/(E$3-D$3))-1)*100,0)</f>
        <v>0.85308188188895073</v>
      </c>
      <c r="E235" s="22">
        <f t="shared" si="68"/>
        <v>0.53403863433796328</v>
      </c>
      <c r="F235" s="22">
        <f t="shared" si="44"/>
        <v>2.5621544317073752</v>
      </c>
    </row>
    <row r="236" spans="1:6" x14ac:dyDescent="0.25">
      <c r="A236" s="18" t="str">
        <f>$A$68</f>
        <v>Public administration and defence</v>
      </c>
      <c r="B236" s="22">
        <f t="shared" si="45"/>
        <v>-2.4321011254663905</v>
      </c>
      <c r="C236" s="22">
        <f t="shared" si="45"/>
        <v>-0.87664295980390827</v>
      </c>
      <c r="D236" s="22">
        <f t="shared" ref="D236:E236" si="69">IF(AND(E$3-D$3 &lt;&gt; 0,D68&lt;&gt;0,E68&lt;&gt;0),(EXP(LN(E68/D68)/(E$3-D$3))-1)*100,0)</f>
        <v>-0.35139569101774182</v>
      </c>
      <c r="E236" s="22">
        <f t="shared" si="69"/>
        <v>0.24837232814700627</v>
      </c>
      <c r="F236" s="22">
        <f t="shared" si="44"/>
        <v>-0.32761490789918746</v>
      </c>
    </row>
    <row r="237" spans="1:6" x14ac:dyDescent="0.25">
      <c r="A237" s="18" t="str">
        <f>$A$69</f>
        <v xml:space="preserve">Education </v>
      </c>
      <c r="B237" s="22">
        <f t="shared" si="45"/>
        <v>1.307483542148602</v>
      </c>
      <c r="C237" s="22">
        <f t="shared" si="45"/>
        <v>1.1399100493224568</v>
      </c>
      <c r="D237" s="22">
        <f t="shared" ref="D237:E237" si="70">IF(AND(E$3-D$3 &lt;&gt; 0,D69&lt;&gt;0,E69&lt;&gt;0),(EXP(LN(E69/D69)/(E$3-D$3))-1)*100,0)</f>
        <v>-0.26066396157305993</v>
      </c>
      <c r="E237" s="22">
        <f t="shared" si="70"/>
        <v>0.32632942572687895</v>
      </c>
      <c r="F237" s="22">
        <f t="shared" ref="F237:F238" si="71">IF(AND(F$3-C$3 &lt;&gt; 0,C69&lt;&gt;0,F69&lt;&gt;0),(EXP(LN(F69/C69)/(F$3-C$3))-1)*100,0)</f>
        <v>0.40021736418525133</v>
      </c>
    </row>
    <row r="238" spans="1:6" x14ac:dyDescent="0.25">
      <c r="A238" s="18" t="str">
        <f>$A$70</f>
        <v>Health</v>
      </c>
      <c r="B238" s="22">
        <f t="shared" si="45"/>
        <v>1.6997221623056058</v>
      </c>
      <c r="C238" s="22">
        <f t="shared" si="45"/>
        <v>3.0689831540246626</v>
      </c>
      <c r="D238" s="22">
        <f t="shared" ref="D238:E238" si="72">IF(AND(E$3-D$3 &lt;&gt; 0,D70&lt;&gt;0,E70&lt;&gt;0),(EXP(LN(E70/D70)/(E$3-D$3))-1)*100,0)</f>
        <v>0.76148601876433464</v>
      </c>
      <c r="E238" s="22">
        <f t="shared" si="72"/>
        <v>0.79869252714181993</v>
      </c>
      <c r="F238" s="22">
        <f t="shared" si="71"/>
        <v>1.5373484504034085</v>
      </c>
    </row>
    <row r="239" spans="1:6" x14ac:dyDescent="0.25">
      <c r="A239" s="18" t="str">
        <f>$A$71</f>
        <v>Residential care</v>
      </c>
      <c r="B239" s="22">
        <f t="shared" ref="B239:C239" si="73">IF(AND(C$3-B$3 &lt;&gt; 0,B71&lt;&gt;0,C71&lt;&gt;0),(EXP(LN(C71/B71)/(C$3-B$3))-1)*100,0)</f>
        <v>1.6482133636654739</v>
      </c>
      <c r="C239" s="22">
        <f t="shared" si="73"/>
        <v>0.46279454985038715</v>
      </c>
      <c r="D239" s="22">
        <f t="shared" ref="D239:D247" si="74">IF(AND(E$3-D$3 &lt;&gt; 0,D71&lt;&gt;0,E71&lt;&gt;0),(EXP(LN(E71/D71)/(E$3-D$3))-1)*100,0)</f>
        <v>1.2029858358120427</v>
      </c>
      <c r="E239" s="22">
        <f t="shared" ref="E239:E247" si="75">IF(AND(F$3-E$3 &lt;&gt; 0,E71&lt;&gt;0,F71&lt;&gt;0),(EXP(LN(F71/E71)/(F$3-E$3))-1)*100,0)</f>
        <v>1.0153531207005351</v>
      </c>
      <c r="F239" s="22">
        <f t="shared" ref="F239:F247" si="76">IF(AND(F$3-C$3 &lt;&gt; 0,C71&lt;&gt;0,F71&lt;&gt;0),(EXP(LN(F71/C71)/(F$3-C$3))-1)*100,0)</f>
        <v>0.8932214463056587</v>
      </c>
    </row>
    <row r="240" spans="1:6" x14ac:dyDescent="0.25">
      <c r="A240" s="18" t="str">
        <f>$A$72</f>
        <v>Social work</v>
      </c>
      <c r="B240" s="22">
        <f t="shared" ref="B240:C240" si="77">IF(AND(C$3-B$3 &lt;&gt; 0,B72&lt;&gt;0,C72&lt;&gt;0),(EXP(LN(C72/B72)/(C$3-B$3))-1)*100,0)</f>
        <v>3.2662355482310668</v>
      </c>
      <c r="C240" s="22">
        <f t="shared" si="77"/>
        <v>0.30615005735961098</v>
      </c>
      <c r="D240" s="22">
        <f t="shared" si="74"/>
        <v>1.2752945751352884</v>
      </c>
      <c r="E240" s="22">
        <f t="shared" si="75"/>
        <v>1.0980015666063769</v>
      </c>
      <c r="F240" s="22">
        <f t="shared" si="76"/>
        <v>0.89226746548807245</v>
      </c>
    </row>
    <row r="241" spans="1:6" x14ac:dyDescent="0.25">
      <c r="A241" s="18" t="str">
        <f>$A$73</f>
        <v>Arts and entertainment</v>
      </c>
      <c r="B241" s="22">
        <f t="shared" ref="B241:C241" si="78">IF(AND(C$3-B$3 &lt;&gt; 0,B73&lt;&gt;0,C73&lt;&gt;0),(EXP(LN(C73/B73)/(C$3-B$3))-1)*100,0)</f>
        <v>0.14443747346775115</v>
      </c>
      <c r="C241" s="22">
        <f t="shared" si="78"/>
        <v>0.39404231023418834</v>
      </c>
      <c r="D241" s="22">
        <f t="shared" si="74"/>
        <v>2.0917084732933411</v>
      </c>
      <c r="E241" s="22">
        <f t="shared" si="75"/>
        <v>0.3300975434705089</v>
      </c>
      <c r="F241" s="22">
        <f t="shared" si="76"/>
        <v>0.9353319827798634</v>
      </c>
    </row>
    <row r="242" spans="1:6" x14ac:dyDescent="0.25">
      <c r="A242" s="18" t="str">
        <f>$A$74</f>
        <v>Libraries, etc</v>
      </c>
      <c r="B242" s="22">
        <f t="shared" ref="B242:C242" si="79">IF(AND(C$3-B$3 &lt;&gt; 0,B74&lt;&gt;0,C74&lt;&gt;0),(EXP(LN(C74/B74)/(C$3-B$3))-1)*100,0)</f>
        <v>-1.7653840637855467</v>
      </c>
      <c r="C242" s="22">
        <f t="shared" si="79"/>
        <v>2.2378032725965946</v>
      </c>
      <c r="D242" s="22">
        <f t="shared" si="74"/>
        <v>2.2493429890615868</v>
      </c>
      <c r="E242" s="22">
        <f t="shared" si="75"/>
        <v>0.60119042572608361</v>
      </c>
      <c r="F242" s="22">
        <f t="shared" si="76"/>
        <v>1.6931543107661318</v>
      </c>
    </row>
    <row r="243" spans="1:6" x14ac:dyDescent="0.25">
      <c r="A243" s="18" t="str">
        <f>$A$75</f>
        <v>Gambling and betting</v>
      </c>
      <c r="B243" s="22">
        <f t="shared" ref="B243:C243" si="80">IF(AND(C$3-B$3 &lt;&gt; 0,B75&lt;&gt;0,C75&lt;&gt;0),(EXP(LN(C75/B75)/(C$3-B$3))-1)*100,0)</f>
        <v>-0.30811292614525421</v>
      </c>
      <c r="C243" s="22">
        <f t="shared" si="80"/>
        <v>-0.7620546313056531</v>
      </c>
      <c r="D243" s="22">
        <f t="shared" si="74"/>
        <v>0.80884126886784369</v>
      </c>
      <c r="E243" s="22">
        <f t="shared" si="75"/>
        <v>0.73111842066164723</v>
      </c>
      <c r="F243" s="22">
        <f t="shared" si="76"/>
        <v>0.25668663822255855</v>
      </c>
    </row>
    <row r="244" spans="1:6" x14ac:dyDescent="0.25">
      <c r="A244" s="18" t="str">
        <f>$A$76</f>
        <v>Sport and recreation</v>
      </c>
      <c r="B244" s="22">
        <f t="shared" ref="B244:C244" si="81">IF(AND(C$3-B$3 &lt;&gt; 0,B76&lt;&gt;0,C76&lt;&gt;0),(EXP(LN(C76/B76)/(C$3-B$3))-1)*100,0)</f>
        <v>2.1760917334254781</v>
      </c>
      <c r="C244" s="22">
        <f t="shared" si="81"/>
        <v>2.4627548626819928</v>
      </c>
      <c r="D244" s="22">
        <f t="shared" si="74"/>
        <v>0.64955850652030911</v>
      </c>
      <c r="E244" s="22">
        <f t="shared" si="75"/>
        <v>0.56364202007388453</v>
      </c>
      <c r="F244" s="22">
        <f t="shared" si="76"/>
        <v>1.2215457983017819</v>
      </c>
    </row>
    <row r="245" spans="1:6" x14ac:dyDescent="0.25">
      <c r="A245" s="18" t="str">
        <f>$A$77</f>
        <v>Membership organisations</v>
      </c>
      <c r="B245" s="22">
        <f t="shared" ref="B245:C245" si="82">IF(AND(C$3-B$3 &lt;&gt; 0,B77&lt;&gt;0,C77&lt;&gt;0),(EXP(LN(C77/B77)/(C$3-B$3))-1)*100,0)</f>
        <v>0.62596421697589388</v>
      </c>
      <c r="C245" s="22">
        <f t="shared" si="82"/>
        <v>1.8477770578347652</v>
      </c>
      <c r="D245" s="22">
        <f t="shared" si="74"/>
        <v>0.62630761152708825</v>
      </c>
      <c r="E245" s="22">
        <f t="shared" si="75"/>
        <v>0.1741986427377995</v>
      </c>
      <c r="F245" s="22">
        <f t="shared" si="76"/>
        <v>0.88029017453319369</v>
      </c>
    </row>
    <row r="246" spans="1:6" x14ac:dyDescent="0.25">
      <c r="A246" s="18" t="str">
        <f>$A$78</f>
        <v>Repair of goods</v>
      </c>
      <c r="B246" s="22">
        <f t="shared" ref="B246:C246" si="83">IF(AND(C$3-B$3 &lt;&gt; 0,B78&lt;&gt;0,C78&lt;&gt;0),(EXP(LN(C78/B78)/(C$3-B$3))-1)*100,0)</f>
        <v>0.32835146836227569</v>
      </c>
      <c r="C246" s="22">
        <f t="shared" si="83"/>
        <v>-0.546347602371966</v>
      </c>
      <c r="D246" s="22">
        <f t="shared" si="74"/>
        <v>0.96494855656146239</v>
      </c>
      <c r="E246" s="22">
        <f t="shared" si="75"/>
        <v>0.49212115400023571</v>
      </c>
      <c r="F246" s="22">
        <f t="shared" si="76"/>
        <v>0.3015842928878909</v>
      </c>
    </row>
    <row r="247" spans="1:6" x14ac:dyDescent="0.25">
      <c r="A247" s="18" t="str">
        <f>$A$79</f>
        <v>Other personal service</v>
      </c>
      <c r="B247" s="22">
        <f>IF(AND(C$3-B$3 &lt;&gt; 0,B79&lt;&gt;0,C79&lt;&gt;0),(EXP(LN(C79/B79)/(C$3-B$3))-1)*100,0)</f>
        <v>-4.3024953858789239</v>
      </c>
      <c r="C247" s="22">
        <f t="shared" ref="C247" si="84">IF(AND(D$3-C$3 &lt;&gt; 0,C79&lt;&gt;0,D79&lt;&gt;0),(EXP(LN(D79/C79)/(D$3-C$3))-1)*100,0)</f>
        <v>3.7319963628609232</v>
      </c>
      <c r="D247" s="22">
        <f t="shared" si="74"/>
        <v>0.69287218014357776</v>
      </c>
      <c r="E247" s="22">
        <f t="shared" si="75"/>
        <v>0.22893194657218618</v>
      </c>
      <c r="F247" s="22">
        <f t="shared" si="76"/>
        <v>1.539461498146788</v>
      </c>
    </row>
    <row r="248" spans="1:6" x14ac:dyDescent="0.25">
      <c r="A248" s="44"/>
      <c r="B248" s="22"/>
      <c r="C248" s="22"/>
      <c r="D248" s="22"/>
      <c r="E248" s="22"/>
      <c r="F248" s="22"/>
    </row>
    <row r="249" spans="1:6" x14ac:dyDescent="0.25">
      <c r="A249" s="28" t="str">
        <f>$A$81</f>
        <v>All industries</v>
      </c>
      <c r="B249" s="30">
        <f>IF(AND(C$3-B$3 &lt;&gt; 0,B81&lt;&gt;0,C81&lt;&gt;0),(EXP(LN(C81/B81)/(C$3-B$3))-1)*100,0)</f>
        <v>6.2942675480570642E-3</v>
      </c>
      <c r="C249" s="30">
        <f t="shared" ref="C249" si="85">IF(AND(D$3-C$3 &lt;&gt; 0,C81&lt;&gt;0,D81&lt;&gt;0),(EXP(LN(D81/C81)/(D$3-C$3))-1)*100,0)</f>
        <v>1.8474341286812024</v>
      </c>
      <c r="D249" s="30">
        <f>IF(AND(E$3-D$3 &lt;&gt; 0,D81&lt;&gt;0,E81&lt;&gt;0),(EXP(LN(E81/D81)/(E$3-D$3))-1)*100,0)</f>
        <v>0.22991833206484902</v>
      </c>
      <c r="E249" s="30">
        <f>IF(AND(F$3-E$3 &lt;&gt; 0,E81&lt;&gt;0,F81&lt;&gt;0),(EXP(LN(F81/E81)/(F$3-E$3))-1)*100,0)</f>
        <v>0.32161132563677253</v>
      </c>
      <c r="F249" s="30">
        <f t="shared" ref="F249" si="86">IF(AND(F$3-C$3 &lt;&gt; 0,C81&lt;&gt;0,F81&lt;&gt;0),(EXP(LN(F81/C81)/(F$3-C$3))-1)*100,0)</f>
        <v>0.79693410171972623</v>
      </c>
    </row>
    <row r="253" spans="1:6" ht="15.6" x14ac:dyDescent="0.3">
      <c r="A253" s="23" t="str">
        <f>CONCATENATE($A$1," (Continued)")</f>
        <v>Industry Table 3  Employment by Industry (SIC 2007), 2007-2027 (Continued)</v>
      </c>
    </row>
    <row r="255" spans="1:6" x14ac:dyDescent="0.25">
      <c r="A255" s="26"/>
      <c r="B255" s="29" t="str">
        <f>CONCATENATE(B$3,"-",C$3)</f>
        <v>2007-2012</v>
      </c>
      <c r="C255" s="29" t="str">
        <f>CONCATENATE(C$3,"-",D$3)</f>
        <v>2012-2017</v>
      </c>
      <c r="D255" s="29" t="str">
        <f>CONCATENATE(D$3,"-",E$3)</f>
        <v>2017-2022</v>
      </c>
      <c r="E255" s="29" t="str">
        <f>CONCATENATE(E$3,"-",F$3)</f>
        <v>2022-2027</v>
      </c>
      <c r="F255" s="29" t="str">
        <f>CONCATENATE(C$3,"-",F$3)</f>
        <v>2012-2027</v>
      </c>
    </row>
    <row r="256" spans="1:6" x14ac:dyDescent="0.25">
      <c r="A256" s="32" t="s">
        <v>15</v>
      </c>
    </row>
    <row r="257" spans="1:6" x14ac:dyDescent="0.25">
      <c r="A257" s="18" t="str">
        <f>$A$5</f>
        <v>Agriculture, etc</v>
      </c>
      <c r="B257" s="31">
        <f t="shared" ref="B257:E276" si="87">C5-B5</f>
        <v>48.038999999631471</v>
      </c>
      <c r="C257" s="31">
        <f t="shared" si="87"/>
        <v>19.977000002317709</v>
      </c>
      <c r="D257" s="31">
        <f t="shared" si="87"/>
        <v>-17.186000001888999</v>
      </c>
      <c r="E257" s="31">
        <f t="shared" si="87"/>
        <v>-5.3929999983975563</v>
      </c>
      <c r="F257" s="31">
        <f t="shared" ref="F257:F288" si="88">F5-C5</f>
        <v>-2.6019999979688464</v>
      </c>
    </row>
    <row r="258" spans="1:6" x14ac:dyDescent="0.25">
      <c r="A258" s="18" t="str">
        <f>$A$6</f>
        <v>Coal, oil &amp; gas; Mining &amp; related</v>
      </c>
      <c r="B258" s="31">
        <f t="shared" si="87"/>
        <v>8.9969999998825188</v>
      </c>
      <c r="C258" s="31">
        <f t="shared" si="87"/>
        <v>-12.997000000197204</v>
      </c>
      <c r="D258" s="31">
        <f t="shared" si="87"/>
        <v>-2.8129999997401143</v>
      </c>
      <c r="E258" s="31">
        <f t="shared" si="87"/>
        <v>-5.262999999992708</v>
      </c>
      <c r="F258" s="31">
        <f t="shared" si="88"/>
        <v>-21.072999999930026</v>
      </c>
    </row>
    <row r="259" spans="1:6" x14ac:dyDescent="0.25">
      <c r="A259" s="18" t="str">
        <f>$A$7</f>
        <v>Food products</v>
      </c>
      <c r="B259" s="31">
        <f t="shared" si="87"/>
        <v>-22.387000001002548</v>
      </c>
      <c r="C259" s="31">
        <f t="shared" si="87"/>
        <v>28.716000002727469</v>
      </c>
      <c r="D259" s="31">
        <f t="shared" si="87"/>
        <v>-19.207000003325675</v>
      </c>
      <c r="E259" s="31">
        <f t="shared" si="87"/>
        <v>-11.150999997534825</v>
      </c>
      <c r="F259" s="31">
        <f t="shared" si="88"/>
        <v>-1.6419999981330307</v>
      </c>
    </row>
    <row r="260" spans="1:6" x14ac:dyDescent="0.25">
      <c r="A260" s="18" t="str">
        <f>$A$8</f>
        <v>Beverages and tobacco</v>
      </c>
      <c r="B260" s="31">
        <f t="shared" si="87"/>
        <v>-6.7730000000534432</v>
      </c>
      <c r="C260" s="31">
        <f t="shared" si="87"/>
        <v>5.0520000002348056</v>
      </c>
      <c r="D260" s="31">
        <f t="shared" si="87"/>
        <v>-1.9720000001903983</v>
      </c>
      <c r="E260" s="31">
        <f t="shared" si="87"/>
        <v>-1.1349999999076843</v>
      </c>
      <c r="F260" s="31">
        <f t="shared" si="88"/>
        <v>1.9450000001367229</v>
      </c>
    </row>
    <row r="261" spans="1:6" x14ac:dyDescent="0.25">
      <c r="A261" s="18" t="str">
        <f>$A$9</f>
        <v>Textiles</v>
      </c>
      <c r="B261" s="31">
        <f t="shared" si="87"/>
        <v>-5.7810000000199366</v>
      </c>
      <c r="C261" s="31">
        <f t="shared" si="87"/>
        <v>3.9410000002164125</v>
      </c>
      <c r="D261" s="31">
        <f t="shared" si="87"/>
        <v>-10.93600000026381</v>
      </c>
      <c r="E261" s="31">
        <f t="shared" si="87"/>
        <v>-3.4829999997959007</v>
      </c>
      <c r="F261" s="31">
        <f t="shared" si="88"/>
        <v>-10.477999999843298</v>
      </c>
    </row>
    <row r="262" spans="1:6" x14ac:dyDescent="0.25">
      <c r="A262" s="18" t="str">
        <f>$A$10</f>
        <v>Wearing apparel; Leather, etc</v>
      </c>
      <c r="B262" s="31">
        <f t="shared" si="87"/>
        <v>-11.010000000088255</v>
      </c>
      <c r="C262" s="31">
        <f t="shared" si="87"/>
        <v>-15.367999999566734</v>
      </c>
      <c r="D262" s="31">
        <f t="shared" si="87"/>
        <v>-8.2860000001757683</v>
      </c>
      <c r="E262" s="31">
        <f t="shared" si="87"/>
        <v>-2.2639999998500571</v>
      </c>
      <c r="F262" s="31">
        <f t="shared" si="88"/>
        <v>-25.91799999959256</v>
      </c>
    </row>
    <row r="263" spans="1:6" x14ac:dyDescent="0.25">
      <c r="A263" s="18" t="str">
        <f>$A$11</f>
        <v xml:space="preserve">Wood and cork </v>
      </c>
      <c r="B263" s="31">
        <f t="shared" si="87"/>
        <v>-7.7260000002639515</v>
      </c>
      <c r="C263" s="31">
        <f t="shared" si="87"/>
        <v>3.3630000003892917</v>
      </c>
      <c r="D263" s="31">
        <f t="shared" si="87"/>
        <v>-3.1280000004541506</v>
      </c>
      <c r="E263" s="31">
        <f t="shared" si="87"/>
        <v>-3.8959999996958459</v>
      </c>
      <c r="F263" s="31">
        <f t="shared" si="88"/>
        <v>-3.6609999997607048</v>
      </c>
    </row>
    <row r="264" spans="1:6" x14ac:dyDescent="0.25">
      <c r="A264" s="18" t="str">
        <f>$A$12</f>
        <v>Paper, etc</v>
      </c>
      <c r="B264" s="31">
        <f t="shared" si="87"/>
        <v>-4.0210000001459463</v>
      </c>
      <c r="C264" s="31">
        <f t="shared" si="87"/>
        <v>0.35899999987526598</v>
      </c>
      <c r="D264" s="31">
        <f t="shared" si="87"/>
        <v>-2.3230000000101896</v>
      </c>
      <c r="E264" s="31">
        <f t="shared" si="87"/>
        <v>-2.8969999999281768</v>
      </c>
      <c r="F264" s="31">
        <f t="shared" si="88"/>
        <v>-4.8610000000631004</v>
      </c>
    </row>
    <row r="265" spans="1:6" x14ac:dyDescent="0.25">
      <c r="A265" s="18" t="str">
        <f>$A$13</f>
        <v>Printing and recording</v>
      </c>
      <c r="B265" s="31">
        <f t="shared" si="87"/>
        <v>-55.214999999926349</v>
      </c>
      <c r="C265" s="31">
        <f t="shared" si="87"/>
        <v>-7.156000000102523</v>
      </c>
      <c r="D265" s="31">
        <f t="shared" si="87"/>
        <v>-6.4119999998840171</v>
      </c>
      <c r="E265" s="31">
        <f t="shared" si="87"/>
        <v>-8.0719999999704442</v>
      </c>
      <c r="F265" s="31">
        <f t="shared" si="88"/>
        <v>-21.639999999956984</v>
      </c>
    </row>
    <row r="266" spans="1:6" x14ac:dyDescent="0.25">
      <c r="A266" s="18" t="str">
        <f>$A$14</f>
        <v>Coke and petroleum; Chemicals, etc</v>
      </c>
      <c r="B266" s="31">
        <f t="shared" si="87"/>
        <v>-26.746999999918685</v>
      </c>
      <c r="C266" s="31">
        <f t="shared" si="87"/>
        <v>-6.0509999999745645</v>
      </c>
      <c r="D266" s="31">
        <f t="shared" si="87"/>
        <v>-8.9899999999110634</v>
      </c>
      <c r="E266" s="31">
        <f t="shared" si="87"/>
        <v>-3.877999999807912</v>
      </c>
      <c r="F266" s="31">
        <f t="shared" si="88"/>
        <v>-18.91899999969354</v>
      </c>
    </row>
    <row r="267" spans="1:6" x14ac:dyDescent="0.25">
      <c r="A267" s="18" t="str">
        <f>$A$15</f>
        <v>Pharmaceuticals</v>
      </c>
      <c r="B267" s="31">
        <f t="shared" si="87"/>
        <v>-3.9239999999813904</v>
      </c>
      <c r="C267" s="31">
        <f t="shared" si="87"/>
        <v>-2.0460000000066927</v>
      </c>
      <c r="D267" s="31">
        <f t="shared" si="87"/>
        <v>-1.397999999834866</v>
      </c>
      <c r="E267" s="31">
        <f t="shared" si="87"/>
        <v>-1.0050000000506358</v>
      </c>
      <c r="F267" s="31">
        <f t="shared" si="88"/>
        <v>-4.4489999998921945</v>
      </c>
    </row>
    <row r="268" spans="1:6" x14ac:dyDescent="0.25">
      <c r="A268" s="18" t="str">
        <f>$A$16</f>
        <v>Rubber and plastic</v>
      </c>
      <c r="B268" s="31">
        <f t="shared" si="87"/>
        <v>-31.355999999956708</v>
      </c>
      <c r="C268" s="31">
        <f t="shared" si="87"/>
        <v>-2.5659999997895966</v>
      </c>
      <c r="D268" s="31">
        <f t="shared" si="87"/>
        <v>-19.897000000340626</v>
      </c>
      <c r="E268" s="31">
        <f t="shared" si="87"/>
        <v>-14.250999999572031</v>
      </c>
      <c r="F268" s="31">
        <f t="shared" si="88"/>
        <v>-36.713999999702253</v>
      </c>
    </row>
    <row r="269" spans="1:6" x14ac:dyDescent="0.25">
      <c r="A269" s="18" t="str">
        <f>$A$17</f>
        <v>Other non-metallic</v>
      </c>
      <c r="B269" s="31">
        <f t="shared" si="87"/>
        <v>-38.572000000057912</v>
      </c>
      <c r="C269" s="31">
        <f t="shared" si="87"/>
        <v>1.3330000002691236</v>
      </c>
      <c r="D269" s="31">
        <f t="shared" si="87"/>
        <v>-9.1750000002098915</v>
      </c>
      <c r="E269" s="31">
        <f t="shared" si="87"/>
        <v>-6.6149999997871518</v>
      </c>
      <c r="F269" s="31">
        <f t="shared" si="88"/>
        <v>-14.45699999972792</v>
      </c>
    </row>
    <row r="270" spans="1:6" x14ac:dyDescent="0.25">
      <c r="A270" s="18" t="str">
        <f>$A$18</f>
        <v>Basic metals</v>
      </c>
      <c r="B270" s="31">
        <f t="shared" si="87"/>
        <v>-17.793000000264385</v>
      </c>
      <c r="C270" s="31">
        <f t="shared" si="87"/>
        <v>-2.1339999996711185</v>
      </c>
      <c r="D270" s="31">
        <f t="shared" si="87"/>
        <v>-7.1010000001693498</v>
      </c>
      <c r="E270" s="31">
        <f t="shared" si="87"/>
        <v>-4.8979999999396284</v>
      </c>
      <c r="F270" s="31">
        <f t="shared" si="88"/>
        <v>-14.132999999780097</v>
      </c>
    </row>
    <row r="271" spans="1:6" x14ac:dyDescent="0.25">
      <c r="A271" s="18" t="str">
        <f>$A$19</f>
        <v>Metal products</v>
      </c>
      <c r="B271" s="31">
        <f t="shared" si="87"/>
        <v>-45.283000000828679</v>
      </c>
      <c r="C271" s="31">
        <f t="shared" si="87"/>
        <v>24.908000000829986</v>
      </c>
      <c r="D271" s="31">
        <f t="shared" si="87"/>
        <v>-32.578000000428517</v>
      </c>
      <c r="E271" s="31">
        <f t="shared" si="87"/>
        <v>-21.911999999402667</v>
      </c>
      <c r="F271" s="31">
        <f t="shared" si="88"/>
        <v>-29.581999999001198</v>
      </c>
    </row>
    <row r="272" spans="1:6" x14ac:dyDescent="0.25">
      <c r="A272" s="18" t="str">
        <f>$A$20</f>
        <v>Computer, etc</v>
      </c>
      <c r="B272" s="31">
        <f t="shared" si="87"/>
        <v>-39.286999999893084</v>
      </c>
      <c r="C272" s="31">
        <f t="shared" si="87"/>
        <v>-6.0769999998834834</v>
      </c>
      <c r="D272" s="31">
        <f t="shared" si="87"/>
        <v>0.48600000002950594</v>
      </c>
      <c r="E272" s="31">
        <f t="shared" si="87"/>
        <v>-6.5549999999820443</v>
      </c>
      <c r="F272" s="31">
        <f t="shared" si="88"/>
        <v>-12.145999999836022</v>
      </c>
    </row>
    <row r="273" spans="1:6" x14ac:dyDescent="0.25">
      <c r="A273" s="18" t="str">
        <f>$A$21</f>
        <v>Electrical equipment</v>
      </c>
      <c r="B273" s="31">
        <f t="shared" si="87"/>
        <v>-10.843000000065445</v>
      </c>
      <c r="C273" s="31">
        <f t="shared" si="87"/>
        <v>-6.0179999997543945</v>
      </c>
      <c r="D273" s="31">
        <f t="shared" si="87"/>
        <v>-1.6890000000943388</v>
      </c>
      <c r="E273" s="31">
        <f t="shared" si="87"/>
        <v>-1.3099999999058127</v>
      </c>
      <c r="F273" s="31">
        <f t="shared" si="88"/>
        <v>-9.016999999754546</v>
      </c>
    </row>
    <row r="274" spans="1:6" x14ac:dyDescent="0.25">
      <c r="A274" s="18" t="str">
        <f>$A$22</f>
        <v>Machinery n.e.c.</v>
      </c>
      <c r="B274" s="31">
        <f t="shared" si="87"/>
        <v>-23.612000000207701</v>
      </c>
      <c r="C274" s="31">
        <f t="shared" si="87"/>
        <v>-13.044999999730976</v>
      </c>
      <c r="D274" s="31">
        <f t="shared" si="87"/>
        <v>3.0199999999127556</v>
      </c>
      <c r="E274" s="31">
        <f t="shared" si="87"/>
        <v>-13.973999999723844</v>
      </c>
      <c r="F274" s="31">
        <f t="shared" si="88"/>
        <v>-23.998999999542065</v>
      </c>
    </row>
    <row r="275" spans="1:6" x14ac:dyDescent="0.25">
      <c r="A275" s="18" t="str">
        <f>$A$23</f>
        <v>Motor vehicles, etc</v>
      </c>
      <c r="B275" s="31">
        <f t="shared" si="87"/>
        <v>-38.618000000266534</v>
      </c>
      <c r="C275" s="31">
        <f t="shared" si="87"/>
        <v>44.901999999998424</v>
      </c>
      <c r="D275" s="31">
        <f t="shared" si="87"/>
        <v>-8.7080000001260203</v>
      </c>
      <c r="E275" s="31">
        <f t="shared" si="87"/>
        <v>-5.1069999997409354</v>
      </c>
      <c r="F275" s="31">
        <f t="shared" si="88"/>
        <v>31.087000000131468</v>
      </c>
    </row>
    <row r="276" spans="1:6" x14ac:dyDescent="0.25">
      <c r="A276" s="18" t="str">
        <f>$A$24</f>
        <v>Other transport equipment</v>
      </c>
      <c r="B276" s="31">
        <f t="shared" si="87"/>
        <v>9.4979999995285311</v>
      </c>
      <c r="C276" s="31">
        <f t="shared" si="87"/>
        <v>12.914000000192004</v>
      </c>
      <c r="D276" s="31">
        <f t="shared" si="87"/>
        <v>8.701000000032252</v>
      </c>
      <c r="E276" s="31">
        <f t="shared" si="87"/>
        <v>2.8679999999707206</v>
      </c>
      <c r="F276" s="31">
        <f t="shared" si="88"/>
        <v>24.483000000194977</v>
      </c>
    </row>
    <row r="277" spans="1:6" x14ac:dyDescent="0.25">
      <c r="A277" s="18" t="str">
        <f>$A$25</f>
        <v>Furniture</v>
      </c>
      <c r="B277" s="31">
        <f t="shared" ref="B277:E296" si="89">C25-B25</f>
        <v>-2.0710000002603977</v>
      </c>
      <c r="C277" s="31">
        <f t="shared" si="89"/>
        <v>5.2160000002105136</v>
      </c>
      <c r="D277" s="31">
        <f t="shared" si="89"/>
        <v>-1.086000000138668</v>
      </c>
      <c r="E277" s="31">
        <f t="shared" si="89"/>
        <v>-2.3749999999070752</v>
      </c>
      <c r="F277" s="31">
        <f t="shared" si="88"/>
        <v>1.7550000001647703</v>
      </c>
    </row>
    <row r="278" spans="1:6" x14ac:dyDescent="0.25">
      <c r="A278" s="18" t="str">
        <f>$A$26</f>
        <v>Other manufacturing</v>
      </c>
      <c r="B278" s="31">
        <f t="shared" si="89"/>
        <v>-9.7550000000177732</v>
      </c>
      <c r="C278" s="31">
        <f t="shared" si="89"/>
        <v>-1.9379999997139947</v>
      </c>
      <c r="D278" s="31">
        <f t="shared" si="89"/>
        <v>-2.0080000002787131</v>
      </c>
      <c r="E278" s="31">
        <f t="shared" si="89"/>
        <v>-3.1039999998330927</v>
      </c>
      <c r="F278" s="31">
        <f t="shared" si="88"/>
        <v>-7.0499999998258005</v>
      </c>
    </row>
    <row r="279" spans="1:6" x14ac:dyDescent="0.25">
      <c r="A279" s="18" t="str">
        <f>$A$27</f>
        <v>Repair and installation</v>
      </c>
      <c r="B279" s="31">
        <f t="shared" si="89"/>
        <v>14.143999999675913</v>
      </c>
      <c r="C279" s="31">
        <f t="shared" si="89"/>
        <v>3.8830000003271437</v>
      </c>
      <c r="D279" s="31">
        <f t="shared" si="89"/>
        <v>-4.0890000000455018</v>
      </c>
      <c r="E279" s="31">
        <f t="shared" si="89"/>
        <v>-5.8259999998851697</v>
      </c>
      <c r="F279" s="31">
        <f t="shared" si="88"/>
        <v>-6.0319999996035278</v>
      </c>
    </row>
    <row r="280" spans="1:6" x14ac:dyDescent="0.25">
      <c r="A280" s="18" t="str">
        <f>$A$28</f>
        <v>Electricity, gas, etc</v>
      </c>
      <c r="B280" s="31">
        <f t="shared" si="89"/>
        <v>36.994999999863097</v>
      </c>
      <c r="C280" s="31">
        <f t="shared" si="89"/>
        <v>22.010999999924962</v>
      </c>
      <c r="D280" s="31">
        <f t="shared" si="89"/>
        <v>0.44700000015944852</v>
      </c>
      <c r="E280" s="31">
        <f t="shared" si="89"/>
        <v>0.72699999989328035</v>
      </c>
      <c r="F280" s="31">
        <f t="shared" si="88"/>
        <v>23.184999999977691</v>
      </c>
    </row>
    <row r="281" spans="1:6" x14ac:dyDescent="0.25">
      <c r="A281" s="18" t="str">
        <f>$A$29</f>
        <v>Water</v>
      </c>
      <c r="B281" s="31">
        <f t="shared" si="89"/>
        <v>6.1629999999259475</v>
      </c>
      <c r="C281" s="31">
        <f t="shared" si="89"/>
        <v>0.24200000001921751</v>
      </c>
      <c r="D281" s="31">
        <f t="shared" si="89"/>
        <v>1.2040000000207129</v>
      </c>
      <c r="E281" s="31">
        <f t="shared" si="89"/>
        <v>4.0130000000033306</v>
      </c>
      <c r="F281" s="31">
        <f t="shared" si="88"/>
        <v>5.459000000043261</v>
      </c>
    </row>
    <row r="282" spans="1:6" x14ac:dyDescent="0.25">
      <c r="A282" s="18" t="str">
        <f>$A$30</f>
        <v>Sewerage</v>
      </c>
      <c r="B282" s="31">
        <f t="shared" si="89"/>
        <v>9.1299999999051398</v>
      </c>
      <c r="C282" s="31">
        <f t="shared" si="89"/>
        <v>-2.6589999999050455</v>
      </c>
      <c r="D282" s="31">
        <f t="shared" si="89"/>
        <v>0.65899999990379854</v>
      </c>
      <c r="E282" s="31">
        <f t="shared" si="89"/>
        <v>-1.0399999999233707</v>
      </c>
      <c r="F282" s="31">
        <f t="shared" si="88"/>
        <v>-3.0399999999246177</v>
      </c>
    </row>
    <row r="283" spans="1:6" x14ac:dyDescent="0.25">
      <c r="A283" s="18" t="str">
        <f>$A$31</f>
        <v>Waste management</v>
      </c>
      <c r="B283" s="31">
        <f t="shared" si="89"/>
        <v>19.697999999372342</v>
      </c>
      <c r="C283" s="31">
        <f t="shared" si="89"/>
        <v>16.4360000004109</v>
      </c>
      <c r="D283" s="31">
        <f t="shared" si="89"/>
        <v>4.6819999995366857</v>
      </c>
      <c r="E283" s="31">
        <f t="shared" si="89"/>
        <v>4.0170000002674442</v>
      </c>
      <c r="F283" s="31">
        <f t="shared" si="88"/>
        <v>25.13500000021503</v>
      </c>
    </row>
    <row r="284" spans="1:6" x14ac:dyDescent="0.25">
      <c r="A284" s="18" t="str">
        <f>$A$32</f>
        <v>Construction</v>
      </c>
      <c r="B284" s="31">
        <f t="shared" si="89"/>
        <v>-6.1950000078231824</v>
      </c>
      <c r="C284" s="31">
        <f t="shared" si="89"/>
        <v>109.43900000731662</v>
      </c>
      <c r="D284" s="31">
        <f t="shared" si="89"/>
        <v>6.6330000055593246</v>
      </c>
      <c r="E284" s="31">
        <f t="shared" si="89"/>
        <v>9.2130000024268384</v>
      </c>
      <c r="F284" s="31">
        <f t="shared" si="88"/>
        <v>125.28500001530278</v>
      </c>
    </row>
    <row r="285" spans="1:6" x14ac:dyDescent="0.25">
      <c r="A285" s="18" t="str">
        <f>$A$33</f>
        <v>Civil engineering</v>
      </c>
      <c r="B285" s="31">
        <f t="shared" si="89"/>
        <v>-74.700000005030176</v>
      </c>
      <c r="C285" s="31">
        <f t="shared" si="89"/>
        <v>15.494000003112262</v>
      </c>
      <c r="D285" s="31">
        <f t="shared" si="89"/>
        <v>2.6570000030006895</v>
      </c>
      <c r="E285" s="31">
        <f t="shared" si="89"/>
        <v>4.0650000010027725</v>
      </c>
      <c r="F285" s="31">
        <f t="shared" si="88"/>
        <v>22.216000007115724</v>
      </c>
    </row>
    <row r="286" spans="1:6" x14ac:dyDescent="0.25">
      <c r="A286" s="18" t="str">
        <f>$A$34</f>
        <v>Specialised construction</v>
      </c>
      <c r="B286" s="31">
        <f t="shared" si="89"/>
        <v>-164.01300001659342</v>
      </c>
      <c r="C286" s="31">
        <f t="shared" si="89"/>
        <v>105.02000001274359</v>
      </c>
      <c r="D286" s="31">
        <f t="shared" si="89"/>
        <v>11.296000009941963</v>
      </c>
      <c r="E286" s="31">
        <f t="shared" si="89"/>
        <v>16.114000004075024</v>
      </c>
      <c r="F286" s="31">
        <f t="shared" si="88"/>
        <v>132.43000002676058</v>
      </c>
    </row>
    <row r="287" spans="1:6" x14ac:dyDescent="0.25">
      <c r="A287" s="18" t="str">
        <f>$A$35</f>
        <v>Motor vehicle trade</v>
      </c>
      <c r="B287" s="31">
        <f t="shared" si="89"/>
        <v>-45.005000001538519</v>
      </c>
      <c r="C287" s="31">
        <f t="shared" si="89"/>
        <v>76.243000002847111</v>
      </c>
      <c r="D287" s="31">
        <f t="shared" si="89"/>
        <v>-3.0730000049163664</v>
      </c>
      <c r="E287" s="31">
        <f t="shared" si="89"/>
        <v>3.0260000025165255</v>
      </c>
      <c r="F287" s="31">
        <f t="shared" si="88"/>
        <v>76.19600000044727</v>
      </c>
    </row>
    <row r="288" spans="1:6" x14ac:dyDescent="0.25">
      <c r="A288" s="18" t="str">
        <f>$A$36</f>
        <v>Wholesale trade</v>
      </c>
      <c r="B288" s="31">
        <f t="shared" si="89"/>
        <v>-58.060000002412153</v>
      </c>
      <c r="C288" s="31">
        <f t="shared" si="89"/>
        <v>36.246000008118017</v>
      </c>
      <c r="D288" s="31">
        <f t="shared" si="89"/>
        <v>-18.564000013022678</v>
      </c>
      <c r="E288" s="31">
        <f t="shared" si="89"/>
        <v>-10.877999992153718</v>
      </c>
      <c r="F288" s="31">
        <f t="shared" si="88"/>
        <v>6.8040000029416206</v>
      </c>
    </row>
    <row r="289" spans="1:6" x14ac:dyDescent="0.25">
      <c r="A289" s="18" t="str">
        <f>$A$37</f>
        <v>Retail trade</v>
      </c>
      <c r="B289" s="31">
        <f t="shared" si="89"/>
        <v>-69.153999994262449</v>
      </c>
      <c r="C289" s="31">
        <f t="shared" si="89"/>
        <v>26.880000033975648</v>
      </c>
      <c r="D289" s="31">
        <f t="shared" si="89"/>
        <v>38.155999933101612</v>
      </c>
      <c r="E289" s="31">
        <f t="shared" si="89"/>
        <v>57.017000024379286</v>
      </c>
      <c r="F289" s="31">
        <f t="shared" ref="F289:F320" si="90">F37-C37</f>
        <v>122.05299999145655</v>
      </c>
    </row>
    <row r="290" spans="1:6" x14ac:dyDescent="0.25">
      <c r="A290" s="18" t="str">
        <f>$A$38</f>
        <v>Land transport, etc</v>
      </c>
      <c r="B290" s="31">
        <f t="shared" si="89"/>
        <v>-26.139999991110813</v>
      </c>
      <c r="C290" s="31">
        <f t="shared" si="89"/>
        <v>140.48500001078969</v>
      </c>
      <c r="D290" s="31">
        <f t="shared" si="89"/>
        <v>-41.183000020395866</v>
      </c>
      <c r="E290" s="31">
        <f t="shared" si="89"/>
        <v>-7.2130000000450991</v>
      </c>
      <c r="F290" s="31">
        <f t="shared" si="90"/>
        <v>92.088999990348725</v>
      </c>
    </row>
    <row r="291" spans="1:6" x14ac:dyDescent="0.25">
      <c r="A291" s="18" t="str">
        <f>$A$39</f>
        <v>Water transport</v>
      </c>
      <c r="B291" s="31">
        <f t="shared" si="89"/>
        <v>0.52800000003093572</v>
      </c>
      <c r="C291" s="31">
        <f t="shared" si="89"/>
        <v>-4.0189999999708235</v>
      </c>
      <c r="D291" s="31">
        <f t="shared" si="89"/>
        <v>-3.0290000000721129</v>
      </c>
      <c r="E291" s="31">
        <f t="shared" si="89"/>
        <v>-1.2689999999530954</v>
      </c>
      <c r="F291" s="31">
        <f t="shared" si="90"/>
        <v>-8.3169999999960318</v>
      </c>
    </row>
    <row r="292" spans="1:6" x14ac:dyDescent="0.25">
      <c r="A292" s="18" t="str">
        <f>$A$40</f>
        <v>Air transport</v>
      </c>
      <c r="B292" s="31">
        <f t="shared" si="89"/>
        <v>-13.469000000297498</v>
      </c>
      <c r="C292" s="31">
        <f t="shared" si="89"/>
        <v>1.8870000009677597</v>
      </c>
      <c r="D292" s="31">
        <f t="shared" si="89"/>
        <v>-0.76500000094573295</v>
      </c>
      <c r="E292" s="31">
        <f t="shared" si="89"/>
        <v>1.0190000006189877</v>
      </c>
      <c r="F292" s="31">
        <f t="shared" si="90"/>
        <v>2.1410000006410144</v>
      </c>
    </row>
    <row r="293" spans="1:6" x14ac:dyDescent="0.25">
      <c r="A293" s="18" t="str">
        <f>$A$41</f>
        <v>Warehousing, etc</v>
      </c>
      <c r="B293" s="31">
        <f t="shared" si="89"/>
        <v>49.653999998862105</v>
      </c>
      <c r="C293" s="31">
        <f t="shared" si="89"/>
        <v>149.09500000249557</v>
      </c>
      <c r="D293" s="31">
        <f t="shared" si="89"/>
        <v>2.1399999953131328</v>
      </c>
      <c r="E293" s="31">
        <f t="shared" si="89"/>
        <v>1.380000002627412</v>
      </c>
      <c r="F293" s="31">
        <f t="shared" si="90"/>
        <v>152.61500000043611</v>
      </c>
    </row>
    <row r="294" spans="1:6" x14ac:dyDescent="0.25">
      <c r="A294" s="18" t="str">
        <f>$A$42</f>
        <v>Postal and courier</v>
      </c>
      <c r="B294" s="31">
        <f t="shared" si="89"/>
        <v>-6.6090000004145963</v>
      </c>
      <c r="C294" s="31">
        <f t="shared" si="89"/>
        <v>7.6280000030351971</v>
      </c>
      <c r="D294" s="31">
        <f t="shared" si="89"/>
        <v>8.7139999957012151</v>
      </c>
      <c r="E294" s="31">
        <f t="shared" si="89"/>
        <v>6.650000002343404</v>
      </c>
      <c r="F294" s="31">
        <f t="shared" si="90"/>
        <v>22.992000001079816</v>
      </c>
    </row>
    <row r="295" spans="1:6" x14ac:dyDescent="0.25">
      <c r="A295" s="18" t="str">
        <f>$A$43</f>
        <v>Accommodation</v>
      </c>
      <c r="B295" s="31">
        <f t="shared" si="89"/>
        <v>13.744999999552761</v>
      </c>
      <c r="C295" s="31">
        <f t="shared" si="89"/>
        <v>91.939000006426056</v>
      </c>
      <c r="D295" s="31">
        <f t="shared" si="89"/>
        <v>14.637999991062202</v>
      </c>
      <c r="E295" s="31">
        <f t="shared" si="89"/>
        <v>15.903000004902765</v>
      </c>
      <c r="F295" s="31">
        <f t="shared" si="90"/>
        <v>122.48000000239102</v>
      </c>
    </row>
    <row r="296" spans="1:6" x14ac:dyDescent="0.25">
      <c r="A296" s="18" t="str">
        <f>$A$44</f>
        <v>Food and beverage services</v>
      </c>
      <c r="B296" s="31">
        <f t="shared" si="89"/>
        <v>28.154999997856294</v>
      </c>
      <c r="C296" s="31">
        <f t="shared" si="89"/>
        <v>289.23900002321261</v>
      </c>
      <c r="D296" s="31">
        <f t="shared" si="89"/>
        <v>-51.702000029056762</v>
      </c>
      <c r="E296" s="31">
        <f t="shared" si="89"/>
        <v>94.024000016394893</v>
      </c>
      <c r="F296" s="31">
        <f t="shared" si="90"/>
        <v>331.56100001055074</v>
      </c>
    </row>
    <row r="297" spans="1:6" x14ac:dyDescent="0.25">
      <c r="A297" s="18" t="str">
        <f>$A$45</f>
        <v>Publishing activities</v>
      </c>
      <c r="B297" s="31">
        <f t="shared" ref="B297:E297" si="91">C45-B45</f>
        <v>1.1190000006583602</v>
      </c>
      <c r="C297" s="31">
        <f t="shared" si="91"/>
        <v>-15.369000001656104</v>
      </c>
      <c r="D297" s="31">
        <f t="shared" si="91"/>
        <v>-0.83599999888943444</v>
      </c>
      <c r="E297" s="31">
        <f t="shared" si="91"/>
        <v>5.9999999187340336E-2</v>
      </c>
      <c r="F297" s="31">
        <f t="shared" si="90"/>
        <v>-16.145000001358198</v>
      </c>
    </row>
    <row r="298" spans="1:6" x14ac:dyDescent="0.25">
      <c r="A298" s="18" t="str">
        <f>$A$46</f>
        <v>Film and music</v>
      </c>
      <c r="B298" s="31">
        <f t="shared" ref="B298:C322" si="92">C46-B46</f>
        <v>1.2800000007053427</v>
      </c>
      <c r="C298" s="31">
        <f t="shared" si="92"/>
        <v>35.647999998774253</v>
      </c>
      <c r="D298" s="31">
        <f t="shared" ref="D298:E298" si="93">E46-D46</f>
        <v>4.318000000242705</v>
      </c>
      <c r="E298" s="31">
        <f t="shared" si="93"/>
        <v>3.6369999995499143</v>
      </c>
      <c r="F298" s="31">
        <f t="shared" si="90"/>
        <v>43.602999998566872</v>
      </c>
    </row>
    <row r="299" spans="1:6" x14ac:dyDescent="0.25">
      <c r="A299" s="18" t="str">
        <f>$A$47</f>
        <v>Broadcasting</v>
      </c>
      <c r="B299" s="31">
        <f t="shared" si="92"/>
        <v>14.182000000300981</v>
      </c>
      <c r="C299" s="31">
        <f t="shared" si="92"/>
        <v>0.46699999938466163</v>
      </c>
      <c r="D299" s="31">
        <f t="shared" ref="D299:E299" si="94">E47-D47</f>
        <v>1.1260000001010653</v>
      </c>
      <c r="E299" s="31">
        <f t="shared" si="94"/>
        <v>0.95499999980697226</v>
      </c>
      <c r="F299" s="31">
        <f t="shared" si="90"/>
        <v>2.5479999992926992</v>
      </c>
    </row>
    <row r="300" spans="1:6" x14ac:dyDescent="0.25">
      <c r="A300" s="18" t="str">
        <f>$A$48</f>
        <v>Telecommunications</v>
      </c>
      <c r="B300" s="31">
        <f t="shared" si="92"/>
        <v>-9.1969999994708473</v>
      </c>
      <c r="C300" s="31">
        <f t="shared" si="92"/>
        <v>5.5889999981530138</v>
      </c>
      <c r="D300" s="31">
        <f t="shared" ref="D300:E300" si="95">E48-D48</f>
        <v>6.2040000017571799</v>
      </c>
      <c r="E300" s="31">
        <f t="shared" si="95"/>
        <v>5.9409999994702218</v>
      </c>
      <c r="F300" s="31">
        <f t="shared" si="90"/>
        <v>17.733999999380416</v>
      </c>
    </row>
    <row r="301" spans="1:6" x14ac:dyDescent="0.25">
      <c r="A301" s="18" t="str">
        <f>$A$49</f>
        <v>Computing services</v>
      </c>
      <c r="B301" s="31">
        <f t="shared" si="92"/>
        <v>-24.749999998216481</v>
      </c>
      <c r="C301" s="31">
        <f t="shared" si="92"/>
        <v>229.09799999169468</v>
      </c>
      <c r="D301" s="31">
        <f t="shared" ref="D301:E301" si="96">E49-D49</f>
        <v>33.474000008596249</v>
      </c>
      <c r="E301" s="31">
        <f t="shared" si="96"/>
        <v>30.543999995227864</v>
      </c>
      <c r="F301" s="31">
        <f t="shared" si="90"/>
        <v>293.11599999551879</v>
      </c>
    </row>
    <row r="302" spans="1:6" x14ac:dyDescent="0.25">
      <c r="A302" s="18" t="str">
        <f>$A$50</f>
        <v>Information services</v>
      </c>
      <c r="B302" s="31">
        <f t="shared" si="92"/>
        <v>-10.663999999813655</v>
      </c>
      <c r="C302" s="31">
        <f t="shared" si="92"/>
        <v>18.635999999517992</v>
      </c>
      <c r="D302" s="31">
        <f t="shared" ref="D302:E302" si="97">E50-D50</f>
        <v>5.075000000191821</v>
      </c>
      <c r="E302" s="31">
        <f t="shared" si="97"/>
        <v>4.3039999997962326</v>
      </c>
      <c r="F302" s="31">
        <f t="shared" si="90"/>
        <v>28.014999999506045</v>
      </c>
    </row>
    <row r="303" spans="1:6" x14ac:dyDescent="0.25">
      <c r="A303" s="18" t="str">
        <f>$A$51</f>
        <v>Financial services</v>
      </c>
      <c r="B303" s="31">
        <f t="shared" si="92"/>
        <v>-91.103999998158997</v>
      </c>
      <c r="C303" s="31">
        <f t="shared" si="92"/>
        <v>-33.328000004290857</v>
      </c>
      <c r="D303" s="31">
        <f t="shared" ref="D303:E303" si="98">E51-D51</f>
        <v>2.4680000017507382</v>
      </c>
      <c r="E303" s="31">
        <f t="shared" si="98"/>
        <v>-5.2850000013558542</v>
      </c>
      <c r="F303" s="31">
        <f t="shared" si="90"/>
        <v>-36.145000003895973</v>
      </c>
    </row>
    <row r="304" spans="1:6" x14ac:dyDescent="0.25">
      <c r="A304" s="18" t="str">
        <f>$A$52</f>
        <v>Insurance and pensions</v>
      </c>
      <c r="B304" s="31">
        <f t="shared" si="92"/>
        <v>-19.699999999743341</v>
      </c>
      <c r="C304" s="31">
        <f t="shared" si="92"/>
        <v>-13.785000000446558</v>
      </c>
      <c r="D304" s="31">
        <f t="shared" ref="D304:E304" si="99">E52-D52</f>
        <v>-0.97799999931888237</v>
      </c>
      <c r="E304" s="31">
        <f t="shared" si="99"/>
        <v>-2.4990000002604233</v>
      </c>
      <c r="F304" s="31">
        <f t="shared" si="90"/>
        <v>-17.262000000025864</v>
      </c>
    </row>
    <row r="305" spans="1:6" x14ac:dyDescent="0.25">
      <c r="A305" s="18" t="str">
        <f>$A$53</f>
        <v>Auxiliary financial services</v>
      </c>
      <c r="B305" s="31">
        <f t="shared" si="92"/>
        <v>75.746000001590005</v>
      </c>
      <c r="C305" s="31">
        <f t="shared" si="92"/>
        <v>36.208999995116471</v>
      </c>
      <c r="D305" s="31">
        <f t="shared" ref="D305:E305" si="100">E53-D53</f>
        <v>1.143000002594647</v>
      </c>
      <c r="E305" s="31">
        <f t="shared" si="100"/>
        <v>-6.2560000019812492</v>
      </c>
      <c r="F305" s="31">
        <f t="shared" si="90"/>
        <v>31.095999995729869</v>
      </c>
    </row>
    <row r="306" spans="1:6" x14ac:dyDescent="0.25">
      <c r="A306" s="18" t="str">
        <f>$A$54</f>
        <v>Real estate</v>
      </c>
      <c r="B306" s="31">
        <f t="shared" si="92"/>
        <v>48.986000000008914</v>
      </c>
      <c r="C306" s="31">
        <f t="shared" si="92"/>
        <v>54.035999999359888</v>
      </c>
      <c r="D306" s="31">
        <f t="shared" ref="D306:E306" si="101">E54-D54</f>
        <v>10.508999999658158</v>
      </c>
      <c r="E306" s="31">
        <f t="shared" si="101"/>
        <v>13.581000001086068</v>
      </c>
      <c r="F306" s="31">
        <f t="shared" si="90"/>
        <v>78.126000000104113</v>
      </c>
    </row>
    <row r="307" spans="1:6" x14ac:dyDescent="0.25">
      <c r="A307" s="18" t="str">
        <f>$A$55</f>
        <v>Legal and accounting</v>
      </c>
      <c r="B307" s="31">
        <f t="shared" si="92"/>
        <v>27.600000002418824</v>
      </c>
      <c r="C307" s="31">
        <f t="shared" si="92"/>
        <v>69.024999990383208</v>
      </c>
      <c r="D307" s="31">
        <f t="shared" ref="D307:E307" si="102">E55-D55</f>
        <v>21.594000009656725</v>
      </c>
      <c r="E307" s="31">
        <f t="shared" si="102"/>
        <v>17.763999995106474</v>
      </c>
      <c r="F307" s="31">
        <f t="shared" si="90"/>
        <v>108.38299999514641</v>
      </c>
    </row>
    <row r="308" spans="1:6" x14ac:dyDescent="0.25">
      <c r="A308" s="18" t="str">
        <f>$A$56</f>
        <v>Head offices, etc</v>
      </c>
      <c r="B308" s="31">
        <f t="shared" si="92"/>
        <v>145.69000000164181</v>
      </c>
      <c r="C308" s="31">
        <f t="shared" si="92"/>
        <v>198.80699998990974</v>
      </c>
      <c r="D308" s="31">
        <f t="shared" ref="D308:E308" si="103">E56-D56</f>
        <v>37.950000011255383</v>
      </c>
      <c r="E308" s="31">
        <f t="shared" si="103"/>
        <v>5.5439999939716245</v>
      </c>
      <c r="F308" s="31">
        <f t="shared" si="90"/>
        <v>242.30099999513675</v>
      </c>
    </row>
    <row r="309" spans="1:6" x14ac:dyDescent="0.25">
      <c r="A309" s="18" t="str">
        <f>$A$57</f>
        <v>Architectural and related</v>
      </c>
      <c r="B309" s="31">
        <f t="shared" si="92"/>
        <v>32.313000002130366</v>
      </c>
      <c r="C309" s="31">
        <f t="shared" si="92"/>
        <v>105.94399999287941</v>
      </c>
      <c r="D309" s="31">
        <f t="shared" ref="D309:E309" si="104">E57-D57</f>
        <v>44.651000007381526</v>
      </c>
      <c r="E309" s="31">
        <f t="shared" si="104"/>
        <v>5.207999997043089</v>
      </c>
      <c r="F309" s="31">
        <f t="shared" si="90"/>
        <v>155.80299999730403</v>
      </c>
    </row>
    <row r="310" spans="1:6" x14ac:dyDescent="0.25">
      <c r="A310" s="18" t="str">
        <f>$A$58</f>
        <v>Scientific research and development</v>
      </c>
      <c r="B310" s="31">
        <f t="shared" si="92"/>
        <v>19.807000000175037</v>
      </c>
      <c r="C310" s="31">
        <f t="shared" si="92"/>
        <v>9.7129999983642961</v>
      </c>
      <c r="D310" s="31">
        <f t="shared" ref="D310:E310" si="105">E58-D58</f>
        <v>9.7960000032715016</v>
      </c>
      <c r="E310" s="31">
        <f t="shared" si="105"/>
        <v>8.2699999987007402</v>
      </c>
      <c r="F310" s="31">
        <f t="shared" si="90"/>
        <v>27.779000000336538</v>
      </c>
    </row>
    <row r="311" spans="1:6" x14ac:dyDescent="0.25">
      <c r="A311" s="18" t="str">
        <f>$A$59</f>
        <v>Advertising, etc</v>
      </c>
      <c r="B311" s="31">
        <f t="shared" si="92"/>
        <v>31.49400000088994</v>
      </c>
      <c r="C311" s="31">
        <f t="shared" si="92"/>
        <v>30.906999995884007</v>
      </c>
      <c r="D311" s="31">
        <f t="shared" ref="D311:E311" si="106">E59-D59</f>
        <v>16.609000004024267</v>
      </c>
      <c r="E311" s="31">
        <f t="shared" si="106"/>
        <v>14.058999997229478</v>
      </c>
      <c r="F311" s="31">
        <f t="shared" si="90"/>
        <v>61.574999997137752</v>
      </c>
    </row>
    <row r="312" spans="1:6" x14ac:dyDescent="0.25">
      <c r="A312" s="18" t="str">
        <f>$A$60</f>
        <v>Other professional</v>
      </c>
      <c r="B312" s="31">
        <f t="shared" si="92"/>
        <v>-10.648999999520129</v>
      </c>
      <c r="C312" s="31">
        <f t="shared" si="92"/>
        <v>54.385999997622633</v>
      </c>
      <c r="D312" s="31">
        <f t="shared" ref="D312:E312" si="107">E60-D60</f>
        <v>16.833000001503933</v>
      </c>
      <c r="E312" s="31">
        <f t="shared" si="107"/>
        <v>14.648999998711588</v>
      </c>
      <c r="F312" s="31">
        <f t="shared" si="90"/>
        <v>85.867999997838155</v>
      </c>
    </row>
    <row r="313" spans="1:6" x14ac:dyDescent="0.25">
      <c r="A313" s="18" t="str">
        <f>$A$61</f>
        <v>Veterinary</v>
      </c>
      <c r="B313" s="31">
        <f t="shared" si="92"/>
        <v>13.709999999833279</v>
      </c>
      <c r="C313" s="31">
        <f t="shared" si="92"/>
        <v>16.341999998986978</v>
      </c>
      <c r="D313" s="31">
        <f t="shared" ref="D313:E313" si="108">E61-D61</f>
        <v>5.0000000006332783</v>
      </c>
      <c r="E313" s="31">
        <f t="shared" si="108"/>
        <v>4.1760000000046489</v>
      </c>
      <c r="F313" s="31">
        <f t="shared" si="90"/>
        <v>25.517999999624905</v>
      </c>
    </row>
    <row r="314" spans="1:6" x14ac:dyDescent="0.25">
      <c r="A314" s="18" t="str">
        <f>$A$62</f>
        <v>Rental and leasing</v>
      </c>
      <c r="B314" s="31">
        <f t="shared" si="92"/>
        <v>-4.1309999998458409</v>
      </c>
      <c r="C314" s="31">
        <f t="shared" si="92"/>
        <v>-5.2029999998610492</v>
      </c>
      <c r="D314" s="31">
        <f t="shared" ref="D314:E314" si="109">E62-D62</f>
        <v>7.0069999995423302</v>
      </c>
      <c r="E314" s="31">
        <f t="shared" si="109"/>
        <v>4.9460000001368769</v>
      </c>
      <c r="F314" s="31">
        <f t="shared" si="90"/>
        <v>6.7499999998181579</v>
      </c>
    </row>
    <row r="315" spans="1:6" x14ac:dyDescent="0.25">
      <c r="A315" s="18" t="str">
        <f>$A$63</f>
        <v>Employment activities</v>
      </c>
      <c r="B315" s="31">
        <f t="shared" si="92"/>
        <v>-10.772999999467515</v>
      </c>
      <c r="C315" s="31">
        <f t="shared" si="92"/>
        <v>183.03600000428582</v>
      </c>
      <c r="D315" s="31">
        <f t="shared" ref="D315:E315" si="110">E63-D63</f>
        <v>46.764999993064976</v>
      </c>
      <c r="E315" s="31">
        <f t="shared" si="110"/>
        <v>28.935000004248423</v>
      </c>
      <c r="F315" s="31">
        <f t="shared" si="90"/>
        <v>258.73600000159922</v>
      </c>
    </row>
    <row r="316" spans="1:6" x14ac:dyDescent="0.25">
      <c r="A316" s="18" t="str">
        <f>$A$64</f>
        <v>Travel, etc</v>
      </c>
      <c r="B316" s="31">
        <f t="shared" si="92"/>
        <v>-4.6120000001442065</v>
      </c>
      <c r="C316" s="31">
        <f t="shared" si="92"/>
        <v>-1.3979999988990528</v>
      </c>
      <c r="D316" s="31">
        <f t="shared" ref="D316:E316" si="111">E64-D64</f>
        <v>4.6459999989973397</v>
      </c>
      <c r="E316" s="31">
        <f t="shared" si="111"/>
        <v>3.0320000006044836</v>
      </c>
      <c r="F316" s="31">
        <f t="shared" si="90"/>
        <v>6.2800000007027705</v>
      </c>
    </row>
    <row r="317" spans="1:6" x14ac:dyDescent="0.25">
      <c r="A317" s="18" t="str">
        <f>$A$65</f>
        <v>Security, etc</v>
      </c>
      <c r="B317" s="31">
        <f t="shared" si="92"/>
        <v>8.8999999999380179</v>
      </c>
      <c r="C317" s="31">
        <f t="shared" si="92"/>
        <v>8.3060000008954376</v>
      </c>
      <c r="D317" s="31">
        <f t="shared" ref="D317:E317" si="112">E65-D65</f>
        <v>8.7599999987886576</v>
      </c>
      <c r="E317" s="31">
        <f t="shared" si="112"/>
        <v>5.6600000007491644</v>
      </c>
      <c r="F317" s="31">
        <f t="shared" si="90"/>
        <v>22.72600000043326</v>
      </c>
    </row>
    <row r="318" spans="1:6" x14ac:dyDescent="0.25">
      <c r="A318" s="18" t="str">
        <f>$A$66</f>
        <v>Services to buildings</v>
      </c>
      <c r="B318" s="31">
        <f t="shared" si="92"/>
        <v>67.989999999494216</v>
      </c>
      <c r="C318" s="31">
        <f t="shared" si="92"/>
        <v>51.275000003628065</v>
      </c>
      <c r="D318" s="31">
        <f t="shared" ref="D318:E318" si="113">E66-D66</f>
        <v>31.950999992287507</v>
      </c>
      <c r="E318" s="31">
        <f t="shared" si="113"/>
        <v>15.493000004856185</v>
      </c>
      <c r="F318" s="31">
        <f t="shared" si="90"/>
        <v>98.719000000771757</v>
      </c>
    </row>
    <row r="319" spans="1:6" x14ac:dyDescent="0.25">
      <c r="A319" s="18" t="str">
        <f>$A$67</f>
        <v>Office administrative</v>
      </c>
      <c r="B319" s="31">
        <f t="shared" si="92"/>
        <v>10.527000000029545</v>
      </c>
      <c r="C319" s="31">
        <f t="shared" si="92"/>
        <v>147.16600000214612</v>
      </c>
      <c r="D319" s="31">
        <f t="shared" ref="D319:E319" si="114">E67-D67</f>
        <v>23.929999996593551</v>
      </c>
      <c r="E319" s="31">
        <f t="shared" si="114"/>
        <v>15.531000002284713</v>
      </c>
      <c r="F319" s="31">
        <f t="shared" si="90"/>
        <v>186.62700000102438</v>
      </c>
    </row>
    <row r="320" spans="1:6" x14ac:dyDescent="0.25">
      <c r="A320" s="18" t="str">
        <f>$A$68</f>
        <v>Public administration and defence</v>
      </c>
      <c r="B320" s="31">
        <f t="shared" si="92"/>
        <v>-182.08799999975736</v>
      </c>
      <c r="C320" s="31">
        <f t="shared" si="92"/>
        <v>-59.86400000571075</v>
      </c>
      <c r="D320" s="31">
        <f t="shared" ref="D320:E320" si="115">E68-D68</f>
        <v>-23.204999990227179</v>
      </c>
      <c r="E320" s="31">
        <f t="shared" si="115"/>
        <v>16.309999996209172</v>
      </c>
      <c r="F320" s="31">
        <f t="shared" si="90"/>
        <v>-66.758999999728758</v>
      </c>
    </row>
    <row r="321" spans="1:6" x14ac:dyDescent="0.25">
      <c r="A321" s="18" t="str">
        <f>$A$69</f>
        <v xml:space="preserve">Education </v>
      </c>
      <c r="B321" s="31">
        <f t="shared" si="92"/>
        <v>173.87200000868052</v>
      </c>
      <c r="C321" s="31">
        <f t="shared" si="92"/>
        <v>161.21899995728427</v>
      </c>
      <c r="D321" s="31">
        <f t="shared" ref="D321:E321" si="116">E69-D69</f>
        <v>-37.937999929537909</v>
      </c>
      <c r="E321" s="31">
        <f t="shared" si="116"/>
        <v>47.432999949165605</v>
      </c>
      <c r="F321" s="31">
        <f t="shared" ref="F321:F322" si="117">F69-C69</f>
        <v>170.71399997691196</v>
      </c>
    </row>
    <row r="322" spans="1:6" x14ac:dyDescent="0.25">
      <c r="A322" s="18" t="str">
        <f>$A$70</f>
        <v>Health</v>
      </c>
      <c r="B322" s="31">
        <f t="shared" si="92"/>
        <v>179.89400000204409</v>
      </c>
      <c r="C322" s="31">
        <f t="shared" si="92"/>
        <v>363.17999998329697</v>
      </c>
      <c r="D322" s="31">
        <f t="shared" ref="D322:E322" si="118">E70-D70</f>
        <v>100.09000001709637</v>
      </c>
      <c r="E322" s="31">
        <f t="shared" si="118"/>
        <v>109.11999999777663</v>
      </c>
      <c r="F322" s="31">
        <f t="shared" si="117"/>
        <v>572.38999999816997</v>
      </c>
    </row>
    <row r="323" spans="1:6" x14ac:dyDescent="0.25">
      <c r="A323" s="18" t="str">
        <f>$A$71</f>
        <v>Residential care</v>
      </c>
      <c r="B323" s="31">
        <f t="shared" ref="B323:C323" si="119">C71-B71</f>
        <v>59.684999999345564</v>
      </c>
      <c r="C323" s="31">
        <f t="shared" si="119"/>
        <v>17.759999997261616</v>
      </c>
      <c r="D323" s="31">
        <f t="shared" ref="D323:D331" si="120">E71-D71</f>
        <v>47.948000004951609</v>
      </c>
      <c r="E323" s="31">
        <f t="shared" ref="E323:E331" si="121">F71-E71</f>
        <v>42.801999998884071</v>
      </c>
      <c r="F323" s="31">
        <f t="shared" ref="F323:F331" si="122">F71-C71</f>
        <v>108.5100000010973</v>
      </c>
    </row>
    <row r="324" spans="1:6" x14ac:dyDescent="0.25">
      <c r="A324" s="18" t="str">
        <f>$A$72</f>
        <v>Social work</v>
      </c>
      <c r="B324" s="31">
        <f t="shared" ref="B324:C324" si="123">C72-B72</f>
        <v>148.22699999958093</v>
      </c>
      <c r="C324" s="31">
        <f t="shared" si="123"/>
        <v>15.377999994732704</v>
      </c>
      <c r="D324" s="31">
        <f t="shared" si="120"/>
        <v>66.318000006587795</v>
      </c>
      <c r="E324" s="31">
        <f t="shared" si="121"/>
        <v>60.617999998697087</v>
      </c>
      <c r="F324" s="31">
        <f t="shared" si="122"/>
        <v>142.31400000001759</v>
      </c>
    </row>
    <row r="325" spans="1:6" x14ac:dyDescent="0.25">
      <c r="A325" s="18" t="str">
        <f>$A$73</f>
        <v>Arts and entertainment</v>
      </c>
      <c r="B325" s="31">
        <f t="shared" ref="B325:C325" si="124">C73-B73</f>
        <v>1.0320000007063754</v>
      </c>
      <c r="C325" s="31">
        <f t="shared" si="124"/>
        <v>2.849999998783062</v>
      </c>
      <c r="D325" s="31">
        <f t="shared" si="120"/>
        <v>15.962000000047453</v>
      </c>
      <c r="E325" s="31">
        <f t="shared" si="121"/>
        <v>2.6969999996115348</v>
      </c>
      <c r="F325" s="31">
        <f t="shared" si="122"/>
        <v>21.50899999844205</v>
      </c>
    </row>
    <row r="326" spans="1:6" x14ac:dyDescent="0.25">
      <c r="A326" s="18" t="str">
        <f>$A$74</f>
        <v>Libraries, etc</v>
      </c>
      <c r="B326" s="31">
        <f t="shared" ref="B326:C326" si="125">C74-B74</f>
        <v>-15.812999999357402</v>
      </c>
      <c r="C326" s="31">
        <f t="shared" si="125"/>
        <v>19.864999998862118</v>
      </c>
      <c r="D326" s="31">
        <f t="shared" si="120"/>
        <v>22.309000000476118</v>
      </c>
      <c r="E326" s="31">
        <f t="shared" si="121"/>
        <v>6.4479999994713921</v>
      </c>
      <c r="F326" s="31">
        <f t="shared" si="122"/>
        <v>48.621999998809628</v>
      </c>
    </row>
    <row r="327" spans="1:6" x14ac:dyDescent="0.25">
      <c r="A327" s="18" t="str">
        <f>$A$75</f>
        <v>Gambling and betting</v>
      </c>
      <c r="B327" s="31">
        <f t="shared" ref="B327:C327" si="126">C75-B75</f>
        <v>-1.7439999999530897</v>
      </c>
      <c r="C327" s="31">
        <f t="shared" si="126"/>
        <v>-4.2090000002690573</v>
      </c>
      <c r="D327" s="31">
        <f t="shared" si="120"/>
        <v>4.4370000000525209</v>
      </c>
      <c r="E327" s="31">
        <f t="shared" si="121"/>
        <v>4.1689999999141634</v>
      </c>
      <c r="F327" s="31">
        <f t="shared" si="122"/>
        <v>4.396999999697627</v>
      </c>
    </row>
    <row r="328" spans="1:6" x14ac:dyDescent="0.25">
      <c r="A328" s="18" t="str">
        <f>$A$76</f>
        <v>Sport and recreation</v>
      </c>
      <c r="B328" s="31">
        <f t="shared" ref="B328:C328" si="127">C76-B76</f>
        <v>48.529000000038536</v>
      </c>
      <c r="C328" s="31">
        <f t="shared" si="127"/>
        <v>61.51499999962499</v>
      </c>
      <c r="D328" s="31">
        <f t="shared" si="120"/>
        <v>17.6709999995619</v>
      </c>
      <c r="E328" s="31">
        <f t="shared" si="121"/>
        <v>15.811000000076888</v>
      </c>
      <c r="F328" s="31">
        <f t="shared" si="122"/>
        <v>94.996999999263778</v>
      </c>
    </row>
    <row r="329" spans="1:6" x14ac:dyDescent="0.25">
      <c r="A329" s="18" t="str">
        <f>$A$77</f>
        <v>Membership organisations</v>
      </c>
      <c r="B329" s="31">
        <f t="shared" ref="B329:C329" si="128">C77-B77</f>
        <v>11.766000000436804</v>
      </c>
      <c r="C329" s="31">
        <f t="shared" si="128"/>
        <v>36.71899999681807</v>
      </c>
      <c r="D329" s="31">
        <f t="shared" si="120"/>
        <v>13.310000003843129</v>
      </c>
      <c r="E329" s="31">
        <f t="shared" si="121"/>
        <v>3.7849999978635083</v>
      </c>
      <c r="F329" s="31">
        <f t="shared" si="122"/>
        <v>53.813999998524707</v>
      </c>
    </row>
    <row r="330" spans="1:6" x14ac:dyDescent="0.25">
      <c r="A330" s="18" t="str">
        <f>$A$78</f>
        <v>Repair of goods</v>
      </c>
      <c r="B330" s="31">
        <f t="shared" ref="B330:C330" si="129">C78-B78</f>
        <v>0.94400000011302865</v>
      </c>
      <c r="C330" s="31">
        <f t="shared" si="129"/>
        <v>-1.5690000000435305</v>
      </c>
      <c r="D330" s="31">
        <f t="shared" si="120"/>
        <v>2.779000000066624</v>
      </c>
      <c r="E330" s="31">
        <f t="shared" si="121"/>
        <v>1.4730000000300052</v>
      </c>
      <c r="F330" s="31">
        <f t="shared" si="122"/>
        <v>2.6830000000530987</v>
      </c>
    </row>
    <row r="331" spans="1:6" x14ac:dyDescent="0.25">
      <c r="A331" s="18" t="str">
        <f>$A$79</f>
        <v>Other personal service</v>
      </c>
      <c r="B331" s="31">
        <f>C79-B79</f>
        <v>-108.6889999985143</v>
      </c>
      <c r="C331" s="31">
        <f t="shared" ref="C331" si="130">D79-C79</f>
        <v>88.854000002556404</v>
      </c>
      <c r="D331" s="31">
        <f t="shared" si="120"/>
        <v>18.644999995995704</v>
      </c>
      <c r="E331" s="31">
        <f t="shared" si="121"/>
        <v>6.318000001589553</v>
      </c>
      <c r="F331" s="31">
        <f t="shared" si="122"/>
        <v>113.81700000014166</v>
      </c>
    </row>
    <row r="332" spans="1:6" x14ac:dyDescent="0.25">
      <c r="A332" s="18"/>
      <c r="B332" s="31"/>
      <c r="C332" s="31"/>
      <c r="D332" s="31"/>
      <c r="E332" s="31"/>
      <c r="F332" s="31"/>
    </row>
    <row r="333" spans="1:6" x14ac:dyDescent="0.25">
      <c r="A333" s="28" t="str">
        <f>$A$81</f>
        <v>All industries</v>
      </c>
      <c r="B333" s="33">
        <f t="shared" ref="B333" si="131">C81-B81</f>
        <v>10.006000000186759</v>
      </c>
      <c r="C333" s="33">
        <f t="shared" ref="C333" si="132">D81-C81</f>
        <v>3047.9789999997483</v>
      </c>
      <c r="D333" s="33">
        <f>E81-D81</f>
        <v>402.45599999994738</v>
      </c>
      <c r="E333" s="33">
        <f>F81-E81</f>
        <v>570.50500000020838</v>
      </c>
      <c r="F333" s="33">
        <f t="shared" ref="F333" si="133">F81-C81</f>
        <v>4020.9399999999041</v>
      </c>
    </row>
  </sheetData>
  <pageMargins left="0.7" right="0.7" top="0.75" bottom="0.75" header="0.3" footer="0.3"/>
  <pageSetup paperSize="9" scale="70" orientation="portrait" r:id="rId1"/>
  <rowBreaks count="2" manualBreakCount="2">
    <brk id="81" max="5" man="1"/>
    <brk id="165" max="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22"/>
  <sheetViews>
    <sheetView showGridLines="0" zoomScale="85" zoomScaleNormal="85" workbookViewId="0"/>
  </sheetViews>
  <sheetFormatPr defaultRowHeight="13.2" x14ac:dyDescent="0.25"/>
  <cols>
    <col min="1" max="1" width="26.6640625" customWidth="1"/>
    <col min="2" max="6" width="11.6640625" customWidth="1"/>
    <col min="7" max="7" width="5.6640625" customWidth="1"/>
    <col min="8" max="12" width="11.6640625" customWidth="1"/>
  </cols>
  <sheetData>
    <row r="1" spans="1:12" ht="15.6" x14ac:dyDescent="0.3">
      <c r="A1" s="23" t="str">
        <f>CONCATENATE("Industry Table 4  Employment by Industry Group in Sector (SIC 2007), ",B$5,"-",F$5)</f>
        <v>Industry Table 4  Employment by Industry Group in Sector (SIC 2007), 2007-2027</v>
      </c>
    </row>
    <row r="2" spans="1:12" ht="12.75" customHeight="1" x14ac:dyDescent="0.3">
      <c r="A2" s="23"/>
    </row>
    <row r="3" spans="1:12" ht="12.75" customHeight="1" x14ac:dyDescent="0.3">
      <c r="A3" s="23"/>
      <c r="L3" s="43" t="s">
        <v>19</v>
      </c>
    </row>
    <row r="4" spans="1:12" x14ac:dyDescent="0.25">
      <c r="A4" s="41"/>
      <c r="B4" s="32" t="s">
        <v>17</v>
      </c>
      <c r="C4" s="41"/>
      <c r="D4" s="41"/>
      <c r="E4" s="41"/>
      <c r="F4" s="41"/>
      <c r="G4" s="41"/>
      <c r="H4" s="32" t="s">
        <v>18</v>
      </c>
      <c r="I4" s="41"/>
      <c r="J4" s="41"/>
      <c r="K4" s="41"/>
      <c r="L4" s="41"/>
    </row>
    <row r="5" spans="1:12" x14ac:dyDescent="0.25">
      <c r="A5" s="37"/>
      <c r="B5" s="51">
        <f>'Ind T1'!B5</f>
        <v>2007</v>
      </c>
      <c r="C5" s="51">
        <f>'Ind T1'!C5</f>
        <v>2012</v>
      </c>
      <c r="D5" s="51">
        <f>'Ind T1'!D5</f>
        <v>2017</v>
      </c>
      <c r="E5" s="51">
        <f>'Ind T1'!E5</f>
        <v>2022</v>
      </c>
      <c r="F5" s="51">
        <f>'Ind T1'!F5</f>
        <v>2027</v>
      </c>
      <c r="H5" s="42" t="str">
        <f>CONCATENATE(B$5,"-",C$5)</f>
        <v>2007-2012</v>
      </c>
      <c r="I5" s="42" t="str">
        <f>CONCATENATE(C$5,"-",D$5)</f>
        <v>2012-2017</v>
      </c>
      <c r="J5" s="42" t="str">
        <f>CONCATENATE(D$5,"-",E$5)</f>
        <v>2017-2022</v>
      </c>
      <c r="K5" s="42" t="str">
        <f>CONCATENATE(E$5,"-",F$5)</f>
        <v>2022-2027</v>
      </c>
      <c r="L5" s="42" t="str">
        <f>CONCATENATE(D$5,"-",F$5)</f>
        <v>2017-2027</v>
      </c>
    </row>
    <row r="7" spans="1:12" s="34" customFormat="1" x14ac:dyDescent="0.25">
      <c r="A7" s="34" t="str">
        <f>'Ind T1'!A7</f>
        <v>Primary sector and utilities</v>
      </c>
      <c r="B7" s="35">
        <f>'Ind T1'!B7</f>
        <v>685.98199999852397</v>
      </c>
      <c r="C7" s="35">
        <f>'Ind T1'!C7</f>
        <v>815.00399999710453</v>
      </c>
      <c r="D7" s="35">
        <f>'Ind T1'!D7</f>
        <v>858.01399999967498</v>
      </c>
      <c r="E7" s="35">
        <f>'Ind T1'!E7</f>
        <v>845.00699999766653</v>
      </c>
      <c r="F7" s="35">
        <f>'Ind T1'!F7</f>
        <v>842.06799999951704</v>
      </c>
      <c r="H7" s="35">
        <f>C7-B7</f>
        <v>129.02199999858055</v>
      </c>
      <c r="I7" s="35">
        <f>D7-C7</f>
        <v>43.01000000257045</v>
      </c>
      <c r="J7" s="35">
        <f>E7-D7</f>
        <v>-13.007000002008454</v>
      </c>
      <c r="K7" s="35">
        <f>F7-E7</f>
        <v>-2.9389999981494839</v>
      </c>
      <c r="L7" s="35">
        <f>F7-D7</f>
        <v>-15.946000000157937</v>
      </c>
    </row>
    <row r="8" spans="1:12" x14ac:dyDescent="0.25">
      <c r="A8" t="str">
        <f>'Ind T2'!A5</f>
        <v>Agriculture</v>
      </c>
      <c r="B8" s="36">
        <f>'Ind T2'!B5</f>
        <v>373.99499999928747</v>
      </c>
      <c r="C8" s="36">
        <f>'Ind T2'!C5</f>
        <v>422.03399999891894</v>
      </c>
      <c r="D8" s="36">
        <f>'Ind T2'!D5</f>
        <v>442.01100000123665</v>
      </c>
      <c r="E8" s="36">
        <f>'Ind T2'!E5</f>
        <v>424.82499999934765</v>
      </c>
      <c r="F8" s="36">
        <f>'Ind T2'!F5</f>
        <v>419.4320000009501</v>
      </c>
      <c r="H8" s="13">
        <f t="shared" ref="H8:H40" si="0">C8-B8</f>
        <v>48.038999999631471</v>
      </c>
      <c r="I8" s="35">
        <f t="shared" ref="I8:I38" si="1">D8-C8</f>
        <v>19.977000002317709</v>
      </c>
      <c r="J8" s="13">
        <f t="shared" ref="J8:J38" si="2">E8-D8</f>
        <v>-17.186000001888999</v>
      </c>
      <c r="K8" s="13">
        <f t="shared" ref="K8:K38" si="3">F8-E8</f>
        <v>-5.3929999983975563</v>
      </c>
      <c r="L8" s="35">
        <f t="shared" ref="L8:L40" si="4">F8-D8</f>
        <v>-22.579000000286555</v>
      </c>
    </row>
    <row r="9" spans="1:12" x14ac:dyDescent="0.25">
      <c r="A9" t="str">
        <f>'Ind T2'!A6</f>
        <v>Mining and quarrying</v>
      </c>
      <c r="B9" s="36">
        <f>'Ind T2'!B6</f>
        <v>68.00399999997606</v>
      </c>
      <c r="C9" s="36">
        <f>'Ind T2'!C6</f>
        <v>77.000999999858578</v>
      </c>
      <c r="D9" s="36">
        <f>'Ind T2'!D6</f>
        <v>64.003999999661374</v>
      </c>
      <c r="E9" s="36">
        <f>'Ind T2'!E6</f>
        <v>61.19099999992126</v>
      </c>
      <c r="F9" s="36">
        <f>'Ind T2'!F6</f>
        <v>55.927999999928552</v>
      </c>
      <c r="H9" s="13">
        <f t="shared" si="0"/>
        <v>8.9969999998825188</v>
      </c>
      <c r="I9" s="35">
        <f t="shared" si="1"/>
        <v>-12.997000000197204</v>
      </c>
      <c r="J9" s="13">
        <f t="shared" si="2"/>
        <v>-2.8129999997401143</v>
      </c>
      <c r="K9" s="13">
        <f t="shared" si="3"/>
        <v>-5.262999999992708</v>
      </c>
      <c r="L9" s="35">
        <f t="shared" si="4"/>
        <v>-8.0759999997328222</v>
      </c>
    </row>
    <row r="10" spans="1:12" x14ac:dyDescent="0.25">
      <c r="A10" t="str">
        <f>'Ind T2'!A10</f>
        <v>Electricity and gas</v>
      </c>
      <c r="B10" s="36">
        <f>'Ind T2'!B10</f>
        <v>84.992999999709241</v>
      </c>
      <c r="C10" s="36">
        <f>'Ind T2'!C10</f>
        <v>121.98799999957234</v>
      </c>
      <c r="D10" s="36">
        <f>'Ind T2'!D10</f>
        <v>143.9989999994973</v>
      </c>
      <c r="E10" s="36">
        <f>'Ind T2'!E10</f>
        <v>144.44599999965675</v>
      </c>
      <c r="F10" s="36">
        <f>'Ind T2'!F10</f>
        <v>145.17299999955003</v>
      </c>
      <c r="H10" s="13">
        <f t="shared" si="0"/>
        <v>36.994999999863097</v>
      </c>
      <c r="I10" s="35">
        <f t="shared" si="1"/>
        <v>22.010999999924962</v>
      </c>
      <c r="J10" s="13">
        <f t="shared" si="2"/>
        <v>0.44700000015944852</v>
      </c>
      <c r="K10" s="13">
        <f t="shared" si="3"/>
        <v>0.72699999989328035</v>
      </c>
      <c r="L10" s="35">
        <f t="shared" si="4"/>
        <v>1.1740000000527289</v>
      </c>
    </row>
    <row r="11" spans="1:12" s="286" customFormat="1" x14ac:dyDescent="0.25">
      <c r="A11" s="286" t="str">
        <f>'Ind T2'!A11</f>
        <v>Water and sewerage</v>
      </c>
      <c r="B11" s="36">
        <f>'Ind T2'!B11</f>
        <v>158.9899999995512</v>
      </c>
      <c r="C11" s="36">
        <f>'Ind T2'!C11</f>
        <v>193.98099999875461</v>
      </c>
      <c r="D11" s="36">
        <f>'Ind T2'!D11</f>
        <v>207.99999999927968</v>
      </c>
      <c r="E11" s="36">
        <f>'Ind T2'!E11</f>
        <v>214.54499999874088</v>
      </c>
      <c r="F11" s="36">
        <f>'Ind T2'!F11</f>
        <v>221.53499999908831</v>
      </c>
      <c r="H11" s="13">
        <f t="shared" ref="H11" si="5">C11-B11</f>
        <v>34.99099999920341</v>
      </c>
      <c r="I11" s="35">
        <f t="shared" ref="I11" si="6">D11-C11</f>
        <v>14.019000000525068</v>
      </c>
      <c r="J11" s="13">
        <f t="shared" ref="J11" si="7">E11-D11</f>
        <v>6.5449999994611971</v>
      </c>
      <c r="K11" s="13">
        <f t="shared" ref="K11" si="8">F11-E11</f>
        <v>6.9900000003474361</v>
      </c>
      <c r="L11" s="35">
        <f t="shared" si="4"/>
        <v>13.534999999808633</v>
      </c>
    </row>
    <row r="12" spans="1:12" x14ac:dyDescent="0.25">
      <c r="B12" s="36"/>
      <c r="C12" s="36"/>
      <c r="D12" s="36"/>
      <c r="E12" s="36"/>
      <c r="F12" s="36"/>
      <c r="H12" s="13"/>
      <c r="I12" s="35"/>
      <c r="J12" s="13"/>
      <c r="K12" s="13"/>
      <c r="L12" s="35"/>
    </row>
    <row r="13" spans="1:12" s="34" customFormat="1" x14ac:dyDescent="0.25">
      <c r="A13" s="34" t="str">
        <f>'Ind T1'!A8</f>
        <v>Manufacturing</v>
      </c>
      <c r="B13" s="35">
        <f>'Ind T1'!B8</f>
        <v>2977.0189999889817</v>
      </c>
      <c r="C13" s="35">
        <f>'Ind T1'!C8</f>
        <v>2599.8869999849671</v>
      </c>
      <c r="D13" s="35">
        <f>'Ind T1'!D8</f>
        <v>2672.0749999920436</v>
      </c>
      <c r="E13" s="35">
        <f>'Ind T1'!E8</f>
        <v>2535.298999986137</v>
      </c>
      <c r="F13" s="35">
        <f>'Ind T1'!F8</f>
        <v>2414.4589999918867</v>
      </c>
      <c r="H13" s="35">
        <f t="shared" si="0"/>
        <v>-377.13200000401457</v>
      </c>
      <c r="I13" s="35">
        <f t="shared" si="1"/>
        <v>72.188000007076425</v>
      </c>
      <c r="J13" s="35">
        <f t="shared" si="2"/>
        <v>-136.77600000590655</v>
      </c>
      <c r="K13" s="35">
        <f t="shared" si="3"/>
        <v>-120.83999999425032</v>
      </c>
      <c r="L13" s="35">
        <f t="shared" si="4"/>
        <v>-257.61600000015687</v>
      </c>
    </row>
    <row r="14" spans="1:12" x14ac:dyDescent="0.25">
      <c r="A14" t="str">
        <f>'Ind T2'!A7</f>
        <v>Food drink and tobacco</v>
      </c>
      <c r="B14" s="36">
        <f>'Ind T2'!B7</f>
        <v>432.28399999739617</v>
      </c>
      <c r="C14" s="36">
        <f>'Ind T2'!C7</f>
        <v>403.12399999634022</v>
      </c>
      <c r="D14" s="36">
        <f>'Ind T2'!D7</f>
        <v>436.89199999930247</v>
      </c>
      <c r="E14" s="36">
        <f>'Ind T2'!E7</f>
        <v>415.71299999578639</v>
      </c>
      <c r="F14" s="36">
        <f>'Ind T2'!F7</f>
        <v>403.42699999834389</v>
      </c>
      <c r="H14" s="13">
        <f t="shared" si="0"/>
        <v>-29.160000001055948</v>
      </c>
      <c r="I14" s="35">
        <f t="shared" si="1"/>
        <v>33.768000002962253</v>
      </c>
      <c r="J14" s="13">
        <f t="shared" si="2"/>
        <v>-21.17900000351608</v>
      </c>
      <c r="K14" s="13">
        <f t="shared" si="3"/>
        <v>-12.285999997442502</v>
      </c>
      <c r="L14" s="35">
        <f t="shared" si="4"/>
        <v>-33.465000000958582</v>
      </c>
    </row>
    <row r="15" spans="1:12" x14ac:dyDescent="0.25">
      <c r="A15" t="str">
        <f>'Ind T2'!A8</f>
        <v>Engineering</v>
      </c>
      <c r="B15" s="36">
        <f>'Ind T2'!B8</f>
        <v>495.81599999827222</v>
      </c>
      <c r="C15" s="36">
        <f>'Ind T2'!C8</f>
        <v>422.07399999810599</v>
      </c>
      <c r="D15" s="36">
        <f>'Ind T2'!D8</f>
        <v>396.93399999873714</v>
      </c>
      <c r="E15" s="36">
        <f>'Ind T2'!E8</f>
        <v>398.75099999858503</v>
      </c>
      <c r="F15" s="36">
        <f>'Ind T2'!F8</f>
        <v>376.91199999897333</v>
      </c>
      <c r="H15" s="13">
        <f t="shared" si="0"/>
        <v>-73.742000000166229</v>
      </c>
      <c r="I15" s="35">
        <f t="shared" si="1"/>
        <v>-25.139999999368854</v>
      </c>
      <c r="J15" s="13">
        <f t="shared" si="2"/>
        <v>1.8169999998478943</v>
      </c>
      <c r="K15" s="13">
        <f t="shared" si="3"/>
        <v>-21.838999999611701</v>
      </c>
      <c r="L15" s="35">
        <f t="shared" si="4"/>
        <v>-20.021999999763807</v>
      </c>
    </row>
    <row r="16" spans="1:12" x14ac:dyDescent="0.25">
      <c r="A16" t="str">
        <f>'Ind T2'!A9</f>
        <v>Rest of manufacturing</v>
      </c>
      <c r="B16" s="36">
        <f>'Ind T2'!B9</f>
        <v>2048.9189999933137</v>
      </c>
      <c r="C16" s="36">
        <f>'Ind T2'!C9</f>
        <v>1774.6889999905211</v>
      </c>
      <c r="D16" s="36">
        <f>'Ind T2'!D9</f>
        <v>1838.2489999940042</v>
      </c>
      <c r="E16" s="36">
        <f>'Ind T2'!E9</f>
        <v>1720.8349999917655</v>
      </c>
      <c r="F16" s="36">
        <f>'Ind T2'!F9</f>
        <v>1634.1199999945695</v>
      </c>
      <c r="H16" s="13">
        <f t="shared" si="0"/>
        <v>-274.23000000279262</v>
      </c>
      <c r="I16" s="35">
        <f t="shared" si="1"/>
        <v>63.560000003483083</v>
      </c>
      <c r="J16" s="13">
        <f t="shared" si="2"/>
        <v>-117.41400000223871</v>
      </c>
      <c r="K16" s="13">
        <f t="shared" si="3"/>
        <v>-86.714999997195946</v>
      </c>
      <c r="L16" s="35">
        <f t="shared" si="4"/>
        <v>-204.12899999943465</v>
      </c>
    </row>
    <row r="17" spans="1:12" x14ac:dyDescent="0.25">
      <c r="B17" s="36"/>
      <c r="C17" s="36"/>
      <c r="D17" s="36"/>
      <c r="E17" s="36"/>
      <c r="F17" s="36"/>
      <c r="H17" s="13"/>
      <c r="I17" s="35">
        <f t="shared" si="1"/>
        <v>0</v>
      </c>
      <c r="J17" s="13"/>
      <c r="K17" s="13"/>
      <c r="L17" s="35"/>
    </row>
    <row r="18" spans="1:12" s="34" customFormat="1" x14ac:dyDescent="0.25">
      <c r="A18" s="34" t="str">
        <f>'Ind T1'!A9</f>
        <v>Construction</v>
      </c>
      <c r="B18" s="35">
        <f>'Ind T1'!B9</f>
        <v>2301.0030000110032</v>
      </c>
      <c r="C18" s="35">
        <f>'Ind T1'!C9</f>
        <v>2056.0949999815566</v>
      </c>
      <c r="D18" s="35">
        <f>'Ind T1'!D9</f>
        <v>2286.0480000047291</v>
      </c>
      <c r="E18" s="35">
        <f>'Ind T1'!E9</f>
        <v>2306.6340000232308</v>
      </c>
      <c r="F18" s="35">
        <f>'Ind T1'!F9</f>
        <v>2336.0260000307353</v>
      </c>
      <c r="H18" s="35">
        <f t="shared" si="0"/>
        <v>-244.90800002944661</v>
      </c>
      <c r="I18" s="35">
        <f t="shared" si="1"/>
        <v>229.95300002317254</v>
      </c>
      <c r="J18" s="35">
        <f t="shared" si="2"/>
        <v>20.586000018501636</v>
      </c>
      <c r="K18" s="35">
        <f t="shared" si="3"/>
        <v>29.392000007504521</v>
      </c>
      <c r="L18" s="35">
        <f t="shared" si="4"/>
        <v>49.978000026006157</v>
      </c>
    </row>
    <row r="19" spans="1:12" x14ac:dyDescent="0.25">
      <c r="A19" s="34"/>
      <c r="B19" s="36"/>
      <c r="C19" s="36"/>
      <c r="D19" s="36"/>
      <c r="E19" s="36"/>
      <c r="F19" s="36"/>
      <c r="H19" s="13"/>
      <c r="I19" s="35"/>
      <c r="J19" s="13"/>
      <c r="K19" s="13"/>
      <c r="L19" s="35"/>
    </row>
    <row r="20" spans="1:12" s="34" customFormat="1" x14ac:dyDescent="0.25">
      <c r="A20" s="34" t="str">
        <f>'Ind T1'!A10</f>
        <v>Trade, accomod. and transport</v>
      </c>
      <c r="B20" s="35">
        <f>'Ind T1'!B10</f>
        <v>8528.996999994597</v>
      </c>
      <c r="C20" s="35">
        <f>'Ind T1'!C10</f>
        <v>8402.6420000008638</v>
      </c>
      <c r="D20" s="35">
        <f>'Ind T1'!D10</f>
        <v>9218.2650000927588</v>
      </c>
      <c r="E20" s="35">
        <f>'Ind T1'!E10</f>
        <v>9163.5969999395293</v>
      </c>
      <c r="F20" s="35">
        <f>'Ind T1'!F10</f>
        <v>9323.2560000011599</v>
      </c>
      <c r="H20" s="35">
        <f t="shared" si="0"/>
        <v>-126.35499999373314</v>
      </c>
      <c r="I20" s="35">
        <f t="shared" si="1"/>
        <v>815.62300009189494</v>
      </c>
      <c r="J20" s="35">
        <f t="shared" si="2"/>
        <v>-54.668000153229514</v>
      </c>
      <c r="K20" s="35">
        <f t="shared" si="3"/>
        <v>159.65900006163065</v>
      </c>
      <c r="L20" s="35">
        <f t="shared" si="4"/>
        <v>104.99099990840114</v>
      </c>
    </row>
    <row r="21" spans="1:12" x14ac:dyDescent="0.25">
      <c r="A21" s="12" t="str">
        <f>'Ind T2'!A13</f>
        <v>Wholesale and retail trade</v>
      </c>
      <c r="B21" s="36">
        <f>'Ind T2'!B13</f>
        <v>5012.996000006111</v>
      </c>
      <c r="C21" s="36">
        <f>'Ind T2'!C13</f>
        <v>4840.7770000078981</v>
      </c>
      <c r="D21" s="36">
        <f>'Ind T2'!D13</f>
        <v>4980.1460000528386</v>
      </c>
      <c r="E21" s="36">
        <f>'Ind T2'!E13</f>
        <v>4996.6649999680012</v>
      </c>
      <c r="F21" s="36">
        <f>'Ind T2'!F13</f>
        <v>5045.830000002743</v>
      </c>
      <c r="H21" s="13">
        <f t="shared" si="0"/>
        <v>-172.21899999821289</v>
      </c>
      <c r="I21" s="35">
        <f t="shared" si="1"/>
        <v>139.36900004494055</v>
      </c>
      <c r="J21" s="13">
        <f t="shared" si="2"/>
        <v>16.518999915162567</v>
      </c>
      <c r="K21" s="13">
        <f t="shared" si="3"/>
        <v>49.165000034741752</v>
      </c>
      <c r="L21" s="35">
        <f t="shared" si="4"/>
        <v>65.683999949904319</v>
      </c>
    </row>
    <row r="22" spans="1:12" x14ac:dyDescent="0.25">
      <c r="A22" s="12" t="str">
        <f>'Ind T2'!A14</f>
        <v>Transport and storage</v>
      </c>
      <c r="B22" s="36">
        <f>'Ind T2'!B14</f>
        <v>1504.0029999935571</v>
      </c>
      <c r="C22" s="36">
        <f>'Ind T2'!C14</f>
        <v>1507.9670000006272</v>
      </c>
      <c r="D22" s="36">
        <f>'Ind T2'!D14</f>
        <v>1803.0430000179445</v>
      </c>
      <c r="E22" s="36">
        <f>'Ind T2'!E14</f>
        <v>1768.919999987545</v>
      </c>
      <c r="F22" s="36">
        <f>'Ind T2'!F14</f>
        <v>1769.4869999931366</v>
      </c>
      <c r="H22" s="13">
        <f t="shared" si="0"/>
        <v>3.9640000070701262</v>
      </c>
      <c r="I22" s="35">
        <f t="shared" si="1"/>
        <v>295.07600001731726</v>
      </c>
      <c r="J22" s="13">
        <f t="shared" si="2"/>
        <v>-34.123000030399453</v>
      </c>
      <c r="K22" s="13">
        <f t="shared" si="3"/>
        <v>0.5670000055915807</v>
      </c>
      <c r="L22" s="35">
        <f t="shared" si="4"/>
        <v>-33.556000024807872</v>
      </c>
    </row>
    <row r="23" spans="1:12" x14ac:dyDescent="0.25">
      <c r="A23" s="12" t="str">
        <f>'Ind T2'!A15</f>
        <v>Accommodation and food</v>
      </c>
      <c r="B23" s="36">
        <f>'Ind T2'!B15</f>
        <v>2011.9979999949289</v>
      </c>
      <c r="C23" s="36">
        <f>'Ind T2'!C15</f>
        <v>2053.8979999923381</v>
      </c>
      <c r="D23" s="36">
        <f>'Ind T2'!D15</f>
        <v>2435.0760000219766</v>
      </c>
      <c r="E23" s="36">
        <f>'Ind T2'!E15</f>
        <v>2398.0119999839822</v>
      </c>
      <c r="F23" s="36">
        <f>'Ind T2'!F15</f>
        <v>2507.9390000052799</v>
      </c>
      <c r="H23" s="13">
        <f t="shared" si="0"/>
        <v>41.899999997409168</v>
      </c>
      <c r="I23" s="35">
        <f t="shared" si="1"/>
        <v>381.1780000296385</v>
      </c>
      <c r="J23" s="13">
        <f t="shared" si="2"/>
        <v>-37.064000037994447</v>
      </c>
      <c r="K23" s="13">
        <f t="shared" si="3"/>
        <v>109.92700002129777</v>
      </c>
      <c r="L23" s="35">
        <f t="shared" si="4"/>
        <v>72.862999983303325</v>
      </c>
    </row>
    <row r="24" spans="1:12" x14ac:dyDescent="0.25">
      <c r="B24" s="36"/>
      <c r="C24" s="36"/>
      <c r="D24" s="36"/>
      <c r="E24" s="36"/>
      <c r="F24" s="36"/>
      <c r="H24" s="13"/>
      <c r="I24" s="35"/>
      <c r="J24" s="13"/>
      <c r="K24" s="13"/>
      <c r="L24" s="35"/>
    </row>
    <row r="25" spans="1:12" s="34" customFormat="1" x14ac:dyDescent="0.25">
      <c r="A25" s="34" t="str">
        <f>'Ind T1'!A11</f>
        <v>Business and other services</v>
      </c>
      <c r="B25" s="35">
        <f>'Ind T1'!B11</f>
        <v>9537.0059999813766</v>
      </c>
      <c r="C25" s="35">
        <f>'Ind T1'!C11</f>
        <v>9786.7950000002838</v>
      </c>
      <c r="D25" s="35">
        <f>'Ind T1'!D11</f>
        <v>11176.326999948447</v>
      </c>
      <c r="E25" s="35">
        <f>'Ind T1'!E11</f>
        <v>11609.434999982173</v>
      </c>
      <c r="F25" s="35">
        <f>'Ind T1'!F11</f>
        <v>11838.384999964905</v>
      </c>
      <c r="H25" s="35">
        <f t="shared" si="0"/>
        <v>249.78900001890725</v>
      </c>
      <c r="I25" s="35">
        <f t="shared" si="1"/>
        <v>1389.5319999481635</v>
      </c>
      <c r="J25" s="35">
        <f t="shared" si="2"/>
        <v>433.10800003372606</v>
      </c>
      <c r="K25" s="35">
        <f t="shared" si="3"/>
        <v>228.94999998273124</v>
      </c>
      <c r="L25" s="35">
        <f t="shared" si="4"/>
        <v>662.0580000164573</v>
      </c>
    </row>
    <row r="26" spans="1:12" x14ac:dyDescent="0.25">
      <c r="A26" s="12" t="str">
        <f>'Ind T2'!A16</f>
        <v>Media</v>
      </c>
      <c r="B26" s="13">
        <f>'Ind T2'!B16</f>
        <v>356.9169999991974</v>
      </c>
      <c r="C26" s="13">
        <f>'Ind T2'!C16</f>
        <v>373.49800000086202</v>
      </c>
      <c r="D26" s="13">
        <f>'Ind T2'!D16</f>
        <v>394.24399999736482</v>
      </c>
      <c r="E26" s="13">
        <f>'Ind T2'!E16</f>
        <v>398.85199999881922</v>
      </c>
      <c r="F26" s="13">
        <f>'Ind T2'!F16</f>
        <v>403.50399999736345</v>
      </c>
      <c r="H26" s="13">
        <f t="shared" si="0"/>
        <v>16.58100000166462</v>
      </c>
      <c r="I26" s="35">
        <f t="shared" si="1"/>
        <v>20.745999996502803</v>
      </c>
      <c r="J26" s="13">
        <f t="shared" si="2"/>
        <v>4.6080000014543998</v>
      </c>
      <c r="K26" s="13">
        <f t="shared" si="3"/>
        <v>4.6519999985442269</v>
      </c>
      <c r="L26" s="35">
        <f t="shared" si="4"/>
        <v>9.2599999999986267</v>
      </c>
    </row>
    <row r="27" spans="1:12" x14ac:dyDescent="0.25">
      <c r="A27" s="12" t="str">
        <f>'Ind T2'!A17</f>
        <v>Information technology</v>
      </c>
      <c r="B27" s="13">
        <f>'Ind T2'!B17</f>
        <v>894.08799999886185</v>
      </c>
      <c r="C27" s="13">
        <f>'Ind T2'!C17</f>
        <v>849.47700000136092</v>
      </c>
      <c r="D27" s="13">
        <f>'Ind T2'!D17</f>
        <v>1102.7999999907265</v>
      </c>
      <c r="E27" s="13">
        <f>'Ind T2'!E17</f>
        <v>1147.5530000012718</v>
      </c>
      <c r="F27" s="13">
        <f>'Ind T2'!F17</f>
        <v>1188.3419999957659</v>
      </c>
      <c r="H27" s="13">
        <f t="shared" si="0"/>
        <v>-44.610999997500926</v>
      </c>
      <c r="I27" s="35">
        <f t="shared" si="1"/>
        <v>253.3229999893656</v>
      </c>
      <c r="J27" s="13">
        <f t="shared" si="2"/>
        <v>44.753000010545293</v>
      </c>
      <c r="K27" s="13">
        <f t="shared" si="3"/>
        <v>40.788999994494134</v>
      </c>
      <c r="L27" s="35">
        <f t="shared" si="4"/>
        <v>85.542000005039426</v>
      </c>
    </row>
    <row r="28" spans="1:12" x14ac:dyDescent="0.25">
      <c r="A28" s="12" t="str">
        <f>'Ind T2'!A18</f>
        <v>Finance and insurance</v>
      </c>
      <c r="B28" s="13">
        <f>'Ind T2'!B18</f>
        <v>1180.0009999978142</v>
      </c>
      <c r="C28" s="13">
        <f>'Ind T2'!C18</f>
        <v>1144.9430000015018</v>
      </c>
      <c r="D28" s="13">
        <f>'Ind T2'!D18</f>
        <v>1134.0389999918809</v>
      </c>
      <c r="E28" s="13">
        <f>'Ind T2'!E18</f>
        <v>1136.6719999969075</v>
      </c>
      <c r="F28" s="13">
        <f>'Ind T2'!F18</f>
        <v>1122.6319999933098</v>
      </c>
      <c r="H28" s="13">
        <f t="shared" si="0"/>
        <v>-35.057999996312446</v>
      </c>
      <c r="I28" s="35">
        <f t="shared" si="1"/>
        <v>-10.904000009620859</v>
      </c>
      <c r="J28" s="13">
        <f t="shared" si="2"/>
        <v>2.633000005026588</v>
      </c>
      <c r="K28" s="13">
        <f t="shared" si="3"/>
        <v>-14.040000003597697</v>
      </c>
      <c r="L28" s="35">
        <f t="shared" si="4"/>
        <v>-11.406999998571109</v>
      </c>
    </row>
    <row r="29" spans="1:12" s="286" customFormat="1" x14ac:dyDescent="0.25">
      <c r="A29" s="12" t="str">
        <f>'Ind T2'!A19</f>
        <v>Real estate</v>
      </c>
      <c r="B29" s="13">
        <f>'Ind T2'!B19</f>
        <v>442.99699999944011</v>
      </c>
      <c r="C29" s="13">
        <f>'Ind T2'!C19</f>
        <v>491.98299999944902</v>
      </c>
      <c r="D29" s="13">
        <f>'Ind T2'!D19</f>
        <v>546.01899999880891</v>
      </c>
      <c r="E29" s="13">
        <f>'Ind T2'!E19</f>
        <v>556.52799999846707</v>
      </c>
      <c r="F29" s="13">
        <f>'Ind T2'!F19</f>
        <v>570.10899999955313</v>
      </c>
      <c r="H29" s="13">
        <f t="shared" ref="H29:H31" si="9">C29-B29</f>
        <v>48.986000000008914</v>
      </c>
      <c r="I29" s="35">
        <f t="shared" ref="I29:I31" si="10">D29-C29</f>
        <v>54.035999999359888</v>
      </c>
      <c r="J29" s="13">
        <f t="shared" ref="J29:J31" si="11">E29-D29</f>
        <v>10.508999999658158</v>
      </c>
      <c r="K29" s="13">
        <f t="shared" ref="K29:K31" si="12">F29-E29</f>
        <v>13.581000001086068</v>
      </c>
      <c r="L29" s="35">
        <f t="shared" si="4"/>
        <v>24.090000000744226</v>
      </c>
    </row>
    <row r="30" spans="1:12" s="286" customFormat="1" x14ac:dyDescent="0.25">
      <c r="A30" s="12" t="str">
        <f>'Ind T2'!A20</f>
        <v>Professional services</v>
      </c>
      <c r="B30" s="13">
        <f>'Ind T2'!B20</f>
        <v>2268.9989999969357</v>
      </c>
      <c r="C30" s="13">
        <f>'Ind T2'!C20</f>
        <v>2528.9640000045051</v>
      </c>
      <c r="D30" s="13">
        <f>'Ind T2'!D20</f>
        <v>3014.0879999685353</v>
      </c>
      <c r="E30" s="13">
        <f>'Ind T2'!E20</f>
        <v>3166.5210000062625</v>
      </c>
      <c r="F30" s="13">
        <f>'Ind T2'!F20</f>
        <v>3236.19099998703</v>
      </c>
      <c r="H30" s="13">
        <f t="shared" si="9"/>
        <v>259.96500000756942</v>
      </c>
      <c r="I30" s="35">
        <f t="shared" si="10"/>
        <v>485.12399996403019</v>
      </c>
      <c r="J30" s="13">
        <f t="shared" si="11"/>
        <v>152.4330000377272</v>
      </c>
      <c r="K30" s="13">
        <f t="shared" si="12"/>
        <v>69.669999980767443</v>
      </c>
      <c r="L30" s="35">
        <f t="shared" si="4"/>
        <v>222.10300001849464</v>
      </c>
    </row>
    <row r="31" spans="1:12" s="286" customFormat="1" x14ac:dyDescent="0.25">
      <c r="A31" s="12" t="str">
        <f>'Ind T2'!A21</f>
        <v>Support services</v>
      </c>
      <c r="B31" s="13">
        <f>'Ind T2'!B21</f>
        <v>2546.0019999911133</v>
      </c>
      <c r="C31" s="13">
        <f>'Ind T2'!C21</f>
        <v>2613.9029999911172</v>
      </c>
      <c r="D31" s="13">
        <f>'Ind T2'!D21</f>
        <v>2997.0850000033129</v>
      </c>
      <c r="E31" s="13">
        <f>'Ind T2'!E21</f>
        <v>3120.143999982587</v>
      </c>
      <c r="F31" s="13">
        <f>'Ind T2'!F21</f>
        <v>3193.7409999954671</v>
      </c>
      <c r="H31" s="13">
        <f t="shared" si="9"/>
        <v>67.901000000003933</v>
      </c>
      <c r="I31" s="35">
        <f t="shared" si="10"/>
        <v>383.18200001219566</v>
      </c>
      <c r="J31" s="13">
        <f t="shared" si="11"/>
        <v>123.05899997927418</v>
      </c>
      <c r="K31" s="13">
        <f t="shared" si="12"/>
        <v>73.597000012880017</v>
      </c>
      <c r="L31" s="35">
        <f t="shared" si="4"/>
        <v>196.65599999215419</v>
      </c>
    </row>
    <row r="32" spans="1:12" s="286" customFormat="1" x14ac:dyDescent="0.25">
      <c r="A32" s="12" t="str">
        <f>'Ind T2'!A25</f>
        <v>Arts and entertainment</v>
      </c>
      <c r="B32" s="13">
        <f>'Ind T2'!B25</f>
        <v>869.0009999984519</v>
      </c>
      <c r="C32" s="13">
        <f>'Ind T2'!C25</f>
        <v>901.00499999988631</v>
      </c>
      <c r="D32" s="13">
        <f>'Ind T2'!D25</f>
        <v>981.02599999688744</v>
      </c>
      <c r="E32" s="13">
        <f>'Ind T2'!E25</f>
        <v>1041.4049999970255</v>
      </c>
      <c r="F32" s="13">
        <f>'Ind T2'!F25</f>
        <v>1070.5299999960994</v>
      </c>
      <c r="H32" s="13">
        <f t="shared" ref="H32" si="13">C32-B32</f>
        <v>32.004000001434406</v>
      </c>
      <c r="I32" s="35">
        <f t="shared" ref="I32:I33" si="14">D32-C32</f>
        <v>80.020999997001127</v>
      </c>
      <c r="J32" s="13">
        <f t="shared" ref="J32:J33" si="15">E32-D32</f>
        <v>60.379000000138035</v>
      </c>
      <c r="K32" s="13">
        <f t="shared" ref="K32:K33" si="16">F32-E32</f>
        <v>29.124999999073907</v>
      </c>
      <c r="L32" s="35">
        <f t="shared" si="4"/>
        <v>89.503999999211942</v>
      </c>
    </row>
    <row r="33" spans="1:12" s="286" customFormat="1" x14ac:dyDescent="0.25">
      <c r="A33" s="12" t="str">
        <f>'Ind T2'!A26</f>
        <v>Other services</v>
      </c>
      <c r="B33" s="13">
        <f>'Ind T2'!B26</f>
        <v>979.00099999956262</v>
      </c>
      <c r="C33" s="13">
        <f>'Ind T2'!C26</f>
        <v>883.02200000159814</v>
      </c>
      <c r="D33" s="13">
        <f>'Ind T2'!D26</f>
        <v>1007.0260000009291</v>
      </c>
      <c r="E33" s="13">
        <f>'Ind T2'!E26</f>
        <v>1041.7600000008347</v>
      </c>
      <c r="F33" s="13">
        <f>'Ind T2'!F26</f>
        <v>1053.3360000003177</v>
      </c>
      <c r="H33" s="13">
        <f>C33-B33</f>
        <v>-95.978999997964479</v>
      </c>
      <c r="I33" s="35">
        <f t="shared" si="14"/>
        <v>124.00399999933097</v>
      </c>
      <c r="J33" s="13">
        <f t="shared" si="15"/>
        <v>34.733999999905564</v>
      </c>
      <c r="K33" s="13">
        <f t="shared" si="16"/>
        <v>11.575999999482974</v>
      </c>
      <c r="L33" s="35">
        <f t="shared" si="4"/>
        <v>46.309999999388538</v>
      </c>
    </row>
    <row r="34" spans="1:12" x14ac:dyDescent="0.25">
      <c r="B34" s="36"/>
      <c r="C34" s="36"/>
      <c r="D34" s="36"/>
      <c r="E34" s="36"/>
      <c r="F34" s="36"/>
      <c r="H34" s="13"/>
      <c r="I34" s="35"/>
      <c r="J34" s="13"/>
      <c r="K34" s="13"/>
      <c r="L34" s="35"/>
    </row>
    <row r="35" spans="1:12" s="34" customFormat="1" x14ac:dyDescent="0.25">
      <c r="A35" s="34" t="str">
        <f>'Ind T1'!A12</f>
        <v>Non-marketed services</v>
      </c>
      <c r="B35" s="35">
        <f>'Ind T1'!B12</f>
        <v>7760.0000000255814</v>
      </c>
      <c r="C35" s="35">
        <f>'Ind T1'!C12</f>
        <v>8139.590000035475</v>
      </c>
      <c r="D35" s="35">
        <f>'Ind T1'!D12</f>
        <v>8637.2629999623405</v>
      </c>
      <c r="E35" s="35">
        <f>'Ind T1'!E12</f>
        <v>8790.4760000712104</v>
      </c>
      <c r="F35" s="35">
        <f>'Ind T1'!F12</f>
        <v>9066.7590000119435</v>
      </c>
      <c r="H35" s="35">
        <f t="shared" si="0"/>
        <v>379.59000000989363</v>
      </c>
      <c r="I35" s="35">
        <f t="shared" si="1"/>
        <v>497.67299992686549</v>
      </c>
      <c r="J35" s="35">
        <f t="shared" si="2"/>
        <v>153.21300010886989</v>
      </c>
      <c r="K35" s="35">
        <f t="shared" si="3"/>
        <v>276.28299994073313</v>
      </c>
      <c r="L35" s="35">
        <f t="shared" si="4"/>
        <v>429.49600004960303</v>
      </c>
    </row>
    <row r="36" spans="1:12" x14ac:dyDescent="0.25">
      <c r="A36" s="12" t="str">
        <f>'Ind T2'!A22</f>
        <v>Public admin. and defence</v>
      </c>
      <c r="B36" s="36">
        <f>'Ind T2'!B22</f>
        <v>1571.9999999991799</v>
      </c>
      <c r="C36" s="36">
        <f>'Ind T2'!C22</f>
        <v>1389.9119999994225</v>
      </c>
      <c r="D36" s="36">
        <f>'Ind T2'!D22</f>
        <v>1330.0479999937118</v>
      </c>
      <c r="E36" s="36">
        <f>'Ind T2'!E22</f>
        <v>1306.8430000034846</v>
      </c>
      <c r="F36" s="36">
        <f>'Ind T2'!F22</f>
        <v>1323.1529999996937</v>
      </c>
      <c r="H36" s="13">
        <f t="shared" si="0"/>
        <v>-182.08799999975736</v>
      </c>
      <c r="I36" s="35">
        <f t="shared" si="1"/>
        <v>-59.86400000571075</v>
      </c>
      <c r="J36" s="13">
        <f t="shared" si="2"/>
        <v>-23.204999990227179</v>
      </c>
      <c r="K36" s="13">
        <f t="shared" si="3"/>
        <v>16.309999996209172</v>
      </c>
      <c r="L36" s="35">
        <f t="shared" si="4"/>
        <v>-6.8949999940180078</v>
      </c>
    </row>
    <row r="37" spans="1:12" x14ac:dyDescent="0.25">
      <c r="A37" s="12" t="str">
        <f>'Ind T2'!A23</f>
        <v>Education</v>
      </c>
      <c r="B37" s="36">
        <f>'Ind T2'!B23</f>
        <v>2590.9980000533205</v>
      </c>
      <c r="C37" s="36">
        <f>'Ind T2'!C23</f>
        <v>2764.8700000620011</v>
      </c>
      <c r="D37" s="36">
        <f>'Ind T2'!D23</f>
        <v>2926.0890000192853</v>
      </c>
      <c r="E37" s="36">
        <f>'Ind T2'!E23</f>
        <v>2888.1510000897474</v>
      </c>
      <c r="F37" s="36">
        <f>'Ind T2'!F23</f>
        <v>2935.584000038913</v>
      </c>
      <c r="H37" s="13">
        <f t="shared" si="0"/>
        <v>173.87200000868052</v>
      </c>
      <c r="I37" s="35">
        <f t="shared" si="1"/>
        <v>161.21899995728427</v>
      </c>
      <c r="J37" s="13">
        <f t="shared" si="2"/>
        <v>-37.937999929537909</v>
      </c>
      <c r="K37" s="13">
        <f t="shared" si="3"/>
        <v>47.432999949165605</v>
      </c>
      <c r="L37" s="35">
        <f t="shared" si="4"/>
        <v>9.495000019627696</v>
      </c>
    </row>
    <row r="38" spans="1:12" x14ac:dyDescent="0.25">
      <c r="A38" s="12" t="str">
        <f>'Ind T2'!A24</f>
        <v>Health and social work</v>
      </c>
      <c r="B38" s="36">
        <f>'Ind T2'!B24</f>
        <v>3597.0019999730803</v>
      </c>
      <c r="C38" s="36">
        <f>'Ind T2'!C24</f>
        <v>3984.8079999740512</v>
      </c>
      <c r="D38" s="36">
        <f>'Ind T2'!D24</f>
        <v>4381.1259999493423</v>
      </c>
      <c r="E38" s="36">
        <f>'Ind T2'!E24</f>
        <v>4595.4819999779784</v>
      </c>
      <c r="F38" s="36">
        <f>'Ind T2'!F24</f>
        <v>4808.0219999733354</v>
      </c>
      <c r="G38" s="2"/>
      <c r="H38" s="47">
        <f t="shared" si="0"/>
        <v>387.80600000097093</v>
      </c>
      <c r="I38" s="35">
        <f t="shared" si="1"/>
        <v>396.31799997529106</v>
      </c>
      <c r="J38" s="47">
        <f t="shared" si="2"/>
        <v>214.35600002863612</v>
      </c>
      <c r="K38" s="47">
        <f t="shared" si="3"/>
        <v>212.53999999535699</v>
      </c>
      <c r="L38" s="35">
        <f t="shared" si="4"/>
        <v>426.89600002399311</v>
      </c>
    </row>
    <row r="39" spans="1:12" x14ac:dyDescent="0.25">
      <c r="A39" s="2"/>
      <c r="B39" s="46"/>
      <c r="C39" s="46"/>
      <c r="D39" s="46"/>
      <c r="E39" s="46"/>
      <c r="F39" s="46"/>
      <c r="G39" s="2"/>
      <c r="H39" s="47"/>
      <c r="I39" s="47"/>
      <c r="J39" s="47"/>
      <c r="K39" s="47"/>
      <c r="L39" s="35"/>
    </row>
    <row r="40" spans="1:12" x14ac:dyDescent="0.25">
      <c r="A40" s="48" t="str">
        <f>'Ind T1'!A14</f>
        <v>All industries</v>
      </c>
      <c r="B40" s="38">
        <f>'Ind T1'!B14</f>
        <v>31790.007000000063</v>
      </c>
      <c r="C40" s="38">
        <f>'Ind T1'!C14</f>
        <v>31800.01300000025</v>
      </c>
      <c r="D40" s="38">
        <f>'Ind T1'!D14</f>
        <v>34847.991999999991</v>
      </c>
      <c r="E40" s="38">
        <f>'Ind T1'!E14</f>
        <v>35250.447999999946</v>
      </c>
      <c r="F40" s="38">
        <f>'Ind T1'!F14</f>
        <v>35820.953000000147</v>
      </c>
      <c r="G40" s="37"/>
      <c r="H40" s="39">
        <f t="shared" si="0"/>
        <v>10.006000000186759</v>
      </c>
      <c r="I40" s="39">
        <f>D40-C40</f>
        <v>3047.9789999997411</v>
      </c>
      <c r="J40" s="39">
        <f>E40-D40</f>
        <v>402.45599999995466</v>
      </c>
      <c r="K40" s="39">
        <f>F40-E40</f>
        <v>570.50500000020111</v>
      </c>
      <c r="L40" s="303">
        <f t="shared" si="4"/>
        <v>972.96100000015576</v>
      </c>
    </row>
    <row r="44" spans="1:12" ht="15.6" x14ac:dyDescent="0.3">
      <c r="A44" s="23" t="str">
        <f>CONCATENATE(A1," (Continued)")</f>
        <v>Industry Table 4  Employment by Industry Group in Sector (SIC 2007), 2007-2027 (Continued)</v>
      </c>
    </row>
    <row r="46" spans="1:12" x14ac:dyDescent="0.25">
      <c r="L46" s="19" t="s">
        <v>20</v>
      </c>
    </row>
    <row r="47" spans="1:12" x14ac:dyDescent="0.25">
      <c r="A47" s="41"/>
      <c r="B47" s="32" t="s">
        <v>14</v>
      </c>
      <c r="C47" s="32"/>
      <c r="D47" s="32"/>
      <c r="E47" s="32"/>
      <c r="F47" s="32"/>
      <c r="G47" s="32"/>
      <c r="H47" s="78" t="s">
        <v>515</v>
      </c>
      <c r="I47" s="32"/>
      <c r="J47" s="32"/>
      <c r="K47" s="32"/>
      <c r="L47" s="32"/>
    </row>
    <row r="48" spans="1:12" x14ac:dyDescent="0.25">
      <c r="A48" s="37"/>
      <c r="B48" s="42" t="str">
        <f>H5</f>
        <v>2007-2012</v>
      </c>
      <c r="C48" s="42" t="str">
        <f>I5</f>
        <v>2012-2017</v>
      </c>
      <c r="D48" s="42" t="str">
        <f>J5</f>
        <v>2017-2022</v>
      </c>
      <c r="E48" s="42" t="str">
        <f>K5</f>
        <v>2022-2027</v>
      </c>
      <c r="F48" s="42" t="str">
        <f>L5</f>
        <v>2017-2027</v>
      </c>
      <c r="G48" s="50"/>
      <c r="H48" s="51">
        <f>B5</f>
        <v>2007</v>
      </c>
      <c r="I48" s="51">
        <f>C5</f>
        <v>2012</v>
      </c>
      <c r="J48" s="51">
        <f>D5</f>
        <v>2017</v>
      </c>
      <c r="K48" s="51">
        <f>E5</f>
        <v>2022</v>
      </c>
      <c r="L48" s="51">
        <f>F5</f>
        <v>2027</v>
      </c>
    </row>
    <row r="50" spans="1:12" s="34" customFormat="1" x14ac:dyDescent="0.25">
      <c r="A50" s="34" t="str">
        <f>A7</f>
        <v>Primary sector and utilities</v>
      </c>
      <c r="B50" s="53">
        <f t="shared" ref="B50:E54" si="17">IF(AND(C$5-B$5 &lt;&gt; 0,B7&lt;&gt;0,C7&lt;&gt;0),(EXP(LN(C7/B7)/(C$5-B$5))-1)*100,0)</f>
        <v>3.5069243671608907</v>
      </c>
      <c r="C50" s="53">
        <f t="shared" si="17"/>
        <v>1.03385563927616</v>
      </c>
      <c r="D50" s="53">
        <f t="shared" si="17"/>
        <v>-0.30504389332345339</v>
      </c>
      <c r="E50" s="53">
        <f t="shared" si="17"/>
        <v>-6.9658532530003647E-2</v>
      </c>
      <c r="F50" s="53">
        <f>IF(AND(F$5-D$5 &lt;&gt; 0,D7&lt;&gt;0,F7&lt;&gt;0),(EXP(LN(F7/D7)/(F$5-D$5))-1)*100,0)</f>
        <v>-0.18742060078488221</v>
      </c>
      <c r="H50" s="53">
        <f>(B7/B$40)*100</f>
        <v>2.1578541961268605</v>
      </c>
      <c r="I50" s="53">
        <f>(C7/C$40)*100</f>
        <v>2.5629046126399322</v>
      </c>
      <c r="J50" s="53">
        <f>(D7/D$40)*100</f>
        <v>2.4621619518268809</v>
      </c>
      <c r="K50" s="53">
        <f>(E7/E$40)*100</f>
        <v>2.3971525127784696</v>
      </c>
      <c r="L50" s="53">
        <f>(F7/F$40)*100</f>
        <v>2.3507693946599177</v>
      </c>
    </row>
    <row r="51" spans="1:12" x14ac:dyDescent="0.25">
      <c r="A51" t="str">
        <f>A8</f>
        <v>Agriculture</v>
      </c>
      <c r="B51" s="49">
        <f t="shared" si="17"/>
        <v>2.4463120238458425</v>
      </c>
      <c r="C51" s="53">
        <f t="shared" si="17"/>
        <v>0.92926892279201478</v>
      </c>
      <c r="D51" s="49">
        <f t="shared" si="17"/>
        <v>-0.79001185755103176</v>
      </c>
      <c r="E51" s="49">
        <f t="shared" si="17"/>
        <v>-0.25519191807623631</v>
      </c>
      <c r="F51" s="53">
        <f t="shared" ref="F51:F83" si="18">IF(AND(F$5-D$5 &lt;&gt; 0,D8&lt;&gt;0,F8&lt;&gt;0),(EXP(LN(F8/D8)/(F$5-D$5))-1)*100,0)</f>
        <v>-0.52296130725189016</v>
      </c>
      <c r="H51" s="49">
        <f t="shared" ref="H51:L54" si="19">(B8/B$7)*100</f>
        <v>54.519652119165251</v>
      </c>
      <c r="I51" s="49">
        <f t="shared" si="19"/>
        <v>51.783058733505392</v>
      </c>
      <c r="J51" s="49">
        <f t="shared" si="19"/>
        <v>51.51559298582589</v>
      </c>
      <c r="K51" s="49">
        <f t="shared" si="19"/>
        <v>50.274731451990426</v>
      </c>
      <c r="L51" s="49">
        <f t="shared" si="19"/>
        <v>49.809754081759507</v>
      </c>
    </row>
    <row r="52" spans="1:12" x14ac:dyDescent="0.25">
      <c r="A52" t="str">
        <f>A9</f>
        <v>Mining and quarrying</v>
      </c>
      <c r="B52" s="49">
        <f t="shared" si="17"/>
        <v>2.5161720621462713</v>
      </c>
      <c r="C52" s="53">
        <f t="shared" si="17"/>
        <v>-3.6299353695282144</v>
      </c>
      <c r="D52" s="49">
        <f t="shared" si="17"/>
        <v>-0.89488112013975663</v>
      </c>
      <c r="E52" s="49">
        <f t="shared" si="17"/>
        <v>-1.7826193704020832</v>
      </c>
      <c r="F52" s="53">
        <f t="shared" si="18"/>
        <v>-1.339748716290079</v>
      </c>
      <c r="H52" s="49">
        <f t="shared" si="19"/>
        <v>9.9133796513789552</v>
      </c>
      <c r="I52" s="49">
        <f t="shared" si="19"/>
        <v>9.4479290899347905</v>
      </c>
      <c r="J52" s="49">
        <f t="shared" si="19"/>
        <v>7.4595519420062635</v>
      </c>
      <c r="K52" s="49">
        <f t="shared" si="19"/>
        <v>7.2414784729700736</v>
      </c>
      <c r="L52" s="49">
        <f t="shared" si="19"/>
        <v>6.6417438971627742</v>
      </c>
    </row>
    <row r="53" spans="1:12" x14ac:dyDescent="0.25">
      <c r="A53" t="str">
        <f>A10</f>
        <v>Electricity and gas</v>
      </c>
      <c r="B53" s="49">
        <f t="shared" si="17"/>
        <v>7.4946352643147085</v>
      </c>
      <c r="C53" s="53">
        <f t="shared" si="17"/>
        <v>3.3733220117806217</v>
      </c>
      <c r="D53" s="49">
        <f t="shared" si="17"/>
        <v>6.2006819882598485E-2</v>
      </c>
      <c r="E53" s="49">
        <f t="shared" si="17"/>
        <v>0.10045841368875319</v>
      </c>
      <c r="F53" s="53">
        <f t="shared" si="18"/>
        <v>8.1230770129403496E-2</v>
      </c>
      <c r="H53" s="49">
        <f t="shared" si="19"/>
        <v>12.389975247148193</v>
      </c>
      <c r="I53" s="49">
        <f t="shared" si="19"/>
        <v>14.967779299243405</v>
      </c>
      <c r="J53" s="49">
        <f t="shared" si="19"/>
        <v>16.782826387395993</v>
      </c>
      <c r="K53" s="49">
        <f t="shared" si="19"/>
        <v>17.094059575844415</v>
      </c>
      <c r="L53" s="49">
        <f t="shared" si="19"/>
        <v>17.240056622461996</v>
      </c>
    </row>
    <row r="54" spans="1:12" s="286" customFormat="1" x14ac:dyDescent="0.25">
      <c r="A54" s="286" t="str">
        <f>A11</f>
        <v>Water and sewerage</v>
      </c>
      <c r="B54" s="49">
        <f t="shared" si="17"/>
        <v>4.0585756278980867</v>
      </c>
      <c r="C54" s="53">
        <f t="shared" si="17"/>
        <v>1.4053406299354032</v>
      </c>
      <c r="D54" s="49">
        <f t="shared" si="17"/>
        <v>0.62155220619473095</v>
      </c>
      <c r="E54" s="49">
        <f t="shared" si="17"/>
        <v>0.64328190686187003</v>
      </c>
      <c r="F54" s="53">
        <f t="shared" si="18"/>
        <v>0.63241647001266443</v>
      </c>
      <c r="H54" s="49">
        <f t="shared" si="19"/>
        <v>23.176992982307599</v>
      </c>
      <c r="I54" s="49">
        <f t="shared" si="19"/>
        <v>23.801232877316401</v>
      </c>
      <c r="J54" s="49">
        <f t="shared" si="19"/>
        <v>24.242028684771867</v>
      </c>
      <c r="K54" s="49">
        <f t="shared" si="19"/>
        <v>25.389730499195078</v>
      </c>
      <c r="L54" s="49">
        <f t="shared" si="19"/>
        <v>26.308445398615714</v>
      </c>
    </row>
    <row r="55" spans="1:12" x14ac:dyDescent="0.25">
      <c r="B55" s="49"/>
      <c r="C55" s="53"/>
      <c r="D55" s="49"/>
      <c r="E55" s="49"/>
      <c r="F55" s="53"/>
      <c r="H55" s="49"/>
      <c r="I55" s="49"/>
      <c r="J55" s="49"/>
      <c r="K55" s="49"/>
      <c r="L55" s="49"/>
    </row>
    <row r="56" spans="1:12" s="34" customFormat="1" x14ac:dyDescent="0.25">
      <c r="A56" s="34" t="str">
        <f>A13</f>
        <v>Manufacturing</v>
      </c>
      <c r="B56" s="53">
        <f t="shared" ref="B56:E59" si="20">IF(AND(C$5-B$5 &lt;&gt; 0,B13&lt;&gt;0,C13&lt;&gt;0),(EXP(LN(C13/B13)/(C$5-B$5))-1)*100,0)</f>
        <v>-2.6727229435902</v>
      </c>
      <c r="C56" s="53">
        <f t="shared" si="20"/>
        <v>0.54924970771286219</v>
      </c>
      <c r="D56" s="53">
        <f t="shared" si="20"/>
        <v>-1.0453725077533282</v>
      </c>
      <c r="E56" s="53">
        <f t="shared" si="20"/>
        <v>-0.97197218426661181</v>
      </c>
      <c r="F56" s="53">
        <f t="shared" si="18"/>
        <v>-1.0086791491408564</v>
      </c>
      <c r="H56" s="53">
        <f>(B13/B$40)*100</f>
        <v>9.3646377617626069</v>
      </c>
      <c r="I56" s="53">
        <f>(C13/C$40)*100</f>
        <v>8.1757419406870895</v>
      </c>
      <c r="J56" s="53">
        <f>(D13/D$40)*100</f>
        <v>7.667801920960164</v>
      </c>
      <c r="K56" s="53">
        <f>(E13/E$40)*100</f>
        <v>7.1922461807751805</v>
      </c>
      <c r="L56" s="53">
        <f>(F13/F$40)*100</f>
        <v>6.7403538928511395</v>
      </c>
    </row>
    <row r="57" spans="1:12" x14ac:dyDescent="0.25">
      <c r="A57" t="str">
        <f>A14</f>
        <v>Food drink and tobacco</v>
      </c>
      <c r="B57" s="49">
        <f t="shared" si="20"/>
        <v>-1.3870618616333319</v>
      </c>
      <c r="C57" s="53">
        <f t="shared" si="20"/>
        <v>1.6218478170920037</v>
      </c>
      <c r="D57" s="49">
        <f t="shared" si="20"/>
        <v>-0.98889607950894964</v>
      </c>
      <c r="E57" s="49">
        <f t="shared" si="20"/>
        <v>-0.59819492577163347</v>
      </c>
      <c r="F57" s="53">
        <f t="shared" si="18"/>
        <v>-0.79373783833593947</v>
      </c>
      <c r="H57" s="49">
        <f t="shared" ref="H57:L59" si="21">(B14/B$13)*100</f>
        <v>14.520700069398149</v>
      </c>
      <c r="I57" s="49">
        <f t="shared" si="21"/>
        <v>15.505443121130694</v>
      </c>
      <c r="J57" s="49">
        <f t="shared" si="21"/>
        <v>16.350289568990519</v>
      </c>
      <c r="K57" s="49">
        <f t="shared" si="21"/>
        <v>16.397000905930998</v>
      </c>
      <c r="L57" s="49">
        <f t="shared" si="21"/>
        <v>16.708794806608832</v>
      </c>
    </row>
    <row r="58" spans="1:12" x14ac:dyDescent="0.25">
      <c r="A58" t="str">
        <f>A15</f>
        <v>Engineering</v>
      </c>
      <c r="B58" s="49">
        <f t="shared" si="20"/>
        <v>-3.1691793472037988</v>
      </c>
      <c r="C58" s="53">
        <f t="shared" si="20"/>
        <v>-1.2207009348346398</v>
      </c>
      <c r="D58" s="49">
        <f t="shared" si="20"/>
        <v>9.1384568620855866E-2</v>
      </c>
      <c r="E58" s="49">
        <f t="shared" si="20"/>
        <v>-1.1201871220805959</v>
      </c>
      <c r="F58" s="53">
        <f t="shared" si="18"/>
        <v>-0.51624566374116609</v>
      </c>
      <c r="H58" s="49">
        <f t="shared" si="21"/>
        <v>16.654781175400874</v>
      </c>
      <c r="I58" s="49">
        <f t="shared" si="21"/>
        <v>16.234320953200907</v>
      </c>
      <c r="J58" s="49">
        <f t="shared" si="21"/>
        <v>14.854897411184906</v>
      </c>
      <c r="K58" s="49">
        <f t="shared" si="21"/>
        <v>15.72796739164751</v>
      </c>
      <c r="L58" s="49">
        <f t="shared" si="21"/>
        <v>15.610619190478689</v>
      </c>
    </row>
    <row r="59" spans="1:12" x14ac:dyDescent="0.25">
      <c r="A59" t="str">
        <f>A16</f>
        <v>Rest of manufacturing</v>
      </c>
      <c r="B59" s="49">
        <f t="shared" si="20"/>
        <v>-2.832843541398955</v>
      </c>
      <c r="C59" s="53">
        <f t="shared" si="20"/>
        <v>0.7062480872607857</v>
      </c>
      <c r="D59" s="49">
        <f t="shared" si="20"/>
        <v>-1.3114021960624167</v>
      </c>
      <c r="E59" s="49">
        <f t="shared" si="20"/>
        <v>-1.0287756264192982</v>
      </c>
      <c r="F59" s="53">
        <f t="shared" si="18"/>
        <v>-1.1701899406481142</v>
      </c>
      <c r="H59" s="49">
        <f t="shared" si="21"/>
        <v>68.824518755200998</v>
      </c>
      <c r="I59" s="49">
        <f t="shared" si="21"/>
        <v>68.260235925668411</v>
      </c>
      <c r="J59" s="49">
        <f t="shared" si="21"/>
        <v>68.794813019824588</v>
      </c>
      <c r="K59" s="49">
        <f t="shared" si="21"/>
        <v>67.875031702421481</v>
      </c>
      <c r="L59" s="49">
        <f t="shared" si="21"/>
        <v>67.680586002912477</v>
      </c>
    </row>
    <row r="60" spans="1:12" x14ac:dyDescent="0.25">
      <c r="B60" s="49"/>
      <c r="C60" s="53"/>
      <c r="D60" s="49"/>
      <c r="E60" s="49"/>
      <c r="F60" s="53"/>
      <c r="H60" s="49"/>
      <c r="I60" s="49"/>
      <c r="J60" s="49"/>
      <c r="K60" s="49"/>
      <c r="L60" s="49"/>
    </row>
    <row r="61" spans="1:12" s="34" customFormat="1" x14ac:dyDescent="0.25">
      <c r="A61" s="34" t="str">
        <f>A18</f>
        <v>Construction</v>
      </c>
      <c r="B61" s="53">
        <f>IF(AND(C$5-B$5 &lt;&gt; 0,B18&lt;&gt;0,C18&lt;&gt;0),(EXP(LN(C18/B18)/(C$5-B$5))-1)*100,0)</f>
        <v>-2.2255912507436748</v>
      </c>
      <c r="C61" s="53">
        <f>IF(AND(D$5-C$5 &lt;&gt; 0,C18&lt;&gt;0,D18&lt;&gt;0),(EXP(LN(D18/C18)/(D$5-C$5))-1)*100,0)</f>
        <v>2.1429587042533171</v>
      </c>
      <c r="D61" s="53">
        <f>IF(AND(E$5-D$5 &lt;&gt; 0,D18&lt;&gt;0,E18&lt;&gt;0),(EXP(LN(E18/D18)/(E$5-D$5))-1)*100,0)</f>
        <v>0.17945595966306627</v>
      </c>
      <c r="E61" s="53">
        <f>IF(AND(F$5-E$5 &lt;&gt; 0,E18&lt;&gt;0,F18&lt;&gt;0),(EXP(LN(F18/E18)/(F$5-E$5))-1)*100,0)</f>
        <v>0.25355843769898634</v>
      </c>
      <c r="F61" s="53">
        <f t="shared" si="18"/>
        <v>0.21650034953812902</v>
      </c>
      <c r="H61" s="53">
        <f>(B18/B$40)*100</f>
        <v>7.2381330397662342</v>
      </c>
      <c r="I61" s="53">
        <f>(C18/C$40)*100</f>
        <v>6.4657049038990655</v>
      </c>
      <c r="J61" s="53">
        <f>(D18/D$40)*100</f>
        <v>6.560056602414079</v>
      </c>
      <c r="K61" s="53">
        <f>(E18/E$40)*100</f>
        <v>6.5435593897224624</v>
      </c>
      <c r="L61" s="53">
        <f>(F18/F$40)*100</f>
        <v>6.5213954526299895</v>
      </c>
    </row>
    <row r="62" spans="1:12" x14ac:dyDescent="0.25">
      <c r="B62" s="49"/>
      <c r="C62" s="53"/>
      <c r="D62" s="49"/>
      <c r="E62" s="49"/>
      <c r="F62" s="53"/>
      <c r="H62" s="49"/>
      <c r="I62" s="49"/>
      <c r="J62" s="49"/>
      <c r="K62" s="49"/>
      <c r="L62" s="49"/>
    </row>
    <row r="63" spans="1:12" s="34" customFormat="1" x14ac:dyDescent="0.25">
      <c r="A63" s="34" t="str">
        <f>A20</f>
        <v>Trade, accomod. and transport</v>
      </c>
      <c r="B63" s="53">
        <f t="shared" ref="B63:E66" si="22">IF(AND(C$5-B$5 &lt;&gt; 0,B20&lt;&gt;0,C20&lt;&gt;0),(EXP(LN(C20/B20)/(C$5-B$5))-1)*100,0)</f>
        <v>-0.29806668433853822</v>
      </c>
      <c r="C63" s="53">
        <f t="shared" si="22"/>
        <v>1.8700843223290686</v>
      </c>
      <c r="D63" s="53">
        <f t="shared" si="22"/>
        <v>-0.11889036550907228</v>
      </c>
      <c r="E63" s="53">
        <f t="shared" si="22"/>
        <v>0.34606014468905322</v>
      </c>
      <c r="F63" s="53">
        <f t="shared" si="18"/>
        <v>0.11331497209003949</v>
      </c>
      <c r="H63" s="53">
        <f>(B20/B$40)*100</f>
        <v>26.829176225077838</v>
      </c>
      <c r="I63" s="53">
        <f>(C20/C$40)*100</f>
        <v>26.423391713710298</v>
      </c>
      <c r="J63" s="53">
        <f>(D20/D$40)*100</f>
        <v>26.452786720373332</v>
      </c>
      <c r="K63" s="53">
        <f>(E20/E$40)*100</f>
        <v>25.995689473051641</v>
      </c>
      <c r="L63" s="53">
        <f>(F20/F$40)*100</f>
        <v>26.027381236900986</v>
      </c>
    </row>
    <row r="64" spans="1:12" x14ac:dyDescent="0.25">
      <c r="A64" t="str">
        <f>A21</f>
        <v>Wholesale and retail trade</v>
      </c>
      <c r="B64" s="49">
        <f t="shared" si="22"/>
        <v>-0.69673140004701262</v>
      </c>
      <c r="C64" s="53">
        <f t="shared" si="22"/>
        <v>0.56929360904844906</v>
      </c>
      <c r="D64" s="49">
        <f t="shared" si="22"/>
        <v>6.6251576623210795E-2</v>
      </c>
      <c r="E64" s="49">
        <f t="shared" si="22"/>
        <v>0.19602126530711139</v>
      </c>
      <c r="F64" s="53">
        <f t="shared" si="18"/>
        <v>0.1311153983161617</v>
      </c>
      <c r="H64" s="49">
        <f t="shared" ref="H64:L66" si="23">(B21/B$20)*100</f>
        <v>58.775914682691131</v>
      </c>
      <c r="I64" s="49">
        <f t="shared" si="23"/>
        <v>57.610177846532082</v>
      </c>
      <c r="J64" s="49">
        <f t="shared" si="23"/>
        <v>54.024764963935468</v>
      </c>
      <c r="K64" s="49">
        <f t="shared" si="23"/>
        <v>54.527332443809719</v>
      </c>
      <c r="L64" s="49">
        <f t="shared" si="23"/>
        <v>54.120899393968322</v>
      </c>
    </row>
    <row r="65" spans="1:12" x14ac:dyDescent="0.25">
      <c r="A65" t="str">
        <f>A22</f>
        <v>Transport and storage</v>
      </c>
      <c r="B65" s="49">
        <f>IF(AND(C$5-B$5 &lt;&gt; 0,B22&lt;&gt;0,C22&lt;&gt;0),(EXP(LN(C22/B22)/(C$5-B$5))-1)*100,0)</f>
        <v>5.2657176133763528E-2</v>
      </c>
      <c r="C65" s="53">
        <f t="shared" si="22"/>
        <v>3.6389129982959956</v>
      </c>
      <c r="D65" s="49">
        <f t="shared" si="22"/>
        <v>-0.3814028492091337</v>
      </c>
      <c r="E65" s="49">
        <f t="shared" si="22"/>
        <v>6.4098695512937454E-3</v>
      </c>
      <c r="F65" s="53">
        <f t="shared" si="18"/>
        <v>-0.18768484154019216</v>
      </c>
      <c r="H65" s="49">
        <f t="shared" si="23"/>
        <v>17.633996119291751</v>
      </c>
      <c r="I65" s="49">
        <f t="shared" si="23"/>
        <v>17.946343542905581</v>
      </c>
      <c r="J65" s="49">
        <f t="shared" si="23"/>
        <v>19.559461568959033</v>
      </c>
      <c r="K65" s="49">
        <f t="shared" si="23"/>
        <v>19.303773398145051</v>
      </c>
      <c r="L65" s="49">
        <f t="shared" si="23"/>
        <v>18.979281486992488</v>
      </c>
    </row>
    <row r="66" spans="1:12" x14ac:dyDescent="0.25">
      <c r="A66" t="str">
        <f>A23</f>
        <v>Accommodation and food</v>
      </c>
      <c r="B66" s="49">
        <f t="shared" si="22"/>
        <v>0.41307466861009168</v>
      </c>
      <c r="C66" s="53">
        <f t="shared" si="22"/>
        <v>3.4633961002565439</v>
      </c>
      <c r="D66" s="49">
        <f t="shared" si="22"/>
        <v>-0.3062881139475282</v>
      </c>
      <c r="E66" s="49">
        <f t="shared" si="22"/>
        <v>0.90045471079573947</v>
      </c>
      <c r="F66" s="53">
        <f t="shared" si="18"/>
        <v>0.29526838844271541</v>
      </c>
      <c r="H66" s="49">
        <f t="shared" si="23"/>
        <v>23.590089198017111</v>
      </c>
      <c r="I66" s="49">
        <f t="shared" si="23"/>
        <v>24.443478610562334</v>
      </c>
      <c r="J66" s="49">
        <f t="shared" si="23"/>
        <v>26.41577346710551</v>
      </c>
      <c r="K66" s="49">
        <f t="shared" si="23"/>
        <v>26.168894158045212</v>
      </c>
      <c r="L66" s="49">
        <f t="shared" si="23"/>
        <v>26.899819119039186</v>
      </c>
    </row>
    <row r="67" spans="1:12" x14ac:dyDescent="0.25">
      <c r="B67" s="49"/>
      <c r="C67" s="53"/>
      <c r="D67" s="49"/>
      <c r="E67" s="49"/>
      <c r="F67" s="53"/>
      <c r="H67" s="49"/>
      <c r="I67" s="49"/>
      <c r="J67" s="49"/>
      <c r="K67" s="49"/>
      <c r="L67" s="49"/>
    </row>
    <row r="68" spans="1:12" s="34" customFormat="1" x14ac:dyDescent="0.25">
      <c r="A68" s="34" t="str">
        <f>A25</f>
        <v>Business and other services</v>
      </c>
      <c r="B68" s="53">
        <f t="shared" ref="B68:E71" si="24">IF(AND(C$5-B$5 &lt;&gt; 0,B25&lt;&gt;0,C25&lt;&gt;0),(EXP(LN(C25/B25)/(C$5-B$5))-1)*100,0)</f>
        <v>0.5184277771963286</v>
      </c>
      <c r="C68" s="53">
        <f t="shared" si="24"/>
        <v>2.6908436319418971</v>
      </c>
      <c r="D68" s="53">
        <f t="shared" si="24"/>
        <v>0.76330339920538393</v>
      </c>
      <c r="E68" s="53">
        <f t="shared" si="24"/>
        <v>0.39134553549382556</v>
      </c>
      <c r="F68" s="53">
        <f t="shared" si="18"/>
        <v>0.57715251908569964</v>
      </c>
      <c r="H68" s="53">
        <f>(B25/B$40)*100</f>
        <v>30.000012267947461</v>
      </c>
      <c r="I68" s="53">
        <f>(C25/C$40)*100</f>
        <v>30.776072324247817</v>
      </c>
      <c r="J68" s="53">
        <f>(D25/D$40)*100</f>
        <v>32.071652794079071</v>
      </c>
      <c r="K68" s="53">
        <f>(E25/E$40)*100</f>
        <v>32.934148808497952</v>
      </c>
      <c r="L68" s="53">
        <f>(F25/F$40)*100</f>
        <v>33.048771762060206</v>
      </c>
    </row>
    <row r="69" spans="1:12" x14ac:dyDescent="0.25">
      <c r="A69" t="str">
        <f>A26</f>
        <v>Media</v>
      </c>
      <c r="B69" s="49">
        <f t="shared" si="24"/>
        <v>0.91232429925547365</v>
      </c>
      <c r="C69" s="53">
        <f t="shared" si="24"/>
        <v>1.0870126577932737</v>
      </c>
      <c r="D69" s="49">
        <f t="shared" si="24"/>
        <v>0.2326785535201159</v>
      </c>
      <c r="E69" s="49">
        <f t="shared" si="24"/>
        <v>0.23218874464057127</v>
      </c>
      <c r="F69" s="53">
        <f t="shared" si="18"/>
        <v>0.23243364878116068</v>
      </c>
      <c r="H69" s="49">
        <f t="shared" ref="H69:L71" si="25">(B26/B$25)*100</f>
        <v>3.7424428589003127</v>
      </c>
      <c r="I69" s="49">
        <f t="shared" si="25"/>
        <v>3.8163464137222776</v>
      </c>
      <c r="J69" s="49">
        <f t="shared" si="25"/>
        <v>3.5274916347668008</v>
      </c>
      <c r="K69" s="49">
        <f t="shared" si="25"/>
        <v>3.4355849358683832</v>
      </c>
      <c r="L69" s="49">
        <f t="shared" si="25"/>
        <v>3.4084378907981083</v>
      </c>
    </row>
    <row r="70" spans="1:12" x14ac:dyDescent="0.25">
      <c r="A70" t="str">
        <f>A27</f>
        <v>Information technology</v>
      </c>
      <c r="B70" s="49">
        <f t="shared" si="24"/>
        <v>-1.018445131029555</v>
      </c>
      <c r="C70" s="53">
        <f t="shared" si="24"/>
        <v>5.3583660035926073</v>
      </c>
      <c r="D70" s="49">
        <f t="shared" si="24"/>
        <v>0.79876220065380199</v>
      </c>
      <c r="E70" s="49">
        <f t="shared" si="24"/>
        <v>0.70098969176599635</v>
      </c>
      <c r="F70" s="53">
        <f t="shared" si="18"/>
        <v>0.74986408581805275</v>
      </c>
      <c r="H70" s="49">
        <f t="shared" si="25"/>
        <v>9.3749338104705782</v>
      </c>
      <c r="I70" s="49">
        <f t="shared" si="25"/>
        <v>8.6798282788322059</v>
      </c>
      <c r="J70" s="49">
        <f t="shared" si="25"/>
        <v>9.8672846633407687</v>
      </c>
      <c r="K70" s="49">
        <f t="shared" si="25"/>
        <v>9.8846584696243518</v>
      </c>
      <c r="L70" s="49">
        <f t="shared" si="25"/>
        <v>10.038041506500159</v>
      </c>
    </row>
    <row r="71" spans="1:12" x14ac:dyDescent="0.25">
      <c r="A71" t="str">
        <f>A28</f>
        <v>Finance and insurance</v>
      </c>
      <c r="B71" s="49">
        <f t="shared" si="24"/>
        <v>-0.60139298573966826</v>
      </c>
      <c r="C71" s="53">
        <f t="shared" si="24"/>
        <v>-0.19120213273821074</v>
      </c>
      <c r="D71" s="49">
        <f t="shared" si="24"/>
        <v>4.6392727184119131E-2</v>
      </c>
      <c r="E71" s="49">
        <f t="shared" si="24"/>
        <v>-0.24826663389222459</v>
      </c>
      <c r="F71" s="53">
        <f t="shared" si="18"/>
        <v>-0.10104559324469742</v>
      </c>
      <c r="H71" s="49">
        <f t="shared" si="25"/>
        <v>12.372866285290357</v>
      </c>
      <c r="I71" s="49">
        <f t="shared" si="25"/>
        <v>11.69885544758492</v>
      </c>
      <c r="J71" s="49">
        <f t="shared" si="25"/>
        <v>10.146795096431161</v>
      </c>
      <c r="K71" s="49">
        <f t="shared" si="25"/>
        <v>9.7909329782082661</v>
      </c>
      <c r="L71" s="49">
        <f t="shared" si="25"/>
        <v>9.4829826872215932</v>
      </c>
    </row>
    <row r="72" spans="1:12" s="286" customFormat="1" x14ac:dyDescent="0.25">
      <c r="A72" s="286" t="str">
        <f t="shared" ref="A72:A76" si="26">A29</f>
        <v>Real estate</v>
      </c>
      <c r="B72" s="49">
        <f t="shared" ref="B72:E72" si="27">IF(AND(C$5-B$5 &lt;&gt; 0,B29&lt;&gt;0,C29&lt;&gt;0),(EXP(LN(C29/B29)/(C$5-B$5))-1)*100,0)</f>
        <v>2.1197780548966927</v>
      </c>
      <c r="C72" s="53">
        <f t="shared" si="27"/>
        <v>2.1060631784159733</v>
      </c>
      <c r="D72" s="49">
        <f t="shared" si="27"/>
        <v>0.38200197955056137</v>
      </c>
      <c r="E72" s="49">
        <f t="shared" si="27"/>
        <v>0.48336619757123334</v>
      </c>
      <c r="F72" s="53">
        <f t="shared" si="18"/>
        <v>0.43267130051107827</v>
      </c>
      <c r="H72" s="49">
        <f t="shared" ref="H72:L72" si="28">(B29/B$25)*100</f>
        <v>4.6450322040303336</v>
      </c>
      <c r="I72" s="49">
        <f t="shared" si="28"/>
        <v>5.0270083311179476</v>
      </c>
      <c r="J72" s="49">
        <f t="shared" si="28"/>
        <v>4.8854959236726652</v>
      </c>
      <c r="K72" s="49">
        <f t="shared" si="28"/>
        <v>4.7937561130177446</v>
      </c>
      <c r="L72" s="49">
        <f t="shared" si="28"/>
        <v>4.8157666776443175</v>
      </c>
    </row>
    <row r="73" spans="1:12" s="286" customFormat="1" x14ac:dyDescent="0.25">
      <c r="A73" s="286" t="str">
        <f t="shared" si="26"/>
        <v>Professional services</v>
      </c>
      <c r="B73" s="49">
        <f t="shared" ref="B73:E73" si="29">IF(AND(C$5-B$5 &lt;&gt; 0,B30&lt;&gt;0,C30&lt;&gt;0),(EXP(LN(C30/B30)/(C$5-B$5))-1)*100,0)</f>
        <v>2.1931223499077612</v>
      </c>
      <c r="C73" s="53">
        <f t="shared" si="29"/>
        <v>3.5720699929027377</v>
      </c>
      <c r="D73" s="49">
        <f t="shared" si="29"/>
        <v>0.99160841555159251</v>
      </c>
      <c r="E73" s="49">
        <f t="shared" si="29"/>
        <v>0.43621891792791079</v>
      </c>
      <c r="F73" s="53">
        <f t="shared" si="18"/>
        <v>0.71353082728253803</v>
      </c>
      <c r="H73" s="49">
        <f t="shared" ref="H73:L73" si="30">(B30/B$25)*100</f>
        <v>23.79152325165116</v>
      </c>
      <c r="I73" s="49">
        <f t="shared" si="30"/>
        <v>25.840573957096595</v>
      </c>
      <c r="J73" s="49">
        <f t="shared" si="30"/>
        <v>26.968502263600897</v>
      </c>
      <c r="K73" s="49">
        <f t="shared" si="30"/>
        <v>27.275410043737054</v>
      </c>
      <c r="L73" s="49">
        <f t="shared" si="30"/>
        <v>27.336423000237144</v>
      </c>
    </row>
    <row r="74" spans="1:12" s="286" customFormat="1" x14ac:dyDescent="0.25">
      <c r="A74" s="286" t="str">
        <f t="shared" si="26"/>
        <v>Support services</v>
      </c>
      <c r="B74" s="49">
        <f t="shared" ref="B74:E74" si="31">IF(AND(C$5-B$5 &lt;&gt; 0,B31&lt;&gt;0,C31&lt;&gt;0),(EXP(LN(C31/B31)/(C$5-B$5))-1)*100,0)</f>
        <v>0.52779236143201125</v>
      </c>
      <c r="C74" s="53">
        <f t="shared" si="31"/>
        <v>2.7736826183441199</v>
      </c>
      <c r="D74" s="49">
        <f t="shared" si="31"/>
        <v>0.80802715912908774</v>
      </c>
      <c r="E74" s="49">
        <f t="shared" si="31"/>
        <v>0.46736480558329241</v>
      </c>
      <c r="F74" s="53">
        <f t="shared" si="18"/>
        <v>0.63755183790674685</v>
      </c>
      <c r="H74" s="49">
        <f>(B31/B$25)*100</f>
        <v>26.696030179661051</v>
      </c>
      <c r="I74" s="49">
        <f t="shared" ref="I74:L74" si="32">(C31/C$25)*100</f>
        <v>26.708467889549553</v>
      </c>
      <c r="J74" s="49">
        <f t="shared" si="32"/>
        <v>26.816368204125894</v>
      </c>
      <c r="K74" s="49">
        <f t="shared" si="32"/>
        <v>26.875933238675074</v>
      </c>
      <c r="L74" s="49">
        <f t="shared" si="32"/>
        <v>26.977843683956344</v>
      </c>
    </row>
    <row r="75" spans="1:12" s="286" customFormat="1" x14ac:dyDescent="0.25">
      <c r="A75" s="286" t="str">
        <f t="shared" si="26"/>
        <v>Arts and entertainment</v>
      </c>
      <c r="B75" s="49">
        <f t="shared" ref="B75:E75" si="33">IF(AND(C$5-B$5 &lt;&gt; 0,B32&lt;&gt;0,C32&lt;&gt;0),(EXP(LN(C32/B32)/(C$5-B$5))-1)*100,0)</f>
        <v>0.72595297430615435</v>
      </c>
      <c r="C75" s="53">
        <f t="shared" si="33"/>
        <v>1.7163255934520949</v>
      </c>
      <c r="D75" s="49">
        <f t="shared" si="33"/>
        <v>1.2017047250871382</v>
      </c>
      <c r="E75" s="49">
        <f t="shared" si="33"/>
        <v>0.55318625524825027</v>
      </c>
      <c r="F75" s="53">
        <f t="shared" si="18"/>
        <v>0.87692434134936104</v>
      </c>
      <c r="H75" s="49">
        <f t="shared" ref="H75:L75" si="34">(B32/B$25)*100</f>
        <v>9.1118847990674308</v>
      </c>
      <c r="I75" s="49">
        <f t="shared" si="34"/>
        <v>9.2063336362911468</v>
      </c>
      <c r="J75" s="49">
        <f t="shared" si="34"/>
        <v>8.7777138231675984</v>
      </c>
      <c r="K75" s="49">
        <f t="shared" si="34"/>
        <v>8.970333181577093</v>
      </c>
      <c r="L75" s="49">
        <f t="shared" si="34"/>
        <v>9.0428719795755335</v>
      </c>
    </row>
    <row r="76" spans="1:12" s="286" customFormat="1" x14ac:dyDescent="0.25">
      <c r="A76" s="286" t="str">
        <f t="shared" si="26"/>
        <v>Other services</v>
      </c>
      <c r="B76" s="49">
        <f t="shared" ref="B76:E76" si="35">IF(AND(C$5-B$5 &lt;&gt; 0,B33&lt;&gt;0,C33&lt;&gt;0),(EXP(LN(C33/B33)/(C$5-B$5))-1)*100,0)</f>
        <v>-2.0425034161718925</v>
      </c>
      <c r="C76" s="53">
        <f t="shared" si="35"/>
        <v>2.6629718564657345</v>
      </c>
      <c r="D76" s="49">
        <f t="shared" si="35"/>
        <v>0.68050816229698885</v>
      </c>
      <c r="E76" s="49">
        <f t="shared" si="35"/>
        <v>0.22125801641343923</v>
      </c>
      <c r="F76" s="53">
        <f t="shared" si="18"/>
        <v>0.45062063400695962</v>
      </c>
      <c r="H76" s="49">
        <f t="shared" ref="H76:L76" si="36">(B33/B$25)*100</f>
        <v>10.265286610928779</v>
      </c>
      <c r="I76" s="49">
        <f t="shared" si="36"/>
        <v>9.0225860458053173</v>
      </c>
      <c r="J76" s="49">
        <f t="shared" si="36"/>
        <v>9.010348390894201</v>
      </c>
      <c r="K76" s="49">
        <f t="shared" si="36"/>
        <v>8.9733910392920446</v>
      </c>
      <c r="L76" s="49">
        <f t="shared" si="36"/>
        <v>8.8976325740668205</v>
      </c>
    </row>
    <row r="77" spans="1:12" x14ac:dyDescent="0.25">
      <c r="B77" s="49"/>
      <c r="C77" s="53"/>
      <c r="D77" s="49"/>
      <c r="E77" s="49"/>
      <c r="F77" s="53">
        <f t="shared" si="18"/>
        <v>0</v>
      </c>
      <c r="H77" s="49"/>
      <c r="I77" s="49"/>
      <c r="J77" s="49"/>
      <c r="K77" s="49"/>
      <c r="L77" s="49"/>
    </row>
    <row r="78" spans="1:12" s="34" customFormat="1" x14ac:dyDescent="0.25">
      <c r="A78" s="34" t="str">
        <f>A35</f>
        <v>Non-marketed services</v>
      </c>
      <c r="B78" s="53">
        <f t="shared" ref="B78:E79" si="37">IF(AND(C$5-B$5 &lt;&gt; 0,B35&lt;&gt;0,C35&lt;&gt;0),(EXP(LN(C35/B35)/(C$5-B$5))-1)*100,0)</f>
        <v>0.95972563102084685</v>
      </c>
      <c r="C78" s="53">
        <f t="shared" ref="C78:C83" si="38">IF(AND(D$5-C$5 &lt;&gt; 0,C35&lt;&gt;0,D35&lt;&gt;0),(EXP(LN(D35/C35)/(D$5-C$5))-1)*100,0)</f>
        <v>1.193990632830122</v>
      </c>
      <c r="D78" s="53">
        <f t="shared" si="37"/>
        <v>0.35228130647688705</v>
      </c>
      <c r="E78" s="53">
        <f t="shared" si="37"/>
        <v>0.6208393825134717</v>
      </c>
      <c r="F78" s="53">
        <f t="shared" si="18"/>
        <v>0.48647062668596419</v>
      </c>
      <c r="H78" s="53">
        <f>(B35/B$40)*100</f>
        <v>24.410186509319001</v>
      </c>
      <c r="I78" s="53">
        <f>(C35/C$40)*100</f>
        <v>25.596184504815806</v>
      </c>
      <c r="J78" s="53">
        <f>(D35/D$40)*100</f>
        <v>24.785540010346484</v>
      </c>
      <c r="K78" s="53">
        <f>(E35/E$40)*100</f>
        <v>24.937203635174292</v>
      </c>
      <c r="L78" s="53">
        <f>(F35/F$40)*100</f>
        <v>25.311328260897763</v>
      </c>
    </row>
    <row r="79" spans="1:12" x14ac:dyDescent="0.25">
      <c r="A79" t="str">
        <f>A36</f>
        <v>Public admin. and defence</v>
      </c>
      <c r="B79" s="49">
        <f t="shared" si="37"/>
        <v>-2.4321011254663905</v>
      </c>
      <c r="C79" s="53">
        <f t="shared" si="38"/>
        <v>-0.87664295980390827</v>
      </c>
      <c r="D79" s="49">
        <f t="shared" si="37"/>
        <v>-0.35139569101774182</v>
      </c>
      <c r="E79" s="49">
        <f t="shared" si="37"/>
        <v>0.24837232814700627</v>
      </c>
      <c r="F79" s="53">
        <f t="shared" si="18"/>
        <v>-5.1961566286617966E-2</v>
      </c>
      <c r="H79" s="49">
        <f>(B36/B$35)*100</f>
        <v>20.257731958685536</v>
      </c>
      <c r="I79" s="49">
        <f t="shared" ref="I79:L81" si="39">(C36/C$35)*100</f>
        <v>17.075946085654987</v>
      </c>
      <c r="J79" s="49">
        <f t="shared" si="39"/>
        <v>15.398952191215098</v>
      </c>
      <c r="K79" s="49">
        <f t="shared" si="39"/>
        <v>14.866578328555791</v>
      </c>
      <c r="L79" s="49">
        <f t="shared" si="39"/>
        <v>14.593450647557201</v>
      </c>
    </row>
    <row r="80" spans="1:12" x14ac:dyDescent="0.25">
      <c r="A80" t="str">
        <f>A37</f>
        <v>Education</v>
      </c>
      <c r="B80" s="49">
        <f t="shared" ref="B80:E81" si="40">IF(AND(C$5-B$5 &lt;&gt; 0,B37&lt;&gt;0,C37&lt;&gt;0),(EXP(LN(C37/B37)/(C$5-B$5))-1)*100,0)</f>
        <v>1.307483542148602</v>
      </c>
      <c r="C80" s="53">
        <f t="shared" si="38"/>
        <v>1.1399100493224568</v>
      </c>
      <c r="D80" s="49">
        <f t="shared" si="40"/>
        <v>-0.26066396157305993</v>
      </c>
      <c r="E80" s="49">
        <f t="shared" si="40"/>
        <v>0.32632942572687895</v>
      </c>
      <c r="F80" s="53">
        <f t="shared" si="18"/>
        <v>3.2402170969048072E-2</v>
      </c>
      <c r="H80" s="49">
        <f>(B37/B$35)*100</f>
        <v>33.389149485113137</v>
      </c>
      <c r="I80" s="49">
        <f t="shared" si="39"/>
        <v>33.968172844700419</v>
      </c>
      <c r="J80" s="49">
        <f t="shared" si="39"/>
        <v>33.877502630544463</v>
      </c>
      <c r="K80" s="49">
        <f t="shared" si="39"/>
        <v>32.855456292313988</v>
      </c>
      <c r="L80" s="49">
        <f t="shared" si="39"/>
        <v>32.377434980184717</v>
      </c>
    </row>
    <row r="81" spans="1:12" x14ac:dyDescent="0.25">
      <c r="A81" t="str">
        <f>A38</f>
        <v>Health and social work</v>
      </c>
      <c r="B81" s="49">
        <f>IF(AND(C$5-B$5 &lt;&gt; 0,B38&lt;&gt;0,C38&lt;&gt;0),(EXP(LN(C38/B38)/(C$5-B$5))-1)*100,0)</f>
        <v>2.068878818979103</v>
      </c>
      <c r="C81" s="53">
        <f t="shared" si="38"/>
        <v>1.9144273581042093</v>
      </c>
      <c r="D81" s="49">
        <f t="shared" si="40"/>
        <v>0.95993566711169986</v>
      </c>
      <c r="E81" s="49">
        <f t="shared" si="40"/>
        <v>0.90834314312819853</v>
      </c>
      <c r="F81" s="53">
        <f t="shared" si="18"/>
        <v>0.93413610867760788</v>
      </c>
      <c r="H81" s="49">
        <f>(B38/B$35)*100</f>
        <v>46.353118556201323</v>
      </c>
      <c r="I81" s="49">
        <f t="shared" si="39"/>
        <v>48.95588106964459</v>
      </c>
      <c r="J81" s="49">
        <f t="shared" si="39"/>
        <v>50.723545178240428</v>
      </c>
      <c r="K81" s="49">
        <f t="shared" si="39"/>
        <v>52.277965379130222</v>
      </c>
      <c r="L81" s="49">
        <f t="shared" si="39"/>
        <v>53.029114372258071</v>
      </c>
    </row>
    <row r="82" spans="1:12" x14ac:dyDescent="0.25">
      <c r="B82" s="49"/>
      <c r="C82" s="53"/>
      <c r="D82" s="49"/>
      <c r="E82" s="49"/>
      <c r="F82" s="53"/>
      <c r="H82" s="49"/>
      <c r="I82" s="49"/>
      <c r="J82" s="49"/>
      <c r="K82" s="49"/>
      <c r="L82" s="49"/>
    </row>
    <row r="83" spans="1:12" x14ac:dyDescent="0.25">
      <c r="A83" s="37" t="str">
        <f>A40</f>
        <v>All industries</v>
      </c>
      <c r="B83" s="52">
        <f>IF(AND(C$5-B$5 &lt;&gt; 0,B40&lt;&gt;0,C40&lt;&gt;0),(EXP(LN(C40/B40)/(C$5-B$5))-1)*100,0)</f>
        <v>6.2942675480570642E-3</v>
      </c>
      <c r="C83" s="304">
        <f t="shared" si="38"/>
        <v>1.8474341286811802</v>
      </c>
      <c r="D83" s="52">
        <f>IF(AND(E$5-D$5 &lt;&gt; 0,D40&lt;&gt;0,E40&lt;&gt;0),(EXP(LN(E40/D40)/(E$5-D$5))-1)*100,0)</f>
        <v>0.22991833206484902</v>
      </c>
      <c r="E83" s="52">
        <f>IF(AND(F$5-E$5 &lt;&gt; 0,E40&lt;&gt;0,F40&lt;&gt;0),(EXP(LN(F40/E40)/(F$5-E$5))-1)*100,0)</f>
        <v>0.32161132563677253</v>
      </c>
      <c r="F83" s="304">
        <f t="shared" si="18"/>
        <v>0.27575434824573808</v>
      </c>
      <c r="G83" s="37"/>
      <c r="H83" s="52">
        <f>(B40/B$40)*100</f>
        <v>100</v>
      </c>
      <c r="I83" s="52">
        <f>(C40/C$40)*100</f>
        <v>100</v>
      </c>
      <c r="J83" s="52">
        <f>(D40/D$40)*100</f>
        <v>100</v>
      </c>
      <c r="K83" s="52">
        <f>(E40/E$40)*100</f>
        <v>100</v>
      </c>
      <c r="L83" s="52">
        <f>(F40/F$40)*100</f>
        <v>100</v>
      </c>
    </row>
    <row r="86" spans="1:12" x14ac:dyDescent="0.25">
      <c r="A86" s="41"/>
      <c r="B86" s="32" t="s">
        <v>14</v>
      </c>
      <c r="C86" s="32"/>
    </row>
    <row r="87" spans="1:12" x14ac:dyDescent="0.25">
      <c r="A87" s="37"/>
      <c r="B87" s="42" t="str">
        <f>B5&amp;"-"&amp;D5</f>
        <v>2007-2017</v>
      </c>
      <c r="C87" s="42" t="str">
        <f>F48</f>
        <v>2017-2027</v>
      </c>
    </row>
    <row r="88" spans="1:12" x14ac:dyDescent="0.25">
      <c r="A88" s="286"/>
      <c r="B88" s="286"/>
      <c r="C88" s="286"/>
    </row>
    <row r="89" spans="1:12" x14ac:dyDescent="0.25">
      <c r="A89" s="34" t="str">
        <f>A7</f>
        <v>Primary sector and utilities</v>
      </c>
      <c r="B89" s="53">
        <f>IF(AND(D$5-B$5 &lt;&gt; 0,B7&lt;&gt;0,D7&lt;&gt;0),(EXP(LN(D7/B7)/(D$5-B$5))-1)*100,0)</f>
        <v>2.2629143637966642</v>
      </c>
      <c r="C89" s="53">
        <f>IF(AND(F$5-D$5 &lt;&gt; 0,D7&lt;&gt;0,F7&lt;&gt;0),(EXP(LN(F7/D7)/(F$5-D$5))-1)*100,0)</f>
        <v>-0.18742060078488221</v>
      </c>
    </row>
    <row r="90" spans="1:12" x14ac:dyDescent="0.25">
      <c r="A90" s="34" t="str">
        <f t="shared" ref="A90:A122" si="41">A8</f>
        <v>Agriculture</v>
      </c>
      <c r="B90" s="53">
        <f t="shared" ref="B90:B122" si="42">IF(AND(D$5-B$5 &lt;&gt; 0,B8&lt;&gt;0,D8&lt;&gt;0),(EXP(LN(D8/B8)/(D$5-B$5))-1)*100,0)</f>
        <v>1.6849614072946162</v>
      </c>
      <c r="C90" s="53">
        <f t="shared" ref="C90:C122" si="43">IF(AND(F$5-D$5 &lt;&gt; 0,D8&lt;&gt;0,F8&lt;&gt;0),(EXP(LN(F8/D8)/(F$5-D$5))-1)*100,0)</f>
        <v>-0.52296130725189016</v>
      </c>
    </row>
    <row r="91" spans="1:12" x14ac:dyDescent="0.25">
      <c r="A91" s="34" t="str">
        <f t="shared" si="41"/>
        <v>Mining and quarrying</v>
      </c>
      <c r="B91" s="53">
        <f t="shared" si="42"/>
        <v>-0.60437571352749409</v>
      </c>
      <c r="C91" s="53">
        <f t="shared" si="43"/>
        <v>-1.339748716290079</v>
      </c>
    </row>
    <row r="92" spans="1:12" x14ac:dyDescent="0.25">
      <c r="A92" s="34" t="str">
        <f t="shared" si="41"/>
        <v>Electricity and gas</v>
      </c>
      <c r="B92" s="53">
        <f t="shared" si="42"/>
        <v>5.4138394411137769</v>
      </c>
      <c r="C92" s="53">
        <f t="shared" si="43"/>
        <v>8.1230770129403496E-2</v>
      </c>
    </row>
    <row r="93" spans="1:12" x14ac:dyDescent="0.25">
      <c r="A93" s="34" t="str">
        <f t="shared" si="41"/>
        <v>Water and sewerage</v>
      </c>
      <c r="B93" s="53">
        <f t="shared" si="42"/>
        <v>2.723392209432518</v>
      </c>
      <c r="C93" s="53">
        <f t="shared" si="43"/>
        <v>0.63241647001266443</v>
      </c>
    </row>
    <row r="94" spans="1:12" x14ac:dyDescent="0.25">
      <c r="A94" s="34"/>
      <c r="B94" s="53"/>
      <c r="C94" s="53"/>
    </row>
    <row r="95" spans="1:12" x14ac:dyDescent="0.25">
      <c r="A95" s="34" t="str">
        <f t="shared" si="41"/>
        <v>Manufacturing</v>
      </c>
      <c r="B95" s="53">
        <f t="shared" si="42"/>
        <v>-1.0748531256248084</v>
      </c>
      <c r="C95" s="53">
        <f t="shared" si="43"/>
        <v>-1.0086791491408564</v>
      </c>
    </row>
    <row r="96" spans="1:12" x14ac:dyDescent="0.25">
      <c r="A96" s="34" t="str">
        <f t="shared" si="41"/>
        <v>Food drink and tobacco</v>
      </c>
      <c r="B96" s="53">
        <f t="shared" si="42"/>
        <v>0.10608868741903699</v>
      </c>
      <c r="C96" s="53">
        <f t="shared" si="43"/>
        <v>-0.79373783833593947</v>
      </c>
    </row>
    <row r="97" spans="1:3" x14ac:dyDescent="0.25">
      <c r="A97" s="34" t="str">
        <f t="shared" si="41"/>
        <v>Engineering</v>
      </c>
      <c r="B97" s="53">
        <f t="shared" si="42"/>
        <v>-2.1997924747194308</v>
      </c>
      <c r="C97" s="53">
        <f t="shared" si="43"/>
        <v>-0.51624566374116609</v>
      </c>
    </row>
    <row r="98" spans="1:3" x14ac:dyDescent="0.25">
      <c r="A98" s="34" t="str">
        <f t="shared" si="41"/>
        <v>Rest of manufacturing</v>
      </c>
      <c r="B98" s="53">
        <f t="shared" si="42"/>
        <v>-1.0791237187338543</v>
      </c>
      <c r="C98" s="53">
        <f t="shared" si="43"/>
        <v>-1.1701899406481142</v>
      </c>
    </row>
    <row r="99" spans="1:3" x14ac:dyDescent="0.25">
      <c r="A99" s="34"/>
      <c r="B99" s="53"/>
      <c r="C99" s="53"/>
    </row>
    <row r="100" spans="1:3" x14ac:dyDescent="0.25">
      <c r="A100" s="34" t="str">
        <f t="shared" si="41"/>
        <v>Construction</v>
      </c>
      <c r="B100" s="53">
        <f t="shared" si="42"/>
        <v>-6.518426890419482E-2</v>
      </c>
      <c r="C100" s="53">
        <f t="shared" si="43"/>
        <v>0.21650034953812902</v>
      </c>
    </row>
    <row r="101" spans="1:3" x14ac:dyDescent="0.25">
      <c r="A101" s="34"/>
      <c r="B101" s="53"/>
      <c r="C101" s="53"/>
    </row>
    <row r="102" spans="1:3" x14ac:dyDescent="0.25">
      <c r="A102" s="34" t="str">
        <f t="shared" si="41"/>
        <v>Trade, accomod. and transport</v>
      </c>
      <c r="B102" s="53">
        <f t="shared" si="42"/>
        <v>0.78017837831834136</v>
      </c>
      <c r="C102" s="53">
        <f t="shared" si="43"/>
        <v>0.11331497209003949</v>
      </c>
    </row>
    <row r="103" spans="1:3" x14ac:dyDescent="0.25">
      <c r="A103" s="34" t="str">
        <f t="shared" si="41"/>
        <v>Wholesale and retail trade</v>
      </c>
      <c r="B103" s="53">
        <f t="shared" si="42"/>
        <v>-6.5723717200649734E-2</v>
      </c>
      <c r="C103" s="53">
        <f t="shared" si="43"/>
        <v>0.1311153983161617</v>
      </c>
    </row>
    <row r="104" spans="1:3" x14ac:dyDescent="0.25">
      <c r="A104" s="34" t="str">
        <f t="shared" si="41"/>
        <v>Transport and storage</v>
      </c>
      <c r="B104" s="53">
        <f t="shared" si="42"/>
        <v>1.8299986856803452</v>
      </c>
      <c r="C104" s="53">
        <f t="shared" si="43"/>
        <v>-0.18768484154019216</v>
      </c>
    </row>
    <row r="105" spans="1:3" x14ac:dyDescent="0.25">
      <c r="A105" s="34" t="str">
        <f t="shared" si="41"/>
        <v>Accommodation and food</v>
      </c>
      <c r="B105" s="53">
        <f t="shared" si="42"/>
        <v>1.9268253115098277</v>
      </c>
      <c r="C105" s="53">
        <f t="shared" si="43"/>
        <v>0.29526838844271541</v>
      </c>
    </row>
    <row r="106" spans="1:3" x14ac:dyDescent="0.25">
      <c r="A106" s="34"/>
      <c r="B106" s="53"/>
      <c r="C106" s="53"/>
    </row>
    <row r="107" spans="1:3" x14ac:dyDescent="0.25">
      <c r="A107" s="34" t="str">
        <f t="shared" si="41"/>
        <v>Business and other services</v>
      </c>
      <c r="B107" s="53">
        <f t="shared" si="42"/>
        <v>1.5988294666661629</v>
      </c>
      <c r="C107" s="53">
        <f t="shared" si="43"/>
        <v>0.57715251908569964</v>
      </c>
    </row>
    <row r="108" spans="1:3" x14ac:dyDescent="0.25">
      <c r="A108" s="34" t="str">
        <f t="shared" si="41"/>
        <v>Media</v>
      </c>
      <c r="B108" s="53">
        <f t="shared" si="42"/>
        <v>0.99963071103863488</v>
      </c>
      <c r="C108" s="53">
        <f t="shared" si="43"/>
        <v>0.23243364878116068</v>
      </c>
    </row>
    <row r="109" spans="1:3" x14ac:dyDescent="0.25">
      <c r="A109" s="34" t="str">
        <f t="shared" si="41"/>
        <v>Information technology</v>
      </c>
      <c r="B109" s="53">
        <f t="shared" si="42"/>
        <v>2.1201982248843398</v>
      </c>
      <c r="C109" s="53">
        <f t="shared" si="43"/>
        <v>0.74986408581805275</v>
      </c>
    </row>
    <row r="110" spans="1:3" x14ac:dyDescent="0.25">
      <c r="A110" s="34" t="str">
        <f t="shared" si="41"/>
        <v>Finance and insurance</v>
      </c>
      <c r="B110" s="53">
        <f t="shared" si="42"/>
        <v>-0.3965087169445769</v>
      </c>
      <c r="C110" s="53">
        <f t="shared" si="43"/>
        <v>-0.10104559324469742</v>
      </c>
    </row>
    <row r="111" spans="1:3" x14ac:dyDescent="0.25">
      <c r="A111" s="34" t="str">
        <f t="shared" si="41"/>
        <v>Real estate</v>
      </c>
      <c r="B111" s="53">
        <f t="shared" si="42"/>
        <v>2.1129203863991863</v>
      </c>
      <c r="C111" s="53">
        <f t="shared" si="43"/>
        <v>0.43267130051107827</v>
      </c>
    </row>
    <row r="112" spans="1:3" x14ac:dyDescent="0.25">
      <c r="A112" s="34" t="str">
        <f t="shared" si="41"/>
        <v>Professional services</v>
      </c>
      <c r="B112" s="53">
        <f t="shared" si="42"/>
        <v>2.8802858706074908</v>
      </c>
      <c r="C112" s="53">
        <f t="shared" si="43"/>
        <v>0.71353082728253803</v>
      </c>
    </row>
    <row r="113" spans="1:3" x14ac:dyDescent="0.25">
      <c r="A113" s="34" t="str">
        <f t="shared" si="41"/>
        <v>Support services</v>
      </c>
      <c r="B113" s="53">
        <f t="shared" si="42"/>
        <v>1.6445346611248635</v>
      </c>
      <c r="C113" s="53">
        <f t="shared" si="43"/>
        <v>0.63755183790674685</v>
      </c>
    </row>
    <row r="114" spans="1:3" x14ac:dyDescent="0.25">
      <c r="A114" s="34" t="str">
        <f t="shared" si="41"/>
        <v>Arts and entertainment</v>
      </c>
      <c r="B114" s="53">
        <f t="shared" si="42"/>
        <v>1.2199280203521568</v>
      </c>
      <c r="C114" s="53">
        <f t="shared" si="43"/>
        <v>0.87692434134936104</v>
      </c>
    </row>
    <row r="115" spans="1:3" x14ac:dyDescent="0.25">
      <c r="A115" s="34" t="str">
        <f t="shared" si="41"/>
        <v>Other services</v>
      </c>
      <c r="B115" s="53">
        <f t="shared" si="42"/>
        <v>0.28263915013098106</v>
      </c>
      <c r="C115" s="53">
        <f t="shared" si="43"/>
        <v>0.45062063400695962</v>
      </c>
    </row>
    <row r="116" spans="1:3" x14ac:dyDescent="0.25">
      <c r="A116" s="34"/>
      <c r="B116" s="53"/>
      <c r="C116" s="53"/>
    </row>
    <row r="117" spans="1:3" x14ac:dyDescent="0.25">
      <c r="A117" s="34" t="str">
        <f t="shared" si="41"/>
        <v>Non-marketed services</v>
      </c>
      <c r="B117" s="53">
        <f t="shared" si="42"/>
        <v>1.0767902626444892</v>
      </c>
      <c r="C117" s="53">
        <f t="shared" si="43"/>
        <v>0.48647062668596419</v>
      </c>
    </row>
    <row r="118" spans="1:3" x14ac:dyDescent="0.25">
      <c r="A118" s="34" t="str">
        <f t="shared" si="41"/>
        <v>Public admin. and defence</v>
      </c>
      <c r="B118" s="53">
        <f t="shared" si="42"/>
        <v>-1.6574472783925542</v>
      </c>
      <c r="C118" s="53">
        <f t="shared" si="43"/>
        <v>-5.1961566286617966E-2</v>
      </c>
    </row>
    <row r="119" spans="1:3" x14ac:dyDescent="0.25">
      <c r="A119" s="34" t="str">
        <f t="shared" si="41"/>
        <v>Education</v>
      </c>
      <c r="B119" s="53">
        <f t="shared" si="42"/>
        <v>1.2236621189735786</v>
      </c>
      <c r="C119" s="53">
        <f t="shared" si="43"/>
        <v>3.2402170969048072E-2</v>
      </c>
    </row>
    <row r="120" spans="1:3" x14ac:dyDescent="0.25">
      <c r="A120" s="34" t="str">
        <f t="shared" si="41"/>
        <v>Health and social work</v>
      </c>
      <c r="B120" s="53">
        <f t="shared" si="42"/>
        <v>1.9916238517653229</v>
      </c>
      <c r="C120" s="53">
        <f t="shared" si="43"/>
        <v>0.93413610867760788</v>
      </c>
    </row>
    <row r="121" spans="1:3" x14ac:dyDescent="0.25">
      <c r="A121" s="34"/>
      <c r="B121" s="53"/>
      <c r="C121" s="53"/>
    </row>
    <row r="122" spans="1:3" x14ac:dyDescent="0.25">
      <c r="A122" s="493" t="str">
        <f t="shared" si="41"/>
        <v>All industries</v>
      </c>
      <c r="B122" s="304">
        <f t="shared" si="42"/>
        <v>0.92266577864266175</v>
      </c>
      <c r="C122" s="304">
        <f t="shared" si="43"/>
        <v>0.27575434824573808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1" manualBreakCount="1">
    <brk id="43" max="11" man="1"/>
  </rowBreaks>
  <ignoredErrors>
    <ignoredError sqref="I6 I3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Q577"/>
  <sheetViews>
    <sheetView showGridLines="0" zoomScale="85" zoomScaleNormal="85" workbookViewId="0"/>
  </sheetViews>
  <sheetFormatPr defaultColWidth="9.109375" defaultRowHeight="13.2" x14ac:dyDescent="0.25"/>
  <cols>
    <col min="1" max="1" width="22.109375" style="417" customWidth="1"/>
    <col min="2" max="2" width="9.109375" style="418"/>
    <col min="3" max="3" width="9.33203125" style="417" customWidth="1"/>
    <col min="4" max="4" width="9.109375" style="418"/>
    <col min="5" max="5" width="9.33203125" style="417" customWidth="1"/>
    <col min="6" max="6" width="9.109375" style="418"/>
    <col min="7" max="7" width="9.33203125" style="417" customWidth="1"/>
    <col min="8" max="8" width="9.109375" style="418"/>
    <col min="9" max="9" width="9.33203125" style="417" customWidth="1"/>
    <col min="10" max="10" width="5.5546875" style="408" customWidth="1"/>
    <col min="11" max="14" width="9.33203125" style="418" customWidth="1"/>
    <col min="15" max="16384" width="9.109375" style="407"/>
  </cols>
  <sheetData>
    <row r="1" spans="1:17" ht="15.6" x14ac:dyDescent="0.3">
      <c r="A1" s="265" t="str">
        <f>CONCATENATE("Industry Table 5  Employment status by Industry (SIC 2007) and Gender, ",A$8,"-",A$18)</f>
        <v>Industry Table 5  Employment status by Industry (SIC 2007) and Gender, 2017-2027</v>
      </c>
    </row>
    <row r="5" spans="1:17" x14ac:dyDescent="0.25">
      <c r="A5" s="419"/>
      <c r="B5" s="420" t="s">
        <v>414</v>
      </c>
      <c r="C5" s="419"/>
      <c r="D5" s="420"/>
      <c r="E5" s="419"/>
      <c r="F5" s="420" t="str">
        <f>name!B3</f>
        <v>All industries</v>
      </c>
      <c r="G5" s="419"/>
      <c r="H5" s="422"/>
      <c r="I5" s="419"/>
      <c r="J5" s="421"/>
      <c r="K5" s="422"/>
      <c r="L5" s="422"/>
      <c r="M5" s="422"/>
      <c r="N5" s="422"/>
    </row>
    <row r="6" spans="1:17" x14ac:dyDescent="0.25">
      <c r="A6" s="408"/>
      <c r="B6" s="409"/>
      <c r="C6" s="408"/>
      <c r="D6" s="409"/>
      <c r="E6" s="408"/>
      <c r="F6" s="409"/>
      <c r="G6" s="408"/>
      <c r="H6" s="409"/>
      <c r="I6" s="408"/>
      <c r="K6" s="409"/>
      <c r="L6" s="409"/>
      <c r="M6" s="409"/>
      <c r="N6" s="415" t="s">
        <v>412</v>
      </c>
    </row>
    <row r="7" spans="1:17" x14ac:dyDescent="0.25">
      <c r="A7" s="433" t="s">
        <v>413</v>
      </c>
      <c r="B7" s="513" t="s">
        <v>411</v>
      </c>
      <c r="C7" s="513"/>
      <c r="D7" s="513" t="s">
        <v>410</v>
      </c>
      <c r="E7" s="513"/>
      <c r="F7" s="513" t="s">
        <v>409</v>
      </c>
      <c r="G7" s="513"/>
      <c r="H7" s="513" t="s">
        <v>32</v>
      </c>
      <c r="I7" s="513"/>
      <c r="J7" s="433"/>
      <c r="K7" s="434" t="s">
        <v>371</v>
      </c>
      <c r="L7" s="434" t="s">
        <v>373</v>
      </c>
      <c r="M7" s="434" t="s">
        <v>369</v>
      </c>
      <c r="N7" s="434" t="s">
        <v>32</v>
      </c>
    </row>
    <row r="8" spans="1:17" x14ac:dyDescent="0.25">
      <c r="A8" s="426">
        <f>'Ind T6'!L5</f>
        <v>2017</v>
      </c>
      <c r="B8" s="424" t="s">
        <v>60</v>
      </c>
      <c r="C8" s="425" t="s">
        <v>408</v>
      </c>
      <c r="D8" s="424" t="s">
        <v>60</v>
      </c>
      <c r="E8" s="425" t="s">
        <v>408</v>
      </c>
      <c r="F8" s="424" t="s">
        <v>60</v>
      </c>
      <c r="G8" s="425" t="s">
        <v>408</v>
      </c>
      <c r="H8" s="424" t="s">
        <v>60</v>
      </c>
      <c r="I8" s="425" t="s">
        <v>408</v>
      </c>
      <c r="J8" s="413"/>
      <c r="K8" s="426" t="str">
        <f>CONCATENATE(A8," - ",A13)</f>
        <v>2017 - 2022</v>
      </c>
      <c r="L8" s="427"/>
      <c r="M8" s="427"/>
    </row>
    <row r="9" spans="1:17" x14ac:dyDescent="0.25">
      <c r="A9" s="417" t="s">
        <v>390</v>
      </c>
      <c r="B9" s="363">
        <f>SUM(B30,B51,B72,B93,B114,B135,B156,B177,B198,B219,B240,B261,B282,B303,B324,B345,B366,B387,B408,B429,B450,B471)</f>
        <v>12669.610999991946</v>
      </c>
      <c r="C9" s="436" t="str">
        <f>CONCATENATE("(",ROUND((B9/$H11)*100,1),")")</f>
        <v>(36.4)</v>
      </c>
      <c r="D9" s="363">
        <f>SUM(D30,D51,D72,D93,D114,D135,D156,D177,D198,D219,D240,D261,D282,D303,D324,D345,D366,D387,D408,D429,D450,D471)</f>
        <v>2650.5390000049365</v>
      </c>
      <c r="E9" s="436" t="str">
        <f>CONCATENATE("(",ROUND((D9/$H11)*100,1),")")</f>
        <v>(7.6)</v>
      </c>
      <c r="F9" s="363">
        <f>SUM(F30,F51,F72,F93,F114,F135,F156,F177,F198,F219,F240,F261,F282,F303,F324,F345,F366,F387,F408,F429,F450,F471)</f>
        <v>2911.7420000031657</v>
      </c>
      <c r="G9" s="436" t="str">
        <f>CONCATENATE("(",ROUND((F9/$H11)*100,1),")")</f>
        <v>(8.4)</v>
      </c>
      <c r="H9" s="363">
        <f>SUM(H30,H51,H72,H93,H114,H135,H156,H177,H198,H219,H240,H261,H282,H303,H324,H345,H366,H387,H408,H429,H450,H471)</f>
        <v>18231.892000000043</v>
      </c>
      <c r="I9" s="436" t="str">
        <f>CONCATENATE("(",ROUND((H9/$H11)*100,1),")")</f>
        <v>(52.3)</v>
      </c>
      <c r="K9" s="363">
        <f>B14-B9</f>
        <v>-92.140999989591364</v>
      </c>
      <c r="L9" s="363">
        <f>D14-D9</f>
        <v>205.16999999323752</v>
      </c>
      <c r="M9" s="363">
        <f>F14-F9</f>
        <v>-61.772000003621542</v>
      </c>
      <c r="N9" s="363">
        <f>SUM(K9:M9)</f>
        <v>51.257000000024618</v>
      </c>
      <c r="O9" s="435"/>
      <c r="P9" s="435"/>
      <c r="Q9" s="435"/>
    </row>
    <row r="10" spans="1:17" x14ac:dyDescent="0.25">
      <c r="A10" s="417" t="s">
        <v>391</v>
      </c>
      <c r="B10" s="363">
        <f t="shared" ref="B10:B21" si="0">SUM(B31,B52,B73,B94,B115,B136,B157,B178,B199,B220,B241,B262,B283,B304,B325,B346,B367,B388,B409,B430,B451,B472)</f>
        <v>8006.9449999864692</v>
      </c>
      <c r="C10" s="436" t="str">
        <f>CONCATENATE("(",ROUND((B10/$H11)*100,1),")")</f>
        <v>(23)</v>
      </c>
      <c r="D10" s="363">
        <f t="shared" ref="D10" si="1">SUM(D31,D52,D73,D94,D115,D136,D157,D178,D199,D220,D241,D262,D283,D304,D325,D346,D367,D388,D409,D430,D451,D472)</f>
        <v>6973.0540000167548</v>
      </c>
      <c r="E10" s="436" t="str">
        <f>CONCATENATE("(",ROUND((D10/$H11)*100,1),")")</f>
        <v>(20)</v>
      </c>
      <c r="F10" s="363">
        <f t="shared" ref="F10" si="2">SUM(F31,F52,F73,F94,F115,F136,F157,F178,F199,F220,F241,F262,F283,F304,F325,F346,F367,F388,F409,F430,F451,F472)</f>
        <v>1636.1009999967221</v>
      </c>
      <c r="G10" s="436" t="str">
        <f>CONCATENATE("(",ROUND((F10/$H11)*100,1),")")</f>
        <v>(4.7)</v>
      </c>
      <c r="H10" s="363">
        <f t="shared" ref="H10" si="3">SUM(H31,H52,H73,H94,H115,H136,H157,H178,H199,H220,H241,H262,H283,H304,H325,H346,H367,H388,H409,H430,H451,H472)</f>
        <v>16616.099999999948</v>
      </c>
      <c r="I10" s="436" t="str">
        <f>CONCATENATE("(",ROUND((H10/$H11)*100,1),")")</f>
        <v>(47.7)</v>
      </c>
      <c r="K10" s="363">
        <f t="shared" ref="K10:K11" si="4">B15-B10</f>
        <v>169.33900003672807</v>
      </c>
      <c r="L10" s="363">
        <f t="shared" ref="L10:L11" si="5">D15-D10</f>
        <v>186.82999995091723</v>
      </c>
      <c r="M10" s="363">
        <f t="shared" ref="M10:M11" si="6">F15-F10</f>
        <v>-4.9699999877136634</v>
      </c>
      <c r="N10" s="363">
        <f t="shared" ref="N10:N11" si="7">SUM(K10:M10)</f>
        <v>351.19899999993163</v>
      </c>
      <c r="O10" s="435"/>
      <c r="P10" s="435"/>
      <c r="Q10" s="435"/>
    </row>
    <row r="11" spans="1:17" x14ac:dyDescent="0.25">
      <c r="A11" s="417" t="s">
        <v>389</v>
      </c>
      <c r="B11" s="363">
        <f t="shared" si="0"/>
        <v>20676.555999978424</v>
      </c>
      <c r="C11" s="436" t="str">
        <f>CONCATENATE("(",ROUND((B11/$H11)*100,1),")")</f>
        <v>(59.3)</v>
      </c>
      <c r="D11" s="363">
        <f t="shared" ref="D11" si="8">SUM(D32,D53,D74,D95,D116,D137,D158,D179,D200,D221,D242,D263,D284,D305,D326,D347,D368,D389,D410,D431,D452,D473)</f>
        <v>9623.5930000216904</v>
      </c>
      <c r="E11" s="436" t="str">
        <f>CONCATENATE("(",ROUND((D11/$H11)*100,1),")")</f>
        <v>(27.6)</v>
      </c>
      <c r="F11" s="363">
        <f t="shared" ref="F11" si="9">SUM(F32,F53,F74,F95,F116,F137,F158,F179,F200,F221,F242,F263,F284,F305,F326,F347,F368,F389,F410,F431,F452,F473)</f>
        <v>4547.842999999888</v>
      </c>
      <c r="G11" s="436" t="str">
        <f>CONCATENATE("(",ROUND((F11/$H11)*100,1),")")</f>
        <v>(13.1)</v>
      </c>
      <c r="H11" s="363">
        <f t="shared" ref="H11" si="10">SUM(H32,H53,H74,H95,H116,H137,H158,H179,H200,H221,H242,H263,H284,H305,H326,H347,H368,H389,H410,H431,H452,H473)</f>
        <v>34847.991999999998</v>
      </c>
      <c r="I11" s="436" t="str">
        <f>CONCATENATE("(",ROUND((H11/$H11)*100,1),")")</f>
        <v>(100)</v>
      </c>
      <c r="K11" s="363">
        <f t="shared" si="4"/>
        <v>77.198000047130336</v>
      </c>
      <c r="L11" s="363">
        <f t="shared" si="5"/>
        <v>391.99999994415703</v>
      </c>
      <c r="M11" s="363">
        <f t="shared" si="6"/>
        <v>-66.741999991334524</v>
      </c>
      <c r="N11" s="363">
        <f t="shared" si="7"/>
        <v>402.45599999995284</v>
      </c>
      <c r="O11" s="435"/>
      <c r="P11" s="435"/>
      <c r="Q11" s="435"/>
    </row>
    <row r="12" spans="1:17" x14ac:dyDescent="0.25">
      <c r="B12" s="363"/>
      <c r="C12" s="428"/>
      <c r="D12" s="363"/>
      <c r="E12" s="428"/>
      <c r="F12" s="363"/>
      <c r="G12" s="428"/>
      <c r="H12" s="363"/>
      <c r="I12" s="428"/>
    </row>
    <row r="13" spans="1:17" x14ac:dyDescent="0.25">
      <c r="A13" s="426">
        <f>'Ind T6'!Q5</f>
        <v>2022</v>
      </c>
      <c r="B13" s="363"/>
      <c r="C13" s="428"/>
      <c r="D13" s="363"/>
      <c r="E13" s="428"/>
      <c r="F13" s="363"/>
      <c r="G13" s="428"/>
      <c r="H13" s="363"/>
      <c r="I13" s="428"/>
      <c r="K13" s="426" t="str">
        <f>CONCATENATE(A13," - ",A18)</f>
        <v>2022 - 2027</v>
      </c>
    </row>
    <row r="14" spans="1:17" x14ac:dyDescent="0.25">
      <c r="A14" s="417" t="s">
        <v>390</v>
      </c>
      <c r="B14" s="363">
        <f>SUM(B35,B56,B77,B98,B119,B140,B161,B182,B203,B224,B245,B266,B287,B308,B329,B350,B371,B392,B413,B434,B455,B476)</f>
        <v>12577.470000002355</v>
      </c>
      <c r="C14" s="436" t="str">
        <f>CONCATENATE("(",ROUND((B14/$H16)*100,1),")")</f>
        <v>(35.7)</v>
      </c>
      <c r="D14" s="363">
        <f t="shared" ref="D14" si="11">SUM(D35,D56,D77,D98,D119,D140,D161,D182,D203,D224,D245,D266,D287,D308,D329,D350,D371,D392,D413,D434,D455,D476)</f>
        <v>2855.708999998174</v>
      </c>
      <c r="E14" s="436" t="str">
        <f>CONCATENATE("(",ROUND((D14/$H16)*100,1),")")</f>
        <v>(8.1)</v>
      </c>
      <c r="F14" s="363">
        <f t="shared" ref="F14" si="12">SUM(F35,F56,F77,F98,F119,F140,F161,F182,F203,F224,F245,F266,F287,F308,F329,F350,F371,F392,F413,F434,F455,F476)</f>
        <v>2849.9699999995441</v>
      </c>
      <c r="G14" s="436" t="str">
        <f>CONCATENATE("(",ROUND((F14/$H16)*100,1),")")</f>
        <v>(8.1)</v>
      </c>
      <c r="H14" s="363">
        <f t="shared" ref="H14" si="13">SUM(H35,H56,H77,H98,H119,H140,H161,H182,H203,H224,H245,H266,H287,H308,H329,H350,H371,H392,H413,H434,H455,H476)</f>
        <v>18283.149000000074</v>
      </c>
      <c r="I14" s="436" t="str">
        <f>CONCATENATE("(",ROUND((H14/$H16)*100,1),")")</f>
        <v>(51.9)</v>
      </c>
      <c r="K14" s="363">
        <f>B19-B14</f>
        <v>-43.311000005449387</v>
      </c>
      <c r="L14" s="363">
        <f>D19-D14</f>
        <v>230.00000000357522</v>
      </c>
      <c r="M14" s="363">
        <f>F19-F14</f>
        <v>-55.85299999806648</v>
      </c>
      <c r="N14" s="363">
        <f>SUM(K14:M14)</f>
        <v>130.83600000005936</v>
      </c>
    </row>
    <row r="15" spans="1:17" x14ac:dyDescent="0.25">
      <c r="A15" s="417" t="s">
        <v>391</v>
      </c>
      <c r="B15" s="363">
        <f t="shared" si="0"/>
        <v>8176.2840000231972</v>
      </c>
      <c r="C15" s="436" t="str">
        <f>CONCATENATE("(",ROUND((B15/$H16)*100,1),")")</f>
        <v>(23.2)</v>
      </c>
      <c r="D15" s="363">
        <f t="shared" ref="D15" si="14">SUM(D36,D57,D78,D99,D120,D141,D162,D183,D204,D225,D246,D267,D288,D309,D330,D351,D372,D393,D414,D435,D456,D477)</f>
        <v>7159.883999967672</v>
      </c>
      <c r="E15" s="436" t="str">
        <f>CONCATENATE("(",ROUND((D15/$H16)*100,1),")")</f>
        <v>(20.3)</v>
      </c>
      <c r="F15" s="363">
        <f t="shared" ref="F15" si="15">SUM(F36,F57,F78,F99,F120,F141,F162,F183,F204,F225,F246,F267,F288,F309,F330,F351,F372,F393,F414,F435,F456,F477)</f>
        <v>1631.1310000090084</v>
      </c>
      <c r="G15" s="436" t="str">
        <f>CONCATENATE("(",ROUND((F15/$H16)*100,1),")")</f>
        <v>(4.6)</v>
      </c>
      <c r="H15" s="363">
        <f t="shared" ref="H15" si="16">SUM(H36,H57,H78,H99,H120,H141,H162,H183,H204,H225,H246,H267,H288,H309,H330,H351,H372,H393,H414,H435,H456,H477)</f>
        <v>16967.298999999879</v>
      </c>
      <c r="I15" s="436" t="str">
        <f>CONCATENATE("(",ROUND((H15/$H16)*100,1),")")</f>
        <v>(48.1)</v>
      </c>
      <c r="K15" s="363">
        <f t="shared" ref="K15:K16" si="17">B20-B15</f>
        <v>210.05499998020969</v>
      </c>
      <c r="L15" s="363">
        <f t="shared" ref="L15:L16" si="18">D20-D15</f>
        <v>240.09300002469627</v>
      </c>
      <c r="M15" s="363">
        <f t="shared" ref="M15:M16" si="19">F20-F15</f>
        <v>-10.479000004770569</v>
      </c>
      <c r="N15" s="363">
        <f t="shared" ref="N15:N16" si="20">SUM(K15:M15)</f>
        <v>439.66900000013538</v>
      </c>
    </row>
    <row r="16" spans="1:17" x14ac:dyDescent="0.25">
      <c r="A16" s="417" t="s">
        <v>389</v>
      </c>
      <c r="B16" s="363">
        <f t="shared" si="0"/>
        <v>20753.754000025554</v>
      </c>
      <c r="C16" s="436" t="str">
        <f>CONCATENATE("(",ROUND((B16/$H16)*100,1),")")</f>
        <v>(58.9)</v>
      </c>
      <c r="D16" s="363">
        <f t="shared" ref="D16" si="21">SUM(D37,D58,D79,D100,D121,D142,D163,D184,D205,D226,D247,D268,D289,D310,D331,D352,D373,D394,D415,D436,D457,D478)</f>
        <v>10015.592999965847</v>
      </c>
      <c r="E16" s="436" t="str">
        <f>CONCATENATE("(",ROUND((D16/$H16)*100,1),")")</f>
        <v>(28.4)</v>
      </c>
      <c r="F16" s="363">
        <f t="shared" ref="F16" si="22">SUM(F37,F58,F79,F100,F121,F142,F163,F184,F205,F226,F247,F268,F289,F310,F331,F352,F373,F394,F415,F436,F457,F478)</f>
        <v>4481.1010000085535</v>
      </c>
      <c r="G16" s="436" t="str">
        <f>CONCATENATE("(",ROUND((F16/$H16)*100,1),")")</f>
        <v>(12.7)</v>
      </c>
      <c r="H16" s="363">
        <f t="shared" ref="H16" si="23">SUM(H37,H58,H79,H100,H121,H142,H163,H184,H205,H226,H247,H268,H289,H310,H331,H352,H373,H394,H415,H436,H457,H478)</f>
        <v>35250.447999999946</v>
      </c>
      <c r="I16" s="436" t="str">
        <f>CONCATENATE("(",ROUND((H16/$H16)*100,1),")")</f>
        <v>(100)</v>
      </c>
      <c r="K16" s="363">
        <f t="shared" si="17"/>
        <v>166.74399997476212</v>
      </c>
      <c r="L16" s="363">
        <f t="shared" si="18"/>
        <v>470.09300002827149</v>
      </c>
      <c r="M16" s="363">
        <f t="shared" si="19"/>
        <v>-66.332000002837958</v>
      </c>
      <c r="N16" s="363">
        <f t="shared" si="20"/>
        <v>570.50500000019565</v>
      </c>
    </row>
    <row r="17" spans="1:14" x14ac:dyDescent="0.25">
      <c r="B17" s="363"/>
      <c r="C17" s="428"/>
      <c r="D17" s="363"/>
      <c r="E17" s="428"/>
      <c r="F17" s="363"/>
      <c r="G17" s="428"/>
      <c r="H17" s="363"/>
      <c r="I17" s="428"/>
    </row>
    <row r="18" spans="1:14" x14ac:dyDescent="0.25">
      <c r="A18" s="426">
        <f>'Ind T6'!V5</f>
        <v>2027</v>
      </c>
      <c r="B18" s="363"/>
      <c r="C18" s="428"/>
      <c r="D18" s="363"/>
      <c r="E18" s="428"/>
      <c r="F18" s="363"/>
      <c r="G18" s="428"/>
      <c r="H18" s="363"/>
      <c r="I18" s="428"/>
      <c r="K18" s="426" t="str">
        <f>CONCATENATE(A8," - ",A18)</f>
        <v>2017 - 2027</v>
      </c>
    </row>
    <row r="19" spans="1:14" x14ac:dyDescent="0.25">
      <c r="A19" s="417" t="s">
        <v>390</v>
      </c>
      <c r="B19" s="363">
        <f t="shared" si="0"/>
        <v>12534.158999996906</v>
      </c>
      <c r="C19" s="436" t="str">
        <f>CONCATENATE("(",ROUND((B19/$H21)*100,1),")")</f>
        <v>(35)</v>
      </c>
      <c r="D19" s="363">
        <f t="shared" ref="D19" si="24">SUM(D40,D61,D82,D103,D124,D145,D166,D187,D208,D229,D250,D271,D292,D313,D334,D355,D376,D397,D418,D439,D460,D481)</f>
        <v>3085.7090000017492</v>
      </c>
      <c r="E19" s="436" t="str">
        <f>CONCATENATE("(",ROUND((D19/$H21)*100,1),")")</f>
        <v>(8.6)</v>
      </c>
      <c r="F19" s="363">
        <f t="shared" ref="F19" si="25">SUM(F40,F61,F82,F103,F124,F145,F166,F187,F208,F229,F250,F271,F292,F313,F334,F355,F376,F397,F418,F439,F460,F481)</f>
        <v>2794.1170000014777</v>
      </c>
      <c r="G19" s="436" t="str">
        <f>CONCATENATE("(",ROUND((F19/$H21)*100,1),")")</f>
        <v>(7.8)</v>
      </c>
      <c r="H19" s="363">
        <f t="shared" ref="H19" si="26">SUM(H40,H61,H82,H103,H124,H145,H166,H187,H208,H229,H250,H271,H292,H313,H334,H355,H376,H397,H418,H439,H460,H481)</f>
        <v>18413.985000000128</v>
      </c>
      <c r="I19" s="436" t="str">
        <f>CONCATENATE("(",ROUND((H19/$H21)*100,1),")")</f>
        <v>(51.4)</v>
      </c>
      <c r="K19" s="363">
        <f>B19-B9</f>
        <v>-135.45199999504075</v>
      </c>
      <c r="L19" s="363">
        <f>D19-D9</f>
        <v>435.16999999681275</v>
      </c>
      <c r="M19" s="363">
        <f>F19-F9</f>
        <v>-117.62500000168802</v>
      </c>
      <c r="N19" s="363">
        <f>SUM(K19:M19)</f>
        <v>182.09300000008398</v>
      </c>
    </row>
    <row r="20" spans="1:14" x14ac:dyDescent="0.25">
      <c r="A20" s="417" t="s">
        <v>391</v>
      </c>
      <c r="B20" s="363">
        <f t="shared" si="0"/>
        <v>8386.3390000034069</v>
      </c>
      <c r="C20" s="436" t="str">
        <f>CONCATENATE("(",ROUND((B20/$H21)*100,1),")")</f>
        <v>(23.4)</v>
      </c>
      <c r="D20" s="363">
        <f t="shared" ref="D20" si="27">SUM(D41,D62,D83,D104,D125,D146,D167,D188,D209,D230,D251,D272,D293,D314,D335,D356,D377,D398,D419,D440,D461,D482)</f>
        <v>7399.9769999923683</v>
      </c>
      <c r="E20" s="436" t="str">
        <f>CONCATENATE("(",ROUND((D20/$H21)*100,1),")")</f>
        <v>(20.7)</v>
      </c>
      <c r="F20" s="363">
        <f t="shared" ref="F20" si="28">SUM(F41,F62,F83,F104,F125,F146,F167,F188,F209,F230,F251,F272,F293,F314,F335,F356,F377,F398,F419,F440,F461,F482)</f>
        <v>1620.6520000042378</v>
      </c>
      <c r="G20" s="436" t="str">
        <f>CONCATENATE("(",ROUND((F20/$H21)*100,1),")")</f>
        <v>(4.5)</v>
      </c>
      <c r="H20" s="363">
        <f t="shared" ref="H20" si="29">SUM(H41,H62,H83,H104,H125,H146,H167,H188,H209,H230,H251,H272,H293,H314,H335,H356,H377,H398,H419,H440,H461,H482)</f>
        <v>17406.968000000012</v>
      </c>
      <c r="I20" s="436" t="str">
        <f>CONCATENATE("(",ROUND((H20/$H21)*100,1),")")</f>
        <v>(48.6)</v>
      </c>
      <c r="K20" s="363">
        <f t="shared" ref="K20:K21" si="30">B20-B10</f>
        <v>379.39400001693775</v>
      </c>
      <c r="L20" s="363">
        <f t="shared" ref="L20:L21" si="31">D20-D10</f>
        <v>426.92299997561349</v>
      </c>
      <c r="M20" s="363">
        <f t="shared" ref="M20:M21" si="32">F20-F10</f>
        <v>-15.448999992484232</v>
      </c>
      <c r="N20" s="363">
        <f t="shared" ref="N20:N21" si="33">SUM(K20:M20)</f>
        <v>790.86800000006701</v>
      </c>
    </row>
    <row r="21" spans="1:14" x14ac:dyDescent="0.25">
      <c r="A21" s="408" t="s">
        <v>389</v>
      </c>
      <c r="B21" s="363">
        <f t="shared" si="0"/>
        <v>20920.498000000316</v>
      </c>
      <c r="C21" s="436" t="str">
        <f>CONCATENATE("(",ROUND((B21/$H21)*100,1),")")</f>
        <v>(58.4)</v>
      </c>
      <c r="D21" s="363">
        <f t="shared" ref="D21" si="34">SUM(D42,D63,D84,D105,D126,D147,D168,D189,D210,D231,D252,D273,D294,D315,D336,D357,D378,D399,D420,D441,D462,D483)</f>
        <v>10485.685999994119</v>
      </c>
      <c r="E21" s="436" t="str">
        <f>CONCATENATE("(",ROUND((D21/$H21)*100,1),")")</f>
        <v>(29.3)</v>
      </c>
      <c r="F21" s="363">
        <f>SUM(F42,F63,F84,F105,F126,F147,F168,F189,F210,F231,F252,F273,F294,F315,F336,F357,F378,F399,F420,F441,F462,F483)</f>
        <v>4414.7690000057155</v>
      </c>
      <c r="G21" s="436" t="str">
        <f>CONCATENATE("(",ROUND((F21/$H21)*100,1),")")</f>
        <v>(12.3)</v>
      </c>
      <c r="H21" s="363">
        <f t="shared" ref="H21" si="35">SUM(H42,H63,H84,H105,H126,H147,H168,H189,H210,H231,H252,H273,H294,H315,H336,H357,H378,H399,H420,H441,H462,H483)</f>
        <v>35820.953000000147</v>
      </c>
      <c r="I21" s="436" t="str">
        <f>CONCATENATE("(",ROUND((H21/$H21)*100,1),")")</f>
        <v>(100)</v>
      </c>
      <c r="K21" s="363">
        <f t="shared" si="30"/>
        <v>243.94200002189245</v>
      </c>
      <c r="L21" s="363">
        <f t="shared" si="31"/>
        <v>862.09299997242852</v>
      </c>
      <c r="M21" s="363">
        <f t="shared" si="32"/>
        <v>-133.07399999417248</v>
      </c>
      <c r="N21" s="363">
        <f t="shared" si="33"/>
        <v>972.96100000014849</v>
      </c>
    </row>
    <row r="22" spans="1:14" x14ac:dyDescent="0.25">
      <c r="A22" s="429"/>
      <c r="B22" s="430"/>
      <c r="C22" s="429"/>
      <c r="D22" s="430"/>
      <c r="E22" s="429"/>
      <c r="F22" s="430"/>
      <c r="G22" s="429"/>
      <c r="H22" s="430"/>
      <c r="I22" s="429"/>
      <c r="J22" s="429"/>
      <c r="K22" s="430"/>
      <c r="L22" s="430"/>
      <c r="M22" s="430"/>
      <c r="N22" s="430"/>
    </row>
    <row r="26" spans="1:14" x14ac:dyDescent="0.25">
      <c r="A26" s="419"/>
      <c r="B26" s="420" t="s">
        <v>414</v>
      </c>
      <c r="C26" s="419"/>
      <c r="D26" s="420"/>
      <c r="E26" s="419"/>
      <c r="F26" s="420" t="str">
        <f>name!B4</f>
        <v>Agriculture</v>
      </c>
      <c r="G26" s="419"/>
      <c r="H26" s="422"/>
      <c r="I26" s="419"/>
      <c r="J26" s="421"/>
      <c r="K26" s="422"/>
      <c r="L26" s="422"/>
      <c r="M26" s="422"/>
      <c r="N26" s="422"/>
    </row>
    <row r="27" spans="1:14" x14ac:dyDescent="0.25">
      <c r="A27" s="408"/>
      <c r="B27" s="409"/>
      <c r="C27" s="408"/>
      <c r="D27" s="409"/>
      <c r="E27" s="408"/>
      <c r="F27" s="409"/>
      <c r="G27" s="408"/>
      <c r="H27" s="409"/>
      <c r="I27" s="408"/>
      <c r="K27" s="409"/>
      <c r="L27" s="409"/>
      <c r="M27" s="409"/>
      <c r="N27" s="415" t="s">
        <v>412</v>
      </c>
    </row>
    <row r="28" spans="1:14" x14ac:dyDescent="0.25">
      <c r="A28" s="433" t="s">
        <v>413</v>
      </c>
      <c r="B28" s="513" t="s">
        <v>411</v>
      </c>
      <c r="C28" s="513"/>
      <c r="D28" s="513" t="s">
        <v>410</v>
      </c>
      <c r="E28" s="513"/>
      <c r="F28" s="513" t="s">
        <v>409</v>
      </c>
      <c r="G28" s="513"/>
      <c r="H28" s="513" t="s">
        <v>32</v>
      </c>
      <c r="I28" s="513"/>
      <c r="J28" s="433"/>
      <c r="K28" s="434" t="s">
        <v>371</v>
      </c>
      <c r="L28" s="434" t="s">
        <v>373</v>
      </c>
      <c r="M28" s="434" t="s">
        <v>369</v>
      </c>
      <c r="N28" s="434" t="s">
        <v>32</v>
      </c>
    </row>
    <row r="29" spans="1:14" x14ac:dyDescent="0.25">
      <c r="A29" s="423">
        <f>$A$8</f>
        <v>2017</v>
      </c>
      <c r="B29" s="424" t="s">
        <v>60</v>
      </c>
      <c r="C29" s="425" t="s">
        <v>408</v>
      </c>
      <c r="D29" s="424" t="s">
        <v>60</v>
      </c>
      <c r="E29" s="425" t="s">
        <v>408</v>
      </c>
      <c r="F29" s="424" t="s">
        <v>60</v>
      </c>
      <c r="G29" s="425" t="s">
        <v>408</v>
      </c>
      <c r="H29" s="424" t="s">
        <v>60</v>
      </c>
      <c r="I29" s="425" t="s">
        <v>408</v>
      </c>
      <c r="J29" s="413"/>
      <c r="K29" s="426" t="str">
        <f>CONCATENATE(A29," - ",A34)</f>
        <v>2017 - 2022</v>
      </c>
      <c r="L29" s="427"/>
      <c r="M29" s="427"/>
    </row>
    <row r="30" spans="1:14" x14ac:dyDescent="0.25">
      <c r="A30" s="417" t="s">
        <v>390</v>
      </c>
      <c r="B30" s="440">
        <f>'Ind T6'!L10</f>
        <v>162.41499999984683</v>
      </c>
      <c r="C30" s="436" t="str">
        <f>CONCATENATE("(",ROUND((B30/$H32)*100,1),")")</f>
        <v>(36.7)</v>
      </c>
      <c r="D30" s="440">
        <f>'Ind T6'!M10</f>
        <v>23.539000000068732</v>
      </c>
      <c r="E30" s="436" t="str">
        <f>CONCATENATE("(",ROUND((D30/$H32)*100,1),")")</f>
        <v>(5.3)</v>
      </c>
      <c r="F30" s="440">
        <f>'Ind T6'!N10</f>
        <v>142.76899999981836</v>
      </c>
      <c r="G30" s="436" t="str">
        <f>CONCATENATE("(",ROUND((F30/$H32)*100,1),")")</f>
        <v>(32.3)</v>
      </c>
      <c r="H30" s="440">
        <f>SUM(B30,D30,F30)</f>
        <v>328.72299999973393</v>
      </c>
      <c r="I30" s="436" t="str">
        <f>CONCATENATE("(",ROUND((H30/$H32)*100,1),")")</f>
        <v>(74.4)</v>
      </c>
      <c r="K30" s="440">
        <f>B35-B30</f>
        <v>-7.9560000011004206</v>
      </c>
      <c r="L30" s="440">
        <f>D35-D30</f>
        <v>1.3999999911760597E-2</v>
      </c>
      <c r="M30" s="440">
        <f>F35-F30</f>
        <v>-12.730999999522254</v>
      </c>
      <c r="N30" s="440">
        <f>SUM(K30:M30)</f>
        <v>-20.673000000710914</v>
      </c>
    </row>
    <row r="31" spans="1:14" x14ac:dyDescent="0.25">
      <c r="A31" s="417" t="s">
        <v>391</v>
      </c>
      <c r="B31" s="440">
        <f>'Ind T6'!L9</f>
        <v>38.038999999960318</v>
      </c>
      <c r="C31" s="436" t="str">
        <f>CONCATENATE("(",ROUND((B31/$H32)*100,1),")")</f>
        <v>(8.6)</v>
      </c>
      <c r="D31" s="440">
        <f>'Ind T6'!M9</f>
        <v>32.016000000204087</v>
      </c>
      <c r="E31" s="436" t="str">
        <f>CONCATENATE("(",ROUND((D31/$H32)*100,1),")")</f>
        <v>(7.2)</v>
      </c>
      <c r="F31" s="440">
        <f>'Ind T6'!N9</f>
        <v>43.233000001339178</v>
      </c>
      <c r="G31" s="436" t="str">
        <f>CONCATENATE("(",ROUND((F31/$H32)*100,1),")")</f>
        <v>(9.8)</v>
      </c>
      <c r="H31" s="440">
        <f t="shared" ref="H31" si="36">SUM(B31,D31,F31)</f>
        <v>113.28800000150358</v>
      </c>
      <c r="I31" s="436" t="str">
        <f>CONCATENATE("(",ROUND((H31/$H32)*100,1),")")</f>
        <v>(25.6)</v>
      </c>
      <c r="K31" s="440">
        <f t="shared" ref="K31:K32" si="37">B36-B31</f>
        <v>1.4059999994477224</v>
      </c>
      <c r="L31" s="440">
        <f t="shared" ref="L31:L32" si="38">D36-D31</f>
        <v>3.9199999998269917</v>
      </c>
      <c r="M31" s="440">
        <f t="shared" ref="M31:M32" si="39">F36-F31</f>
        <v>-1.8390000004541491</v>
      </c>
      <c r="N31" s="440">
        <f t="shared" ref="N31:N32" si="40">SUM(K31:M31)</f>
        <v>3.4869999988205649</v>
      </c>
    </row>
    <row r="32" spans="1:14" x14ac:dyDescent="0.25">
      <c r="A32" s="417" t="s">
        <v>389</v>
      </c>
      <c r="B32" s="440">
        <f>SUM(B30:B31)</f>
        <v>200.45399999980714</v>
      </c>
      <c r="C32" s="436" t="str">
        <f>CONCATENATE("(",ROUND((B32/$H32)*100,1),")")</f>
        <v>(45.4)</v>
      </c>
      <c r="D32" s="440">
        <f>SUM(D30:D31)</f>
        <v>55.55500000027282</v>
      </c>
      <c r="E32" s="436" t="str">
        <f>CONCATENATE("(",ROUND((D32/$H32)*100,1),")")</f>
        <v>(12.6)</v>
      </c>
      <c r="F32" s="440">
        <f>SUM(F30:F31)</f>
        <v>186.00200000115754</v>
      </c>
      <c r="G32" s="436" t="str">
        <f>CONCATENATE("(",ROUND((F32/$H32)*100,1),")")</f>
        <v>(42.1)</v>
      </c>
      <c r="H32" s="440">
        <f>SUM(H30:H31)</f>
        <v>442.01100000123751</v>
      </c>
      <c r="I32" s="436" t="str">
        <f>CONCATENATE("(",ROUND((H32/$H32)*100,1),")")</f>
        <v>(100)</v>
      </c>
      <c r="K32" s="440">
        <f t="shared" si="37"/>
        <v>-6.5500000016526769</v>
      </c>
      <c r="L32" s="440">
        <f t="shared" si="38"/>
        <v>3.9339999997387523</v>
      </c>
      <c r="M32" s="440">
        <f t="shared" si="39"/>
        <v>-14.569999999976403</v>
      </c>
      <c r="N32" s="440">
        <f t="shared" si="40"/>
        <v>-17.186000001890328</v>
      </c>
    </row>
    <row r="33" spans="1:14" x14ac:dyDescent="0.25">
      <c r="B33" s="440"/>
      <c r="C33" s="428"/>
      <c r="D33" s="440"/>
      <c r="E33" s="428"/>
      <c r="F33" s="440"/>
      <c r="G33" s="428"/>
      <c r="H33" s="440"/>
      <c r="I33" s="428"/>
    </row>
    <row r="34" spans="1:14" x14ac:dyDescent="0.25">
      <c r="A34" s="423">
        <f>$A$13</f>
        <v>2022</v>
      </c>
      <c r="B34" s="440"/>
      <c r="C34" s="428"/>
      <c r="D34" s="440"/>
      <c r="E34" s="428"/>
      <c r="F34" s="440"/>
      <c r="G34" s="428"/>
      <c r="H34" s="440"/>
      <c r="I34" s="428"/>
      <c r="K34" s="426" t="str">
        <f>CONCATENATE(A34," - ",A39)</f>
        <v>2022 - 2027</v>
      </c>
    </row>
    <row r="35" spans="1:14" x14ac:dyDescent="0.25">
      <c r="A35" s="417" t="s">
        <v>390</v>
      </c>
      <c r="B35" s="440">
        <f>'Ind T6'!Q10</f>
        <v>154.45899999874641</v>
      </c>
      <c r="C35" s="436" t="str">
        <f>CONCATENATE("(",ROUND((B35/$H37)*100,1),")")</f>
        <v>(36.4)</v>
      </c>
      <c r="D35" s="440">
        <f>'Ind T6'!R10</f>
        <v>23.552999999980493</v>
      </c>
      <c r="E35" s="436" t="str">
        <f>CONCATENATE("(",ROUND((D35/$H37)*100,1),")")</f>
        <v>(5.5)</v>
      </c>
      <c r="F35" s="440">
        <f>'Ind T6'!S10</f>
        <v>130.03800000029611</v>
      </c>
      <c r="G35" s="436" t="str">
        <f>CONCATENATE("(",ROUND((F35/$H37)*100,1),")")</f>
        <v>(30.6)</v>
      </c>
      <c r="H35" s="440">
        <f>SUM(B35,D35,F35)</f>
        <v>308.04999999902304</v>
      </c>
      <c r="I35" s="436" t="str">
        <f>CONCATENATE("(",ROUND((H35/$H37)*100,1),")")</f>
        <v>(72.5)</v>
      </c>
      <c r="K35" s="440">
        <f>B40-B35</f>
        <v>-3.7789999995851815</v>
      </c>
      <c r="L35" s="440">
        <f>D40-D35</f>
        <v>0.68600000001384487</v>
      </c>
      <c r="M35" s="440">
        <f>F40-F35</f>
        <v>-9.9109999997282472</v>
      </c>
      <c r="N35" s="440">
        <f>SUM(K35:M35)</f>
        <v>-13.003999999299584</v>
      </c>
    </row>
    <row r="36" spans="1:14" x14ac:dyDescent="0.25">
      <c r="A36" s="417" t="s">
        <v>391</v>
      </c>
      <c r="B36" s="440">
        <f>'Ind T6'!Q9</f>
        <v>39.44499999940804</v>
      </c>
      <c r="C36" s="436" t="str">
        <f>CONCATENATE("(",ROUND((B36/$H37)*100,1),")")</f>
        <v>(9.3)</v>
      </c>
      <c r="D36" s="440">
        <f>'Ind T6'!R9</f>
        <v>35.936000000031079</v>
      </c>
      <c r="E36" s="436" t="str">
        <f>CONCATENATE("(",ROUND((D36/$H37)*100,1),")")</f>
        <v>(8.5)</v>
      </c>
      <c r="F36" s="440">
        <f>'Ind T6'!S9</f>
        <v>41.394000000885029</v>
      </c>
      <c r="G36" s="436" t="str">
        <f>CONCATENATE("(",ROUND((F36/$H37)*100,1),")")</f>
        <v>(9.7)</v>
      </c>
      <c r="H36" s="440">
        <f t="shared" ref="H36" si="41">SUM(B36,D36,F36)</f>
        <v>116.77500000032416</v>
      </c>
      <c r="I36" s="436" t="str">
        <f>CONCATENATE("(",ROUND((H36/$H37)*100,1),")")</f>
        <v>(27.5)</v>
      </c>
      <c r="K36" s="440">
        <f t="shared" ref="K36:K37" si="42">B41-B36</f>
        <v>2.8090000006804772</v>
      </c>
      <c r="L36" s="440">
        <f t="shared" ref="L36:L37" si="43">D41-D36</f>
        <v>5.480000000137693</v>
      </c>
      <c r="M36" s="440">
        <f t="shared" ref="M36:M37" si="44">F41-F36</f>
        <v>-0.67799999991490267</v>
      </c>
      <c r="N36" s="440">
        <f t="shared" ref="N36:N37" si="45">SUM(K36:M36)</f>
        <v>7.6110000009032674</v>
      </c>
    </row>
    <row r="37" spans="1:14" x14ac:dyDescent="0.25">
      <c r="A37" s="417" t="s">
        <v>389</v>
      </c>
      <c r="B37" s="440">
        <f>SUM(B35:B36)</f>
        <v>193.90399999815446</v>
      </c>
      <c r="C37" s="436" t="str">
        <f>CONCATENATE("(",ROUND((B37/$H37)*100,1),")")</f>
        <v>(45.6)</v>
      </c>
      <c r="D37" s="440">
        <f>SUM(D35:D36)</f>
        <v>59.489000000011572</v>
      </c>
      <c r="E37" s="436" t="str">
        <f>CONCATENATE("(",ROUND((D37/$H37)*100,1),")")</f>
        <v>(14)</v>
      </c>
      <c r="F37" s="440">
        <f>SUM(F35:F36)</f>
        <v>171.43200000118114</v>
      </c>
      <c r="G37" s="436" t="str">
        <f>CONCATENATE("(",ROUND((F37/$H37)*100,1),")")</f>
        <v>(40.4)</v>
      </c>
      <c r="H37" s="440">
        <f>SUM(H35:H36)</f>
        <v>424.8249999993472</v>
      </c>
      <c r="I37" s="436" t="str">
        <f>CONCATENATE("(",ROUND((H37/$H37)*100,1),")")</f>
        <v>(100)</v>
      </c>
      <c r="K37" s="440">
        <f t="shared" si="42"/>
        <v>-0.96999999890471145</v>
      </c>
      <c r="L37" s="440">
        <f t="shared" si="43"/>
        <v>6.1660000001515414</v>
      </c>
      <c r="M37" s="440">
        <f t="shared" si="44"/>
        <v>-10.588999999643164</v>
      </c>
      <c r="N37" s="440">
        <f t="shared" si="45"/>
        <v>-5.3929999983963341</v>
      </c>
    </row>
    <row r="38" spans="1:14" x14ac:dyDescent="0.25">
      <c r="B38" s="440"/>
      <c r="C38" s="428"/>
      <c r="D38" s="440"/>
      <c r="E38" s="428"/>
      <c r="F38" s="440"/>
      <c r="G38" s="428"/>
      <c r="H38" s="440"/>
      <c r="I38" s="428"/>
    </row>
    <row r="39" spans="1:14" x14ac:dyDescent="0.25">
      <c r="A39" s="423">
        <f>$A$18</f>
        <v>2027</v>
      </c>
      <c r="B39" s="440"/>
      <c r="C39" s="428"/>
      <c r="D39" s="440"/>
      <c r="E39" s="428"/>
      <c r="F39" s="440"/>
      <c r="G39" s="428"/>
      <c r="H39" s="440"/>
      <c r="I39" s="428"/>
      <c r="K39" s="426" t="str">
        <f>CONCATENATE(A29," - ",A39)</f>
        <v>2017 - 2027</v>
      </c>
    </row>
    <row r="40" spans="1:14" x14ac:dyDescent="0.25">
      <c r="A40" s="417" t="s">
        <v>390</v>
      </c>
      <c r="B40" s="440">
        <f>'Ind T6'!V10</f>
        <v>150.67999999916123</v>
      </c>
      <c r="C40" s="436" t="str">
        <f>CONCATENATE("(",ROUND((B40/$H42)*100,1),")")</f>
        <v>(35.9)</v>
      </c>
      <c r="D40" s="440">
        <f>'Ind T6'!W10</f>
        <v>24.238999999994338</v>
      </c>
      <c r="E40" s="436" t="str">
        <f>CONCATENATE("(",ROUND((D40/$H42)*100,1),")")</f>
        <v>(5.8)</v>
      </c>
      <c r="F40" s="440">
        <f>'Ind T6'!X10</f>
        <v>120.12700000056786</v>
      </c>
      <c r="G40" s="436" t="str">
        <f>CONCATENATE("(",ROUND((F40/$H42)*100,1),")")</f>
        <v>(28.6)</v>
      </c>
      <c r="H40" s="440">
        <f>SUM(B40,D40,F40)</f>
        <v>295.04599999972345</v>
      </c>
      <c r="I40" s="436" t="str">
        <f>CONCATENATE("(",ROUND((H40/$H42)*100,1),")")</f>
        <v>(70.3)</v>
      </c>
      <c r="K40" s="440">
        <f>B40-B30</f>
        <v>-11.735000000685602</v>
      </c>
      <c r="L40" s="440">
        <f>D40-D30</f>
        <v>0.69999999992560547</v>
      </c>
      <c r="M40" s="440">
        <f>F40-F30</f>
        <v>-22.641999999250501</v>
      </c>
      <c r="N40" s="440">
        <f>SUM(K40:M40)</f>
        <v>-33.677000000010494</v>
      </c>
    </row>
    <row r="41" spans="1:14" x14ac:dyDescent="0.25">
      <c r="A41" s="417" t="s">
        <v>391</v>
      </c>
      <c r="B41" s="440">
        <f>'Ind T6'!V9</f>
        <v>42.254000000088517</v>
      </c>
      <c r="C41" s="436" t="str">
        <f>CONCATENATE("(",ROUND((B41/$H42)*100,1),")")</f>
        <v>(10.1)</v>
      </c>
      <c r="D41" s="440">
        <f>'Ind T6'!W9</f>
        <v>41.416000000168772</v>
      </c>
      <c r="E41" s="436" t="str">
        <f>CONCATENATE("(",ROUND((D41/$H42)*100,1),")")</f>
        <v>(9.9)</v>
      </c>
      <c r="F41" s="440">
        <f>'Ind T6'!X9</f>
        <v>40.716000000970126</v>
      </c>
      <c r="G41" s="436" t="str">
        <f>CONCATENATE("(",ROUND((F41/$H42)*100,1),")")</f>
        <v>(9.7)</v>
      </c>
      <c r="H41" s="440">
        <f t="shared" ref="H41" si="46">SUM(B41,D41,F41)</f>
        <v>124.38600000122742</v>
      </c>
      <c r="I41" s="436" t="str">
        <f>CONCATENATE("(",ROUND((H41/$H42)*100,1),")")</f>
        <v>(29.7)</v>
      </c>
      <c r="K41" s="440">
        <f t="shared" ref="K41:K42" si="47">B41-B31</f>
        <v>4.2150000001281995</v>
      </c>
      <c r="L41" s="440">
        <f t="shared" ref="L41:L42" si="48">D41-D31</f>
        <v>9.3999999999646846</v>
      </c>
      <c r="M41" s="440">
        <f t="shared" ref="M41:M42" si="49">F41-F31</f>
        <v>-2.5170000003690518</v>
      </c>
      <c r="N41" s="440">
        <f t="shared" ref="N41:N42" si="50">SUM(K41:M41)</f>
        <v>11.097999999723832</v>
      </c>
    </row>
    <row r="42" spans="1:14" x14ac:dyDescent="0.25">
      <c r="A42" s="408" t="s">
        <v>389</v>
      </c>
      <c r="B42" s="440">
        <f>SUM(B40:B41)</f>
        <v>192.93399999924975</v>
      </c>
      <c r="C42" s="436" t="str">
        <f>CONCATENATE("(",ROUND((B42/$H42)*100,1),")")</f>
        <v>(46)</v>
      </c>
      <c r="D42" s="440">
        <f>SUM(D40:D41)</f>
        <v>65.655000000163113</v>
      </c>
      <c r="E42" s="436" t="str">
        <f>CONCATENATE("(",ROUND((D42/$H42)*100,1),")")</f>
        <v>(15.7)</v>
      </c>
      <c r="F42" s="440">
        <f>SUM(F40:F41)</f>
        <v>160.84300000153797</v>
      </c>
      <c r="G42" s="436" t="str">
        <f>CONCATENATE("(",ROUND((F42/$H42)*100,1),")")</f>
        <v>(38.3)</v>
      </c>
      <c r="H42" s="440">
        <f>SUM(H40:H41)</f>
        <v>419.43200000095089</v>
      </c>
      <c r="I42" s="436" t="str">
        <f>CONCATENATE("(",ROUND((H42/$H42)*100,1),")")</f>
        <v>(100)</v>
      </c>
      <c r="K42" s="440">
        <f t="shared" si="47"/>
        <v>-7.5200000005573884</v>
      </c>
      <c r="L42" s="440">
        <f t="shared" si="48"/>
        <v>10.099999999890294</v>
      </c>
      <c r="M42" s="440">
        <f t="shared" si="49"/>
        <v>-25.158999999619567</v>
      </c>
      <c r="N42" s="440">
        <f t="shared" si="50"/>
        <v>-22.579000000286662</v>
      </c>
    </row>
    <row r="43" spans="1:14" x14ac:dyDescent="0.25">
      <c r="A43" s="429"/>
      <c r="B43" s="430"/>
      <c r="C43" s="429"/>
      <c r="D43" s="430"/>
      <c r="E43" s="429"/>
      <c r="F43" s="430"/>
      <c r="G43" s="429"/>
      <c r="H43" s="430"/>
      <c r="I43" s="429"/>
      <c r="J43" s="429"/>
      <c r="K43" s="430"/>
      <c r="L43" s="430"/>
      <c r="M43" s="430"/>
      <c r="N43" s="430"/>
    </row>
    <row r="46" spans="1:14" x14ac:dyDescent="0.25">
      <c r="C46" s="267"/>
      <c r="E46" s="267"/>
      <c r="G46" s="267"/>
      <c r="I46" s="267"/>
    </row>
    <row r="47" spans="1:14" x14ac:dyDescent="0.25">
      <c r="A47" s="419"/>
      <c r="B47" s="420" t="s">
        <v>414</v>
      </c>
      <c r="C47" s="419"/>
      <c r="D47" s="420"/>
      <c r="E47" s="419"/>
      <c r="F47" s="420" t="str">
        <f>name!B5</f>
        <v>Mining and quarrying</v>
      </c>
      <c r="G47" s="419"/>
      <c r="H47" s="422"/>
      <c r="I47" s="419"/>
      <c r="J47" s="421"/>
      <c r="K47" s="422"/>
      <c r="L47" s="422"/>
      <c r="M47" s="422"/>
      <c r="N47" s="422"/>
    </row>
    <row r="48" spans="1:14" x14ac:dyDescent="0.25">
      <c r="A48" s="408"/>
      <c r="B48" s="409"/>
      <c r="C48" s="408"/>
      <c r="D48" s="409"/>
      <c r="E48" s="408"/>
      <c r="F48" s="409"/>
      <c r="G48" s="408"/>
      <c r="H48" s="409"/>
      <c r="I48" s="408"/>
      <c r="K48" s="409"/>
      <c r="L48" s="409"/>
      <c r="M48" s="409"/>
      <c r="N48" s="415" t="s">
        <v>412</v>
      </c>
    </row>
    <row r="49" spans="1:14" x14ac:dyDescent="0.25">
      <c r="A49" s="413" t="s">
        <v>413</v>
      </c>
      <c r="B49" s="512" t="s">
        <v>411</v>
      </c>
      <c r="C49" s="512"/>
      <c r="D49" s="512" t="s">
        <v>410</v>
      </c>
      <c r="E49" s="512"/>
      <c r="F49" s="512" t="s">
        <v>409</v>
      </c>
      <c r="G49" s="512"/>
      <c r="H49" s="512" t="s">
        <v>32</v>
      </c>
      <c r="I49" s="512"/>
      <c r="J49" s="413"/>
      <c r="K49" s="434" t="s">
        <v>371</v>
      </c>
      <c r="L49" s="434" t="s">
        <v>373</v>
      </c>
      <c r="M49" s="434" t="s">
        <v>369</v>
      </c>
      <c r="N49" s="434" t="s">
        <v>32</v>
      </c>
    </row>
    <row r="50" spans="1:14" x14ac:dyDescent="0.25">
      <c r="A50" s="423">
        <f>$A$8</f>
        <v>2017</v>
      </c>
      <c r="B50" s="424" t="s">
        <v>60</v>
      </c>
      <c r="C50" s="425" t="s">
        <v>408</v>
      </c>
      <c r="D50" s="424" t="s">
        <v>60</v>
      </c>
      <c r="E50" s="425" t="s">
        <v>408</v>
      </c>
      <c r="F50" s="424" t="s">
        <v>60</v>
      </c>
      <c r="G50" s="425" t="s">
        <v>408</v>
      </c>
      <c r="H50" s="424" t="s">
        <v>60</v>
      </c>
      <c r="I50" s="425" t="s">
        <v>408</v>
      </c>
      <c r="J50" s="413"/>
      <c r="K50" s="426" t="str">
        <f>CONCATENATE(A50," - ",A55)</f>
        <v>2017 - 2022</v>
      </c>
      <c r="L50" s="427"/>
      <c r="M50" s="427"/>
    </row>
    <row r="51" spans="1:14" x14ac:dyDescent="0.25">
      <c r="A51" s="417" t="s">
        <v>390</v>
      </c>
      <c r="B51" s="440">
        <f>'Ind T6'!L20</f>
        <v>44.349999999723245</v>
      </c>
      <c r="C51" s="436" t="str">
        <f>CONCATENATE("(",ROUND((B51/$H53)*100,1),")")</f>
        <v>(69.3)</v>
      </c>
      <c r="D51" s="440">
        <f>'Ind T6'!M20</f>
        <v>1.7949999999952477</v>
      </c>
      <c r="E51" s="436" t="str">
        <f>CONCATENATE("(",ROUND((D51/$H53)*100,1),")")</f>
        <v>(2.8)</v>
      </c>
      <c r="F51" s="440">
        <f>'Ind T6'!N20</f>
        <v>6.1230000000193128</v>
      </c>
      <c r="G51" s="436" t="str">
        <f>CONCATENATE("(",ROUND((F51/$H53)*100,1),")")</f>
        <v>(9.6)</v>
      </c>
      <c r="H51" s="440">
        <f>SUM(B51,D51,F51)</f>
        <v>52.267999999737803</v>
      </c>
      <c r="I51" s="436" t="str">
        <f>CONCATENATE("(",ROUND((H51/$H53)*100,1),")")</f>
        <v>(81.7)</v>
      </c>
      <c r="K51" s="440">
        <f>B56-B51</f>
        <v>-2.4279999998424771</v>
      </c>
      <c r="L51" s="440">
        <f>D56-D51</f>
        <v>0.20200000000210716</v>
      </c>
      <c r="M51" s="440">
        <f>F56-F51</f>
        <v>-0.32299999998395368</v>
      </c>
      <c r="N51" s="440">
        <f>SUM(K51:M51)</f>
        <v>-2.5489999998243236</v>
      </c>
    </row>
    <row r="52" spans="1:14" x14ac:dyDescent="0.25">
      <c r="A52" s="417" t="s">
        <v>391</v>
      </c>
      <c r="B52" s="440">
        <f>'Ind T6'!L19</f>
        <v>8.8029999999139452</v>
      </c>
      <c r="C52" s="436" t="str">
        <f>CONCATENATE("(",ROUND((B52/$H53)*100,1),")")</f>
        <v>(13.8)</v>
      </c>
      <c r="D52" s="440">
        <f>'Ind T6'!M19</f>
        <v>2.0450000000017181</v>
      </c>
      <c r="E52" s="436" t="str">
        <f>CONCATENATE("(",ROUND((D52/$H53)*100,1),")")</f>
        <v>(3.2)</v>
      </c>
      <c r="F52" s="440">
        <f>'Ind T6'!N19</f>
        <v>0.88800000000792256</v>
      </c>
      <c r="G52" s="436" t="str">
        <f>CONCATENATE("(",ROUND((F52/$H53)*100,1),")")</f>
        <v>(1.4)</v>
      </c>
      <c r="H52" s="440">
        <f t="shared" ref="H52" si="51">SUM(B52,D52,F52)</f>
        <v>11.735999999923585</v>
      </c>
      <c r="I52" s="436" t="str">
        <f>CONCATENATE("(",ROUND((H52/$H53)*100,1),")")</f>
        <v>(18.3)</v>
      </c>
      <c r="K52" s="440">
        <f t="shared" ref="K52:K53" si="52">B57-B52</f>
        <v>-0.19599999991133288</v>
      </c>
      <c r="L52" s="440">
        <f t="shared" ref="L52:L53" si="53">D57-D52</f>
        <v>-7.8000000010352455E-2</v>
      </c>
      <c r="M52" s="440">
        <f t="shared" ref="M52:M53" si="54">F57-F52</f>
        <v>1.0000000005955911E-2</v>
      </c>
      <c r="N52" s="440">
        <f t="shared" ref="N52:N53" si="55">SUM(K52:M52)</f>
        <v>-0.26399999991572942</v>
      </c>
    </row>
    <row r="53" spans="1:14" x14ac:dyDescent="0.25">
      <c r="A53" s="417" t="s">
        <v>389</v>
      </c>
      <c r="B53" s="440">
        <f>SUM(B51:B52)</f>
        <v>53.152999999637188</v>
      </c>
      <c r="C53" s="436" t="str">
        <f>CONCATENATE("(",ROUND((B53/$H53)*100,1),")")</f>
        <v>(83)</v>
      </c>
      <c r="D53" s="440">
        <f>SUM(D51:D52)</f>
        <v>3.8399999999969658</v>
      </c>
      <c r="E53" s="436" t="str">
        <f>CONCATENATE("(",ROUND((D53/$H53)*100,1),")")</f>
        <v>(6)</v>
      </c>
      <c r="F53" s="440">
        <f>SUM(F51:F52)</f>
        <v>7.0110000000272352</v>
      </c>
      <c r="G53" s="436" t="str">
        <f>CONCATENATE("(",ROUND((F53/$H53)*100,1),")")</f>
        <v>(11)</v>
      </c>
      <c r="H53" s="440">
        <f>SUM(H51:H52)</f>
        <v>64.003999999661389</v>
      </c>
      <c r="I53" s="436" t="str">
        <f>CONCATENATE("(",ROUND((H53/$H53)*100,1),")")</f>
        <v>(100)</v>
      </c>
      <c r="K53" s="440">
        <f t="shared" si="52"/>
        <v>-2.6239999997538064</v>
      </c>
      <c r="L53" s="440">
        <f t="shared" si="53"/>
        <v>0.12399999999175471</v>
      </c>
      <c r="M53" s="440">
        <f t="shared" si="54"/>
        <v>-0.31299999997799777</v>
      </c>
      <c r="N53" s="440">
        <f t="shared" si="55"/>
        <v>-2.8129999997400494</v>
      </c>
    </row>
    <row r="54" spans="1:14" x14ac:dyDescent="0.25">
      <c r="B54" s="440"/>
      <c r="C54" s="428"/>
      <c r="D54" s="440"/>
      <c r="E54" s="428"/>
      <c r="F54" s="440"/>
      <c r="G54" s="428"/>
      <c r="H54" s="440"/>
      <c r="I54" s="428"/>
    </row>
    <row r="55" spans="1:14" x14ac:dyDescent="0.25">
      <c r="A55" s="423">
        <f>$A$13</f>
        <v>2022</v>
      </c>
      <c r="B55" s="440"/>
      <c r="C55" s="428"/>
      <c r="D55" s="440"/>
      <c r="E55" s="428"/>
      <c r="F55" s="440"/>
      <c r="G55" s="428"/>
      <c r="H55" s="440"/>
      <c r="I55" s="428"/>
      <c r="K55" s="426" t="str">
        <f>CONCATENATE(A55," - ",A60)</f>
        <v>2022 - 2027</v>
      </c>
    </row>
    <row r="56" spans="1:14" x14ac:dyDescent="0.25">
      <c r="A56" s="417" t="s">
        <v>390</v>
      </c>
      <c r="B56" s="440">
        <f>'Ind T6'!Q20</f>
        <v>41.921999999880768</v>
      </c>
      <c r="C56" s="436" t="str">
        <f>CONCATENATE("(",ROUND((B56/$H58)*100,1),")")</f>
        <v>(68.5)</v>
      </c>
      <c r="D56" s="440">
        <f>'Ind T6'!R20</f>
        <v>1.9969999999973549</v>
      </c>
      <c r="E56" s="436" t="str">
        <f>CONCATENATE("(",ROUND((D56/$H58)*100,1),")")</f>
        <v>(3.3)</v>
      </c>
      <c r="F56" s="440">
        <f>'Ind T6'!S20</f>
        <v>5.8000000000353591</v>
      </c>
      <c r="G56" s="436" t="str">
        <f>CONCATENATE("(",ROUND((F56/$H58)*100,1),")")</f>
        <v>(9.5)</v>
      </c>
      <c r="H56" s="440">
        <f>SUM(B56,D56,F56)</f>
        <v>49.718999999913486</v>
      </c>
      <c r="I56" s="436" t="str">
        <f>CONCATENATE("(",ROUND((H56/$H58)*100,1),")")</f>
        <v>(81.3)</v>
      </c>
      <c r="K56" s="440">
        <f>B61-B56</f>
        <v>-3.6079999999706871</v>
      </c>
      <c r="L56" s="440">
        <f>D61-D56</f>
        <v>-8.0000000045412634E-3</v>
      </c>
      <c r="M56" s="440">
        <f>F61-F56</f>
        <v>-0.60200000000826304</v>
      </c>
      <c r="N56" s="440">
        <f>SUM(K56:M56)</f>
        <v>-4.2179999999834914</v>
      </c>
    </row>
    <row r="57" spans="1:14" x14ac:dyDescent="0.25">
      <c r="A57" s="417" t="s">
        <v>391</v>
      </c>
      <c r="B57" s="440">
        <f>'Ind T6'!Q19</f>
        <v>8.6070000000026123</v>
      </c>
      <c r="C57" s="436" t="str">
        <f>CONCATENATE("(",ROUND((B57/$H58)*100,1),")")</f>
        <v>(14.1)</v>
      </c>
      <c r="D57" s="440">
        <f>'Ind T6'!R19</f>
        <v>1.9669999999913657</v>
      </c>
      <c r="E57" s="436" t="str">
        <f>CONCATENATE("(",ROUND((D57/$H58)*100,1),")")</f>
        <v>(3.2)</v>
      </c>
      <c r="F57" s="440">
        <f>'Ind T6'!S19</f>
        <v>0.89800000001387847</v>
      </c>
      <c r="G57" s="436" t="str">
        <f>CONCATENATE("(",ROUND((F57/$H58)*100,1),")")</f>
        <v>(1.5)</v>
      </c>
      <c r="H57" s="440">
        <f t="shared" ref="H57" si="56">SUM(B57,D57,F57)</f>
        <v>11.472000000007856</v>
      </c>
      <c r="I57" s="436" t="str">
        <f>CONCATENATE("(",ROUND((H57/$H58)*100,1),")")</f>
        <v>(18.7)</v>
      </c>
      <c r="K57" s="440">
        <f t="shared" ref="K57:K58" si="57">B62-B57</f>
        <v>-0.82300000003545026</v>
      </c>
      <c r="L57" s="440">
        <f t="shared" ref="L57:L58" si="58">D62-D57</f>
        <v>-0.18199999997193106</v>
      </c>
      <c r="M57" s="440">
        <f t="shared" ref="M57:M58" si="59">F62-F57</f>
        <v>-4.0000000001904068E-2</v>
      </c>
      <c r="N57" s="440">
        <f t="shared" ref="N57:N58" si="60">SUM(K57:M57)</f>
        <v>-1.0450000000092854</v>
      </c>
    </row>
    <row r="58" spans="1:14" x14ac:dyDescent="0.25">
      <c r="A58" s="417" t="s">
        <v>389</v>
      </c>
      <c r="B58" s="440">
        <f>SUM(B56:B57)</f>
        <v>50.528999999883382</v>
      </c>
      <c r="C58" s="436" t="str">
        <f>CONCATENATE("(",ROUND((B58/$H58)*100,1),")")</f>
        <v>(82.6)</v>
      </c>
      <c r="D58" s="440">
        <f>SUM(D56:D57)</f>
        <v>3.9639999999887205</v>
      </c>
      <c r="E58" s="436" t="str">
        <f>CONCATENATE("(",ROUND((D58/$H58)*100,1),")")</f>
        <v>(6.5)</v>
      </c>
      <c r="F58" s="440">
        <f>SUM(F56:F57)</f>
        <v>6.6980000000492375</v>
      </c>
      <c r="G58" s="436" t="str">
        <f>CONCATENATE("(",ROUND((F58/$H58)*100,1),")")</f>
        <v>(10.9)</v>
      </c>
      <c r="H58" s="440">
        <f>SUM(H56:H57)</f>
        <v>61.190999999921345</v>
      </c>
      <c r="I58" s="436" t="str">
        <f>CONCATENATE("(",ROUND((H58/$H58)*100,1),")")</f>
        <v>(100)</v>
      </c>
      <c r="K58" s="440">
        <f t="shared" si="57"/>
        <v>-4.4310000000061365</v>
      </c>
      <c r="L58" s="440">
        <f t="shared" si="58"/>
        <v>-0.18999999997647254</v>
      </c>
      <c r="M58" s="440">
        <f t="shared" si="59"/>
        <v>-0.64200000001016733</v>
      </c>
      <c r="N58" s="440">
        <f t="shared" si="60"/>
        <v>-5.2629999999927763</v>
      </c>
    </row>
    <row r="59" spans="1:14" x14ac:dyDescent="0.25">
      <c r="B59" s="440"/>
      <c r="C59" s="428"/>
      <c r="D59" s="440"/>
      <c r="E59" s="428"/>
      <c r="F59" s="440"/>
      <c r="G59" s="428"/>
      <c r="H59" s="440"/>
      <c r="I59" s="428"/>
    </row>
    <row r="60" spans="1:14" x14ac:dyDescent="0.25">
      <c r="A60" s="423">
        <f>$A$18</f>
        <v>2027</v>
      </c>
      <c r="B60" s="440"/>
      <c r="C60" s="428"/>
      <c r="D60" s="440"/>
      <c r="E60" s="428"/>
      <c r="F60" s="440"/>
      <c r="G60" s="428"/>
      <c r="H60" s="440"/>
      <c r="I60" s="428"/>
      <c r="K60" s="426" t="str">
        <f>CONCATENATE(A50," - ",A60)</f>
        <v>2017 - 2027</v>
      </c>
    </row>
    <row r="61" spans="1:14" x14ac:dyDescent="0.25">
      <c r="A61" s="417" t="s">
        <v>390</v>
      </c>
      <c r="B61" s="440">
        <f>'Ind T6'!V20</f>
        <v>38.313999999910081</v>
      </c>
      <c r="C61" s="436" t="str">
        <f>CONCATENATE("(",ROUND((B61/$H63)*100,1),")")</f>
        <v>(68.5)</v>
      </c>
      <c r="D61" s="440">
        <f>'Ind T6'!W20</f>
        <v>1.9889999999928136</v>
      </c>
      <c r="E61" s="436" t="str">
        <f>CONCATENATE("(",ROUND((D61/$H63)*100,1),")")</f>
        <v>(3.6)</v>
      </c>
      <c r="F61" s="440">
        <f>'Ind T6'!X20</f>
        <v>5.1980000000270961</v>
      </c>
      <c r="G61" s="436" t="str">
        <f>CONCATENATE("(",ROUND((F61/$H63)*100,1),")")</f>
        <v>(9.3)</v>
      </c>
      <c r="H61" s="440">
        <f>SUM(B61,D61,F61)</f>
        <v>45.500999999929988</v>
      </c>
      <c r="I61" s="436" t="str">
        <f>CONCATENATE("(",ROUND((H61/$H63)*100,1),")")</f>
        <v>(81.4)</v>
      </c>
      <c r="K61" s="440">
        <f>B61-B51</f>
        <v>-6.0359999998131642</v>
      </c>
      <c r="L61" s="440">
        <f>D61-D51</f>
        <v>0.1939999999975659</v>
      </c>
      <c r="M61" s="440">
        <f>F61-F51</f>
        <v>-0.92499999999221671</v>
      </c>
      <c r="N61" s="440">
        <f>SUM(K61:M61)</f>
        <v>-6.7669999998078154</v>
      </c>
    </row>
    <row r="62" spans="1:14" x14ac:dyDescent="0.25">
      <c r="A62" s="417" t="s">
        <v>391</v>
      </c>
      <c r="B62" s="440">
        <f>'Ind T6'!V19</f>
        <v>7.7839999999671621</v>
      </c>
      <c r="C62" s="436" t="str">
        <f>CONCATENATE("(",ROUND((B62/$H63)*100,1),")")</f>
        <v>(13.9)</v>
      </c>
      <c r="D62" s="440">
        <f>'Ind T6'!W19</f>
        <v>1.7850000000194346</v>
      </c>
      <c r="E62" s="436" t="str">
        <f>CONCATENATE("(",ROUND((D62/$H63)*100,1),")")</f>
        <v>(3.2)</v>
      </c>
      <c r="F62" s="440">
        <f>'Ind T6'!X19</f>
        <v>0.85800000001197441</v>
      </c>
      <c r="G62" s="436" t="str">
        <f>CONCATENATE("(",ROUND((F62/$H63)*100,1),")")</f>
        <v>(1.5)</v>
      </c>
      <c r="H62" s="440">
        <f t="shared" ref="H62" si="61">SUM(B62,D62,F62)</f>
        <v>10.426999999998571</v>
      </c>
      <c r="I62" s="436" t="str">
        <f>CONCATENATE("(",ROUND((H62/$H63)*100,1),")")</f>
        <v>(18.6)</v>
      </c>
      <c r="K62" s="440">
        <f t="shared" ref="K62:K63" si="62">B62-B52</f>
        <v>-1.0189999999467831</v>
      </c>
      <c r="L62" s="440">
        <f t="shared" ref="L62:L63" si="63">D62-D52</f>
        <v>-0.25999999998228351</v>
      </c>
      <c r="M62" s="440">
        <f t="shared" ref="M62:M63" si="64">F62-F52</f>
        <v>-2.9999999995948157E-2</v>
      </c>
      <c r="N62" s="440">
        <f t="shared" ref="N62:N63" si="65">SUM(K62:M62)</f>
        <v>-1.3089999999250148</v>
      </c>
    </row>
    <row r="63" spans="1:14" x14ac:dyDescent="0.25">
      <c r="A63" s="408" t="s">
        <v>389</v>
      </c>
      <c r="B63" s="440">
        <f>SUM(B61:B62)</f>
        <v>46.097999999877246</v>
      </c>
      <c r="C63" s="436" t="str">
        <f>CONCATENATE("(",ROUND((B63/$H63)*100,1),")")</f>
        <v>(82.4)</v>
      </c>
      <c r="D63" s="440">
        <f>SUM(D61:D62)</f>
        <v>3.774000000012248</v>
      </c>
      <c r="E63" s="436" t="str">
        <f>CONCATENATE("(",ROUND((D63/$H63)*100,1),")")</f>
        <v>(6.7)</v>
      </c>
      <c r="F63" s="440">
        <f>SUM(F61:F62)</f>
        <v>6.0560000000390701</v>
      </c>
      <c r="G63" s="436" t="str">
        <f>CONCATENATE("(",ROUND((F63/$H63)*100,1),")")</f>
        <v>(10.8)</v>
      </c>
      <c r="H63" s="440">
        <f>SUM(H61:H62)</f>
        <v>55.927999999928559</v>
      </c>
      <c r="I63" s="436" t="str">
        <f>CONCATENATE("(",ROUND((H63/$H63)*100,1),")")</f>
        <v>(100)</v>
      </c>
      <c r="K63" s="440">
        <f t="shared" si="62"/>
        <v>-7.0549999997599429</v>
      </c>
      <c r="L63" s="440">
        <f t="shared" si="63"/>
        <v>-6.5999999984717839E-2</v>
      </c>
      <c r="M63" s="440">
        <f t="shared" si="64"/>
        <v>-0.95499999998816509</v>
      </c>
      <c r="N63" s="440">
        <f t="shared" si="65"/>
        <v>-8.0759999997328258</v>
      </c>
    </row>
    <row r="64" spans="1:14" x14ac:dyDescent="0.25">
      <c r="A64" s="429"/>
      <c r="B64" s="430"/>
      <c r="C64" s="429"/>
      <c r="D64" s="430"/>
      <c r="E64" s="429"/>
      <c r="F64" s="430"/>
      <c r="G64" s="429"/>
      <c r="H64" s="430"/>
      <c r="I64" s="429"/>
      <c r="J64" s="429"/>
      <c r="K64" s="430"/>
      <c r="L64" s="430"/>
      <c r="M64" s="430"/>
      <c r="N64" s="430"/>
    </row>
    <row r="68" spans="1:14" x14ac:dyDescent="0.25">
      <c r="A68" s="419"/>
      <c r="B68" s="420" t="s">
        <v>414</v>
      </c>
      <c r="C68" s="419"/>
      <c r="D68" s="420"/>
      <c r="E68" s="419"/>
      <c r="F68" s="420" t="str">
        <f>name!B6</f>
        <v>Food drink and tobacco</v>
      </c>
      <c r="G68" s="419"/>
      <c r="H68" s="422"/>
      <c r="I68" s="419"/>
      <c r="J68" s="421"/>
      <c r="K68" s="422"/>
      <c r="L68" s="422"/>
      <c r="M68" s="422"/>
      <c r="N68" s="422"/>
    </row>
    <row r="69" spans="1:14" x14ac:dyDescent="0.25">
      <c r="A69" s="408"/>
      <c r="B69" s="409"/>
      <c r="C69" s="408"/>
      <c r="D69" s="409"/>
      <c r="E69" s="408"/>
      <c r="F69" s="409"/>
      <c r="G69" s="408"/>
      <c r="H69" s="409"/>
      <c r="I69" s="408"/>
      <c r="K69" s="409"/>
      <c r="L69" s="409"/>
      <c r="M69" s="409"/>
      <c r="N69" s="415" t="s">
        <v>412</v>
      </c>
    </row>
    <row r="70" spans="1:14" x14ac:dyDescent="0.25">
      <c r="A70" s="413" t="s">
        <v>413</v>
      </c>
      <c r="B70" s="512" t="s">
        <v>411</v>
      </c>
      <c r="C70" s="512"/>
      <c r="D70" s="512" t="s">
        <v>410</v>
      </c>
      <c r="E70" s="512"/>
      <c r="F70" s="512" t="s">
        <v>409</v>
      </c>
      <c r="G70" s="512"/>
      <c r="H70" s="512" t="s">
        <v>32</v>
      </c>
      <c r="I70" s="512"/>
      <c r="J70" s="413"/>
      <c r="K70" s="434" t="s">
        <v>371</v>
      </c>
      <c r="L70" s="434" t="s">
        <v>373</v>
      </c>
      <c r="M70" s="434" t="s">
        <v>369</v>
      </c>
      <c r="N70" s="434" t="s">
        <v>32</v>
      </c>
    </row>
    <row r="71" spans="1:14" x14ac:dyDescent="0.25">
      <c r="A71" s="423">
        <f>$A$8</f>
        <v>2017</v>
      </c>
      <c r="B71" s="424" t="s">
        <v>60</v>
      </c>
      <c r="C71" s="425" t="s">
        <v>408</v>
      </c>
      <c r="D71" s="424" t="s">
        <v>60</v>
      </c>
      <c r="E71" s="425" t="s">
        <v>408</v>
      </c>
      <c r="F71" s="424" t="s">
        <v>60</v>
      </c>
      <c r="G71" s="425" t="s">
        <v>408</v>
      </c>
      <c r="H71" s="424" t="s">
        <v>60</v>
      </c>
      <c r="I71" s="425" t="s">
        <v>408</v>
      </c>
      <c r="J71" s="413"/>
      <c r="K71" s="426" t="str">
        <f>CONCATENATE(A71," - ",A76)</f>
        <v>2017 - 2022</v>
      </c>
      <c r="L71" s="427"/>
      <c r="M71" s="427"/>
    </row>
    <row r="72" spans="1:14" x14ac:dyDescent="0.25">
      <c r="A72" s="417" t="s">
        <v>390</v>
      </c>
      <c r="B72" s="440">
        <f>'Ind T6'!L40</f>
        <v>249.02999999914658</v>
      </c>
      <c r="C72" s="436" t="str">
        <f>CONCATENATE("(",ROUND((B72/$H74)*100,1),")")</f>
        <v>(57)</v>
      </c>
      <c r="D72" s="440">
        <f>'Ind T6'!M40</f>
        <v>15.008999999949186</v>
      </c>
      <c r="E72" s="436" t="str">
        <f>CONCATENATE("(",ROUND((D72/$H74)*100,1),")")</f>
        <v>(3.4)</v>
      </c>
      <c r="F72" s="440">
        <f>'Ind T6'!N40</f>
        <v>9.975999999953066</v>
      </c>
      <c r="G72" s="436" t="str">
        <f>CONCATENATE("(",ROUND((F72/$H74)*100,1),")")</f>
        <v>(2.3)</v>
      </c>
      <c r="H72" s="440">
        <f>SUM(B72,D72,F72)</f>
        <v>274.01499999904883</v>
      </c>
      <c r="I72" s="436" t="str">
        <f>CONCATENATE("(",ROUND((H72/$H74)*100,1),")")</f>
        <v>(62.7)</v>
      </c>
      <c r="K72" s="440">
        <f>B77-B72</f>
        <v>-15.490000001054511</v>
      </c>
      <c r="L72" s="440">
        <f>D77-D72</f>
        <v>1.7739999999834808</v>
      </c>
      <c r="M72" s="440">
        <f>F77-F72</f>
        <v>-0.63199999995714506</v>
      </c>
      <c r="N72" s="440">
        <f>SUM(K72:M72)</f>
        <v>-14.348000001028176</v>
      </c>
    </row>
    <row r="73" spans="1:14" x14ac:dyDescent="0.25">
      <c r="A73" s="417" t="s">
        <v>391</v>
      </c>
      <c r="B73" s="440">
        <f>'Ind T6'!L39</f>
        <v>113.9739999992389</v>
      </c>
      <c r="C73" s="436" t="str">
        <f>CONCATENATE("(",ROUND((B73/$H74)*100,1),")")</f>
        <v>(26.1)</v>
      </c>
      <c r="D73" s="440">
        <f>'Ind T6'!M39</f>
        <v>34.985000000775059</v>
      </c>
      <c r="E73" s="436" t="str">
        <f>CONCATENATE("(",ROUND((D73/$H74)*100,1),")")</f>
        <v>(8)</v>
      </c>
      <c r="F73" s="440">
        <f>'Ind T6'!N39</f>
        <v>13.918000000239507</v>
      </c>
      <c r="G73" s="436" t="str">
        <f>CONCATENATE("(",ROUND((F73/$H74)*100,1),")")</f>
        <v>(3.2)</v>
      </c>
      <c r="H73" s="440">
        <f t="shared" ref="H73" si="66">SUM(B73,D73,F73)</f>
        <v>162.87700000025347</v>
      </c>
      <c r="I73" s="436" t="str">
        <f>CONCATENATE("(",ROUND((H73/$H74)*100,1),")")</f>
        <v>(37.3)</v>
      </c>
      <c r="K73" s="440">
        <f t="shared" ref="K73:K74" si="67">B78-B73</f>
        <v>-4.8030000016271686</v>
      </c>
      <c r="L73" s="440">
        <f t="shared" ref="L73:L74" si="68">D78-D73</f>
        <v>-1.0310000007694384</v>
      </c>
      <c r="M73" s="440">
        <f t="shared" ref="M73:M74" si="69">F78-F73</f>
        <v>-0.9970000000905852</v>
      </c>
      <c r="N73" s="440">
        <f t="shared" ref="N73:N74" si="70">SUM(K73:M73)</f>
        <v>-6.8310000024871922</v>
      </c>
    </row>
    <row r="74" spans="1:14" x14ac:dyDescent="0.25">
      <c r="A74" s="417" t="s">
        <v>389</v>
      </c>
      <c r="B74" s="440">
        <f>SUM(B72:B73)</f>
        <v>363.0039999983855</v>
      </c>
      <c r="C74" s="436" t="str">
        <f>CONCATENATE("(",ROUND((B74/$H74)*100,1),")")</f>
        <v>(83.1)</v>
      </c>
      <c r="D74" s="440">
        <f>SUM(D72:D73)</f>
        <v>49.994000000724242</v>
      </c>
      <c r="E74" s="436" t="str">
        <f>CONCATENATE("(",ROUND((D74/$H74)*100,1),")")</f>
        <v>(11.4)</v>
      </c>
      <c r="F74" s="440">
        <f>SUM(F72:F73)</f>
        <v>23.894000000192573</v>
      </c>
      <c r="G74" s="436" t="str">
        <f>CONCATENATE("(",ROUND((F74/$H74)*100,1),")")</f>
        <v>(5.5)</v>
      </c>
      <c r="H74" s="440">
        <f>SUM(H72:H73)</f>
        <v>436.8919999993023</v>
      </c>
      <c r="I74" s="436" t="str">
        <f>CONCATENATE("(",ROUND((H74/$H74)*100,1),")")</f>
        <v>(100)</v>
      </c>
      <c r="K74" s="440">
        <f t="shared" si="67"/>
        <v>-20.293000002681708</v>
      </c>
      <c r="L74" s="440">
        <f t="shared" si="68"/>
        <v>0.74299999921404947</v>
      </c>
      <c r="M74" s="440">
        <f t="shared" si="69"/>
        <v>-1.6290000000477285</v>
      </c>
      <c r="N74" s="440">
        <f t="shared" si="70"/>
        <v>-21.179000003515387</v>
      </c>
    </row>
    <row r="75" spans="1:14" x14ac:dyDescent="0.25">
      <c r="B75" s="440"/>
      <c r="C75" s="428"/>
      <c r="D75" s="440"/>
      <c r="E75" s="428"/>
      <c r="F75" s="440"/>
      <c r="G75" s="428"/>
      <c r="H75" s="440"/>
      <c r="I75" s="428"/>
    </row>
    <row r="76" spans="1:14" x14ac:dyDescent="0.25">
      <c r="A76" s="423">
        <f>$A$13</f>
        <v>2022</v>
      </c>
      <c r="B76" s="440"/>
      <c r="C76" s="428"/>
      <c r="D76" s="440"/>
      <c r="E76" s="428"/>
      <c r="F76" s="440"/>
      <c r="G76" s="428"/>
      <c r="H76" s="440"/>
      <c r="I76" s="428"/>
      <c r="K76" s="426" t="str">
        <f>CONCATENATE(A76," - ",A81)</f>
        <v>2022 - 2027</v>
      </c>
    </row>
    <row r="77" spans="1:14" x14ac:dyDescent="0.25">
      <c r="A77" s="417" t="s">
        <v>390</v>
      </c>
      <c r="B77" s="440">
        <f>'Ind T6'!Q40</f>
        <v>233.53999999809207</v>
      </c>
      <c r="C77" s="436" t="str">
        <f>CONCATENATE("(",ROUND((B77/$H79)*100,1),")")</f>
        <v>(56.2)</v>
      </c>
      <c r="D77" s="440">
        <f>'Ind T6'!R40</f>
        <v>16.782999999932667</v>
      </c>
      <c r="E77" s="436" t="str">
        <f>CONCATENATE("(",ROUND((D77/$H79)*100,1),")")</f>
        <v>(4)</v>
      </c>
      <c r="F77" s="440">
        <f>'Ind T6'!S40</f>
        <v>9.3439999999959209</v>
      </c>
      <c r="G77" s="436" t="str">
        <f>CONCATENATE("(",ROUND((F77/$H79)*100,1),")")</f>
        <v>(2.2)</v>
      </c>
      <c r="H77" s="440">
        <f>SUM(B77,D77,F77)</f>
        <v>259.66699999802063</v>
      </c>
      <c r="I77" s="436" t="str">
        <f>CONCATENATE("(",ROUND((H77/$H79)*100,1),")")</f>
        <v>(62.5)</v>
      </c>
      <c r="K77" s="440">
        <f>B82-B77</f>
        <v>-10.050999999216629</v>
      </c>
      <c r="L77" s="440">
        <f>D82-D77</f>
        <v>1.8549999999926463</v>
      </c>
      <c r="M77" s="440">
        <f>F82-F77</f>
        <v>-0.39900000000755576</v>
      </c>
      <c r="N77" s="440">
        <f>SUM(K77:M77)</f>
        <v>-8.594999999231538</v>
      </c>
    </row>
    <row r="78" spans="1:14" x14ac:dyDescent="0.25">
      <c r="A78" s="417" t="s">
        <v>391</v>
      </c>
      <c r="B78" s="440">
        <f>'Ind T6'!Q39</f>
        <v>109.17099999761173</v>
      </c>
      <c r="C78" s="436" t="str">
        <f>CONCATENATE("(",ROUND((B78/$H79)*100,1),")")</f>
        <v>(26.3)</v>
      </c>
      <c r="D78" s="440">
        <f>'Ind T6'!R39</f>
        <v>33.954000000005621</v>
      </c>
      <c r="E78" s="436" t="str">
        <f>CONCATENATE("(",ROUND((D78/$H79)*100,1),")")</f>
        <v>(8.2)</v>
      </c>
      <c r="F78" s="440">
        <f>'Ind T6'!S39</f>
        <v>12.921000000148922</v>
      </c>
      <c r="G78" s="436" t="str">
        <f>CONCATENATE("(",ROUND((F78/$H79)*100,1),")")</f>
        <v>(3.1)</v>
      </c>
      <c r="H78" s="440">
        <f t="shared" ref="H78" si="71">SUM(B78,D78,F78)</f>
        <v>156.04599999776627</v>
      </c>
      <c r="I78" s="436" t="str">
        <f>CONCATENATE("(",ROUND((H78/$H79)*100,1),")")</f>
        <v>(37.5)</v>
      </c>
      <c r="K78" s="440">
        <f t="shared" ref="K78:K79" si="72">B83-B78</f>
        <v>-2.6079999986356484</v>
      </c>
      <c r="L78" s="440">
        <f t="shared" ref="L78:L79" si="73">D83-D78</f>
        <v>-0.40199999957851418</v>
      </c>
      <c r="M78" s="440">
        <f t="shared" ref="M78:M79" si="74">F83-F78</f>
        <v>-0.68099999999769167</v>
      </c>
      <c r="N78" s="440">
        <f t="shared" ref="N78:N79" si="75">SUM(K78:M78)</f>
        <v>-3.6909999982118542</v>
      </c>
    </row>
    <row r="79" spans="1:14" x14ac:dyDescent="0.25">
      <c r="A79" s="417" t="s">
        <v>389</v>
      </c>
      <c r="B79" s="440">
        <f>SUM(B77:B78)</f>
        <v>342.71099999570379</v>
      </c>
      <c r="C79" s="436" t="str">
        <f>CONCATENATE("(",ROUND((B79/$H79)*100,1),")")</f>
        <v>(82.4)</v>
      </c>
      <c r="D79" s="440">
        <f>SUM(D77:D78)</f>
        <v>50.736999999938291</v>
      </c>
      <c r="E79" s="436" t="str">
        <f>CONCATENATE("(",ROUND((D79/$H79)*100,1),")")</f>
        <v>(12.2)</v>
      </c>
      <c r="F79" s="440">
        <f>SUM(F77:F78)</f>
        <v>22.265000000144845</v>
      </c>
      <c r="G79" s="436" t="str">
        <f>CONCATENATE("(",ROUND((F79/$H79)*100,1),")")</f>
        <v>(5.4)</v>
      </c>
      <c r="H79" s="440">
        <f>SUM(H77:H78)</f>
        <v>415.7129999957869</v>
      </c>
      <c r="I79" s="436" t="str">
        <f>CONCATENATE("(",ROUND((H79/$H79)*100,1),")")</f>
        <v>(100)</v>
      </c>
      <c r="K79" s="440">
        <f t="shared" si="72"/>
        <v>-12.658999997852277</v>
      </c>
      <c r="L79" s="440">
        <f t="shared" si="73"/>
        <v>1.4530000004141286</v>
      </c>
      <c r="M79" s="440">
        <f t="shared" si="74"/>
        <v>-1.0800000000052492</v>
      </c>
      <c r="N79" s="440">
        <f t="shared" si="75"/>
        <v>-12.285999997443398</v>
      </c>
    </row>
    <row r="80" spans="1:14" x14ac:dyDescent="0.25">
      <c r="B80" s="440"/>
      <c r="C80" s="428"/>
      <c r="D80" s="440"/>
      <c r="E80" s="428"/>
      <c r="F80" s="440"/>
      <c r="G80" s="428"/>
      <c r="H80" s="440"/>
      <c r="I80" s="428"/>
    </row>
    <row r="81" spans="1:14" x14ac:dyDescent="0.25">
      <c r="A81" s="423">
        <f>$A$18</f>
        <v>2027</v>
      </c>
      <c r="B81" s="440"/>
      <c r="C81" s="428"/>
      <c r="D81" s="440"/>
      <c r="E81" s="428"/>
      <c r="F81" s="440"/>
      <c r="G81" s="428"/>
      <c r="H81" s="440"/>
      <c r="I81" s="428"/>
      <c r="K81" s="426" t="str">
        <f>CONCATENATE(A71," - ",A81)</f>
        <v>2017 - 2027</v>
      </c>
    </row>
    <row r="82" spans="1:14" x14ac:dyDescent="0.25">
      <c r="A82" s="417" t="s">
        <v>390</v>
      </c>
      <c r="B82" s="440">
        <f>'Ind T6'!V40</f>
        <v>223.48899999887544</v>
      </c>
      <c r="C82" s="436" t="str">
        <f>CONCATENATE("(",ROUND((B82/$H84)*100,1),")")</f>
        <v>(55.4)</v>
      </c>
      <c r="D82" s="440">
        <f>'Ind T6'!W40</f>
        <v>18.637999999925313</v>
      </c>
      <c r="E82" s="436" t="str">
        <f>CONCATENATE("(",ROUND((D82/$H84)*100,1),")")</f>
        <v>(4.6)</v>
      </c>
      <c r="F82" s="440">
        <f>'Ind T6'!X40</f>
        <v>8.9449999999883651</v>
      </c>
      <c r="G82" s="436" t="str">
        <f>CONCATENATE("(",ROUND((F82/$H84)*100,1),")")</f>
        <v>(2.2)</v>
      </c>
      <c r="H82" s="440">
        <f>SUM(B82,D82,F82)</f>
        <v>251.07199999878912</v>
      </c>
      <c r="I82" s="436" t="str">
        <f>CONCATENATE("(",ROUND((H82/$H84)*100,1),")")</f>
        <v>(62.2)</v>
      </c>
      <c r="K82" s="440">
        <f>B82-B72</f>
        <v>-25.54100000027114</v>
      </c>
      <c r="L82" s="440">
        <f>D82-D72</f>
        <v>3.6289999999761271</v>
      </c>
      <c r="M82" s="440">
        <f>F82-F72</f>
        <v>-1.0309999999647008</v>
      </c>
      <c r="N82" s="440">
        <f>SUM(K82:M82)</f>
        <v>-22.943000000259715</v>
      </c>
    </row>
    <row r="83" spans="1:14" x14ac:dyDescent="0.25">
      <c r="A83" s="417" t="s">
        <v>391</v>
      </c>
      <c r="B83" s="440">
        <f>'Ind T6'!V39</f>
        <v>106.56299999897608</v>
      </c>
      <c r="C83" s="436" t="str">
        <f>CONCATENATE("(",ROUND((B83/$H84)*100,1),")")</f>
        <v>(26.4)</v>
      </c>
      <c r="D83" s="440">
        <f>'Ind T6'!W39</f>
        <v>33.552000000427107</v>
      </c>
      <c r="E83" s="436" t="str">
        <f>CONCATENATE("(",ROUND((D83/$H84)*100,1),")")</f>
        <v>(8.3)</v>
      </c>
      <c r="F83" s="440">
        <f>'Ind T6'!X39</f>
        <v>12.24000000015123</v>
      </c>
      <c r="G83" s="436" t="str">
        <f>CONCATENATE("(",ROUND((F83/$H84)*100,1),")")</f>
        <v>(3)</v>
      </c>
      <c r="H83" s="440">
        <f t="shared" ref="H83" si="76">SUM(B83,D83,F83)</f>
        <v>152.35499999955442</v>
      </c>
      <c r="I83" s="436" t="str">
        <f>CONCATENATE("(",ROUND((H83/$H84)*100,1),")")</f>
        <v>(37.8)</v>
      </c>
      <c r="K83" s="440">
        <f t="shared" ref="K83:K84" si="77">B83-B73</f>
        <v>-7.4110000002628169</v>
      </c>
      <c r="L83" s="440">
        <f t="shared" ref="L83:L84" si="78">D83-D73</f>
        <v>-1.4330000003479526</v>
      </c>
      <c r="M83" s="440">
        <f t="shared" ref="M83:M84" si="79">F83-F73</f>
        <v>-1.6780000000882769</v>
      </c>
      <c r="N83" s="440">
        <f t="shared" ref="N83:N84" si="80">SUM(K83:M83)</f>
        <v>-10.522000000699046</v>
      </c>
    </row>
    <row r="84" spans="1:14" x14ac:dyDescent="0.25">
      <c r="A84" s="408" t="s">
        <v>389</v>
      </c>
      <c r="B84" s="440">
        <f>SUM(B82:B83)</f>
        <v>330.05199999785151</v>
      </c>
      <c r="C84" s="436" t="str">
        <f>CONCATENATE("(",ROUND((B84/$H84)*100,1),")")</f>
        <v>(81.8)</v>
      </c>
      <c r="D84" s="440">
        <f>SUM(D82:D83)</f>
        <v>52.19000000035242</v>
      </c>
      <c r="E84" s="436" t="str">
        <f>CONCATENATE("(",ROUND((D84/$H84)*100,1),")")</f>
        <v>(12.9)</v>
      </c>
      <c r="F84" s="440">
        <f>SUM(F82:F83)</f>
        <v>21.185000000139595</v>
      </c>
      <c r="G84" s="436" t="str">
        <f>CONCATENATE("(",ROUND((F84/$H84)*100,1),")")</f>
        <v>(5.3)</v>
      </c>
      <c r="H84" s="440">
        <f>SUM(H82:H83)</f>
        <v>403.42699999834355</v>
      </c>
      <c r="I84" s="436" t="str">
        <f>CONCATENATE("(",ROUND((H84/$H84)*100,1),")")</f>
        <v>(100)</v>
      </c>
      <c r="K84" s="440">
        <f t="shared" si="77"/>
        <v>-32.952000000533985</v>
      </c>
      <c r="L84" s="440">
        <f t="shared" si="78"/>
        <v>2.195999999628178</v>
      </c>
      <c r="M84" s="440">
        <f t="shared" si="79"/>
        <v>-2.7090000000529777</v>
      </c>
      <c r="N84" s="440">
        <f t="shared" si="80"/>
        <v>-33.465000000958781</v>
      </c>
    </row>
    <row r="85" spans="1:14" x14ac:dyDescent="0.25">
      <c r="A85" s="429"/>
      <c r="B85" s="430"/>
      <c r="C85" s="429"/>
      <c r="D85" s="430"/>
      <c r="E85" s="429"/>
      <c r="F85" s="430"/>
      <c r="G85" s="429"/>
      <c r="H85" s="430"/>
      <c r="I85" s="429"/>
      <c r="J85" s="429"/>
      <c r="K85" s="430"/>
      <c r="L85" s="430"/>
      <c r="M85" s="430"/>
      <c r="N85" s="430"/>
    </row>
    <row r="89" spans="1:14" x14ac:dyDescent="0.25">
      <c r="A89" s="419"/>
      <c r="B89" s="420" t="s">
        <v>414</v>
      </c>
      <c r="C89" s="419"/>
      <c r="D89" s="420"/>
      <c r="E89" s="419"/>
      <c r="F89" s="420" t="str">
        <f>name!B7</f>
        <v>Engineering</v>
      </c>
      <c r="G89" s="419"/>
      <c r="H89" s="422"/>
      <c r="I89" s="419"/>
      <c r="J89" s="421"/>
      <c r="K89" s="422"/>
      <c r="L89" s="422"/>
      <c r="M89" s="422"/>
      <c r="N89" s="422"/>
    </row>
    <row r="90" spans="1:14" x14ac:dyDescent="0.25">
      <c r="A90" s="408"/>
      <c r="B90" s="409"/>
      <c r="C90" s="408"/>
      <c r="D90" s="409"/>
      <c r="E90" s="408"/>
      <c r="F90" s="409"/>
      <c r="G90" s="408"/>
      <c r="H90" s="409"/>
      <c r="I90" s="408"/>
      <c r="K90" s="409"/>
      <c r="L90" s="409"/>
      <c r="M90" s="409"/>
      <c r="N90" s="415" t="s">
        <v>412</v>
      </c>
    </row>
    <row r="91" spans="1:14" x14ac:dyDescent="0.25">
      <c r="A91" s="413" t="s">
        <v>413</v>
      </c>
      <c r="B91" s="512" t="s">
        <v>411</v>
      </c>
      <c r="C91" s="512"/>
      <c r="D91" s="512" t="s">
        <v>410</v>
      </c>
      <c r="E91" s="512"/>
      <c r="F91" s="512" t="s">
        <v>409</v>
      </c>
      <c r="G91" s="512"/>
      <c r="H91" s="512" t="s">
        <v>32</v>
      </c>
      <c r="I91" s="512"/>
      <c r="J91" s="413"/>
      <c r="K91" s="434" t="s">
        <v>371</v>
      </c>
      <c r="L91" s="434" t="s">
        <v>373</v>
      </c>
      <c r="M91" s="434" t="s">
        <v>369</v>
      </c>
      <c r="N91" s="434" t="s">
        <v>32</v>
      </c>
    </row>
    <row r="92" spans="1:14" x14ac:dyDescent="0.25">
      <c r="A92" s="423">
        <f>$A$8</f>
        <v>2017</v>
      </c>
      <c r="B92" s="424" t="s">
        <v>60</v>
      </c>
      <c r="C92" s="425" t="s">
        <v>408</v>
      </c>
      <c r="D92" s="424" t="s">
        <v>60</v>
      </c>
      <c r="E92" s="425" t="s">
        <v>408</v>
      </c>
      <c r="F92" s="424" t="s">
        <v>60</v>
      </c>
      <c r="G92" s="425" t="s">
        <v>408</v>
      </c>
      <c r="H92" s="424" t="s">
        <v>60</v>
      </c>
      <c r="I92" s="425" t="s">
        <v>408</v>
      </c>
      <c r="J92" s="413"/>
      <c r="K92" s="426" t="str">
        <f>CONCATENATE(A92," - ",A97)</f>
        <v>2017 - 2022</v>
      </c>
      <c r="L92" s="427"/>
      <c r="M92" s="427"/>
    </row>
    <row r="93" spans="1:14" x14ac:dyDescent="0.25">
      <c r="A93" s="417" t="s">
        <v>390</v>
      </c>
      <c r="B93" s="440">
        <f>'Ind T6'!L65</f>
        <v>291.14399999904771</v>
      </c>
      <c r="C93" s="436" t="str">
        <f>CONCATENATE("(",ROUND((B93/$H95)*100,1),")")</f>
        <v>(73.3)</v>
      </c>
      <c r="D93" s="440">
        <f>'Ind T6'!M65</f>
        <v>7.9719999999866005</v>
      </c>
      <c r="E93" s="436" t="str">
        <f>CONCATENATE("(",ROUND((D93/$H95)*100,1),")")</f>
        <v>(2)</v>
      </c>
      <c r="F93" s="440">
        <f>'Ind T6'!N65</f>
        <v>12.12599999995302</v>
      </c>
      <c r="G93" s="436" t="str">
        <f>CONCATENATE("(",ROUND((F93/$H95)*100,1),")")</f>
        <v>(3.1)</v>
      </c>
      <c r="H93" s="440">
        <f>SUM(B93,D93,F93)</f>
        <v>311.24199999898735</v>
      </c>
      <c r="I93" s="436" t="str">
        <f>CONCATENATE("(",ROUND((H93/$H95)*100,1),")")</f>
        <v>(78.4)</v>
      </c>
      <c r="K93" s="440">
        <f>B98-B93</f>
        <v>-4.5969999998387152</v>
      </c>
      <c r="L93" s="440">
        <f>D98-D93</f>
        <v>2.2760000000268654</v>
      </c>
      <c r="M93" s="440">
        <f>F98-F93</f>
        <v>1.0599999999365419</v>
      </c>
      <c r="N93" s="440">
        <f>SUM(K93:M93)</f>
        <v>-1.2609999998753079</v>
      </c>
    </row>
    <row r="94" spans="1:14" x14ac:dyDescent="0.25">
      <c r="A94" s="417" t="s">
        <v>391</v>
      </c>
      <c r="B94" s="440">
        <f>'Ind T6'!L64</f>
        <v>63.941999999604086</v>
      </c>
      <c r="C94" s="436" t="str">
        <f>CONCATENATE("(",ROUND((B94/$H95)*100,1),")")</f>
        <v>(16.1)</v>
      </c>
      <c r="D94" s="440">
        <f>'Ind T6'!M64</f>
        <v>17.95400000011556</v>
      </c>
      <c r="E94" s="436" t="str">
        <f>CONCATENATE("(",ROUND((D94/$H95)*100,1),")")</f>
        <v>(4.5)</v>
      </c>
      <c r="F94" s="440">
        <f>'Ind T6'!N64</f>
        <v>3.7960000000296876</v>
      </c>
      <c r="G94" s="436" t="str">
        <f>CONCATENATE("(",ROUND((F94/$H95)*100,1),")")</f>
        <v>(1)</v>
      </c>
      <c r="H94" s="440">
        <f t="shared" ref="H94" si="81">SUM(B94,D94,F94)</f>
        <v>85.691999999749342</v>
      </c>
      <c r="I94" s="436" t="str">
        <f>CONCATENATE("(",ROUND((H94/$H95)*100,1),")")</f>
        <v>(21.6)</v>
      </c>
      <c r="K94" s="440">
        <f t="shared" ref="K94:K95" si="82">B99-B94</f>
        <v>0.60699999992363729</v>
      </c>
      <c r="L94" s="440">
        <f t="shared" ref="L94:L95" si="83">D99-D94</f>
        <v>2.4229999997902851</v>
      </c>
      <c r="M94" s="440">
        <f t="shared" ref="M94:M95" si="84">F99-F94</f>
        <v>4.8000000009879251E-2</v>
      </c>
      <c r="N94" s="440">
        <f t="shared" ref="N94:N95" si="85">SUM(K94:M94)</f>
        <v>3.0779999997238017</v>
      </c>
    </row>
    <row r="95" spans="1:14" x14ac:dyDescent="0.25">
      <c r="A95" s="417" t="s">
        <v>389</v>
      </c>
      <c r="B95" s="440">
        <f>SUM(B93:B94)</f>
        <v>355.0859999986518</v>
      </c>
      <c r="C95" s="436" t="str">
        <f>CONCATENATE("(",ROUND((B95/$H95)*100,1),")")</f>
        <v>(89.5)</v>
      </c>
      <c r="D95" s="440">
        <f>SUM(D93:D94)</f>
        <v>25.92600000010216</v>
      </c>
      <c r="E95" s="436" t="str">
        <f>CONCATENATE("(",ROUND((D95/$H95)*100,1),")")</f>
        <v>(6.5)</v>
      </c>
      <c r="F95" s="440">
        <f>SUM(F93:F94)</f>
        <v>15.921999999982708</v>
      </c>
      <c r="G95" s="436" t="str">
        <f>CONCATENATE("(",ROUND((F95/$H95)*100,1),")")</f>
        <v>(4)</v>
      </c>
      <c r="H95" s="440">
        <f>SUM(H93:H94)</f>
        <v>396.93399999873668</v>
      </c>
      <c r="I95" s="436" t="str">
        <f>CONCATENATE("(",ROUND((H95/$H95)*100,1),")")</f>
        <v>(100)</v>
      </c>
      <c r="K95" s="440">
        <f t="shared" si="82"/>
        <v>-3.989999999915085</v>
      </c>
      <c r="L95" s="440">
        <f t="shared" si="83"/>
        <v>4.6989999998171506</v>
      </c>
      <c r="M95" s="440">
        <f t="shared" si="84"/>
        <v>1.1079999999464203</v>
      </c>
      <c r="N95" s="440">
        <f t="shared" si="85"/>
        <v>1.8169999998484858</v>
      </c>
    </row>
    <row r="96" spans="1:14" x14ac:dyDescent="0.25">
      <c r="B96" s="440"/>
      <c r="C96" s="428"/>
      <c r="D96" s="440"/>
      <c r="E96" s="428"/>
      <c r="F96" s="440"/>
      <c r="G96" s="428"/>
      <c r="H96" s="440"/>
      <c r="I96" s="428"/>
    </row>
    <row r="97" spans="1:14" x14ac:dyDescent="0.25">
      <c r="A97" s="423">
        <f>$A$13</f>
        <v>2022</v>
      </c>
      <c r="B97" s="440"/>
      <c r="C97" s="428"/>
      <c r="D97" s="440"/>
      <c r="E97" s="428"/>
      <c r="F97" s="440"/>
      <c r="G97" s="428"/>
      <c r="H97" s="440"/>
      <c r="I97" s="428"/>
      <c r="K97" s="426" t="str">
        <f>CONCATENATE(A97," - ",A102)</f>
        <v>2022 - 2027</v>
      </c>
    </row>
    <row r="98" spans="1:14" x14ac:dyDescent="0.25">
      <c r="A98" s="417" t="s">
        <v>390</v>
      </c>
      <c r="B98" s="440">
        <f>'Ind T6'!Q65</f>
        <v>286.54699999920899</v>
      </c>
      <c r="C98" s="436" t="str">
        <f>CONCATENATE("(",ROUND((B98/$H100)*100,1),")")</f>
        <v>(71.9)</v>
      </c>
      <c r="D98" s="440">
        <f>'Ind T6'!R65</f>
        <v>10.248000000013466</v>
      </c>
      <c r="E98" s="436" t="str">
        <f>CONCATENATE("(",ROUND((D98/$H100)*100,1),")")</f>
        <v>(2.6)</v>
      </c>
      <c r="F98" s="440">
        <f>'Ind T6'!S65</f>
        <v>13.185999999889562</v>
      </c>
      <c r="G98" s="436" t="str">
        <f>CONCATENATE("(",ROUND((F98/$H100)*100,1),")")</f>
        <v>(3.3)</v>
      </c>
      <c r="H98" s="440">
        <f>SUM(B98,D98,F98)</f>
        <v>309.98099999911204</v>
      </c>
      <c r="I98" s="436" t="str">
        <f>CONCATENATE("(",ROUND((H98/$H100)*100,1),")")</f>
        <v>(77.7)</v>
      </c>
      <c r="K98" s="440">
        <f>B103-B98</f>
        <v>-22.98799999991769</v>
      </c>
      <c r="L98" s="440">
        <f>D103-D98</f>
        <v>1.9909999999854264</v>
      </c>
      <c r="M98" s="440">
        <f>F103-F98</f>
        <v>0.40200000000869629</v>
      </c>
      <c r="N98" s="440">
        <f>SUM(K98:M98)</f>
        <v>-20.594999999923566</v>
      </c>
    </row>
    <row r="99" spans="1:14" x14ac:dyDescent="0.25">
      <c r="A99" s="417" t="s">
        <v>391</v>
      </c>
      <c r="B99" s="440">
        <f>'Ind T6'!Q64</f>
        <v>64.548999999527723</v>
      </c>
      <c r="C99" s="436" t="str">
        <f>CONCATENATE("(",ROUND((B99/$H100)*100,1),")")</f>
        <v>(16.2)</v>
      </c>
      <c r="D99" s="440">
        <f>'Ind T6'!R64</f>
        <v>20.376999999905845</v>
      </c>
      <c r="E99" s="436" t="str">
        <f>CONCATENATE("(",ROUND((D99/$H100)*100,1),")")</f>
        <v>(5.1)</v>
      </c>
      <c r="F99" s="440">
        <f>'Ind T6'!S64</f>
        <v>3.8440000000395669</v>
      </c>
      <c r="G99" s="436" t="str">
        <f>CONCATENATE("(",ROUND((F99/$H100)*100,1),")")</f>
        <v>(1)</v>
      </c>
      <c r="H99" s="440">
        <f t="shared" ref="H99" si="86">SUM(B99,D99,F99)</f>
        <v>88.769999999473143</v>
      </c>
      <c r="I99" s="436" t="str">
        <f>CONCATENATE("(",ROUND((H99/$H100)*100,1),")")</f>
        <v>(22.3)</v>
      </c>
      <c r="K99" s="440">
        <f t="shared" ref="K99:K100" si="87">B104-B99</f>
        <v>-2.9629999998411733</v>
      </c>
      <c r="L99" s="440">
        <f t="shared" ref="L99:L100" si="88">D104-D99</f>
        <v>1.7310000001609112</v>
      </c>
      <c r="M99" s="440">
        <f t="shared" ref="M99:M100" si="89">F104-F99</f>
        <v>-1.200000000764323E-2</v>
      </c>
      <c r="N99" s="440">
        <f t="shared" ref="N99:N100" si="90">SUM(K99:M99)</f>
        <v>-1.2439999996879054</v>
      </c>
    </row>
    <row r="100" spans="1:14" x14ac:dyDescent="0.25">
      <c r="A100" s="417" t="s">
        <v>389</v>
      </c>
      <c r="B100" s="440">
        <f>SUM(B98:B99)</f>
        <v>351.09599999873672</v>
      </c>
      <c r="C100" s="436" t="str">
        <f>CONCATENATE("(",ROUND((B100/$H100)*100,1),")")</f>
        <v>(88)</v>
      </c>
      <c r="D100" s="440">
        <f>SUM(D98:D99)</f>
        <v>30.624999999919311</v>
      </c>
      <c r="E100" s="436" t="str">
        <f>CONCATENATE("(",ROUND((D100/$H100)*100,1),")")</f>
        <v>(7.7)</v>
      </c>
      <c r="F100" s="440">
        <f>SUM(F98:F99)</f>
        <v>17.029999999929128</v>
      </c>
      <c r="G100" s="436" t="str">
        <f>CONCATENATE("(",ROUND((F100/$H100)*100,1),")")</f>
        <v>(4.3)</v>
      </c>
      <c r="H100" s="440">
        <f>SUM(H98:H99)</f>
        <v>398.7509999985852</v>
      </c>
      <c r="I100" s="436" t="str">
        <f>CONCATENATE("(",ROUND((H100/$H100)*100,1),")")</f>
        <v>(100)</v>
      </c>
      <c r="K100" s="440">
        <f t="shared" si="87"/>
        <v>-25.950999999758892</v>
      </c>
      <c r="L100" s="440">
        <f t="shared" si="88"/>
        <v>3.7220000001463376</v>
      </c>
      <c r="M100" s="440">
        <f t="shared" si="89"/>
        <v>0.39000000000105572</v>
      </c>
      <c r="N100" s="440">
        <f t="shared" si="90"/>
        <v>-21.838999999611499</v>
      </c>
    </row>
    <row r="101" spans="1:14" x14ac:dyDescent="0.25">
      <c r="B101" s="440"/>
      <c r="C101" s="428"/>
      <c r="D101" s="440"/>
      <c r="E101" s="428"/>
      <c r="F101" s="440"/>
      <c r="G101" s="428"/>
      <c r="H101" s="440"/>
      <c r="I101" s="428"/>
    </row>
    <row r="102" spans="1:14" x14ac:dyDescent="0.25">
      <c r="A102" s="423">
        <f>$A$18</f>
        <v>2027</v>
      </c>
      <c r="B102" s="440"/>
      <c r="C102" s="428"/>
      <c r="D102" s="440"/>
      <c r="E102" s="428"/>
      <c r="F102" s="440"/>
      <c r="G102" s="428"/>
      <c r="H102" s="440"/>
      <c r="I102" s="428"/>
      <c r="K102" s="426" t="str">
        <f>CONCATENATE(A92," - ",A102)</f>
        <v>2017 - 2027</v>
      </c>
    </row>
    <row r="103" spans="1:14" x14ac:dyDescent="0.25">
      <c r="A103" s="417" t="s">
        <v>390</v>
      </c>
      <c r="B103" s="440">
        <f>'Ind T6'!V65</f>
        <v>263.5589999992913</v>
      </c>
      <c r="C103" s="436" t="str">
        <f>CONCATENATE("(",ROUND((B103/$H105)*100,1),")")</f>
        <v>(69.9)</v>
      </c>
      <c r="D103" s="440">
        <f>'Ind T6'!W65</f>
        <v>12.238999999998892</v>
      </c>
      <c r="E103" s="436" t="str">
        <f>CONCATENATE("(",ROUND((D103/$H105)*100,1),")")</f>
        <v>(3.2)</v>
      </c>
      <c r="F103" s="440">
        <f>'Ind T6'!X65</f>
        <v>13.587999999898258</v>
      </c>
      <c r="G103" s="436" t="str">
        <f>CONCATENATE("(",ROUND((F103/$H105)*100,1),")")</f>
        <v>(3.6)</v>
      </c>
      <c r="H103" s="440">
        <f>SUM(B103,D103,F103)</f>
        <v>289.38599999918847</v>
      </c>
      <c r="I103" s="436" t="str">
        <f>CONCATENATE("(",ROUND((H103/$H105)*100,1),")")</f>
        <v>(76.8)</v>
      </c>
      <c r="K103" s="440">
        <f>B103-B93</f>
        <v>-27.584999999756405</v>
      </c>
      <c r="L103" s="440">
        <f>D103-D93</f>
        <v>4.2670000000122918</v>
      </c>
      <c r="M103" s="440">
        <f>F103-F93</f>
        <v>1.4619999999452382</v>
      </c>
      <c r="N103" s="440">
        <f>SUM(K103:M103)</f>
        <v>-21.855999999798875</v>
      </c>
    </row>
    <row r="104" spans="1:14" x14ac:dyDescent="0.25">
      <c r="A104" s="417" t="s">
        <v>391</v>
      </c>
      <c r="B104" s="440">
        <f>'Ind T6'!V64</f>
        <v>61.58599999968655</v>
      </c>
      <c r="C104" s="436" t="str">
        <f>CONCATENATE("(",ROUND((B104/$H105)*100,1),")")</f>
        <v>(16.3)</v>
      </c>
      <c r="D104" s="440">
        <f>'Ind T6'!W64</f>
        <v>22.108000000066756</v>
      </c>
      <c r="E104" s="436" t="str">
        <f>CONCATENATE("(",ROUND((D104/$H105)*100,1),")")</f>
        <v>(5.9)</v>
      </c>
      <c r="F104" s="440">
        <f>'Ind T6'!X64</f>
        <v>3.8320000000319236</v>
      </c>
      <c r="G104" s="436" t="str">
        <f>CONCATENATE("(",ROUND((F104/$H105)*100,1),")")</f>
        <v>(1)</v>
      </c>
      <c r="H104" s="440">
        <f t="shared" ref="H104" si="91">SUM(B104,D104,F104)</f>
        <v>87.525999999785228</v>
      </c>
      <c r="I104" s="436" t="str">
        <f>CONCATENATE("(",ROUND((H104/$H105)*100,1),")")</f>
        <v>(23.2)</v>
      </c>
      <c r="K104" s="440">
        <f t="shared" ref="K104:K105" si="92">B104-B94</f>
        <v>-2.3559999999175361</v>
      </c>
      <c r="L104" s="440">
        <f t="shared" ref="L104:L105" si="93">D104-D94</f>
        <v>4.1539999999511963</v>
      </c>
      <c r="M104" s="440">
        <f t="shared" ref="M104:M105" si="94">F104-F94</f>
        <v>3.6000000002236021E-2</v>
      </c>
      <c r="N104" s="440">
        <f t="shared" ref="N104:N105" si="95">SUM(K104:M104)</f>
        <v>1.8340000000358962</v>
      </c>
    </row>
    <row r="105" spans="1:14" x14ac:dyDescent="0.25">
      <c r="A105" s="408" t="s">
        <v>389</v>
      </c>
      <c r="B105" s="440">
        <f>SUM(B103:B104)</f>
        <v>325.14499999897782</v>
      </c>
      <c r="C105" s="436" t="str">
        <f>CONCATENATE("(",ROUND((B105/$H105)*100,1),")")</f>
        <v>(86.3)</v>
      </c>
      <c r="D105" s="440">
        <f>SUM(D103:D104)</f>
        <v>34.347000000065648</v>
      </c>
      <c r="E105" s="436" t="str">
        <f>CONCATENATE("(",ROUND((D105/$H105)*100,1),")")</f>
        <v>(9.1)</v>
      </c>
      <c r="F105" s="440">
        <f>SUM(F103:F104)</f>
        <v>17.419999999930184</v>
      </c>
      <c r="G105" s="436" t="str">
        <f>CONCATENATE("(",ROUND((F105/$H105)*100,1),")")</f>
        <v>(4.6)</v>
      </c>
      <c r="H105" s="440">
        <f>SUM(H103:H104)</f>
        <v>376.91199999897367</v>
      </c>
      <c r="I105" s="436" t="str">
        <f>CONCATENATE("(",ROUND((H105/$H105)*100,1),")")</f>
        <v>(100)</v>
      </c>
      <c r="K105" s="440">
        <f t="shared" si="92"/>
        <v>-29.940999999673977</v>
      </c>
      <c r="L105" s="440">
        <f t="shared" si="93"/>
        <v>8.4209999999634881</v>
      </c>
      <c r="M105" s="440">
        <f t="shared" si="94"/>
        <v>1.497999999947476</v>
      </c>
      <c r="N105" s="440">
        <f t="shared" si="95"/>
        <v>-20.021999999763011</v>
      </c>
    </row>
    <row r="106" spans="1:14" x14ac:dyDescent="0.25">
      <c r="A106" s="429"/>
      <c r="B106" s="430"/>
      <c r="C106" s="429"/>
      <c r="D106" s="430"/>
      <c r="E106" s="429"/>
      <c r="F106" s="430"/>
      <c r="G106" s="429"/>
      <c r="H106" s="430"/>
      <c r="I106" s="429"/>
      <c r="J106" s="429"/>
      <c r="K106" s="430"/>
      <c r="L106" s="430"/>
      <c r="M106" s="430"/>
      <c r="N106" s="430"/>
    </row>
    <row r="107" spans="1:14" x14ac:dyDescent="0.25">
      <c r="A107" s="431"/>
    </row>
    <row r="109" spans="1:14" x14ac:dyDescent="0.25">
      <c r="C109" s="267"/>
      <c r="E109" s="267"/>
      <c r="G109" s="267"/>
      <c r="I109" s="267"/>
    </row>
    <row r="110" spans="1:14" x14ac:dyDescent="0.25">
      <c r="A110" s="419"/>
      <c r="B110" s="420" t="s">
        <v>414</v>
      </c>
      <c r="C110" s="419"/>
      <c r="D110" s="420"/>
      <c r="E110" s="419"/>
      <c r="F110" s="420" t="str">
        <f>name!B8</f>
        <v>Rest of manufacturing</v>
      </c>
      <c r="G110" s="419"/>
      <c r="H110" s="422"/>
      <c r="I110" s="419"/>
      <c r="J110" s="421"/>
      <c r="K110" s="422"/>
      <c r="L110" s="422"/>
      <c r="M110" s="422"/>
      <c r="N110" s="422"/>
    </row>
    <row r="111" spans="1:14" x14ac:dyDescent="0.25">
      <c r="A111" s="408"/>
      <c r="B111" s="409"/>
      <c r="C111" s="408"/>
      <c r="D111" s="409"/>
      <c r="E111" s="408"/>
      <c r="F111" s="409"/>
      <c r="G111" s="408"/>
      <c r="H111" s="409"/>
      <c r="I111" s="408"/>
      <c r="K111" s="409"/>
      <c r="L111" s="409"/>
      <c r="M111" s="409"/>
      <c r="N111" s="415" t="s">
        <v>412</v>
      </c>
    </row>
    <row r="112" spans="1:14" x14ac:dyDescent="0.25">
      <c r="A112" s="413" t="s">
        <v>413</v>
      </c>
      <c r="B112" s="512" t="s">
        <v>411</v>
      </c>
      <c r="C112" s="512"/>
      <c r="D112" s="512" t="s">
        <v>410</v>
      </c>
      <c r="E112" s="512"/>
      <c r="F112" s="512" t="s">
        <v>409</v>
      </c>
      <c r="G112" s="512"/>
      <c r="H112" s="512" t="s">
        <v>32</v>
      </c>
      <c r="I112" s="512"/>
      <c r="J112" s="413"/>
      <c r="K112" s="434" t="s">
        <v>371</v>
      </c>
      <c r="L112" s="434" t="s">
        <v>373</v>
      </c>
      <c r="M112" s="434" t="s">
        <v>369</v>
      </c>
      <c r="N112" s="434" t="s">
        <v>32</v>
      </c>
    </row>
    <row r="113" spans="1:14" x14ac:dyDescent="0.25">
      <c r="A113" s="423">
        <f>$A$8</f>
        <v>2017</v>
      </c>
      <c r="B113" s="424" t="s">
        <v>60</v>
      </c>
      <c r="C113" s="425" t="s">
        <v>408</v>
      </c>
      <c r="D113" s="424" t="s">
        <v>60</v>
      </c>
      <c r="E113" s="425" t="s">
        <v>408</v>
      </c>
      <c r="F113" s="424" t="s">
        <v>60</v>
      </c>
      <c r="G113" s="425" t="s">
        <v>408</v>
      </c>
      <c r="H113" s="424" t="s">
        <v>60</v>
      </c>
      <c r="I113" s="425" t="s">
        <v>408</v>
      </c>
      <c r="J113" s="413"/>
      <c r="K113" s="426" t="str">
        <f>CONCATENATE(A113," - ",A118)</f>
        <v>2017 - 2022</v>
      </c>
      <c r="L113" s="427"/>
      <c r="M113" s="427"/>
    </row>
    <row r="114" spans="1:14" x14ac:dyDescent="0.25">
      <c r="A114" s="417" t="s">
        <v>390</v>
      </c>
      <c r="B114" s="440">
        <f>'Ind T6'!L155</f>
        <v>1284.2619999947817</v>
      </c>
      <c r="C114" s="436" t="str">
        <f>CONCATENATE("(",ROUND((B114/$H116)*100,1),")")</f>
        <v>(69.9)</v>
      </c>
      <c r="D114" s="440">
        <f>'Ind T6'!M155</f>
        <v>44.262999999991159</v>
      </c>
      <c r="E114" s="436" t="str">
        <f>CONCATENATE("(",ROUND((D114/$H116)*100,1),")")</f>
        <v>(2.4)</v>
      </c>
      <c r="F114" s="440">
        <f>'Ind T6'!N155</f>
        <v>108.16199999982564</v>
      </c>
      <c r="G114" s="436" t="str">
        <f>CONCATENATE("(",ROUND((F114/$H116)*100,1),")")</f>
        <v>(5.9)</v>
      </c>
      <c r="H114" s="440">
        <f>SUM(B114,D114,F114)</f>
        <v>1436.6869999945984</v>
      </c>
      <c r="I114" s="436" t="str">
        <f>CONCATENATE("(",ROUND((H114/$H116)*100,1),")")</f>
        <v>(78.2)</v>
      </c>
      <c r="K114" s="440">
        <f>B119-B114</f>
        <v>-101.59100000108492</v>
      </c>
      <c r="L114" s="440">
        <f>D119-D114</f>
        <v>2.3799999998347445</v>
      </c>
      <c r="M114" s="440">
        <f>F119-F114</f>
        <v>-2.1429999999076017</v>
      </c>
      <c r="N114" s="440">
        <f>SUM(K114:M114)</f>
        <v>-101.35400000115777</v>
      </c>
    </row>
    <row r="115" spans="1:14" x14ac:dyDescent="0.25">
      <c r="A115" s="417" t="s">
        <v>391</v>
      </c>
      <c r="B115" s="440">
        <f>'Ind T6'!L154</f>
        <v>265.02099999770633</v>
      </c>
      <c r="C115" s="436" t="str">
        <f>CONCATENATE("(",ROUND((B115/$H116)*100,1),")")</f>
        <v>(14.4)</v>
      </c>
      <c r="D115" s="440">
        <f>'Ind T6'!M154</f>
        <v>86.502000001071906</v>
      </c>
      <c r="E115" s="436" t="str">
        <f>CONCATENATE("(",ROUND((D115/$H116)*100,1),")")</f>
        <v>(4.7)</v>
      </c>
      <c r="F115" s="440">
        <f>'Ind T6'!N154</f>
        <v>50.039000000629358</v>
      </c>
      <c r="G115" s="436" t="str">
        <f>CONCATENATE("(",ROUND((F115/$H116)*100,1),")")</f>
        <v>(2.7)</v>
      </c>
      <c r="H115" s="440">
        <f t="shared" ref="H115" si="96">SUM(B115,D115,F115)</f>
        <v>401.56199999940759</v>
      </c>
      <c r="I115" s="436" t="str">
        <f>CONCATENATE("(",ROUND((H115/$H116)*100,1),")")</f>
        <v>(21.8)</v>
      </c>
      <c r="K115" s="440">
        <f t="shared" ref="K115:K116" si="97">B120-B115</f>
        <v>-7.6639999997761947</v>
      </c>
      <c r="L115" s="440">
        <f t="shared" ref="L115:L116" si="98">D120-D115</f>
        <v>-1.5640000012415811</v>
      </c>
      <c r="M115" s="440">
        <f t="shared" ref="M115:M116" si="99">F120-F115</f>
        <v>-6.8320000000656904</v>
      </c>
      <c r="N115" s="440">
        <f t="shared" ref="N115:N116" si="100">SUM(K115:M115)</f>
        <v>-16.060000001083466</v>
      </c>
    </row>
    <row r="116" spans="1:14" x14ac:dyDescent="0.25">
      <c r="A116" s="417" t="s">
        <v>389</v>
      </c>
      <c r="B116" s="440">
        <f>SUM(B114:B115)</f>
        <v>1549.2829999924879</v>
      </c>
      <c r="C116" s="436" t="str">
        <f>CONCATENATE("(",ROUND((B116/$H116)*100,1),")")</f>
        <v>(84.3)</v>
      </c>
      <c r="D116" s="440">
        <f>SUM(D114:D115)</f>
        <v>130.76500000106307</v>
      </c>
      <c r="E116" s="436" t="str">
        <f>CONCATENATE("(",ROUND((D116/$H116)*100,1),")")</f>
        <v>(7.1)</v>
      </c>
      <c r="F116" s="440">
        <f>SUM(F114:F115)</f>
        <v>158.201000000455</v>
      </c>
      <c r="G116" s="436" t="str">
        <f>CONCATENATE("(",ROUND((F116/$H116)*100,1),")")</f>
        <v>(8.6)</v>
      </c>
      <c r="H116" s="440">
        <f>SUM(H114:H115)</f>
        <v>1838.248999994006</v>
      </c>
      <c r="I116" s="436" t="str">
        <f>CONCATENATE("(",ROUND((H116/$H116)*100,1),")")</f>
        <v>(100)</v>
      </c>
      <c r="K116" s="440">
        <f t="shared" si="97"/>
        <v>-109.25500000086095</v>
      </c>
      <c r="L116" s="440">
        <f t="shared" si="98"/>
        <v>0.81599999859315631</v>
      </c>
      <c r="M116" s="440">
        <f t="shared" si="99"/>
        <v>-8.9749999999733063</v>
      </c>
      <c r="N116" s="440">
        <f t="shared" si="100"/>
        <v>-117.4140000022411</v>
      </c>
    </row>
    <row r="117" spans="1:14" x14ac:dyDescent="0.25">
      <c r="B117" s="440"/>
      <c r="C117" s="428"/>
      <c r="D117" s="440"/>
      <c r="E117" s="428"/>
      <c r="F117" s="440"/>
      <c r="G117" s="428"/>
      <c r="H117" s="440"/>
      <c r="I117" s="428"/>
    </row>
    <row r="118" spans="1:14" x14ac:dyDescent="0.25">
      <c r="A118" s="423">
        <f>$A$13</f>
        <v>2022</v>
      </c>
      <c r="B118" s="440"/>
      <c r="C118" s="428"/>
      <c r="D118" s="440"/>
      <c r="E118" s="428"/>
      <c r="F118" s="440"/>
      <c r="G118" s="428"/>
      <c r="H118" s="440"/>
      <c r="I118" s="428"/>
      <c r="K118" s="426" t="str">
        <f>CONCATENATE(A118," - ",A123)</f>
        <v>2022 - 2027</v>
      </c>
    </row>
    <row r="119" spans="1:14" x14ac:dyDescent="0.25">
      <c r="A119" s="417" t="s">
        <v>390</v>
      </c>
      <c r="B119" s="440">
        <f>'Ind T6'!Q155</f>
        <v>1182.6709999936968</v>
      </c>
      <c r="C119" s="436" t="str">
        <f>CONCATENATE("(",ROUND((B119/$H121)*100,1),")")</f>
        <v>(68.7)</v>
      </c>
      <c r="D119" s="440">
        <f>'Ind T6'!R155</f>
        <v>46.642999999825904</v>
      </c>
      <c r="E119" s="436" t="str">
        <f>CONCATENATE("(",ROUND((D119/$H121)*100,1),")")</f>
        <v>(2.7)</v>
      </c>
      <c r="F119" s="440">
        <f>'Ind T6'!S155</f>
        <v>106.01899999991804</v>
      </c>
      <c r="G119" s="436" t="str">
        <f>CONCATENATE("(",ROUND((F119/$H121)*100,1),")")</f>
        <v>(6.2)</v>
      </c>
      <c r="H119" s="440">
        <f>SUM(B119,D119,F119)</f>
        <v>1335.3329999934408</v>
      </c>
      <c r="I119" s="436" t="str">
        <f>CONCATENATE("(",ROUND((H119/$H121)*100,1),")")</f>
        <v>(77.6)</v>
      </c>
      <c r="K119" s="440">
        <f>B124-B119</f>
        <v>-87.684999998409467</v>
      </c>
      <c r="L119" s="440">
        <f>D124-D119</f>
        <v>2.7470000000006536</v>
      </c>
      <c r="M119" s="440">
        <f>F124-F119</f>
        <v>-1.886999999945175</v>
      </c>
      <c r="N119" s="440">
        <f>SUM(K119:M119)</f>
        <v>-86.824999998353988</v>
      </c>
    </row>
    <row r="120" spans="1:14" x14ac:dyDescent="0.25">
      <c r="A120" s="417" t="s">
        <v>391</v>
      </c>
      <c r="B120" s="440">
        <f>'Ind T6'!Q154</f>
        <v>257.35699999793013</v>
      </c>
      <c r="C120" s="436" t="str">
        <f>CONCATENATE("(",ROUND((B120/$H121)*100,1),")")</f>
        <v>(15)</v>
      </c>
      <c r="D120" s="440">
        <f>'Ind T6'!R154</f>
        <v>84.937999999830325</v>
      </c>
      <c r="E120" s="436" t="str">
        <f>CONCATENATE("(",ROUND((D120/$H121)*100,1),")")</f>
        <v>(4.9)</v>
      </c>
      <c r="F120" s="440">
        <f>'Ind T6'!S154</f>
        <v>43.207000000563667</v>
      </c>
      <c r="G120" s="436" t="str">
        <f>CONCATENATE("(",ROUND((F120/$H121)*100,1),")")</f>
        <v>(2.5)</v>
      </c>
      <c r="H120" s="440">
        <f t="shared" ref="H120" si="101">SUM(B120,D120,F120)</f>
        <v>385.5019999983241</v>
      </c>
      <c r="I120" s="436" t="str">
        <f>CONCATENATE("(",ROUND((H120/$H121)*100,1),")")</f>
        <v>(22.4)</v>
      </c>
      <c r="K120" s="440">
        <f t="shared" ref="K120:K121" si="102">B125-B120</f>
        <v>0.79600000033417473</v>
      </c>
      <c r="L120" s="440">
        <f t="shared" ref="L120:L121" si="103">D125-D120</f>
        <v>1.6570000008746462</v>
      </c>
      <c r="M120" s="440">
        <f t="shared" ref="M120:M121" si="104">F125-F120</f>
        <v>-2.3430000000500399</v>
      </c>
      <c r="N120" s="440">
        <f t="shared" ref="N120:N121" si="105">SUM(K120:M120)</f>
        <v>0.11000000115878095</v>
      </c>
    </row>
    <row r="121" spans="1:14" x14ac:dyDescent="0.25">
      <c r="A121" s="417" t="s">
        <v>389</v>
      </c>
      <c r="B121" s="440">
        <f>SUM(B119:B120)</f>
        <v>1440.027999991627</v>
      </c>
      <c r="C121" s="436" t="str">
        <f>CONCATENATE("(",ROUND((B121/$H121)*100,1),")")</f>
        <v>(83.7)</v>
      </c>
      <c r="D121" s="440">
        <f>SUM(D119:D120)</f>
        <v>131.58099999965623</v>
      </c>
      <c r="E121" s="436" t="str">
        <f>CONCATENATE("(",ROUND((D121/$H121)*100,1),")")</f>
        <v>(7.6)</v>
      </c>
      <c r="F121" s="440">
        <f>SUM(F119:F120)</f>
        <v>149.22600000048169</v>
      </c>
      <c r="G121" s="436" t="str">
        <f>CONCATENATE("(",ROUND((F121/$H121)*100,1),")")</f>
        <v>(8.7)</v>
      </c>
      <c r="H121" s="440">
        <f>SUM(H119:H120)</f>
        <v>1720.834999991765</v>
      </c>
      <c r="I121" s="436" t="str">
        <f>CONCATENATE("(",ROUND((H121/$H121)*100,1),")")</f>
        <v>(100)</v>
      </c>
      <c r="K121" s="440">
        <f t="shared" si="102"/>
        <v>-86.888999998075406</v>
      </c>
      <c r="L121" s="440">
        <f t="shared" si="103"/>
        <v>4.4040000008752997</v>
      </c>
      <c r="M121" s="440">
        <f t="shared" si="104"/>
        <v>-4.2299999999951865</v>
      </c>
      <c r="N121" s="440">
        <f t="shared" si="105"/>
        <v>-86.714999997195292</v>
      </c>
    </row>
    <row r="122" spans="1:14" x14ac:dyDescent="0.25">
      <c r="B122" s="440"/>
      <c r="C122" s="428"/>
      <c r="D122" s="440"/>
      <c r="E122" s="428"/>
      <c r="F122" s="440"/>
      <c r="G122" s="428"/>
      <c r="H122" s="440"/>
      <c r="I122" s="428"/>
    </row>
    <row r="123" spans="1:14" x14ac:dyDescent="0.25">
      <c r="A123" s="423">
        <f>$A$18</f>
        <v>2027</v>
      </c>
      <c r="B123" s="440"/>
      <c r="C123" s="428"/>
      <c r="D123" s="440"/>
      <c r="E123" s="428"/>
      <c r="F123" s="440"/>
      <c r="G123" s="428"/>
      <c r="H123" s="440"/>
      <c r="I123" s="428"/>
      <c r="K123" s="426" t="str">
        <f>CONCATENATE(A113," - ",A123)</f>
        <v>2017 - 2027</v>
      </c>
    </row>
    <row r="124" spans="1:14" x14ac:dyDescent="0.25">
      <c r="A124" s="417" t="s">
        <v>390</v>
      </c>
      <c r="B124" s="440">
        <f>'Ind T6'!V155</f>
        <v>1094.9859999952873</v>
      </c>
      <c r="C124" s="436" t="str">
        <f>CONCATENATE("(",ROUND((B124/$H126)*100,1),")")</f>
        <v>(67)</v>
      </c>
      <c r="D124" s="440">
        <f>'Ind T6'!W155</f>
        <v>49.389999999826557</v>
      </c>
      <c r="E124" s="436" t="str">
        <f>CONCATENATE("(",ROUND((D124/$H126)*100,1),")")</f>
        <v>(3)</v>
      </c>
      <c r="F124" s="440">
        <f>'Ind T6'!X155</f>
        <v>104.13199999997286</v>
      </c>
      <c r="G124" s="436" t="str">
        <f>CONCATENATE("(",ROUND((F124/$H126)*100,1),")")</f>
        <v>(6.4)</v>
      </c>
      <c r="H124" s="440">
        <f>SUM(B124,D124,F124)</f>
        <v>1248.5079999950867</v>
      </c>
      <c r="I124" s="436" t="str">
        <f>CONCATENATE("(",ROUND((H124/$H126)*100,1),")")</f>
        <v>(76.4)</v>
      </c>
      <c r="K124" s="440">
        <f>B124-B114</f>
        <v>-189.27599999949439</v>
      </c>
      <c r="L124" s="440">
        <f>D124-D114</f>
        <v>5.1269999998353981</v>
      </c>
      <c r="M124" s="440">
        <f>F124-F114</f>
        <v>-4.0299999998527767</v>
      </c>
      <c r="N124" s="440">
        <f>SUM(K124:M124)</f>
        <v>-188.17899999951177</v>
      </c>
    </row>
    <row r="125" spans="1:14" x14ac:dyDescent="0.25">
      <c r="A125" s="417" t="s">
        <v>391</v>
      </c>
      <c r="B125" s="440">
        <f>'Ind T6'!V154</f>
        <v>258.15299999826431</v>
      </c>
      <c r="C125" s="436" t="str">
        <f>CONCATENATE("(",ROUND((B125/$H126)*100,1),")")</f>
        <v>(15.8)</v>
      </c>
      <c r="D125" s="440">
        <f>'Ind T6'!W154</f>
        <v>86.595000000704971</v>
      </c>
      <c r="E125" s="436" t="str">
        <f>CONCATENATE("(",ROUND((D125/$H126)*100,1),")")</f>
        <v>(5.3)</v>
      </c>
      <c r="F125" s="440">
        <f>'Ind T6'!X154</f>
        <v>40.864000000513627</v>
      </c>
      <c r="G125" s="436" t="str">
        <f>CONCATENATE("(",ROUND((F125/$H126)*100,1),")")</f>
        <v>(2.5)</v>
      </c>
      <c r="H125" s="440">
        <f t="shared" ref="H125" si="106">SUM(B125,D125,F125)</f>
        <v>385.61199999948286</v>
      </c>
      <c r="I125" s="436" t="str">
        <f>CONCATENATE("(",ROUND((H125/$H126)*100,1),")")</f>
        <v>(23.6)</v>
      </c>
      <c r="K125" s="440">
        <f t="shared" ref="K125:K126" si="107">B125-B115</f>
        <v>-6.86799999944202</v>
      </c>
      <c r="L125" s="440">
        <f t="shared" ref="L125:L126" si="108">D125-D115</f>
        <v>9.2999999633065045E-2</v>
      </c>
      <c r="M125" s="440">
        <f t="shared" ref="M125:M126" si="109">F125-F115</f>
        <v>-9.1750000001157304</v>
      </c>
      <c r="N125" s="440">
        <f t="shared" ref="N125:N126" si="110">SUM(K125:M125)</f>
        <v>-15.949999999924685</v>
      </c>
    </row>
    <row r="126" spans="1:14" x14ac:dyDescent="0.25">
      <c r="A126" s="408" t="s">
        <v>389</v>
      </c>
      <c r="B126" s="440">
        <f>SUM(B124:B125)</f>
        <v>1353.1389999935516</v>
      </c>
      <c r="C126" s="436" t="str">
        <f>CONCATENATE("(",ROUND((B126/$H126)*100,1),")")</f>
        <v>(82.8)</v>
      </c>
      <c r="D126" s="440">
        <f>SUM(D124:D125)</f>
        <v>135.98500000053153</v>
      </c>
      <c r="E126" s="436" t="str">
        <f>CONCATENATE("(",ROUND((D126/$H126)*100,1),")")</f>
        <v>(8.3)</v>
      </c>
      <c r="F126" s="440">
        <f>SUM(F124:F125)</f>
        <v>144.9960000004865</v>
      </c>
      <c r="G126" s="436" t="str">
        <f>CONCATENATE("(",ROUND((F126/$H126)*100,1),")")</f>
        <v>(8.9)</v>
      </c>
      <c r="H126" s="440">
        <f>SUM(H124:H125)</f>
        <v>1634.1199999945695</v>
      </c>
      <c r="I126" s="436" t="str">
        <f>CONCATENATE("(",ROUND((H126/$H126)*100,1),")")</f>
        <v>(100)</v>
      </c>
      <c r="K126" s="440">
        <f t="shared" si="107"/>
        <v>-196.14399999893635</v>
      </c>
      <c r="L126" s="440">
        <f t="shared" si="108"/>
        <v>5.2199999994684561</v>
      </c>
      <c r="M126" s="440">
        <f t="shared" si="109"/>
        <v>-13.204999999968493</v>
      </c>
      <c r="N126" s="440">
        <f t="shared" si="110"/>
        <v>-204.12899999943639</v>
      </c>
    </row>
    <row r="127" spans="1:14" x14ac:dyDescent="0.25">
      <c r="A127" s="429"/>
      <c r="B127" s="430"/>
      <c r="C127" s="429"/>
      <c r="D127" s="430"/>
      <c r="E127" s="429"/>
      <c r="F127" s="430"/>
      <c r="G127" s="429"/>
      <c r="H127" s="430"/>
      <c r="I127" s="429"/>
      <c r="J127" s="429"/>
      <c r="K127" s="430"/>
      <c r="L127" s="430"/>
      <c r="M127" s="430"/>
      <c r="N127" s="430"/>
    </row>
    <row r="131" spans="1:14" x14ac:dyDescent="0.25">
      <c r="A131" s="419"/>
      <c r="B131" s="420" t="s">
        <v>414</v>
      </c>
      <c r="C131" s="419"/>
      <c r="D131" s="420"/>
      <c r="E131" s="419"/>
      <c r="F131" s="420" t="str">
        <f>name!B9</f>
        <v>Electricity and gas</v>
      </c>
      <c r="G131" s="419"/>
      <c r="H131" s="422"/>
      <c r="I131" s="419"/>
      <c r="J131" s="421"/>
      <c r="K131" s="422"/>
      <c r="L131" s="422"/>
      <c r="M131" s="422"/>
      <c r="N131" s="422"/>
    </row>
    <row r="132" spans="1:14" x14ac:dyDescent="0.25">
      <c r="A132" s="408"/>
      <c r="B132" s="409"/>
      <c r="C132" s="408"/>
      <c r="D132" s="409"/>
      <c r="E132" s="408"/>
      <c r="F132" s="409"/>
      <c r="G132" s="408"/>
      <c r="H132" s="409"/>
      <c r="I132" s="408"/>
      <c r="K132" s="409"/>
      <c r="L132" s="409"/>
      <c r="M132" s="409"/>
      <c r="N132" s="415" t="s">
        <v>412</v>
      </c>
    </row>
    <row r="133" spans="1:14" x14ac:dyDescent="0.25">
      <c r="A133" s="413" t="s">
        <v>413</v>
      </c>
      <c r="B133" s="512" t="s">
        <v>411</v>
      </c>
      <c r="C133" s="512"/>
      <c r="D133" s="512" t="s">
        <v>410</v>
      </c>
      <c r="E133" s="512"/>
      <c r="F133" s="512" t="s">
        <v>409</v>
      </c>
      <c r="G133" s="512"/>
      <c r="H133" s="512" t="s">
        <v>32</v>
      </c>
      <c r="I133" s="512"/>
      <c r="J133" s="413"/>
      <c r="K133" s="434" t="s">
        <v>371</v>
      </c>
      <c r="L133" s="434" t="s">
        <v>373</v>
      </c>
      <c r="M133" s="434" t="s">
        <v>369</v>
      </c>
      <c r="N133" s="434" t="s">
        <v>32</v>
      </c>
    </row>
    <row r="134" spans="1:14" x14ac:dyDescent="0.25">
      <c r="A134" s="423">
        <f>$A$8</f>
        <v>2017</v>
      </c>
      <c r="B134" s="424" t="s">
        <v>60</v>
      </c>
      <c r="C134" s="425" t="s">
        <v>408</v>
      </c>
      <c r="D134" s="424" t="s">
        <v>60</v>
      </c>
      <c r="E134" s="425" t="s">
        <v>408</v>
      </c>
      <c r="F134" s="424" t="s">
        <v>60</v>
      </c>
      <c r="G134" s="425" t="s">
        <v>408</v>
      </c>
      <c r="H134" s="424" t="s">
        <v>60</v>
      </c>
      <c r="I134" s="425" t="s">
        <v>408</v>
      </c>
      <c r="J134" s="413"/>
      <c r="K134" s="426" t="str">
        <f>CONCATENATE(A134," - ",A139)</f>
        <v>2017 - 2022</v>
      </c>
      <c r="L134" s="427"/>
      <c r="M134" s="427"/>
    </row>
    <row r="135" spans="1:14" x14ac:dyDescent="0.25">
      <c r="A135" s="417" t="s">
        <v>390</v>
      </c>
      <c r="B135" s="440">
        <f>'Ind T6'!L165</f>
        <v>93.773999999613125</v>
      </c>
      <c r="C135" s="436" t="str">
        <f>CONCATENATE("(",ROUND((B135/$H137)*100,1),")")</f>
        <v>(65.1)</v>
      </c>
      <c r="D135" s="440">
        <f>'Ind T6'!M165</f>
        <v>2.0189999999962009</v>
      </c>
      <c r="E135" s="436" t="str">
        <f>CONCATENATE("(",ROUND((D135/$H137)*100,1),")")</f>
        <v>(1.4)</v>
      </c>
      <c r="F135" s="440">
        <f>'Ind T6'!N165</f>
        <v>8.8929999999390237</v>
      </c>
      <c r="G135" s="436" t="str">
        <f>CONCATENATE("(",ROUND((F135/$H137)*100,1),")")</f>
        <v>(6.2)</v>
      </c>
      <c r="H135" s="440">
        <f>SUM(B135,D135,F135)</f>
        <v>104.68599999954834</v>
      </c>
      <c r="I135" s="436" t="str">
        <f>CONCATENATE("(",ROUND((H135/$H137)*100,1),")")</f>
        <v>(72.7)</v>
      </c>
      <c r="K135" s="440">
        <f>B140-B135</f>
        <v>4.0410000004560516</v>
      </c>
      <c r="L135" s="440">
        <f>D140-D135</f>
        <v>-0.26100000000216017</v>
      </c>
      <c r="M135" s="440">
        <f>F140-F135</f>
        <v>0.11600000007342892</v>
      </c>
      <c r="N135" s="440">
        <f>SUM(K135:M135)</f>
        <v>3.8960000005273203</v>
      </c>
    </row>
    <row r="136" spans="1:14" x14ac:dyDescent="0.25">
      <c r="A136" s="417" t="s">
        <v>391</v>
      </c>
      <c r="B136" s="440">
        <f>'Ind T6'!L164</f>
        <v>30.271999999827013</v>
      </c>
      <c r="C136" s="436" t="str">
        <f>CONCATENATE("(",ROUND((B136/$H137)*100,1),")")</f>
        <v>(21)</v>
      </c>
      <c r="D136" s="440">
        <f>'Ind T6'!M164</f>
        <v>8.0560000001127907</v>
      </c>
      <c r="E136" s="436" t="str">
        <f>CONCATENATE("(",ROUND((D136/$H137)*100,1),")")</f>
        <v>(5.6)</v>
      </c>
      <c r="F136" s="440">
        <f>'Ind T6'!N164</f>
        <v>0.98500000000930887</v>
      </c>
      <c r="G136" s="436" t="str">
        <f>CONCATENATE("(",ROUND((F136/$H137)*100,1),")")</f>
        <v>(0.7)</v>
      </c>
      <c r="H136" s="440">
        <f t="shared" ref="H136" si="111">SUM(B136,D136,F136)</f>
        <v>39.312999999949113</v>
      </c>
      <c r="I136" s="436" t="str">
        <f>CONCATENATE("(",ROUND((H136/$H137)*100,1),")")</f>
        <v>(27.3)</v>
      </c>
      <c r="K136" s="440">
        <f t="shared" ref="K136:K137" si="112">B141-B136</f>
        <v>-3.3520000002466546</v>
      </c>
      <c r="L136" s="440">
        <f t="shared" ref="L136:L137" si="113">D141-D136</f>
        <v>-0.12400000011962664</v>
      </c>
      <c r="M136" s="440">
        <f t="shared" ref="M136:M137" si="114">F141-F136</f>
        <v>2.6999999997969315E-2</v>
      </c>
      <c r="N136" s="440">
        <f t="shared" ref="N136:N137" si="115">SUM(K136:M136)</f>
        <v>-3.4490000003683119</v>
      </c>
    </row>
    <row r="137" spans="1:14" x14ac:dyDescent="0.25">
      <c r="A137" s="417" t="s">
        <v>389</v>
      </c>
      <c r="B137" s="440">
        <f>SUM(B135:B136)</f>
        <v>124.04599999944014</v>
      </c>
      <c r="C137" s="436" t="str">
        <f>CONCATENATE("(",ROUND((B137/$H137)*100,1),")")</f>
        <v>(86.1)</v>
      </c>
      <c r="D137" s="440">
        <f>SUM(D135:D136)</f>
        <v>10.075000000108991</v>
      </c>
      <c r="E137" s="436" t="str">
        <f>CONCATENATE("(",ROUND((D137/$H137)*100,1),")")</f>
        <v>(7)</v>
      </c>
      <c r="F137" s="440">
        <f>SUM(F135:F136)</f>
        <v>9.877999999948333</v>
      </c>
      <c r="G137" s="436" t="str">
        <f>CONCATENATE("(",ROUND((F137/$H137)*100,1),")")</f>
        <v>(6.9)</v>
      </c>
      <c r="H137" s="440">
        <f>SUM(H135:H136)</f>
        <v>143.99899999949747</v>
      </c>
      <c r="I137" s="436" t="str">
        <f>CONCATENATE("(",ROUND((H137/$H137)*100,1),")")</f>
        <v>(100)</v>
      </c>
      <c r="K137" s="440">
        <f t="shared" si="112"/>
        <v>0.6890000002093899</v>
      </c>
      <c r="L137" s="440">
        <f t="shared" si="113"/>
        <v>-0.38500000012178681</v>
      </c>
      <c r="M137" s="440">
        <f t="shared" si="114"/>
        <v>0.14300000007139779</v>
      </c>
      <c r="N137" s="440">
        <f t="shared" si="115"/>
        <v>0.44700000015900088</v>
      </c>
    </row>
    <row r="138" spans="1:14" x14ac:dyDescent="0.25">
      <c r="B138" s="440"/>
      <c r="C138" s="428"/>
      <c r="D138" s="440"/>
      <c r="E138" s="428"/>
      <c r="F138" s="440"/>
      <c r="G138" s="428"/>
      <c r="H138" s="440"/>
      <c r="I138" s="428"/>
    </row>
    <row r="139" spans="1:14" x14ac:dyDescent="0.25">
      <c r="A139" s="423">
        <f>$A$13</f>
        <v>2022</v>
      </c>
      <c r="B139" s="440"/>
      <c r="C139" s="428"/>
      <c r="D139" s="440"/>
      <c r="E139" s="428"/>
      <c r="F139" s="440"/>
      <c r="G139" s="428"/>
      <c r="H139" s="440"/>
      <c r="I139" s="428"/>
      <c r="K139" s="426" t="str">
        <f>CONCATENATE(A139," - ",A144)</f>
        <v>2022 - 2027</v>
      </c>
    </row>
    <row r="140" spans="1:14" x14ac:dyDescent="0.25">
      <c r="A140" s="417" t="s">
        <v>390</v>
      </c>
      <c r="B140" s="440">
        <f>'Ind T6'!Q165</f>
        <v>97.815000000069176</v>
      </c>
      <c r="C140" s="436" t="str">
        <f>CONCATENATE("(",ROUND((B140/$H142)*100,1),")")</f>
        <v>(67.7)</v>
      </c>
      <c r="D140" s="440">
        <f>'Ind T6'!R165</f>
        <v>1.7579999999940408</v>
      </c>
      <c r="E140" s="436" t="str">
        <f>CONCATENATE("(",ROUND((D140/$H142)*100,1),")")</f>
        <v>(1.2)</v>
      </c>
      <c r="F140" s="440">
        <f>'Ind T6'!S165</f>
        <v>9.0090000000124526</v>
      </c>
      <c r="G140" s="436" t="str">
        <f>CONCATENATE("(",ROUND((F140/$H142)*100,1),")")</f>
        <v>(6.2)</v>
      </c>
      <c r="H140" s="440">
        <f>SUM(B140,D140,F140)</f>
        <v>108.58200000007567</v>
      </c>
      <c r="I140" s="436" t="str">
        <f>CONCATENATE("(",ROUND((H140/$H142)*100,1),")")</f>
        <v>(75.2)</v>
      </c>
      <c r="K140" s="440">
        <f>B145-B140</f>
        <v>4.4669999996586398</v>
      </c>
      <c r="L140" s="440">
        <f>D145-D140</f>
        <v>-0.3080000000013976</v>
      </c>
      <c r="M140" s="440">
        <f>F145-F140</f>
        <v>0.34399999995754627</v>
      </c>
      <c r="N140" s="440">
        <f>SUM(K140:M140)</f>
        <v>4.5029999996147883</v>
      </c>
    </row>
    <row r="141" spans="1:14" x14ac:dyDescent="0.25">
      <c r="A141" s="417" t="s">
        <v>391</v>
      </c>
      <c r="B141" s="440">
        <f>'Ind T6'!Q164</f>
        <v>26.919999999580359</v>
      </c>
      <c r="C141" s="436" t="str">
        <f>CONCATENATE("(",ROUND((B141/$H142)*100,1),")")</f>
        <v>(18.6)</v>
      </c>
      <c r="D141" s="440">
        <f>'Ind T6'!R164</f>
        <v>7.9319999999931641</v>
      </c>
      <c r="E141" s="436" t="str">
        <f>CONCATENATE("(",ROUND((D141/$H142)*100,1),")")</f>
        <v>(5.5)</v>
      </c>
      <c r="F141" s="440">
        <f>'Ind T6'!S164</f>
        <v>1.0120000000072782</v>
      </c>
      <c r="G141" s="436" t="str">
        <f>CONCATENATE("(",ROUND((F141/$H142)*100,1),")")</f>
        <v>(0.7)</v>
      </c>
      <c r="H141" s="440">
        <f t="shared" ref="H141" si="116">SUM(B141,D141,F141)</f>
        <v>35.863999999580798</v>
      </c>
      <c r="I141" s="436" t="str">
        <f>CONCATENATE("(",ROUND((H141/$H142)*100,1),")")</f>
        <v>(24.8)</v>
      </c>
      <c r="K141" s="440">
        <f t="shared" ref="K141:K142" si="117">B146-B141</f>
        <v>-3.6689999997852389</v>
      </c>
      <c r="L141" s="440">
        <f t="shared" ref="L141:L142" si="118">D146-D141</f>
        <v>-0.16099999993602321</v>
      </c>
      <c r="M141" s="440">
        <f t="shared" ref="M141:M142" si="119">F146-F141</f>
        <v>5.4000000000243853E-2</v>
      </c>
      <c r="N141" s="440">
        <f t="shared" ref="N141:N142" si="120">SUM(K141:M141)</f>
        <v>-3.7759999997210185</v>
      </c>
    </row>
    <row r="142" spans="1:14" x14ac:dyDescent="0.25">
      <c r="A142" s="417" t="s">
        <v>389</v>
      </c>
      <c r="B142" s="440">
        <f>SUM(B140:B141)</f>
        <v>124.73499999964953</v>
      </c>
      <c r="C142" s="436" t="str">
        <f>CONCATENATE("(",ROUND((B142/$H142)*100,1),")")</f>
        <v>(86.4)</v>
      </c>
      <c r="D142" s="440">
        <f>SUM(D140:D141)</f>
        <v>9.6899999999872044</v>
      </c>
      <c r="E142" s="436" t="str">
        <f>CONCATENATE("(",ROUND((D142/$H142)*100,1),")")</f>
        <v>(6.7)</v>
      </c>
      <c r="F142" s="440">
        <f>SUM(F140:F141)</f>
        <v>10.021000000019731</v>
      </c>
      <c r="G142" s="436" t="str">
        <f>CONCATENATE("(",ROUND((F142/$H142)*100,1),")")</f>
        <v>(6.9)</v>
      </c>
      <c r="H142" s="440">
        <f>SUM(H140:H141)</f>
        <v>144.44599999965646</v>
      </c>
      <c r="I142" s="436" t="str">
        <f>CONCATENATE("(",ROUND((H142/$H142)*100,1),")")</f>
        <v>(100)</v>
      </c>
      <c r="K142" s="440">
        <f t="shared" si="117"/>
        <v>0.79799999987339731</v>
      </c>
      <c r="L142" s="440">
        <f t="shared" si="118"/>
        <v>-0.46899999993742014</v>
      </c>
      <c r="M142" s="440">
        <f t="shared" si="119"/>
        <v>0.3979999999577899</v>
      </c>
      <c r="N142" s="440">
        <f t="shared" si="120"/>
        <v>0.72699999989376707</v>
      </c>
    </row>
    <row r="143" spans="1:14" x14ac:dyDescent="0.25">
      <c r="B143" s="440"/>
      <c r="C143" s="428"/>
      <c r="D143" s="440"/>
      <c r="E143" s="428"/>
      <c r="F143" s="440"/>
      <c r="G143" s="428"/>
      <c r="H143" s="440"/>
      <c r="I143" s="428"/>
    </row>
    <row r="144" spans="1:14" x14ac:dyDescent="0.25">
      <c r="A144" s="423">
        <f>$A$18</f>
        <v>2027</v>
      </c>
      <c r="B144" s="440"/>
      <c r="C144" s="428"/>
      <c r="D144" s="440"/>
      <c r="E144" s="428"/>
      <c r="F144" s="440"/>
      <c r="G144" s="428"/>
      <c r="H144" s="440"/>
      <c r="I144" s="428"/>
      <c r="K144" s="426" t="str">
        <f>CONCATENATE(A134," - ",A144)</f>
        <v>2017 - 2027</v>
      </c>
    </row>
    <row r="145" spans="1:14" x14ac:dyDescent="0.25">
      <c r="A145" s="417" t="s">
        <v>390</v>
      </c>
      <c r="B145" s="440">
        <f>'Ind T6'!V165</f>
        <v>102.28199999972782</v>
      </c>
      <c r="C145" s="436" t="str">
        <f>CONCATENATE("(",ROUND((B145/$H147)*100,1),")")</f>
        <v>(70.5)</v>
      </c>
      <c r="D145" s="440">
        <f>'Ind T6'!W165</f>
        <v>1.4499999999926432</v>
      </c>
      <c r="E145" s="436" t="str">
        <f>CONCATENATE("(",ROUND((D145/$H147)*100,1),")")</f>
        <v>(1)</v>
      </c>
      <c r="F145" s="440">
        <f>'Ind T6'!X165</f>
        <v>9.3529999999699989</v>
      </c>
      <c r="G145" s="436" t="str">
        <f>CONCATENATE("(",ROUND((F145/$H147)*100,1),")")</f>
        <v>(6.4)</v>
      </c>
      <c r="H145" s="440">
        <f>SUM(B145,D145,F145)</f>
        <v>113.08499999969045</v>
      </c>
      <c r="I145" s="436" t="str">
        <f>CONCATENATE("(",ROUND((H145/$H147)*100,1),")")</f>
        <v>(77.9)</v>
      </c>
      <c r="K145" s="440">
        <f>B145-B135</f>
        <v>8.5080000001146914</v>
      </c>
      <c r="L145" s="440">
        <f>D145-D135</f>
        <v>-0.56900000000355777</v>
      </c>
      <c r="M145" s="440">
        <f>F145-F135</f>
        <v>0.46000000003097519</v>
      </c>
      <c r="N145" s="440">
        <f>SUM(K145:M145)</f>
        <v>8.3990000001421095</v>
      </c>
    </row>
    <row r="146" spans="1:14" x14ac:dyDescent="0.25">
      <c r="A146" s="417" t="s">
        <v>391</v>
      </c>
      <c r="B146" s="440">
        <f>'Ind T6'!V164</f>
        <v>23.25099999979512</v>
      </c>
      <c r="C146" s="436" t="str">
        <f>CONCATENATE("(",ROUND((B146/$H147)*100,1),")")</f>
        <v>(16)</v>
      </c>
      <c r="D146" s="440">
        <f>'Ind T6'!W164</f>
        <v>7.7710000000571409</v>
      </c>
      <c r="E146" s="436" t="str">
        <f>CONCATENATE("(",ROUND((D146/$H147)*100,1),")")</f>
        <v>(5.4)</v>
      </c>
      <c r="F146" s="440">
        <f>'Ind T6'!X164</f>
        <v>1.066000000007522</v>
      </c>
      <c r="G146" s="436" t="str">
        <f>CONCATENATE("(",ROUND((F146/$H147)*100,1),")")</f>
        <v>(0.7)</v>
      </c>
      <c r="H146" s="440">
        <f t="shared" ref="H146" si="121">SUM(B146,D146,F146)</f>
        <v>32.087999999859782</v>
      </c>
      <c r="I146" s="436" t="str">
        <f>CONCATENATE("(",ROUND((H146/$H147)*100,1),")")</f>
        <v>(22.1)</v>
      </c>
      <c r="K146" s="440">
        <f t="shared" ref="K146:K147" si="122">B146-B136</f>
        <v>-7.0210000000318935</v>
      </c>
      <c r="L146" s="440">
        <f t="shared" ref="L146:L147" si="123">D146-D136</f>
        <v>-0.28500000005564985</v>
      </c>
      <c r="M146" s="440">
        <f t="shared" ref="M146:M147" si="124">F146-F136</f>
        <v>8.0999999998213168E-2</v>
      </c>
      <c r="N146" s="440">
        <f t="shared" ref="N146:N147" si="125">SUM(K146:M146)</f>
        <v>-7.22500000008933</v>
      </c>
    </row>
    <row r="147" spans="1:14" x14ac:dyDescent="0.25">
      <c r="A147" s="408" t="s">
        <v>389</v>
      </c>
      <c r="B147" s="440">
        <f>SUM(B145:B146)</f>
        <v>125.53299999952293</v>
      </c>
      <c r="C147" s="436" t="str">
        <f>CONCATENATE("(",ROUND((B147/$H147)*100,1),")")</f>
        <v>(86.5)</v>
      </c>
      <c r="D147" s="440">
        <f>SUM(D145:D146)</f>
        <v>9.2210000000497843</v>
      </c>
      <c r="E147" s="436" t="str">
        <f>CONCATENATE("(",ROUND((D147/$H147)*100,1),")")</f>
        <v>(6.4)</v>
      </c>
      <c r="F147" s="440">
        <f>SUM(F145:F146)</f>
        <v>10.418999999977521</v>
      </c>
      <c r="G147" s="436" t="str">
        <f>CONCATENATE("(",ROUND((F147/$H147)*100,1),")")</f>
        <v>(7.2)</v>
      </c>
      <c r="H147" s="440">
        <f>SUM(H145:H146)</f>
        <v>145.17299999955023</v>
      </c>
      <c r="I147" s="436" t="str">
        <f>CONCATENATE("(",ROUND((H147/$H147)*100,1),")")</f>
        <v>(100)</v>
      </c>
      <c r="K147" s="440">
        <f t="shared" si="122"/>
        <v>1.4870000000827872</v>
      </c>
      <c r="L147" s="440">
        <f t="shared" si="123"/>
        <v>-0.85400000005920695</v>
      </c>
      <c r="M147" s="440">
        <f t="shared" si="124"/>
        <v>0.54100000002918769</v>
      </c>
      <c r="N147" s="440">
        <f t="shared" si="125"/>
        <v>1.1740000000527679</v>
      </c>
    </row>
    <row r="148" spans="1:14" x14ac:dyDescent="0.25">
      <c r="A148" s="429"/>
      <c r="B148" s="430"/>
      <c r="C148" s="429"/>
      <c r="D148" s="430"/>
      <c r="E148" s="429"/>
      <c r="F148" s="430"/>
      <c r="G148" s="429"/>
      <c r="H148" s="430"/>
      <c r="I148" s="429"/>
      <c r="J148" s="429"/>
      <c r="K148" s="430"/>
      <c r="L148" s="430"/>
      <c r="M148" s="430"/>
      <c r="N148" s="430"/>
    </row>
    <row r="151" spans="1:14" x14ac:dyDescent="0.25">
      <c r="C151" s="267"/>
      <c r="E151" s="267"/>
      <c r="G151" s="267"/>
      <c r="I151" s="267"/>
    </row>
    <row r="152" spans="1:14" x14ac:dyDescent="0.25">
      <c r="A152" s="419"/>
      <c r="B152" s="420" t="s">
        <v>414</v>
      </c>
      <c r="C152" s="419"/>
      <c r="D152" s="420"/>
      <c r="E152" s="419"/>
      <c r="F152" s="420" t="str">
        <f>name!B10</f>
        <v>Water and sewerage</v>
      </c>
      <c r="G152" s="419"/>
      <c r="H152" s="422"/>
      <c r="I152" s="419"/>
      <c r="J152" s="421"/>
      <c r="K152" s="422"/>
      <c r="L152" s="422"/>
      <c r="M152" s="422"/>
      <c r="N152" s="422"/>
    </row>
    <row r="153" spans="1:14" x14ac:dyDescent="0.25">
      <c r="A153" s="408"/>
      <c r="B153" s="409"/>
      <c r="C153" s="408"/>
      <c r="D153" s="409"/>
      <c r="E153" s="408"/>
      <c r="F153" s="409"/>
      <c r="G153" s="408"/>
      <c r="H153" s="409"/>
      <c r="I153" s="408"/>
      <c r="K153" s="409"/>
      <c r="L153" s="409"/>
      <c r="M153" s="409"/>
      <c r="N153" s="415" t="s">
        <v>412</v>
      </c>
    </row>
    <row r="154" spans="1:14" x14ac:dyDescent="0.25">
      <c r="A154" s="413" t="s">
        <v>413</v>
      </c>
      <c r="B154" s="512" t="s">
        <v>411</v>
      </c>
      <c r="C154" s="512"/>
      <c r="D154" s="512" t="s">
        <v>410</v>
      </c>
      <c r="E154" s="512"/>
      <c r="F154" s="512" t="s">
        <v>409</v>
      </c>
      <c r="G154" s="512"/>
      <c r="H154" s="512" t="s">
        <v>32</v>
      </c>
      <c r="I154" s="512"/>
      <c r="J154" s="413"/>
      <c r="K154" s="434" t="s">
        <v>371</v>
      </c>
      <c r="L154" s="434" t="s">
        <v>373</v>
      </c>
      <c r="M154" s="434" t="s">
        <v>369</v>
      </c>
      <c r="N154" s="434" t="s">
        <v>32</v>
      </c>
    </row>
    <row r="155" spans="1:14" x14ac:dyDescent="0.25">
      <c r="A155" s="423">
        <f>$A$8</f>
        <v>2017</v>
      </c>
      <c r="B155" s="424" t="s">
        <v>60</v>
      </c>
      <c r="C155" s="425" t="s">
        <v>408</v>
      </c>
      <c r="D155" s="424" t="s">
        <v>60</v>
      </c>
      <c r="E155" s="425" t="s">
        <v>408</v>
      </c>
      <c r="F155" s="424" t="s">
        <v>60</v>
      </c>
      <c r="G155" s="425" t="s">
        <v>408</v>
      </c>
      <c r="H155" s="424" t="s">
        <v>60</v>
      </c>
      <c r="I155" s="425" t="s">
        <v>408</v>
      </c>
      <c r="J155" s="413"/>
      <c r="K155" s="426" t="str">
        <f>CONCATENATE(A155," - ",A160)</f>
        <v>2017 - 2022</v>
      </c>
      <c r="L155" s="427"/>
      <c r="M155" s="427"/>
    </row>
    <row r="156" spans="1:14" x14ac:dyDescent="0.25">
      <c r="A156" s="417" t="s">
        <v>390</v>
      </c>
      <c r="B156" s="440">
        <f>'Ind T6'!L190</f>
        <v>139.14399999952292</v>
      </c>
      <c r="C156" s="436" t="str">
        <f>CONCATENATE("(",ROUND((B156/$H158)*100,1),")")</f>
        <v>(66.9)</v>
      </c>
      <c r="D156" s="440">
        <f>'Ind T6'!M190</f>
        <v>7.9010000000195522</v>
      </c>
      <c r="E156" s="436" t="str">
        <f>CONCATENATE("(",ROUND((D156/$H158)*100,1),")")</f>
        <v>(3.8)</v>
      </c>
      <c r="F156" s="440">
        <f>'Ind T6'!N190</f>
        <v>5.523000000006328</v>
      </c>
      <c r="G156" s="436" t="str">
        <f>CONCATENATE("(",ROUND((F156/$H158)*100,1),")")</f>
        <v>(2.7)</v>
      </c>
      <c r="H156" s="440">
        <f>SUM(B156,D156,F156)</f>
        <v>152.56799999954882</v>
      </c>
      <c r="I156" s="436" t="str">
        <f>CONCATENATE("(",ROUND((H156/$H158)*100,1),")")</f>
        <v>(73.4)</v>
      </c>
      <c r="K156" s="440">
        <f>B161-B156</f>
        <v>2.5049999995012513</v>
      </c>
      <c r="L156" s="440">
        <f>D161-D156</f>
        <v>1.9599999999465627</v>
      </c>
      <c r="M156" s="440">
        <f>F161-F156</f>
        <v>0.22400000006222243</v>
      </c>
      <c r="N156" s="440">
        <f>SUM(K156:M156)</f>
        <v>4.6889999995100364</v>
      </c>
    </row>
    <row r="157" spans="1:14" x14ac:dyDescent="0.25">
      <c r="A157" s="417" t="s">
        <v>391</v>
      </c>
      <c r="B157" s="440">
        <f>'Ind T6'!L189</f>
        <v>37.00499999974739</v>
      </c>
      <c r="C157" s="436" t="str">
        <f>CONCATENATE("(",ROUND((B157/$H158)*100,1),")")</f>
        <v>(17.8)</v>
      </c>
      <c r="D157" s="440">
        <f>'Ind T6'!M189</f>
        <v>16.994999999960331</v>
      </c>
      <c r="E157" s="436" t="str">
        <f>CONCATENATE("(",ROUND((D157/$H158)*100,1),")")</f>
        <v>(8.2)</v>
      </c>
      <c r="F157" s="440">
        <f>'Ind T6'!N189</f>
        <v>1.4320000000231359</v>
      </c>
      <c r="G157" s="436" t="str">
        <f>CONCATENATE("(",ROUND((F157/$H158)*100,1),")")</f>
        <v>(0.7)</v>
      </c>
      <c r="H157" s="440">
        <f t="shared" ref="H157" si="126">SUM(B157,D157,F157)</f>
        <v>55.431999999730863</v>
      </c>
      <c r="I157" s="436" t="str">
        <f>CONCATENATE("(",ROUND((H157/$H158)*100,1),")")</f>
        <v>(26.6)</v>
      </c>
      <c r="K157" s="440">
        <f t="shared" ref="K157:K158" si="127">B162-B157</f>
        <v>1.0970000000132885</v>
      </c>
      <c r="L157" s="440">
        <f t="shared" ref="L157:L158" si="128">D162-D157</f>
        <v>0.65899999994410408</v>
      </c>
      <c r="M157" s="440">
        <f t="shared" ref="M157:M158" si="129">F162-F157</f>
        <v>9.9999999993987787E-2</v>
      </c>
      <c r="N157" s="440">
        <f t="shared" ref="N157:N158" si="130">SUM(K157:M157)</f>
        <v>1.8559999999513803</v>
      </c>
    </row>
    <row r="158" spans="1:14" x14ac:dyDescent="0.25">
      <c r="A158" s="417" t="s">
        <v>389</v>
      </c>
      <c r="B158" s="440">
        <f>SUM(B156:B157)</f>
        <v>176.1489999992703</v>
      </c>
      <c r="C158" s="436" t="str">
        <f>CONCATENATE("(",ROUND((B158/$H158)*100,1),")")</f>
        <v>(84.7)</v>
      </c>
      <c r="D158" s="440">
        <f>SUM(D156:D157)</f>
        <v>24.895999999979885</v>
      </c>
      <c r="E158" s="436" t="str">
        <f>CONCATENATE("(",ROUND((D158/$H158)*100,1),")")</f>
        <v>(12)</v>
      </c>
      <c r="F158" s="440">
        <f>SUM(F156:F157)</f>
        <v>6.9550000000294636</v>
      </c>
      <c r="G158" s="436" t="str">
        <f>CONCATENATE("(",ROUND((F158/$H158)*100,1),")")</f>
        <v>(3.3)</v>
      </c>
      <c r="H158" s="440">
        <f>SUM(H156:H157)</f>
        <v>207.99999999927968</v>
      </c>
      <c r="I158" s="436" t="str">
        <f>CONCATENATE("(",ROUND((H158/$H158)*100,1),")")</f>
        <v>(100)</v>
      </c>
      <c r="K158" s="440">
        <f t="shared" si="127"/>
        <v>3.6019999995145326</v>
      </c>
      <c r="L158" s="440">
        <f t="shared" si="128"/>
        <v>2.618999999890665</v>
      </c>
      <c r="M158" s="440">
        <f t="shared" si="129"/>
        <v>0.32400000005620999</v>
      </c>
      <c r="N158" s="440">
        <f t="shared" si="130"/>
        <v>6.5449999994614076</v>
      </c>
    </row>
    <row r="159" spans="1:14" x14ac:dyDescent="0.25">
      <c r="B159" s="440"/>
      <c r="C159" s="428"/>
      <c r="D159" s="440"/>
      <c r="E159" s="428"/>
      <c r="F159" s="440"/>
      <c r="G159" s="428"/>
      <c r="H159" s="440"/>
      <c r="I159" s="428"/>
    </row>
    <row r="160" spans="1:14" x14ac:dyDescent="0.25">
      <c r="A160" s="423">
        <f>$A$13</f>
        <v>2022</v>
      </c>
      <c r="B160" s="440"/>
      <c r="C160" s="428"/>
      <c r="D160" s="440"/>
      <c r="E160" s="428"/>
      <c r="F160" s="440"/>
      <c r="G160" s="428"/>
      <c r="H160" s="440"/>
      <c r="I160" s="428"/>
      <c r="K160" s="426" t="str">
        <f>CONCATENATE(A160," - ",A165)</f>
        <v>2022 - 2027</v>
      </c>
    </row>
    <row r="161" spans="1:14" x14ac:dyDescent="0.25">
      <c r="A161" s="417" t="s">
        <v>390</v>
      </c>
      <c r="B161" s="440">
        <f>'Ind T6'!Q190</f>
        <v>141.64899999902417</v>
      </c>
      <c r="C161" s="436" t="str">
        <f>CONCATENATE("(",ROUND((B161/$H163)*100,1),")")</f>
        <v>(66)</v>
      </c>
      <c r="D161" s="440">
        <f>'Ind T6'!R190</f>
        <v>9.8609999999661149</v>
      </c>
      <c r="E161" s="436" t="str">
        <f>CONCATENATE("(",ROUND((D161/$H163)*100,1),")")</f>
        <v>(4.6)</v>
      </c>
      <c r="F161" s="440">
        <f>'Ind T6'!S190</f>
        <v>5.7470000000685504</v>
      </c>
      <c r="G161" s="436" t="str">
        <f>CONCATENATE("(",ROUND((F161/$H163)*100,1),")")</f>
        <v>(2.7)</v>
      </c>
      <c r="H161" s="440">
        <f>SUM(B161,D161,F161)</f>
        <v>157.25699999905882</v>
      </c>
      <c r="I161" s="436" t="str">
        <f>CONCATENATE("(",ROUND((H161/$H163)*100,1),")")</f>
        <v>(73.3)</v>
      </c>
      <c r="K161" s="440">
        <f>B166-B161</f>
        <v>2.8000000002011802</v>
      </c>
      <c r="L161" s="440">
        <f>D166-D161</f>
        <v>1.995999999995842</v>
      </c>
      <c r="M161" s="440">
        <f>F166-F161</f>
        <v>0.24499999998953648</v>
      </c>
      <c r="N161" s="440">
        <f>SUM(K161:M161)</f>
        <v>5.0410000001865587</v>
      </c>
    </row>
    <row r="162" spans="1:14" x14ac:dyDescent="0.25">
      <c r="A162" s="417" t="s">
        <v>391</v>
      </c>
      <c r="B162" s="440">
        <f>'Ind T6'!Q189</f>
        <v>38.101999999760679</v>
      </c>
      <c r="C162" s="436" t="str">
        <f>CONCATENATE("(",ROUND((B162/$H163)*100,1),")")</f>
        <v>(17.8)</v>
      </c>
      <c r="D162" s="440">
        <f>'Ind T6'!R189</f>
        <v>17.653999999904435</v>
      </c>
      <c r="E162" s="436" t="str">
        <f>CONCATENATE("(",ROUND((D162/$H163)*100,1),")")</f>
        <v>(8.2)</v>
      </c>
      <c r="F162" s="440">
        <f>'Ind T6'!S189</f>
        <v>1.5320000000171237</v>
      </c>
      <c r="G162" s="436" t="str">
        <f>CONCATENATE("(",ROUND((F162/$H163)*100,1),")")</f>
        <v>(0.7)</v>
      </c>
      <c r="H162" s="440">
        <f t="shared" ref="H162" si="131">SUM(B162,D162,F162)</f>
        <v>57.287999999682235</v>
      </c>
      <c r="I162" s="436" t="str">
        <f>CONCATENATE("(",ROUND((H162/$H163)*100,1),")")</f>
        <v>(26.7)</v>
      </c>
      <c r="K162" s="440">
        <f t="shared" ref="K162:K163" si="132">B167-B162</f>
        <v>1.1310000000764546</v>
      </c>
      <c r="L162" s="440">
        <f t="shared" ref="L162:L163" si="133">D167-D162</f>
        <v>0.71300000008507425</v>
      </c>
      <c r="M162" s="440">
        <f t="shared" ref="M162:M163" si="134">F167-F162</f>
        <v>0.10499999999910292</v>
      </c>
      <c r="N162" s="440">
        <f t="shared" ref="N162:N163" si="135">SUM(K162:M162)</f>
        <v>1.9490000001606318</v>
      </c>
    </row>
    <row r="163" spans="1:14" x14ac:dyDescent="0.25">
      <c r="A163" s="417" t="s">
        <v>389</v>
      </c>
      <c r="B163" s="440">
        <f>SUM(B161:B162)</f>
        <v>179.75099999878483</v>
      </c>
      <c r="C163" s="436" t="str">
        <f>CONCATENATE("(",ROUND((B163/$H163)*100,1),")")</f>
        <v>(83.8)</v>
      </c>
      <c r="D163" s="440">
        <f>SUM(D161:D162)</f>
        <v>27.51499999987055</v>
      </c>
      <c r="E163" s="436" t="str">
        <f>CONCATENATE("(",ROUND((D163/$H163)*100,1),")")</f>
        <v>(12.8)</v>
      </c>
      <c r="F163" s="440">
        <f>SUM(F161:F162)</f>
        <v>7.2790000000856736</v>
      </c>
      <c r="G163" s="436" t="str">
        <f>CONCATENATE("(",ROUND((F163/$H163)*100,1),")")</f>
        <v>(3.4)</v>
      </c>
      <c r="H163" s="440">
        <f>SUM(H161:H162)</f>
        <v>214.54499999874105</v>
      </c>
      <c r="I163" s="436" t="str">
        <f>CONCATENATE("(",ROUND((H163/$H163)*100,1),")")</f>
        <v>(100)</v>
      </c>
      <c r="K163" s="440">
        <f t="shared" si="132"/>
        <v>3.9310000002776633</v>
      </c>
      <c r="L163" s="440">
        <f t="shared" si="133"/>
        <v>2.7090000000809162</v>
      </c>
      <c r="M163" s="440">
        <f t="shared" si="134"/>
        <v>0.34999999998863984</v>
      </c>
      <c r="N163" s="440">
        <f t="shared" si="135"/>
        <v>6.9900000003472194</v>
      </c>
    </row>
    <row r="164" spans="1:14" x14ac:dyDescent="0.25">
      <c r="B164" s="440"/>
      <c r="C164" s="428"/>
      <c r="D164" s="440"/>
      <c r="E164" s="428"/>
      <c r="F164" s="440"/>
      <c r="G164" s="428"/>
      <c r="H164" s="440"/>
      <c r="I164" s="428"/>
    </row>
    <row r="165" spans="1:14" x14ac:dyDescent="0.25">
      <c r="A165" s="423">
        <f>$A$18</f>
        <v>2027</v>
      </c>
      <c r="B165" s="440"/>
      <c r="C165" s="428"/>
      <c r="D165" s="440"/>
      <c r="E165" s="428"/>
      <c r="F165" s="440"/>
      <c r="G165" s="428"/>
      <c r="H165" s="440"/>
      <c r="I165" s="428"/>
      <c r="K165" s="426" t="str">
        <f>CONCATENATE(A155," - ",A165)</f>
        <v>2017 - 2027</v>
      </c>
    </row>
    <row r="166" spans="1:14" x14ac:dyDescent="0.25">
      <c r="A166" s="417" t="s">
        <v>390</v>
      </c>
      <c r="B166" s="440">
        <f>'Ind T6'!V190</f>
        <v>144.44899999922535</v>
      </c>
      <c r="C166" s="436" t="str">
        <f>CONCATENATE("(",ROUND((B166/$H168)*100,1),")")</f>
        <v>(65.2)</v>
      </c>
      <c r="D166" s="440">
        <f>'Ind T6'!W190</f>
        <v>11.856999999961957</v>
      </c>
      <c r="E166" s="436" t="str">
        <f>CONCATENATE("(",ROUND((D166/$H168)*100,1),")")</f>
        <v>(5.4)</v>
      </c>
      <c r="F166" s="440">
        <f>'Ind T6'!X190</f>
        <v>5.9920000000580869</v>
      </c>
      <c r="G166" s="436" t="str">
        <f>CONCATENATE("(",ROUND((F166/$H168)*100,1),")")</f>
        <v>(2.7)</v>
      </c>
      <c r="H166" s="440">
        <f>SUM(B166,D166,F166)</f>
        <v>162.29799999924538</v>
      </c>
      <c r="I166" s="436" t="str">
        <f>CONCATENATE("(",ROUND((H166/$H168)*100,1),")")</f>
        <v>(73.3)</v>
      </c>
      <c r="K166" s="440">
        <f>B166-B156</f>
        <v>5.3049999997024315</v>
      </c>
      <c r="L166" s="440">
        <f>D166-D156</f>
        <v>3.9559999999424047</v>
      </c>
      <c r="M166" s="440">
        <f>F166-F156</f>
        <v>0.4690000000517589</v>
      </c>
      <c r="N166" s="440">
        <f>SUM(K166:M166)</f>
        <v>9.7299999996965951</v>
      </c>
    </row>
    <row r="167" spans="1:14" x14ac:dyDescent="0.25">
      <c r="A167" s="417" t="s">
        <v>391</v>
      </c>
      <c r="B167" s="440">
        <f>'Ind T6'!V189</f>
        <v>39.232999999837133</v>
      </c>
      <c r="C167" s="436" t="str">
        <f>CONCATENATE("(",ROUND((B167/$H168)*100,1),")")</f>
        <v>(17.7)</v>
      </c>
      <c r="D167" s="440">
        <f>'Ind T6'!W189</f>
        <v>18.36699999998951</v>
      </c>
      <c r="E167" s="436" t="str">
        <f>CONCATENATE("(",ROUND((D167/$H168)*100,1),")")</f>
        <v>(8.3)</v>
      </c>
      <c r="F167" s="440">
        <f>'Ind T6'!X189</f>
        <v>1.6370000000162266</v>
      </c>
      <c r="G167" s="436" t="str">
        <f>CONCATENATE("(",ROUND((F167/$H168)*100,1),")")</f>
        <v>(0.7)</v>
      </c>
      <c r="H167" s="440">
        <f t="shared" ref="H167" si="136">SUM(B167,D167,F167)</f>
        <v>59.236999999842872</v>
      </c>
      <c r="I167" s="436" t="str">
        <f>CONCATENATE("(",ROUND((H167/$H168)*100,1),")")</f>
        <v>(26.7)</v>
      </c>
      <c r="K167" s="440">
        <f t="shared" ref="K167:K168" si="137">B167-B157</f>
        <v>2.2280000000897431</v>
      </c>
      <c r="L167" s="440">
        <f t="shared" ref="L167:L168" si="138">D167-D157</f>
        <v>1.3720000000291783</v>
      </c>
      <c r="M167" s="440">
        <f t="shared" ref="M167:M168" si="139">F167-F157</f>
        <v>0.20499999999309071</v>
      </c>
      <c r="N167" s="440">
        <f t="shared" ref="N167:N168" si="140">SUM(K167:M167)</f>
        <v>3.8050000001120123</v>
      </c>
    </row>
    <row r="168" spans="1:14" x14ac:dyDescent="0.25">
      <c r="A168" s="408" t="s">
        <v>389</v>
      </c>
      <c r="B168" s="440">
        <f>SUM(B166:B167)</f>
        <v>183.6819999990625</v>
      </c>
      <c r="C168" s="436" t="str">
        <f>CONCATENATE("(",ROUND((B168/$H168)*100,1),")")</f>
        <v>(82.9)</v>
      </c>
      <c r="D168" s="440">
        <f>SUM(D166:D167)</f>
        <v>30.223999999951467</v>
      </c>
      <c r="E168" s="436" t="str">
        <f>CONCATENATE("(",ROUND((D168/$H168)*100,1),")")</f>
        <v>(13.6)</v>
      </c>
      <c r="F168" s="440">
        <f>SUM(F166:F167)</f>
        <v>7.6290000000743134</v>
      </c>
      <c r="G168" s="436" t="str">
        <f>CONCATENATE("(",ROUND((F168/$H168)*100,1),")")</f>
        <v>(3.4)</v>
      </c>
      <c r="H168" s="440">
        <f>SUM(H166:H167)</f>
        <v>221.53499999908826</v>
      </c>
      <c r="I168" s="436" t="str">
        <f>CONCATENATE("(",ROUND((H168/$H168)*100,1),")")</f>
        <v>(100)</v>
      </c>
      <c r="K168" s="440">
        <f t="shared" si="137"/>
        <v>7.5329999997921959</v>
      </c>
      <c r="L168" s="440">
        <f t="shared" si="138"/>
        <v>5.3279999999715812</v>
      </c>
      <c r="M168" s="440">
        <f t="shared" si="139"/>
        <v>0.67400000004484983</v>
      </c>
      <c r="N168" s="440">
        <f t="shared" si="140"/>
        <v>13.534999999808626</v>
      </c>
    </row>
    <row r="169" spans="1:14" x14ac:dyDescent="0.25">
      <c r="A169" s="429"/>
      <c r="B169" s="430"/>
      <c r="C169" s="429"/>
      <c r="D169" s="430"/>
      <c r="E169" s="429"/>
      <c r="F169" s="430"/>
      <c r="G169" s="429"/>
      <c r="H169" s="430"/>
      <c r="I169" s="429"/>
      <c r="J169" s="429"/>
      <c r="K169" s="430"/>
      <c r="L169" s="430"/>
      <c r="M169" s="430"/>
      <c r="N169" s="430"/>
    </row>
    <row r="173" spans="1:14" x14ac:dyDescent="0.25">
      <c r="A173" s="419"/>
      <c r="B173" s="420" t="s">
        <v>414</v>
      </c>
      <c r="C173" s="419"/>
      <c r="D173" s="420"/>
      <c r="E173" s="419"/>
      <c r="F173" s="420" t="str">
        <f>name!B11</f>
        <v>Construction</v>
      </c>
      <c r="G173" s="419"/>
      <c r="H173" s="422"/>
      <c r="I173" s="419"/>
      <c r="J173" s="421"/>
      <c r="K173" s="422"/>
      <c r="L173" s="422"/>
      <c r="M173" s="422"/>
      <c r="N173" s="422"/>
    </row>
    <row r="174" spans="1:14" x14ac:dyDescent="0.25">
      <c r="A174" s="408"/>
      <c r="B174" s="409"/>
      <c r="C174" s="408"/>
      <c r="D174" s="409"/>
      <c r="E174" s="408"/>
      <c r="F174" s="409"/>
      <c r="G174" s="408"/>
      <c r="H174" s="409"/>
      <c r="I174" s="408"/>
      <c r="K174" s="409"/>
      <c r="L174" s="409"/>
      <c r="M174" s="409"/>
      <c r="N174" s="415" t="s">
        <v>412</v>
      </c>
    </row>
    <row r="175" spans="1:14" x14ac:dyDescent="0.25">
      <c r="A175" s="413" t="s">
        <v>413</v>
      </c>
      <c r="B175" s="512" t="s">
        <v>411</v>
      </c>
      <c r="C175" s="512"/>
      <c r="D175" s="512" t="s">
        <v>410</v>
      </c>
      <c r="E175" s="512"/>
      <c r="F175" s="512" t="s">
        <v>409</v>
      </c>
      <c r="G175" s="512"/>
      <c r="H175" s="512" t="s">
        <v>32</v>
      </c>
      <c r="I175" s="512"/>
      <c r="J175" s="413"/>
      <c r="K175" s="434" t="s">
        <v>371</v>
      </c>
      <c r="L175" s="434" t="s">
        <v>373</v>
      </c>
      <c r="M175" s="434" t="s">
        <v>369</v>
      </c>
      <c r="N175" s="434" t="s">
        <v>32</v>
      </c>
    </row>
    <row r="176" spans="1:14" x14ac:dyDescent="0.25">
      <c r="A176" s="423">
        <f>$A$8</f>
        <v>2017</v>
      </c>
      <c r="B176" s="424" t="s">
        <v>60</v>
      </c>
      <c r="C176" s="425" t="s">
        <v>408</v>
      </c>
      <c r="D176" s="424" t="s">
        <v>60</v>
      </c>
      <c r="E176" s="425" t="s">
        <v>408</v>
      </c>
      <c r="F176" s="424" t="s">
        <v>60</v>
      </c>
      <c r="G176" s="425" t="s">
        <v>408</v>
      </c>
      <c r="H176" s="424" t="s">
        <v>60</v>
      </c>
      <c r="I176" s="425" t="s">
        <v>408</v>
      </c>
      <c r="J176" s="413"/>
      <c r="K176" s="426" t="str">
        <f>CONCATENATE(A176," - ",A181)</f>
        <v>2017 - 2022</v>
      </c>
      <c r="L176" s="427"/>
      <c r="M176" s="427"/>
    </row>
    <row r="177" spans="1:14" x14ac:dyDescent="0.25">
      <c r="A177" s="417" t="s">
        <v>390</v>
      </c>
      <c r="B177" s="440">
        <f>'Ind T6'!L215</f>
        <v>1082.8419999984285</v>
      </c>
      <c r="C177" s="436" t="str">
        <f>CONCATENATE("(",ROUND((B177/$H179)*100,1),")")</f>
        <v>(47.4)</v>
      </c>
      <c r="D177" s="440">
        <f>'Ind T6'!M215</f>
        <v>48.949000000067706</v>
      </c>
      <c r="E177" s="436" t="str">
        <f>CONCATENATE("(",ROUND((D177/$H179)*100,1),")")</f>
        <v>(2.1)</v>
      </c>
      <c r="F177" s="440">
        <f>'Ind T6'!N215</f>
        <v>827.96300000621238</v>
      </c>
      <c r="G177" s="436" t="str">
        <f>CONCATENATE("(",ROUND((F177/$H179)*100,1),")")</f>
        <v>(36.2)</v>
      </c>
      <c r="H177" s="440">
        <f>SUM(B177,D177,F177)</f>
        <v>1959.7540000047084</v>
      </c>
      <c r="I177" s="436" t="str">
        <f>CONCATENATE("(",ROUND((H177/$H179)*100,1),")")</f>
        <v>(85.7)</v>
      </c>
      <c r="K177" s="440">
        <f>B182-B177</f>
        <v>33.060999994129361</v>
      </c>
      <c r="L177" s="440">
        <f>D182-D177</f>
        <v>-0.81400000018287955</v>
      </c>
      <c r="M177" s="440">
        <f>F182-F177</f>
        <v>-20.149999974608704</v>
      </c>
      <c r="N177" s="440">
        <f>SUM(K177:M177)</f>
        <v>12.097000019337777</v>
      </c>
    </row>
    <row r="178" spans="1:14" x14ac:dyDescent="0.25">
      <c r="A178" s="417" t="s">
        <v>391</v>
      </c>
      <c r="B178" s="440">
        <f>'Ind T6'!L214</f>
        <v>169.15899999848926</v>
      </c>
      <c r="C178" s="436" t="str">
        <f>CONCATENATE("(",ROUND((B178/$H179)*100,1),")")</f>
        <v>(7.4)</v>
      </c>
      <c r="D178" s="440">
        <f>'Ind T6'!M214</f>
        <v>111.09900000081718</v>
      </c>
      <c r="E178" s="436" t="str">
        <f>CONCATENATE("(",ROUND((D178/$H179)*100,1),")")</f>
        <v>(4.9)</v>
      </c>
      <c r="F178" s="440">
        <f>'Ind T6'!N214</f>
        <v>46.036000000715248</v>
      </c>
      <c r="G178" s="436" t="str">
        <f>CONCATENATE("(",ROUND((F178/$H179)*100,1),")")</f>
        <v>(2)</v>
      </c>
      <c r="H178" s="440">
        <f t="shared" ref="H178" si="141">SUM(B178,D178,F178)</f>
        <v>326.2940000000217</v>
      </c>
      <c r="I178" s="436" t="str">
        <f>CONCATENATE("(",ROUND((H178/$H179)*100,1),")")</f>
        <v>(14.3)</v>
      </c>
      <c r="K178" s="440">
        <f t="shared" ref="K178:K179" si="142">B183-B178</f>
        <v>2.320000000946834</v>
      </c>
      <c r="L178" s="440">
        <f t="shared" ref="L178:L179" si="143">D183-D178</f>
        <v>6.4059999988350995</v>
      </c>
      <c r="M178" s="440">
        <f t="shared" ref="M178:M179" si="144">F183-F178</f>
        <v>-0.23700000061923276</v>
      </c>
      <c r="N178" s="440">
        <f t="shared" ref="N178:N179" si="145">SUM(K178:M178)</f>
        <v>8.4889999991627008</v>
      </c>
    </row>
    <row r="179" spans="1:14" x14ac:dyDescent="0.25">
      <c r="A179" s="417" t="s">
        <v>389</v>
      </c>
      <c r="B179" s="440">
        <f>SUM(B177:B178)</f>
        <v>1252.0009999969177</v>
      </c>
      <c r="C179" s="436" t="str">
        <f>CONCATENATE("(",ROUND((B179/$H179)*100,1),")")</f>
        <v>(54.8)</v>
      </c>
      <c r="D179" s="440">
        <f>SUM(D177:D178)</f>
        <v>160.04800000088488</v>
      </c>
      <c r="E179" s="436" t="str">
        <f>CONCATENATE("(",ROUND((D179/$H179)*100,1),")")</f>
        <v>(7)</v>
      </c>
      <c r="F179" s="440">
        <f>SUM(F177:F178)</f>
        <v>873.99900000692764</v>
      </c>
      <c r="G179" s="436" t="str">
        <f>CONCATENATE("(",ROUND((F179/$H179)*100,1),")")</f>
        <v>(38.2)</v>
      </c>
      <c r="H179" s="440">
        <f>SUM(H177:H178)</f>
        <v>2286.0480000047301</v>
      </c>
      <c r="I179" s="436" t="str">
        <f>CONCATENATE("(",ROUND((H179/$H179)*100,1),")")</f>
        <v>(100)</v>
      </c>
      <c r="K179" s="440">
        <f t="shared" si="142"/>
        <v>35.380999995076309</v>
      </c>
      <c r="L179" s="440">
        <f t="shared" si="143"/>
        <v>5.5919999986522271</v>
      </c>
      <c r="M179" s="440">
        <f t="shared" si="144"/>
        <v>-20.386999975227923</v>
      </c>
      <c r="N179" s="440">
        <f t="shared" si="145"/>
        <v>20.586000018500613</v>
      </c>
    </row>
    <row r="180" spans="1:14" x14ac:dyDescent="0.25">
      <c r="B180" s="440"/>
      <c r="C180" s="428"/>
      <c r="D180" s="440"/>
      <c r="E180" s="428"/>
      <c r="F180" s="440"/>
      <c r="G180" s="428"/>
      <c r="H180" s="440"/>
      <c r="I180" s="428"/>
    </row>
    <row r="181" spans="1:14" x14ac:dyDescent="0.25">
      <c r="A181" s="423">
        <f>$A$13</f>
        <v>2022</v>
      </c>
      <c r="B181" s="440"/>
      <c r="C181" s="428"/>
      <c r="D181" s="440"/>
      <c r="E181" s="428"/>
      <c r="F181" s="440"/>
      <c r="G181" s="428"/>
      <c r="H181" s="440"/>
      <c r="I181" s="428"/>
      <c r="K181" s="426" t="str">
        <f>CONCATENATE(A181," - ",A186)</f>
        <v>2022 - 2027</v>
      </c>
    </row>
    <row r="182" spans="1:14" x14ac:dyDescent="0.25">
      <c r="A182" s="417" t="s">
        <v>390</v>
      </c>
      <c r="B182" s="440">
        <f>'Ind T6'!Q215</f>
        <v>1115.9029999925579</v>
      </c>
      <c r="C182" s="436" t="str">
        <f>CONCATENATE("(",ROUND((B182/$H184)*100,1),")")</f>
        <v>(48.4)</v>
      </c>
      <c r="D182" s="440">
        <f>'Ind T6'!R215</f>
        <v>48.134999999884826</v>
      </c>
      <c r="E182" s="436" t="str">
        <f>CONCATENATE("(",ROUND((D182/$H184)*100,1),")")</f>
        <v>(2.1)</v>
      </c>
      <c r="F182" s="440">
        <f>'Ind T6'!S215</f>
        <v>807.81300003160368</v>
      </c>
      <c r="G182" s="436" t="str">
        <f>CONCATENATE("(",ROUND((F182/$H184)*100,1),")")</f>
        <v>(35)</v>
      </c>
      <c r="H182" s="440">
        <f>SUM(B182,D182,F182)</f>
        <v>1971.8510000240462</v>
      </c>
      <c r="I182" s="436" t="str">
        <f>CONCATENATE("(",ROUND((H182/$H184)*100,1),")")</f>
        <v>(85.5)</v>
      </c>
      <c r="K182" s="440">
        <f>B187-B182</f>
        <v>32.938000003387515</v>
      </c>
      <c r="L182" s="440">
        <f>D187-D182</f>
        <v>-0.61399999998808852</v>
      </c>
      <c r="M182" s="440">
        <f>F187-F182</f>
        <v>-11.624999997117811</v>
      </c>
      <c r="N182" s="440">
        <f>SUM(K182:M182)</f>
        <v>20.699000006281615</v>
      </c>
    </row>
    <row r="183" spans="1:14" x14ac:dyDescent="0.25">
      <c r="A183" s="417" t="s">
        <v>391</v>
      </c>
      <c r="B183" s="440">
        <f>'Ind T6'!Q214</f>
        <v>171.4789999994361</v>
      </c>
      <c r="C183" s="436" t="str">
        <f>CONCATENATE("(",ROUND((B183/$H184)*100,1),")")</f>
        <v>(7.4)</v>
      </c>
      <c r="D183" s="440">
        <f>'Ind T6'!R214</f>
        <v>117.50499999965228</v>
      </c>
      <c r="E183" s="436" t="str">
        <f>CONCATENATE("(",ROUND((D183/$H184)*100,1),")")</f>
        <v>(5.1)</v>
      </c>
      <c r="F183" s="440">
        <f>'Ind T6'!S214</f>
        <v>45.799000000096015</v>
      </c>
      <c r="G183" s="436" t="str">
        <f>CONCATENATE("(",ROUND((F183/$H184)*100,1),")")</f>
        <v>(2)</v>
      </c>
      <c r="H183" s="440">
        <f t="shared" ref="H183" si="146">SUM(B183,D183,F183)</f>
        <v>334.78299999918443</v>
      </c>
      <c r="I183" s="436" t="str">
        <f>CONCATENATE("(",ROUND((H183/$H184)*100,1),")")</f>
        <v>(14.5)</v>
      </c>
      <c r="K183" s="440">
        <f t="shared" ref="K183:K184" si="147">B188-B183</f>
        <v>2.475999999752446</v>
      </c>
      <c r="L183" s="440">
        <f t="shared" ref="L183:L184" si="148">D188-D183</f>
        <v>6.1540000011106315</v>
      </c>
      <c r="M183" s="440">
        <f t="shared" ref="M183:M184" si="149">F188-F183</f>
        <v>6.3000000363018671E-2</v>
      </c>
      <c r="N183" s="440">
        <f t="shared" ref="N183:N184" si="150">SUM(K183:M183)</f>
        <v>8.6930000012260962</v>
      </c>
    </row>
    <row r="184" spans="1:14" x14ac:dyDescent="0.25">
      <c r="A184" s="417" t="s">
        <v>389</v>
      </c>
      <c r="B184" s="440">
        <f>SUM(B182:B183)</f>
        <v>1287.381999991994</v>
      </c>
      <c r="C184" s="436" t="str">
        <f>CONCATENATE("(",ROUND((B184/$H184)*100,1),")")</f>
        <v>(55.8)</v>
      </c>
      <c r="D184" s="440">
        <f>SUM(D182:D183)</f>
        <v>165.63999999953711</v>
      </c>
      <c r="E184" s="436" t="str">
        <f>CONCATENATE("(",ROUND((D184/$H184)*100,1),")")</f>
        <v>(7.2)</v>
      </c>
      <c r="F184" s="440">
        <f>SUM(F182:F183)</f>
        <v>853.61200003169972</v>
      </c>
      <c r="G184" s="436" t="str">
        <f>CONCATENATE("(",ROUND((F184/$H184)*100,1),")")</f>
        <v>(37)</v>
      </c>
      <c r="H184" s="440">
        <f>SUM(H182:H183)</f>
        <v>2306.6340000232308</v>
      </c>
      <c r="I184" s="436" t="str">
        <f>CONCATENATE("(",ROUND((H184/$H184)*100,1),")")</f>
        <v>(100)</v>
      </c>
      <c r="K184" s="440">
        <f t="shared" si="147"/>
        <v>35.414000003140018</v>
      </c>
      <c r="L184" s="440">
        <f t="shared" si="148"/>
        <v>5.5400000011225359</v>
      </c>
      <c r="M184" s="440">
        <f t="shared" si="149"/>
        <v>-11.561999996754821</v>
      </c>
      <c r="N184" s="440">
        <f t="shared" si="150"/>
        <v>29.392000007507733</v>
      </c>
    </row>
    <row r="185" spans="1:14" x14ac:dyDescent="0.25">
      <c r="B185" s="440"/>
      <c r="C185" s="428"/>
      <c r="D185" s="440"/>
      <c r="E185" s="428"/>
      <c r="F185" s="440"/>
      <c r="G185" s="428"/>
      <c r="H185" s="440"/>
      <c r="I185" s="428"/>
    </row>
    <row r="186" spans="1:14" x14ac:dyDescent="0.25">
      <c r="A186" s="423">
        <f>$A$18</f>
        <v>2027</v>
      </c>
      <c r="B186" s="440"/>
      <c r="C186" s="428"/>
      <c r="D186" s="440"/>
      <c r="E186" s="428"/>
      <c r="F186" s="440"/>
      <c r="G186" s="428"/>
      <c r="H186" s="440"/>
      <c r="I186" s="428"/>
      <c r="K186" s="426" t="str">
        <f>CONCATENATE(A176," - ",A186)</f>
        <v>2017 - 2027</v>
      </c>
    </row>
    <row r="187" spans="1:14" x14ac:dyDescent="0.25">
      <c r="A187" s="417" t="s">
        <v>390</v>
      </c>
      <c r="B187" s="440">
        <f>'Ind T6'!V215</f>
        <v>1148.8409999959454</v>
      </c>
      <c r="C187" s="436" t="str">
        <f>CONCATENATE("(",ROUND((B187/$H189)*100,1),")")</f>
        <v>(49.2)</v>
      </c>
      <c r="D187" s="440">
        <f>'Ind T6'!W215</f>
        <v>47.520999999896738</v>
      </c>
      <c r="E187" s="436" t="str">
        <f>CONCATENATE("(",ROUND((D187/$H189)*100,1),")")</f>
        <v>(2)</v>
      </c>
      <c r="F187" s="440">
        <f>'Ind T6'!X215</f>
        <v>796.18800003448587</v>
      </c>
      <c r="G187" s="436" t="str">
        <f>CONCATENATE("(",ROUND((F187/$H189)*100,1),")")</f>
        <v>(34.1)</v>
      </c>
      <c r="H187" s="440">
        <f>SUM(B187,D187,F187)</f>
        <v>1992.550000030328</v>
      </c>
      <c r="I187" s="436" t="str">
        <f>CONCATENATE("(",ROUND((H187/$H189)*100,1),")")</f>
        <v>(85.3)</v>
      </c>
      <c r="K187" s="440">
        <f>B187-B177</f>
        <v>65.998999997516876</v>
      </c>
      <c r="L187" s="440">
        <f>D187-D177</f>
        <v>-1.4280000001709681</v>
      </c>
      <c r="M187" s="440">
        <f>F187-F177</f>
        <v>-31.774999971726515</v>
      </c>
      <c r="N187" s="440">
        <f>SUM(K187:M187)</f>
        <v>32.796000025619392</v>
      </c>
    </row>
    <row r="188" spans="1:14" x14ac:dyDescent="0.25">
      <c r="A188" s="417" t="s">
        <v>391</v>
      </c>
      <c r="B188" s="440">
        <f>'Ind T6'!V214</f>
        <v>173.95499999918854</v>
      </c>
      <c r="C188" s="436" t="str">
        <f>CONCATENATE("(",ROUND((B188/$H189)*100,1),")")</f>
        <v>(7.4)</v>
      </c>
      <c r="D188" s="440">
        <f>'Ind T6'!W214</f>
        <v>123.65900000076292</v>
      </c>
      <c r="E188" s="436" t="str">
        <f>CONCATENATE("(",ROUND((D188/$H189)*100,1),")")</f>
        <v>(5.3)</v>
      </c>
      <c r="F188" s="440">
        <f>'Ind T6'!X214</f>
        <v>45.862000000459034</v>
      </c>
      <c r="G188" s="436" t="str">
        <f>CONCATENATE("(",ROUND((F188/$H189)*100,1),")")</f>
        <v>(2)</v>
      </c>
      <c r="H188" s="440">
        <f t="shared" ref="H188" si="151">SUM(B188,D188,F188)</f>
        <v>343.47600000041052</v>
      </c>
      <c r="I188" s="436" t="str">
        <f>CONCATENATE("(",ROUND((H188/$H189)*100,1),")")</f>
        <v>(14.7)</v>
      </c>
      <c r="K188" s="440">
        <f t="shared" ref="K188:K189" si="152">B188-B178</f>
        <v>4.79600000069928</v>
      </c>
      <c r="L188" s="440">
        <f t="shared" ref="L188:L189" si="153">D188-D178</f>
        <v>12.559999999945731</v>
      </c>
      <c r="M188" s="440">
        <f t="shared" ref="M188:M189" si="154">F188-F178</f>
        <v>-0.17400000025621409</v>
      </c>
      <c r="N188" s="440">
        <f t="shared" ref="N188:N189" si="155">SUM(K188:M188)</f>
        <v>17.182000000388797</v>
      </c>
    </row>
    <row r="189" spans="1:14" x14ac:dyDescent="0.25">
      <c r="A189" s="408" t="s">
        <v>389</v>
      </c>
      <c r="B189" s="440">
        <f>SUM(B187:B188)</f>
        <v>1322.795999995134</v>
      </c>
      <c r="C189" s="436" t="str">
        <f>CONCATENATE("(",ROUND((B189/$H189)*100,1),")")</f>
        <v>(56.6)</v>
      </c>
      <c r="D189" s="440">
        <f>SUM(D187:D188)</f>
        <v>171.18000000065965</v>
      </c>
      <c r="E189" s="436" t="str">
        <f>CONCATENATE("(",ROUND((D189/$H189)*100,1),")")</f>
        <v>(7.3)</v>
      </c>
      <c r="F189" s="440">
        <f>SUM(F187:F188)</f>
        <v>842.0500000349449</v>
      </c>
      <c r="G189" s="436" t="str">
        <f>CONCATENATE("(",ROUND((F189/$H189)*100,1),")")</f>
        <v>(36)</v>
      </c>
      <c r="H189" s="440">
        <f>SUM(H187:H188)</f>
        <v>2336.0260000307385</v>
      </c>
      <c r="I189" s="436" t="str">
        <f>CONCATENATE("(",ROUND((H189/$H189)*100,1),")")</f>
        <v>(100)</v>
      </c>
      <c r="K189" s="440">
        <f t="shared" si="152"/>
        <v>70.794999998216326</v>
      </c>
      <c r="L189" s="440">
        <f t="shared" si="153"/>
        <v>11.131999999774763</v>
      </c>
      <c r="M189" s="440">
        <f t="shared" si="154"/>
        <v>-31.948999971982744</v>
      </c>
      <c r="N189" s="440">
        <f t="shared" si="155"/>
        <v>49.978000026008345</v>
      </c>
    </row>
    <row r="190" spans="1:14" x14ac:dyDescent="0.25">
      <c r="A190" s="429"/>
      <c r="B190" s="430"/>
      <c r="C190" s="429"/>
      <c r="D190" s="430"/>
      <c r="E190" s="429"/>
      <c r="F190" s="430"/>
      <c r="G190" s="429"/>
      <c r="H190" s="430"/>
      <c r="I190" s="429"/>
      <c r="J190" s="429"/>
      <c r="K190" s="430"/>
      <c r="L190" s="430"/>
      <c r="M190" s="430"/>
      <c r="N190" s="430"/>
    </row>
    <row r="194" spans="1:14" x14ac:dyDescent="0.25">
      <c r="A194" s="419"/>
      <c r="B194" s="420" t="s">
        <v>414</v>
      </c>
      <c r="C194" s="419"/>
      <c r="D194" s="420"/>
      <c r="E194" s="419"/>
      <c r="F194" s="420" t="str">
        <f>name!B12</f>
        <v>Wholesale and retail trade</v>
      </c>
      <c r="G194" s="419"/>
      <c r="H194" s="422"/>
      <c r="I194" s="419"/>
      <c r="J194" s="421"/>
      <c r="K194" s="422"/>
      <c r="L194" s="422"/>
      <c r="M194" s="422"/>
      <c r="N194" s="422"/>
    </row>
    <row r="195" spans="1:14" x14ac:dyDescent="0.25">
      <c r="A195" s="408"/>
      <c r="B195" s="409"/>
      <c r="C195" s="408"/>
      <c r="D195" s="409"/>
      <c r="E195" s="408"/>
      <c r="F195" s="409"/>
      <c r="G195" s="408"/>
      <c r="H195" s="409"/>
      <c r="I195" s="408"/>
      <c r="K195" s="409"/>
      <c r="L195" s="409"/>
      <c r="M195" s="409"/>
      <c r="N195" s="415" t="s">
        <v>412</v>
      </c>
    </row>
    <row r="196" spans="1:14" x14ac:dyDescent="0.25">
      <c r="A196" s="413" t="s">
        <v>413</v>
      </c>
      <c r="B196" s="512" t="s">
        <v>411</v>
      </c>
      <c r="C196" s="512"/>
      <c r="D196" s="512" t="s">
        <v>410</v>
      </c>
      <c r="E196" s="512"/>
      <c r="F196" s="512" t="s">
        <v>409</v>
      </c>
      <c r="G196" s="512"/>
      <c r="H196" s="512" t="s">
        <v>32</v>
      </c>
      <c r="I196" s="512"/>
      <c r="J196" s="413"/>
      <c r="K196" s="434" t="s">
        <v>371</v>
      </c>
      <c r="L196" s="434" t="s">
        <v>373</v>
      </c>
      <c r="M196" s="434" t="s">
        <v>369</v>
      </c>
      <c r="N196" s="434" t="s">
        <v>32</v>
      </c>
    </row>
    <row r="197" spans="1:14" x14ac:dyDescent="0.25">
      <c r="A197" s="423">
        <f>$A$8</f>
        <v>2017</v>
      </c>
      <c r="B197" s="424" t="s">
        <v>60</v>
      </c>
      <c r="C197" s="425" t="s">
        <v>408</v>
      </c>
      <c r="D197" s="424" t="s">
        <v>60</v>
      </c>
      <c r="E197" s="425" t="s">
        <v>408</v>
      </c>
      <c r="F197" s="424" t="s">
        <v>60</v>
      </c>
      <c r="G197" s="425" t="s">
        <v>408</v>
      </c>
      <c r="H197" s="424" t="s">
        <v>60</v>
      </c>
      <c r="I197" s="425" t="s">
        <v>408</v>
      </c>
      <c r="J197" s="413"/>
      <c r="K197" s="426" t="str">
        <f>CONCATENATE(A197," - ",A202)</f>
        <v>2017 - 2022</v>
      </c>
      <c r="L197" s="427"/>
      <c r="M197" s="427"/>
    </row>
    <row r="198" spans="1:14" x14ac:dyDescent="0.25">
      <c r="A198" s="417" t="s">
        <v>390</v>
      </c>
      <c r="B198" s="440">
        <f>'Ind T6'!L240</f>
        <v>1785.9989999981658</v>
      </c>
      <c r="C198" s="436" t="str">
        <f>CONCATENATE("(",ROUND((B198/$H200)*100,1),")")</f>
        <v>(35.9)</v>
      </c>
      <c r="D198" s="440">
        <f>'Ind T6'!M240</f>
        <v>580.02899999746717</v>
      </c>
      <c r="E198" s="436" t="str">
        <f>CONCATENATE("(",ROUND((D198/$H200)*100,1),")")</f>
        <v>(11.6)</v>
      </c>
      <c r="F198" s="440">
        <f>'Ind T6'!N240</f>
        <v>253.63499999878701</v>
      </c>
      <c r="G198" s="436" t="str">
        <f>CONCATENATE("(",ROUND((F198/$H200)*100,1),")")</f>
        <v>(5.1)</v>
      </c>
      <c r="H198" s="440">
        <f>SUM(B198,D198,F198)</f>
        <v>2619.6629999944198</v>
      </c>
      <c r="I198" s="436" t="str">
        <f>CONCATENATE("(",ROUND((H198/$H200)*100,1),")")</f>
        <v>(52.6)</v>
      </c>
      <c r="K198" s="440">
        <f>B203-B198</f>
        <v>-45.78200000957122</v>
      </c>
      <c r="L198" s="440">
        <f>D203-D198</f>
        <v>124.43099999529409</v>
      </c>
      <c r="M198" s="440">
        <f>F203-F198</f>
        <v>-43.66100000078319</v>
      </c>
      <c r="N198" s="440">
        <f>SUM(K198:M198)</f>
        <v>34.987999984939677</v>
      </c>
    </row>
    <row r="199" spans="1:14" x14ac:dyDescent="0.25">
      <c r="A199" s="417" t="s">
        <v>391</v>
      </c>
      <c r="B199" s="440">
        <f>'Ind T6'!L239</f>
        <v>968.53299999567753</v>
      </c>
      <c r="C199" s="436" t="str">
        <f>CONCATENATE("(",ROUND((B199/$H200)*100,1),")")</f>
        <v>(19.4)</v>
      </c>
      <c r="D199" s="440">
        <f>'Ind T6'!M239</f>
        <v>1246.5870000605096</v>
      </c>
      <c r="E199" s="436" t="str">
        <f>CONCATENATE("(",ROUND((D199/$H200)*100,1),")")</f>
        <v>(25)</v>
      </c>
      <c r="F199" s="440">
        <f>'Ind T6'!N239</f>
        <v>145.36300000222883</v>
      </c>
      <c r="G199" s="436" t="str">
        <f>CONCATENATE("(",ROUND((F199/$H200)*100,1),")")</f>
        <v>(2.9)</v>
      </c>
      <c r="H199" s="440">
        <f t="shared" ref="H199" si="156">SUM(B199,D199,F199)</f>
        <v>2360.4830000584161</v>
      </c>
      <c r="I199" s="436" t="str">
        <f>CONCATENATE("(",ROUND((H199/$H200)*100,1),")")</f>
        <v>(47.4)</v>
      </c>
      <c r="K199" s="440">
        <f t="shared" ref="K199:K200" si="157">B204-B199</f>
        <v>61.62199998043593</v>
      </c>
      <c r="L199" s="440">
        <f t="shared" ref="L199:L200" si="158">D204-D199</f>
        <v>-67.465000049713581</v>
      </c>
      <c r="M199" s="440">
        <f t="shared" ref="M199:M200" si="159">F204-F199</f>
        <v>-12.626000000496106</v>
      </c>
      <c r="N199" s="440">
        <f t="shared" ref="N199:N200" si="160">SUM(K199:M199)</f>
        <v>-18.469000069773756</v>
      </c>
    </row>
    <row r="200" spans="1:14" x14ac:dyDescent="0.25">
      <c r="A200" s="417" t="s">
        <v>389</v>
      </c>
      <c r="B200" s="440">
        <f>SUM(B198:B199)</f>
        <v>2754.5319999938433</v>
      </c>
      <c r="C200" s="436" t="str">
        <f>CONCATENATE("(",ROUND((B200/$H200)*100,1),")")</f>
        <v>(55.3)</v>
      </c>
      <c r="D200" s="440">
        <f>SUM(D198:D199)</f>
        <v>1826.6160000579766</v>
      </c>
      <c r="E200" s="436" t="str">
        <f>CONCATENATE("(",ROUND((D200/$H200)*100,1),")")</f>
        <v>(36.7)</v>
      </c>
      <c r="F200" s="440">
        <f>SUM(F198:F199)</f>
        <v>398.99800000101584</v>
      </c>
      <c r="G200" s="436" t="str">
        <f>CONCATENATE("(",ROUND((F200/$H200)*100,1),")")</f>
        <v>(8)</v>
      </c>
      <c r="H200" s="440">
        <f>SUM(H198:H199)</f>
        <v>4980.1460000528359</v>
      </c>
      <c r="I200" s="436" t="str">
        <f>CONCATENATE("(",ROUND((H200/$H200)*100,1),")")</f>
        <v>(100)</v>
      </c>
      <c r="K200" s="440">
        <f t="shared" si="157"/>
        <v>15.839999970864937</v>
      </c>
      <c r="L200" s="440">
        <f t="shared" si="158"/>
        <v>56.965999945580734</v>
      </c>
      <c r="M200" s="440">
        <f t="shared" si="159"/>
        <v>-56.287000001279296</v>
      </c>
      <c r="N200" s="440">
        <f t="shared" si="160"/>
        <v>16.518999915166376</v>
      </c>
    </row>
    <row r="201" spans="1:14" x14ac:dyDescent="0.25">
      <c r="B201" s="440"/>
      <c r="C201" s="428"/>
      <c r="D201" s="440"/>
      <c r="E201" s="428"/>
      <c r="F201" s="440"/>
      <c r="G201" s="428"/>
      <c r="H201" s="440"/>
      <c r="I201" s="428"/>
    </row>
    <row r="202" spans="1:14" x14ac:dyDescent="0.25">
      <c r="A202" s="423">
        <f>$A$13</f>
        <v>2022</v>
      </c>
      <c r="B202" s="440"/>
      <c r="C202" s="428"/>
      <c r="D202" s="440"/>
      <c r="E202" s="428"/>
      <c r="F202" s="440"/>
      <c r="G202" s="428"/>
      <c r="H202" s="440"/>
      <c r="I202" s="428"/>
      <c r="K202" s="426" t="str">
        <f>CONCATENATE(A202," - ",A207)</f>
        <v>2022 - 2027</v>
      </c>
    </row>
    <row r="203" spans="1:14" x14ac:dyDescent="0.25">
      <c r="A203" s="417" t="s">
        <v>390</v>
      </c>
      <c r="B203" s="440">
        <f>'Ind T6'!Q240</f>
        <v>1740.2169999885946</v>
      </c>
      <c r="C203" s="436" t="str">
        <f>CONCATENATE("(",ROUND((B203/$H205)*100,1),")")</f>
        <v>(34.8)</v>
      </c>
      <c r="D203" s="440">
        <f>'Ind T6'!R240</f>
        <v>704.45999999276125</v>
      </c>
      <c r="E203" s="436" t="str">
        <f>CONCATENATE("(",ROUND((D203/$H205)*100,1),")")</f>
        <v>(14.1)</v>
      </c>
      <c r="F203" s="440">
        <f>'Ind T6'!S240</f>
        <v>209.97399999800382</v>
      </c>
      <c r="G203" s="436" t="str">
        <f>CONCATENATE("(",ROUND((F203/$H205)*100,1),")")</f>
        <v>(4.2)</v>
      </c>
      <c r="H203" s="440">
        <f>SUM(B203,D203,F203)</f>
        <v>2654.6509999793598</v>
      </c>
      <c r="I203" s="436" t="str">
        <f>CONCATENATE("(",ROUND((H203/$H205)*100,1),")")</f>
        <v>(53.1)</v>
      </c>
      <c r="K203" s="440">
        <f>B208-B203</f>
        <v>-32.809999993729434</v>
      </c>
      <c r="L203" s="440">
        <f>D208-D203</f>
        <v>127.60900000041681</v>
      </c>
      <c r="M203" s="440">
        <f>F208-F203</f>
        <v>-41.506999999067659</v>
      </c>
      <c r="N203" s="440">
        <f>SUM(K203:M203)</f>
        <v>53.29200000761972</v>
      </c>
    </row>
    <row r="204" spans="1:14" x14ac:dyDescent="0.25">
      <c r="A204" s="417" t="s">
        <v>391</v>
      </c>
      <c r="B204" s="440">
        <f>'Ind T6'!Q239</f>
        <v>1030.1549999761135</v>
      </c>
      <c r="C204" s="436" t="str">
        <f>CONCATENATE("(",ROUND((B204/$H205)*100,1),")")</f>
        <v>(20.6)</v>
      </c>
      <c r="D204" s="440">
        <f>'Ind T6'!R239</f>
        <v>1179.122000010796</v>
      </c>
      <c r="E204" s="436" t="str">
        <f>CONCATENATE("(",ROUND((D204/$H205)*100,1),")")</f>
        <v>(23.6)</v>
      </c>
      <c r="F204" s="440">
        <f>'Ind T6'!S239</f>
        <v>132.73700000173272</v>
      </c>
      <c r="G204" s="436" t="str">
        <f>CONCATENATE("(",ROUND((F204/$H205)*100,1),")")</f>
        <v>(2.7)</v>
      </c>
      <c r="H204" s="440">
        <f t="shared" ref="H204" si="161">SUM(B204,D204,F204)</f>
        <v>2342.0139999886424</v>
      </c>
      <c r="I204" s="436" t="str">
        <f>CONCATENATE("(",ROUND((H204/$H205)*100,1),")")</f>
        <v>(46.9)</v>
      </c>
      <c r="K204" s="440">
        <f t="shared" ref="K204:K205" si="162">B209-B204</f>
        <v>67.092000011336722</v>
      </c>
      <c r="L204" s="440">
        <f t="shared" ref="L204:L205" si="163">D209-D204</f>
        <v>-59.561999983999385</v>
      </c>
      <c r="M204" s="440">
        <f t="shared" ref="M204:M205" si="164">F209-F204</f>
        <v>-11.657000000217224</v>
      </c>
      <c r="N204" s="440">
        <f t="shared" ref="N204:N205" si="165">SUM(K204:M204)</f>
        <v>-4.1269999728798865</v>
      </c>
    </row>
    <row r="205" spans="1:14" x14ac:dyDescent="0.25">
      <c r="A205" s="417" t="s">
        <v>389</v>
      </c>
      <c r="B205" s="440">
        <f>SUM(B203:B204)</f>
        <v>2770.3719999647083</v>
      </c>
      <c r="C205" s="436" t="str">
        <f>CONCATENATE("(",ROUND((B205/$H205)*100,1),")")</f>
        <v>(55.4)</v>
      </c>
      <c r="D205" s="440">
        <f>SUM(D203:D204)</f>
        <v>1883.5820000035574</v>
      </c>
      <c r="E205" s="436" t="str">
        <f>CONCATENATE("(",ROUND((D205/$H205)*100,1),")")</f>
        <v>(37.7)</v>
      </c>
      <c r="F205" s="440">
        <f>SUM(F203:F204)</f>
        <v>342.71099999973654</v>
      </c>
      <c r="G205" s="436" t="str">
        <f>CONCATENATE("(",ROUND((F205/$H205)*100,1),")")</f>
        <v>(6.9)</v>
      </c>
      <c r="H205" s="440">
        <f>SUM(H203:H204)</f>
        <v>4996.6649999680021</v>
      </c>
      <c r="I205" s="436" t="str">
        <f>CONCATENATE("(",ROUND((H205/$H205)*100,1),")")</f>
        <v>(100)</v>
      </c>
      <c r="K205" s="440">
        <f t="shared" si="162"/>
        <v>34.282000017607061</v>
      </c>
      <c r="L205" s="440">
        <f t="shared" si="163"/>
        <v>68.047000016417314</v>
      </c>
      <c r="M205" s="440">
        <f t="shared" si="164"/>
        <v>-53.163999999284897</v>
      </c>
      <c r="N205" s="440">
        <f t="shared" si="165"/>
        <v>49.165000034739478</v>
      </c>
    </row>
    <row r="206" spans="1:14" x14ac:dyDescent="0.25">
      <c r="B206" s="440"/>
      <c r="C206" s="428"/>
      <c r="D206" s="440"/>
      <c r="E206" s="428"/>
      <c r="F206" s="440"/>
      <c r="G206" s="428"/>
      <c r="H206" s="440"/>
      <c r="I206" s="428"/>
    </row>
    <row r="207" spans="1:14" x14ac:dyDescent="0.25">
      <c r="A207" s="423">
        <f>$A$18</f>
        <v>2027</v>
      </c>
      <c r="B207" s="440"/>
      <c r="C207" s="428"/>
      <c r="D207" s="440"/>
      <c r="E207" s="428"/>
      <c r="F207" s="440"/>
      <c r="G207" s="428"/>
      <c r="H207" s="440"/>
      <c r="I207" s="428"/>
      <c r="K207" s="426" t="str">
        <f>CONCATENATE(A197," - ",A207)</f>
        <v>2017 - 2027</v>
      </c>
    </row>
    <row r="208" spans="1:14" x14ac:dyDescent="0.25">
      <c r="A208" s="417" t="s">
        <v>390</v>
      </c>
      <c r="B208" s="440">
        <f>'Ind T6'!V240</f>
        <v>1707.4069999948651</v>
      </c>
      <c r="C208" s="436" t="str">
        <f>CONCATENATE("(",ROUND((B208/$H210)*100,1),")")</f>
        <v>(33.8)</v>
      </c>
      <c r="D208" s="440">
        <f>'Ind T6'!W240</f>
        <v>832.06899999317807</v>
      </c>
      <c r="E208" s="436" t="str">
        <f>CONCATENATE("(",ROUND((D208/$H210)*100,1),")")</f>
        <v>(16.5)</v>
      </c>
      <c r="F208" s="440">
        <f>'Ind T6'!X240</f>
        <v>168.46699999893616</v>
      </c>
      <c r="G208" s="436" t="str">
        <f>CONCATENATE("(",ROUND((F208/$H210)*100,1),")")</f>
        <v>(3.3)</v>
      </c>
      <c r="H208" s="440">
        <f>SUM(B208,D208,F208)</f>
        <v>2707.9429999869794</v>
      </c>
      <c r="I208" s="436" t="str">
        <f>CONCATENATE("(",ROUND((H208/$H210)*100,1),")")</f>
        <v>(53.7)</v>
      </c>
      <c r="K208" s="440">
        <f>B208-B198</f>
        <v>-78.592000003300654</v>
      </c>
      <c r="L208" s="440">
        <f>D208-D198</f>
        <v>252.0399999957109</v>
      </c>
      <c r="M208" s="440">
        <f>F208-F198</f>
        <v>-85.167999999850849</v>
      </c>
      <c r="N208" s="440">
        <f>SUM(K208:M208)</f>
        <v>88.279999992559397</v>
      </c>
    </row>
    <row r="209" spans="1:14" x14ac:dyDescent="0.25">
      <c r="A209" s="417" t="s">
        <v>391</v>
      </c>
      <c r="B209" s="440">
        <f>'Ind T6'!V239</f>
        <v>1097.2469999874502</v>
      </c>
      <c r="C209" s="436" t="str">
        <f>CONCATENATE("(",ROUND((B209/$H210)*100,1),")")</f>
        <v>(21.7)</v>
      </c>
      <c r="D209" s="440">
        <f>'Ind T6'!W239</f>
        <v>1119.5600000267966</v>
      </c>
      <c r="E209" s="436" t="str">
        <f>CONCATENATE("(",ROUND((D209/$H210)*100,1),")")</f>
        <v>(22.2)</v>
      </c>
      <c r="F209" s="440">
        <f>'Ind T6'!X239</f>
        <v>121.0800000015155</v>
      </c>
      <c r="G209" s="436" t="str">
        <f>CONCATENATE("(",ROUND((F209/$H210)*100,1),")")</f>
        <v>(2.4)</v>
      </c>
      <c r="H209" s="440">
        <f t="shared" ref="H209" si="166">SUM(B209,D209,F209)</f>
        <v>2337.8870000157626</v>
      </c>
      <c r="I209" s="436" t="str">
        <f>CONCATENATE("(",ROUND((H209/$H210)*100,1),")")</f>
        <v>(46.3)</v>
      </c>
      <c r="K209" s="440">
        <f t="shared" ref="K209:K210" si="167">B209-B199</f>
        <v>128.71399999177265</v>
      </c>
      <c r="L209" s="440">
        <f t="shared" ref="L209:L210" si="168">D209-D199</f>
        <v>-127.02700003371297</v>
      </c>
      <c r="M209" s="440">
        <f t="shared" ref="M209:M210" si="169">F209-F199</f>
        <v>-24.283000000713329</v>
      </c>
      <c r="N209" s="440">
        <f t="shared" ref="N209:N210" si="170">SUM(K209:M209)</f>
        <v>-22.596000042653642</v>
      </c>
    </row>
    <row r="210" spans="1:14" x14ac:dyDescent="0.25">
      <c r="A210" s="408" t="s">
        <v>389</v>
      </c>
      <c r="B210" s="440">
        <f>SUM(B208:B209)</f>
        <v>2804.6539999823153</v>
      </c>
      <c r="C210" s="436" t="str">
        <f>CONCATENATE("(",ROUND((B210/$H210)*100,1),")")</f>
        <v>(55.6)</v>
      </c>
      <c r="D210" s="440">
        <f>SUM(D208:D209)</f>
        <v>1951.6290000199747</v>
      </c>
      <c r="E210" s="436" t="str">
        <f>CONCATENATE("(",ROUND((D210/$H210)*100,1),")")</f>
        <v>(38.7)</v>
      </c>
      <c r="F210" s="440">
        <f>SUM(F208:F209)</f>
        <v>289.54700000045165</v>
      </c>
      <c r="G210" s="436" t="str">
        <f>CONCATENATE("(",ROUND((F210/$H210)*100,1),")")</f>
        <v>(5.7)</v>
      </c>
      <c r="H210" s="440">
        <f>SUM(H208:H209)</f>
        <v>5045.8300000027421</v>
      </c>
      <c r="I210" s="436" t="str">
        <f>CONCATENATE("(",ROUND((H210/$H210)*100,1),")")</f>
        <v>(100)</v>
      </c>
      <c r="K210" s="440">
        <f t="shared" si="167"/>
        <v>50.121999988471998</v>
      </c>
      <c r="L210" s="440">
        <f t="shared" si="168"/>
        <v>125.01299996199805</v>
      </c>
      <c r="M210" s="440">
        <f t="shared" si="169"/>
        <v>-109.45100000056419</v>
      </c>
      <c r="N210" s="440">
        <f t="shared" si="170"/>
        <v>65.683999949905854</v>
      </c>
    </row>
    <row r="211" spans="1:14" x14ac:dyDescent="0.25">
      <c r="A211" s="429"/>
      <c r="B211" s="430"/>
      <c r="C211" s="429"/>
      <c r="D211" s="430"/>
      <c r="E211" s="429"/>
      <c r="F211" s="430"/>
      <c r="G211" s="429"/>
      <c r="H211" s="430"/>
      <c r="I211" s="429"/>
      <c r="J211" s="429"/>
      <c r="K211" s="430"/>
      <c r="L211" s="430"/>
      <c r="M211" s="430"/>
      <c r="N211" s="430"/>
    </row>
    <row r="215" spans="1:14" x14ac:dyDescent="0.25">
      <c r="A215" s="419"/>
      <c r="B215" s="420" t="s">
        <v>414</v>
      </c>
      <c r="C215" s="419"/>
      <c r="D215" s="420"/>
      <c r="E215" s="419"/>
      <c r="F215" s="420" t="str">
        <f>name!B13</f>
        <v>Transport and storage</v>
      </c>
      <c r="G215" s="419"/>
      <c r="H215" s="422"/>
      <c r="I215" s="419"/>
      <c r="J215" s="421"/>
      <c r="K215" s="422"/>
      <c r="L215" s="422"/>
      <c r="M215" s="422"/>
      <c r="N215" s="422"/>
    </row>
    <row r="216" spans="1:14" x14ac:dyDescent="0.25">
      <c r="A216" s="408"/>
      <c r="B216" s="409"/>
      <c r="C216" s="408"/>
      <c r="D216" s="409"/>
      <c r="E216" s="408"/>
      <c r="F216" s="409"/>
      <c r="G216" s="408"/>
      <c r="H216" s="409"/>
      <c r="I216" s="408"/>
      <c r="K216" s="409"/>
      <c r="L216" s="409"/>
      <c r="M216" s="409"/>
      <c r="N216" s="415" t="s">
        <v>412</v>
      </c>
    </row>
    <row r="217" spans="1:14" x14ac:dyDescent="0.25">
      <c r="A217" s="413" t="s">
        <v>413</v>
      </c>
      <c r="B217" s="512" t="s">
        <v>411</v>
      </c>
      <c r="C217" s="512"/>
      <c r="D217" s="512" t="s">
        <v>410</v>
      </c>
      <c r="E217" s="512"/>
      <c r="F217" s="512" t="s">
        <v>409</v>
      </c>
      <c r="G217" s="512"/>
      <c r="H217" s="512" t="s">
        <v>32</v>
      </c>
      <c r="I217" s="512"/>
      <c r="J217" s="413"/>
      <c r="K217" s="434" t="s">
        <v>371</v>
      </c>
      <c r="L217" s="434" t="s">
        <v>373</v>
      </c>
      <c r="M217" s="434" t="s">
        <v>369</v>
      </c>
      <c r="N217" s="434" t="s">
        <v>32</v>
      </c>
    </row>
    <row r="218" spans="1:14" x14ac:dyDescent="0.25">
      <c r="A218" s="423">
        <f>$A$8</f>
        <v>2017</v>
      </c>
      <c r="B218" s="424" t="s">
        <v>60</v>
      </c>
      <c r="C218" s="425" t="s">
        <v>408</v>
      </c>
      <c r="D218" s="424" t="s">
        <v>60</v>
      </c>
      <c r="E218" s="425" t="s">
        <v>408</v>
      </c>
      <c r="F218" s="424" t="s">
        <v>60</v>
      </c>
      <c r="G218" s="425" t="s">
        <v>408</v>
      </c>
      <c r="H218" s="424" t="s">
        <v>60</v>
      </c>
      <c r="I218" s="425" t="s">
        <v>408</v>
      </c>
      <c r="J218" s="413"/>
      <c r="K218" s="426" t="str">
        <f>CONCATENATE(A218," - ",A223)</f>
        <v>2017 - 2022</v>
      </c>
      <c r="L218" s="427"/>
      <c r="M218" s="427"/>
    </row>
    <row r="219" spans="1:14" x14ac:dyDescent="0.25">
      <c r="A219" s="417" t="s">
        <v>390</v>
      </c>
      <c r="B219" s="440">
        <f>'Ind T6'!L275</f>
        <v>1015.7159999980345</v>
      </c>
      <c r="C219" s="436" t="str">
        <f>CONCATENATE("(",ROUND((B219/$H221)*100,1),")")</f>
        <v>(56.3)</v>
      </c>
      <c r="D219" s="440">
        <f>'Ind T6'!M275</f>
        <v>122.84100000006971</v>
      </c>
      <c r="E219" s="436" t="str">
        <f>CONCATENATE("(",ROUND((D219/$H221)*100,1),")")</f>
        <v>(6.8)</v>
      </c>
      <c r="F219" s="440">
        <f>'Ind T6'!N275</f>
        <v>265.42400001910141</v>
      </c>
      <c r="G219" s="436" t="str">
        <f>CONCATENATE("(",ROUND((F219/$H221)*100,1),")")</f>
        <v>(14.7)</v>
      </c>
      <c r="H219" s="440">
        <f>SUM(B219,D219,F219)</f>
        <v>1403.9810000172056</v>
      </c>
      <c r="I219" s="436" t="str">
        <f>CONCATENATE("(",ROUND((H219/$H221)*100,1),")")</f>
        <v>(77.9)</v>
      </c>
      <c r="K219" s="440">
        <f>B224-B219</f>
        <v>-87.862000004974561</v>
      </c>
      <c r="L219" s="440">
        <f>D224-D219</f>
        <v>14.615999998781305</v>
      </c>
      <c r="M219" s="440">
        <f>F224-F219</f>
        <v>-10.20600001718816</v>
      </c>
      <c r="N219" s="440">
        <f>SUM(K219:M219)</f>
        <v>-83.452000023381416</v>
      </c>
    </row>
    <row r="220" spans="1:14" x14ac:dyDescent="0.25">
      <c r="A220" s="417" t="s">
        <v>391</v>
      </c>
      <c r="B220" s="440">
        <f>'Ind T6'!L274</f>
        <v>234.80699999835912</v>
      </c>
      <c r="C220" s="436" t="str">
        <f>CONCATENATE("(",ROUND((B220/$H221)*100,1),")")</f>
        <v>(13)</v>
      </c>
      <c r="D220" s="440">
        <f>'Ind T6'!M274</f>
        <v>141.68100000194207</v>
      </c>
      <c r="E220" s="436" t="str">
        <f>CONCATENATE("(",ROUND((D220/$H221)*100,1),")")</f>
        <v>(7.9)</v>
      </c>
      <c r="F220" s="440">
        <f>'Ind T6'!N274</f>
        <v>22.574000000437554</v>
      </c>
      <c r="G220" s="436" t="str">
        <f>CONCATENATE("(",ROUND((F220/$H221)*100,1),")")</f>
        <v>(1.3)</v>
      </c>
      <c r="H220" s="440">
        <f t="shared" ref="H220" si="171">SUM(B220,D220,F220)</f>
        <v>399.06200000073875</v>
      </c>
      <c r="I220" s="436" t="str">
        <f>CONCATENATE("(",ROUND((H220/$H221)*100,1),")")</f>
        <v>(22.1)</v>
      </c>
      <c r="K220" s="440">
        <f t="shared" ref="K220:K221" si="172">B225-B220</f>
        <v>28.851999996852328</v>
      </c>
      <c r="L220" s="440">
        <f t="shared" ref="L220:L221" si="173">D225-D220</f>
        <v>21.352999996465059</v>
      </c>
      <c r="M220" s="440">
        <f t="shared" ref="M220:M221" si="174">F225-F220</f>
        <v>-0.8760000003351891</v>
      </c>
      <c r="N220" s="440">
        <f t="shared" ref="N220:N221" si="175">SUM(K220:M220)</f>
        <v>49.328999992982197</v>
      </c>
    </row>
    <row r="221" spans="1:14" x14ac:dyDescent="0.25">
      <c r="A221" s="417" t="s">
        <v>389</v>
      </c>
      <c r="B221" s="440">
        <f>SUM(B219:B220)</f>
        <v>1250.5229999963935</v>
      </c>
      <c r="C221" s="436" t="str">
        <f>CONCATENATE("(",ROUND((B221/$H221)*100,1),")")</f>
        <v>(69.4)</v>
      </c>
      <c r="D221" s="440">
        <f>SUM(D219:D220)</f>
        <v>264.52200000201179</v>
      </c>
      <c r="E221" s="436" t="str">
        <f>CONCATENATE("(",ROUND((D221/$H221)*100,1),")")</f>
        <v>(14.7)</v>
      </c>
      <c r="F221" s="440">
        <f>SUM(F219:F220)</f>
        <v>287.99800001953895</v>
      </c>
      <c r="G221" s="436" t="str">
        <f>CONCATENATE("(",ROUND((F221/$H221)*100,1),")")</f>
        <v>(16)</v>
      </c>
      <c r="H221" s="440">
        <f>SUM(H219:H220)</f>
        <v>1803.0430000179445</v>
      </c>
      <c r="I221" s="436" t="str">
        <f>CONCATENATE("(",ROUND((H221/$H221)*100,1),")")</f>
        <v>(100)</v>
      </c>
      <c r="K221" s="440">
        <f t="shared" si="172"/>
        <v>-59.010000008122233</v>
      </c>
      <c r="L221" s="440">
        <f t="shared" si="173"/>
        <v>35.968999995246349</v>
      </c>
      <c r="M221" s="440">
        <f t="shared" si="174"/>
        <v>-11.082000017523342</v>
      </c>
      <c r="N221" s="440">
        <f t="shared" si="175"/>
        <v>-34.123000030399226</v>
      </c>
    </row>
    <row r="222" spans="1:14" x14ac:dyDescent="0.25">
      <c r="B222" s="440"/>
      <c r="C222" s="428"/>
      <c r="D222" s="440"/>
      <c r="E222" s="428"/>
      <c r="F222" s="440"/>
      <c r="G222" s="428"/>
      <c r="H222" s="440"/>
      <c r="I222" s="428"/>
    </row>
    <row r="223" spans="1:14" x14ac:dyDescent="0.25">
      <c r="A223" s="423">
        <f>$A$13</f>
        <v>2022</v>
      </c>
      <c r="B223" s="440"/>
      <c r="C223" s="428"/>
      <c r="D223" s="440"/>
      <c r="E223" s="428"/>
      <c r="F223" s="440"/>
      <c r="G223" s="428"/>
      <c r="H223" s="440"/>
      <c r="I223" s="428"/>
      <c r="K223" s="426" t="str">
        <f>CONCATENATE(A223," - ",A228)</f>
        <v>2022 - 2027</v>
      </c>
    </row>
    <row r="224" spans="1:14" x14ac:dyDescent="0.25">
      <c r="A224" s="417" t="s">
        <v>390</v>
      </c>
      <c r="B224" s="440">
        <f>'Ind T6'!Q275</f>
        <v>927.85399999305992</v>
      </c>
      <c r="C224" s="436" t="str">
        <f>CONCATENATE("(",ROUND((B224/$H226)*100,1),")")</f>
        <v>(52.5)</v>
      </c>
      <c r="D224" s="440">
        <f>'Ind T6'!R275</f>
        <v>137.45699999885102</v>
      </c>
      <c r="E224" s="436" t="str">
        <f>CONCATENATE("(",ROUND((D224/$H226)*100,1),")")</f>
        <v>(7.8)</v>
      </c>
      <c r="F224" s="440">
        <f>'Ind T6'!S275</f>
        <v>255.21800000191325</v>
      </c>
      <c r="G224" s="436" t="str">
        <f>CONCATENATE("(",ROUND((F224/$H226)*100,1),")")</f>
        <v>(14.4)</v>
      </c>
      <c r="H224" s="440">
        <f>SUM(B224,D224,F224)</f>
        <v>1320.5289999938241</v>
      </c>
      <c r="I224" s="436" t="str">
        <f>CONCATENATE("(",ROUND((H224/$H226)*100,1),")")</f>
        <v>(74.7)</v>
      </c>
      <c r="K224" s="440">
        <f>B229-B224</f>
        <v>-62.423999996281282</v>
      </c>
      <c r="L224" s="440">
        <f>D229-D224</f>
        <v>15.377000000446429</v>
      </c>
      <c r="M224" s="440">
        <f>F229-F224</f>
        <v>-0.25200000294427127</v>
      </c>
      <c r="N224" s="440">
        <f>SUM(K224:M224)</f>
        <v>-47.298999998779124</v>
      </c>
    </row>
    <row r="225" spans="1:14" x14ac:dyDescent="0.25">
      <c r="A225" s="417" t="s">
        <v>391</v>
      </c>
      <c r="B225" s="440">
        <f>'Ind T6'!Q274</f>
        <v>263.65899999521145</v>
      </c>
      <c r="C225" s="436" t="str">
        <f>CONCATENATE("(",ROUND((B225/$H226)*100,1),")")</f>
        <v>(14.9)</v>
      </c>
      <c r="D225" s="440">
        <f>'Ind T6'!R274</f>
        <v>163.03399999840713</v>
      </c>
      <c r="E225" s="436" t="str">
        <f>CONCATENATE("(",ROUND((D225/$H226)*100,1),")")</f>
        <v>(9.2)</v>
      </c>
      <c r="F225" s="440">
        <f>'Ind T6'!S274</f>
        <v>21.698000000102365</v>
      </c>
      <c r="G225" s="436" t="str">
        <f>CONCATENATE("(",ROUND((F225/$H226)*100,1),")")</f>
        <v>(1.2)</v>
      </c>
      <c r="H225" s="440">
        <f t="shared" ref="H225" si="176">SUM(B225,D225,F225)</f>
        <v>448.39099999372092</v>
      </c>
      <c r="I225" s="436" t="str">
        <f>CONCATENATE("(",ROUND((H225/$H226)*100,1),")")</f>
        <v>(25.3)</v>
      </c>
      <c r="K225" s="440">
        <f t="shared" ref="K225:K226" si="177">B230-B225</f>
        <v>28.134000001694403</v>
      </c>
      <c r="L225" s="440">
        <f t="shared" ref="L225:L226" si="178">D230-D225</f>
        <v>19.894000002525019</v>
      </c>
      <c r="M225" s="440">
        <f t="shared" ref="M225:M226" si="179">F230-F225</f>
        <v>-0.16199999984928937</v>
      </c>
      <c r="N225" s="440">
        <f t="shared" ref="N225:N226" si="180">SUM(K225:M225)</f>
        <v>47.866000004370136</v>
      </c>
    </row>
    <row r="226" spans="1:14" x14ac:dyDescent="0.25">
      <c r="A226" s="417" t="s">
        <v>389</v>
      </c>
      <c r="B226" s="440">
        <f>SUM(B224:B225)</f>
        <v>1191.5129999882713</v>
      </c>
      <c r="C226" s="436" t="str">
        <f>CONCATENATE("(",ROUND((B226/$H226)*100,1),")")</f>
        <v>(67.4)</v>
      </c>
      <c r="D226" s="440">
        <f>SUM(D224:D225)</f>
        <v>300.49099999725814</v>
      </c>
      <c r="E226" s="436" t="str">
        <f>CONCATENATE("(",ROUND((D226/$H226)*100,1),")")</f>
        <v>(17)</v>
      </c>
      <c r="F226" s="440">
        <f>SUM(F224:F225)</f>
        <v>276.91600000201561</v>
      </c>
      <c r="G226" s="436" t="str">
        <f>CONCATENATE("(",ROUND((F226/$H226)*100,1),")")</f>
        <v>(15.7)</v>
      </c>
      <c r="H226" s="440">
        <f>SUM(H224:H225)</f>
        <v>1768.919999987545</v>
      </c>
      <c r="I226" s="436" t="str">
        <f>CONCATENATE("(",ROUND((H226/$H226)*100,1),")")</f>
        <v>(100)</v>
      </c>
      <c r="K226" s="440">
        <f t="shared" si="177"/>
        <v>-34.289999994586879</v>
      </c>
      <c r="L226" s="440">
        <f t="shared" si="178"/>
        <v>35.271000002971448</v>
      </c>
      <c r="M226" s="440">
        <f t="shared" si="179"/>
        <v>-0.41400000279355709</v>
      </c>
      <c r="N226" s="440">
        <f t="shared" si="180"/>
        <v>0.56700000559101227</v>
      </c>
    </row>
    <row r="227" spans="1:14" x14ac:dyDescent="0.25">
      <c r="B227" s="440"/>
      <c r="C227" s="428"/>
      <c r="D227" s="440"/>
      <c r="E227" s="428"/>
      <c r="F227" s="440"/>
      <c r="G227" s="428"/>
      <c r="H227" s="440"/>
      <c r="I227" s="428"/>
    </row>
    <row r="228" spans="1:14" x14ac:dyDescent="0.25">
      <c r="A228" s="423">
        <f>$A$18</f>
        <v>2027</v>
      </c>
      <c r="B228" s="440"/>
      <c r="C228" s="428"/>
      <c r="D228" s="440"/>
      <c r="E228" s="428"/>
      <c r="F228" s="440"/>
      <c r="G228" s="428"/>
      <c r="H228" s="440"/>
      <c r="I228" s="428"/>
      <c r="K228" s="426" t="str">
        <f>CONCATENATE(A218," - ",A228)</f>
        <v>2017 - 2027</v>
      </c>
    </row>
    <row r="229" spans="1:14" x14ac:dyDescent="0.25">
      <c r="A229" s="417" t="s">
        <v>390</v>
      </c>
      <c r="B229" s="440">
        <f>'Ind T6'!V275</f>
        <v>865.42999999677863</v>
      </c>
      <c r="C229" s="436" t="str">
        <f>CONCATENATE("(",ROUND((B229/$H231)*100,1),")")</f>
        <v>(48.9)</v>
      </c>
      <c r="D229" s="440">
        <f>'Ind T6'!W275</f>
        <v>152.83399999929745</v>
      </c>
      <c r="E229" s="436" t="str">
        <f>CONCATENATE("(",ROUND((D229/$H231)*100,1),")")</f>
        <v>(8.6)</v>
      </c>
      <c r="F229" s="440">
        <f>'Ind T6'!X275</f>
        <v>254.96599999896898</v>
      </c>
      <c r="G229" s="436" t="str">
        <f>CONCATENATE("(",ROUND((F229/$H231)*100,1),")")</f>
        <v>(14.4)</v>
      </c>
      <c r="H229" s="440">
        <f>SUM(B229,D229,F229)</f>
        <v>1273.2299999950451</v>
      </c>
      <c r="I229" s="436" t="str">
        <f>CONCATENATE("(",ROUND((H229/$H231)*100,1),")")</f>
        <v>(72)</v>
      </c>
      <c r="K229" s="440">
        <f>B229-B219</f>
        <v>-150.28600000125584</v>
      </c>
      <c r="L229" s="440">
        <f>D229-D219</f>
        <v>29.992999999227735</v>
      </c>
      <c r="M229" s="440">
        <f>F229-F219</f>
        <v>-10.458000020132431</v>
      </c>
      <c r="N229" s="440">
        <f>SUM(K229:M229)</f>
        <v>-130.75100002216055</v>
      </c>
    </row>
    <row r="230" spans="1:14" x14ac:dyDescent="0.25">
      <c r="A230" s="417" t="s">
        <v>391</v>
      </c>
      <c r="B230" s="440">
        <f>'Ind T6'!V274</f>
        <v>291.79299999690585</v>
      </c>
      <c r="C230" s="436" t="str">
        <f>CONCATENATE("(",ROUND((B230/$H231)*100,1),")")</f>
        <v>(16.5)</v>
      </c>
      <c r="D230" s="440">
        <f>'Ind T6'!W274</f>
        <v>182.92800000093214</v>
      </c>
      <c r="E230" s="436" t="str">
        <f>CONCATENATE("(",ROUND((D230/$H231)*100,1),")")</f>
        <v>(10.3)</v>
      </c>
      <c r="F230" s="440">
        <f>'Ind T6'!X274</f>
        <v>21.536000000253075</v>
      </c>
      <c r="G230" s="436" t="str">
        <f>CONCATENATE("(",ROUND((F230/$H231)*100,1),")")</f>
        <v>(1.2)</v>
      </c>
      <c r="H230" s="440">
        <f t="shared" ref="H230" si="181">SUM(B230,D230,F230)</f>
        <v>496.25699999809109</v>
      </c>
      <c r="I230" s="436" t="str">
        <f>CONCATENATE("(",ROUND((H230/$H231)*100,1),")")</f>
        <v>(28)</v>
      </c>
      <c r="K230" s="440">
        <f t="shared" ref="K230:K231" si="182">B230-B220</f>
        <v>56.985999998546731</v>
      </c>
      <c r="L230" s="440">
        <f t="shared" ref="L230:L231" si="183">D230-D220</f>
        <v>41.246999998990077</v>
      </c>
      <c r="M230" s="440">
        <f t="shared" ref="M230:M231" si="184">F230-F220</f>
        <v>-1.0380000001844785</v>
      </c>
      <c r="N230" s="440">
        <f t="shared" ref="N230:N231" si="185">SUM(K230:M230)</f>
        <v>97.194999997352326</v>
      </c>
    </row>
    <row r="231" spans="1:14" x14ac:dyDescent="0.25">
      <c r="A231" s="408" t="s">
        <v>389</v>
      </c>
      <c r="B231" s="440">
        <f>SUM(B229:B230)</f>
        <v>1157.2229999936844</v>
      </c>
      <c r="C231" s="436" t="str">
        <f>CONCATENATE("(",ROUND((B231/$H231)*100,1),")")</f>
        <v>(65.4)</v>
      </c>
      <c r="D231" s="440">
        <f>SUM(D229:D230)</f>
        <v>335.76200000022959</v>
      </c>
      <c r="E231" s="436" t="str">
        <f>CONCATENATE("(",ROUND((D231/$H231)*100,1),")")</f>
        <v>(19)</v>
      </c>
      <c r="F231" s="440">
        <f>SUM(F229:F230)</f>
        <v>276.50199999922205</v>
      </c>
      <c r="G231" s="436" t="str">
        <f>CONCATENATE("(",ROUND((F231/$H231)*100,1),")")</f>
        <v>(15.6)</v>
      </c>
      <c r="H231" s="440">
        <f>SUM(H229:H230)</f>
        <v>1769.4869999931361</v>
      </c>
      <c r="I231" s="436" t="str">
        <f>CONCATENATE("(",ROUND((H231/$H231)*100,1),")")</f>
        <v>(100)</v>
      </c>
      <c r="K231" s="440">
        <f t="shared" si="182"/>
        <v>-93.300000002709112</v>
      </c>
      <c r="L231" s="440">
        <f t="shared" si="183"/>
        <v>71.239999998217797</v>
      </c>
      <c r="M231" s="440">
        <f t="shared" si="184"/>
        <v>-11.496000020316899</v>
      </c>
      <c r="N231" s="440">
        <f t="shared" si="185"/>
        <v>-33.556000024808213</v>
      </c>
    </row>
    <row r="232" spans="1:14" x14ac:dyDescent="0.25">
      <c r="A232" s="429"/>
      <c r="B232" s="430"/>
      <c r="C232" s="429"/>
      <c r="D232" s="430"/>
      <c r="E232" s="429"/>
      <c r="F232" s="430"/>
      <c r="G232" s="429"/>
      <c r="H232" s="430"/>
      <c r="I232" s="429"/>
      <c r="J232" s="429"/>
      <c r="K232" s="430"/>
      <c r="L232" s="430"/>
      <c r="M232" s="430"/>
      <c r="N232" s="430"/>
    </row>
    <row r="236" spans="1:14" x14ac:dyDescent="0.25">
      <c r="A236" s="419"/>
      <c r="B236" s="420" t="s">
        <v>414</v>
      </c>
      <c r="C236" s="419"/>
      <c r="D236" s="420"/>
      <c r="E236" s="419"/>
      <c r="F236" s="420" t="str">
        <f>name!B14</f>
        <v>Accommodation and food</v>
      </c>
      <c r="G236" s="419"/>
      <c r="H236" s="422"/>
      <c r="I236" s="419"/>
      <c r="J236" s="421"/>
      <c r="K236" s="422"/>
      <c r="L236" s="422"/>
      <c r="M236" s="422"/>
      <c r="N236" s="422"/>
    </row>
    <row r="237" spans="1:14" x14ac:dyDescent="0.25">
      <c r="A237" s="408"/>
      <c r="B237" s="409"/>
      <c r="C237" s="408"/>
      <c r="D237" s="409"/>
      <c r="E237" s="408"/>
      <c r="F237" s="409"/>
      <c r="G237" s="408"/>
      <c r="H237" s="409"/>
      <c r="I237" s="408"/>
      <c r="K237" s="409"/>
      <c r="L237" s="409"/>
      <c r="M237" s="409"/>
      <c r="N237" s="415" t="s">
        <v>412</v>
      </c>
    </row>
    <row r="238" spans="1:14" x14ac:dyDescent="0.25">
      <c r="A238" s="413" t="s">
        <v>413</v>
      </c>
      <c r="B238" s="512" t="s">
        <v>411</v>
      </c>
      <c r="C238" s="512"/>
      <c r="D238" s="512" t="s">
        <v>410</v>
      </c>
      <c r="E238" s="512"/>
      <c r="F238" s="512" t="s">
        <v>409</v>
      </c>
      <c r="G238" s="512"/>
      <c r="H238" s="512" t="s">
        <v>32</v>
      </c>
      <c r="I238" s="512"/>
      <c r="J238" s="413"/>
      <c r="K238" s="434" t="s">
        <v>371</v>
      </c>
      <c r="L238" s="434" t="s">
        <v>373</v>
      </c>
      <c r="M238" s="434" t="s">
        <v>369</v>
      </c>
      <c r="N238" s="434" t="s">
        <v>32</v>
      </c>
    </row>
    <row r="239" spans="1:14" x14ac:dyDescent="0.25">
      <c r="A239" s="423">
        <f>$A$8</f>
        <v>2017</v>
      </c>
      <c r="B239" s="424" t="s">
        <v>60</v>
      </c>
      <c r="C239" s="425" t="s">
        <v>408</v>
      </c>
      <c r="D239" s="424" t="s">
        <v>60</v>
      </c>
      <c r="E239" s="425" t="s">
        <v>408</v>
      </c>
      <c r="F239" s="424" t="s">
        <v>60</v>
      </c>
      <c r="G239" s="425" t="s">
        <v>408</v>
      </c>
      <c r="H239" s="424" t="s">
        <v>60</v>
      </c>
      <c r="I239" s="425" t="s">
        <v>408</v>
      </c>
      <c r="J239" s="413"/>
      <c r="K239" s="426" t="str">
        <f>CONCATENATE(A239," - ",A244)</f>
        <v>2017 - 2022</v>
      </c>
      <c r="L239" s="427"/>
      <c r="M239" s="427"/>
    </row>
    <row r="240" spans="1:14" x14ac:dyDescent="0.25">
      <c r="A240" s="417" t="s">
        <v>390</v>
      </c>
      <c r="B240" s="440">
        <f>'Ind T6'!L295</f>
        <v>585.02099999973598</v>
      </c>
      <c r="C240" s="436" t="str">
        <f>CONCATENATE("(",ROUND((B240/$H242)*100,1),")")</f>
        <v>(24)</v>
      </c>
      <c r="D240" s="440">
        <f>'Ind T6'!M295</f>
        <v>474.01499999816883</v>
      </c>
      <c r="E240" s="436" t="str">
        <f>CONCATENATE("(",ROUND((D240/$H242)*100,1),")")</f>
        <v>(19.5)</v>
      </c>
      <c r="F240" s="440">
        <f>'Ind T6'!N295</f>
        <v>93.523999999654251</v>
      </c>
      <c r="G240" s="436" t="str">
        <f>CONCATENATE("(",ROUND((F240/$H242)*100,1),")")</f>
        <v>(3.8)</v>
      </c>
      <c r="H240" s="440">
        <f>SUM(B240,D240,F240)</f>
        <v>1152.5599999975591</v>
      </c>
      <c r="I240" s="436" t="str">
        <f>CONCATENATE("(",ROUND((H240/$H242)*100,1),")")</f>
        <v>(47.3)</v>
      </c>
      <c r="K240" s="440">
        <f>B245-B240</f>
        <v>2.6299999977411517</v>
      </c>
      <c r="L240" s="440">
        <f>D245-D240</f>
        <v>-33.594000002277483</v>
      </c>
      <c r="M240" s="440">
        <f>F245-F240</f>
        <v>-4.2020000008535732</v>
      </c>
      <c r="N240" s="440">
        <f>SUM(K240:M240)</f>
        <v>-35.166000005389904</v>
      </c>
    </row>
    <row r="241" spans="1:14" x14ac:dyDescent="0.25">
      <c r="A241" s="417" t="s">
        <v>391</v>
      </c>
      <c r="B241" s="440">
        <f>'Ind T6'!L294</f>
        <v>458.01399999968191</v>
      </c>
      <c r="C241" s="436" t="str">
        <f>CONCATENATE("(",ROUND((B241/$H242)*100,1),")")</f>
        <v>(18.8)</v>
      </c>
      <c r="D241" s="440">
        <f>'Ind T6'!M294</f>
        <v>739.02600002192048</v>
      </c>
      <c r="E241" s="436" t="str">
        <f>CONCATENATE("(",ROUND((D241/$H242)*100,1),")")</f>
        <v>(30.3)</v>
      </c>
      <c r="F241" s="440">
        <f>'Ind T6'!N294</f>
        <v>85.476000002815766</v>
      </c>
      <c r="G241" s="436" t="str">
        <f>CONCATENATE("(",ROUND((F241/$H242)*100,1),")")</f>
        <v>(3.5)</v>
      </c>
      <c r="H241" s="440">
        <f t="shared" ref="H241" si="186">SUM(B241,D241,F241)</f>
        <v>1282.516000024418</v>
      </c>
      <c r="I241" s="436" t="str">
        <f>CONCATENATE("(",ROUND((H241/$H242)*100,1),")")</f>
        <v>(52.7)</v>
      </c>
      <c r="K241" s="440">
        <f t="shared" ref="K241:K242" si="187">B246-B241</f>
        <v>-5.9820000101056507</v>
      </c>
      <c r="L241" s="440">
        <f t="shared" ref="L241:L242" si="188">D246-D241</f>
        <v>0.57499997931188318</v>
      </c>
      <c r="M241" s="440">
        <f t="shared" ref="M241:M242" si="189">F246-F241</f>
        <v>3.5089999981879174</v>
      </c>
      <c r="N241" s="440">
        <f t="shared" ref="N241:N242" si="190">SUM(K241:M241)</f>
        <v>-1.8980000326058502</v>
      </c>
    </row>
    <row r="242" spans="1:14" x14ac:dyDescent="0.25">
      <c r="A242" s="417" t="s">
        <v>389</v>
      </c>
      <c r="B242" s="440">
        <f>SUM(B240:B241)</f>
        <v>1043.0349999994178</v>
      </c>
      <c r="C242" s="436" t="str">
        <f>CONCATENATE("(",ROUND((B242/$H242)*100,1),")")</f>
        <v>(42.8)</v>
      </c>
      <c r="D242" s="440">
        <f>SUM(D240:D241)</f>
        <v>1213.0410000200893</v>
      </c>
      <c r="E242" s="436" t="str">
        <f>CONCATENATE("(",ROUND((D242/$H242)*100,1),")")</f>
        <v>(49.8)</v>
      </c>
      <c r="F242" s="440">
        <f>SUM(F240:F241)</f>
        <v>179.00000000247002</v>
      </c>
      <c r="G242" s="436" t="str">
        <f>CONCATENATE("(",ROUND((F242/$H242)*100,1),")")</f>
        <v>(7.4)</v>
      </c>
      <c r="H242" s="440">
        <f>SUM(H240:H241)</f>
        <v>2435.0760000219771</v>
      </c>
      <c r="I242" s="436" t="str">
        <f>CONCATENATE("(",ROUND((H242/$H242)*100,1),")")</f>
        <v>(100)</v>
      </c>
      <c r="K242" s="440">
        <f t="shared" si="187"/>
        <v>-3.3520000123644422</v>
      </c>
      <c r="L242" s="440">
        <f t="shared" si="188"/>
        <v>-33.019000022965656</v>
      </c>
      <c r="M242" s="440">
        <f t="shared" si="189"/>
        <v>-0.69300000266565576</v>
      </c>
      <c r="N242" s="440">
        <f t="shared" si="190"/>
        <v>-37.064000037995754</v>
      </c>
    </row>
    <row r="243" spans="1:14" x14ac:dyDescent="0.25">
      <c r="B243" s="440"/>
      <c r="C243" s="428"/>
      <c r="D243" s="440"/>
      <c r="E243" s="428"/>
      <c r="F243" s="440"/>
      <c r="G243" s="428"/>
      <c r="H243" s="440"/>
      <c r="I243" s="428"/>
    </row>
    <row r="244" spans="1:14" x14ac:dyDescent="0.25">
      <c r="A244" s="423">
        <f>$A$13</f>
        <v>2022</v>
      </c>
      <c r="B244" s="440"/>
      <c r="C244" s="428"/>
      <c r="D244" s="440"/>
      <c r="E244" s="428"/>
      <c r="F244" s="440"/>
      <c r="G244" s="428"/>
      <c r="H244" s="440"/>
      <c r="I244" s="428"/>
      <c r="K244" s="426" t="str">
        <f>CONCATENATE(A244," - ",A249)</f>
        <v>2022 - 2027</v>
      </c>
    </row>
    <row r="245" spans="1:14" x14ac:dyDescent="0.25">
      <c r="A245" s="417" t="s">
        <v>390</v>
      </c>
      <c r="B245" s="440">
        <f>'Ind T6'!Q295</f>
        <v>587.65099999747713</v>
      </c>
      <c r="C245" s="436" t="str">
        <f>CONCATENATE("(",ROUND((B245/$H247)*100,1),")")</f>
        <v>(24.5)</v>
      </c>
      <c r="D245" s="440">
        <f>'Ind T6'!R295</f>
        <v>440.42099999589135</v>
      </c>
      <c r="E245" s="436" t="str">
        <f>CONCATENATE("(",ROUND((D245/$H247)*100,1),")")</f>
        <v>(18.4)</v>
      </c>
      <c r="F245" s="440">
        <f>'Ind T6'!S295</f>
        <v>89.321999998800678</v>
      </c>
      <c r="G245" s="436" t="str">
        <f>CONCATENATE("(",ROUND((F245/$H247)*100,1),")")</f>
        <v>(3.7)</v>
      </c>
      <c r="H245" s="440">
        <f>SUM(B245,D245,F245)</f>
        <v>1117.3939999921693</v>
      </c>
      <c r="I245" s="436" t="str">
        <f>CONCATENATE("(",ROUND((H245/$H247)*100,1),")")</f>
        <v>(46.6)</v>
      </c>
      <c r="K245" s="440">
        <f>B250-B245</f>
        <v>36.595000001839139</v>
      </c>
      <c r="L245" s="440">
        <f>D250-D245</f>
        <v>-1.7099999992242942</v>
      </c>
      <c r="M245" s="440">
        <f>F250-F245</f>
        <v>1.1220000001755892</v>
      </c>
      <c r="N245" s="440">
        <f>SUM(K245:M245)</f>
        <v>36.007000002790434</v>
      </c>
    </row>
    <row r="246" spans="1:14" x14ac:dyDescent="0.25">
      <c r="A246" s="417" t="s">
        <v>391</v>
      </c>
      <c r="B246" s="440">
        <f>'Ind T6'!Q294</f>
        <v>452.03199998957626</v>
      </c>
      <c r="C246" s="436" t="str">
        <f>CONCATENATE("(",ROUND((B246/$H247)*100,1),")")</f>
        <v>(18.9)</v>
      </c>
      <c r="D246" s="440">
        <f>'Ind T6'!R294</f>
        <v>739.60100000123236</v>
      </c>
      <c r="E246" s="436" t="str">
        <f>CONCATENATE("(",ROUND((D246/$H247)*100,1),")")</f>
        <v>(30.8)</v>
      </c>
      <c r="F246" s="440">
        <f>'Ind T6'!S294</f>
        <v>88.985000001003684</v>
      </c>
      <c r="G246" s="436" t="str">
        <f>CONCATENATE("(",ROUND((F246/$H247)*100,1),")")</f>
        <v>(3.7)</v>
      </c>
      <c r="H246" s="440">
        <f t="shared" ref="H246" si="191">SUM(B246,D246,F246)</f>
        <v>1280.6179999918124</v>
      </c>
      <c r="I246" s="436" t="str">
        <f>CONCATENATE("(",ROUND((H246/$H247)*100,1),")")</f>
        <v>(53.4)</v>
      </c>
      <c r="K246" s="440">
        <f t="shared" ref="K246:K247" si="192">B251-B246</f>
        <v>19.783000006201121</v>
      </c>
      <c r="L246" s="440">
        <f t="shared" ref="L246:L247" si="193">D251-D246</f>
        <v>47.256000011026686</v>
      </c>
      <c r="M246" s="440">
        <f t="shared" ref="M246:M247" si="194">F251-F246</f>
        <v>6.8810000012783661</v>
      </c>
      <c r="N246" s="440">
        <f t="shared" ref="N246:N247" si="195">SUM(K246:M246)</f>
        <v>73.920000018506173</v>
      </c>
    </row>
    <row r="247" spans="1:14" x14ac:dyDescent="0.25">
      <c r="A247" s="417" t="s">
        <v>389</v>
      </c>
      <c r="B247" s="440">
        <f>SUM(B245:B246)</f>
        <v>1039.6829999870533</v>
      </c>
      <c r="C247" s="436" t="str">
        <f>CONCATENATE("(",ROUND((B247/$H247)*100,1),")")</f>
        <v>(43.4)</v>
      </c>
      <c r="D247" s="440">
        <f>SUM(D245:D246)</f>
        <v>1180.0219999971237</v>
      </c>
      <c r="E247" s="436" t="str">
        <f>CONCATENATE("(",ROUND((D247/$H247)*100,1),")")</f>
        <v>(49.2)</v>
      </c>
      <c r="F247" s="440">
        <f>SUM(F245:F246)</f>
        <v>178.30699999980436</v>
      </c>
      <c r="G247" s="436" t="str">
        <f>CONCATENATE("(",ROUND((F247/$H247)*100,1),")")</f>
        <v>(7.4)</v>
      </c>
      <c r="H247" s="440">
        <f>SUM(H245:H246)</f>
        <v>2398.0119999839817</v>
      </c>
      <c r="I247" s="436" t="str">
        <f>CONCATENATE("(",ROUND((H247/$H247)*100,1),")")</f>
        <v>(100)</v>
      </c>
      <c r="K247" s="440">
        <f t="shared" si="192"/>
        <v>56.378000008040317</v>
      </c>
      <c r="L247" s="440">
        <f t="shared" si="193"/>
        <v>45.546000011802334</v>
      </c>
      <c r="M247" s="440">
        <f t="shared" si="194"/>
        <v>8.0030000014539553</v>
      </c>
      <c r="N247" s="440">
        <f t="shared" si="195"/>
        <v>109.92700002129661</v>
      </c>
    </row>
    <row r="248" spans="1:14" x14ac:dyDescent="0.25">
      <c r="B248" s="440"/>
      <c r="C248" s="428"/>
      <c r="D248" s="440"/>
      <c r="E248" s="428"/>
      <c r="F248" s="440"/>
      <c r="G248" s="428"/>
      <c r="H248" s="440"/>
      <c r="I248" s="428"/>
    </row>
    <row r="249" spans="1:14" x14ac:dyDescent="0.25">
      <c r="A249" s="423">
        <f>$A$18</f>
        <v>2027</v>
      </c>
      <c r="B249" s="440"/>
      <c r="C249" s="428"/>
      <c r="D249" s="440"/>
      <c r="E249" s="428"/>
      <c r="F249" s="440"/>
      <c r="G249" s="428"/>
      <c r="H249" s="440"/>
      <c r="I249" s="428"/>
      <c r="K249" s="426" t="str">
        <f>CONCATENATE(A239," - ",A249)</f>
        <v>2017 - 2027</v>
      </c>
    </row>
    <row r="250" spans="1:14" x14ac:dyDescent="0.25">
      <c r="A250" s="417" t="s">
        <v>390</v>
      </c>
      <c r="B250" s="440">
        <f>'Ind T6'!V295</f>
        <v>624.24599999931627</v>
      </c>
      <c r="C250" s="436" t="str">
        <f>CONCATENATE("(",ROUND((B250/$H252)*100,1),")")</f>
        <v>(24.9)</v>
      </c>
      <c r="D250" s="440">
        <f>'Ind T6'!W295</f>
        <v>438.71099999666706</v>
      </c>
      <c r="E250" s="436" t="str">
        <f>CONCATENATE("(",ROUND((D250/$H252)*100,1),")")</f>
        <v>(17.5)</v>
      </c>
      <c r="F250" s="440">
        <f>'Ind T6'!X295</f>
        <v>90.443999998976267</v>
      </c>
      <c r="G250" s="436" t="str">
        <f>CONCATENATE("(",ROUND((F250/$H252)*100,1),")")</f>
        <v>(3.6)</v>
      </c>
      <c r="H250" s="440">
        <f>SUM(B250,D250,F250)</f>
        <v>1153.4009999949596</v>
      </c>
      <c r="I250" s="436" t="str">
        <f>CONCATENATE("(",ROUND((H250/$H252)*100,1),")")</f>
        <v>(46)</v>
      </c>
      <c r="K250" s="440">
        <f>B250-B240</f>
        <v>39.224999999580291</v>
      </c>
      <c r="L250" s="440">
        <f>D250-D240</f>
        <v>-35.304000001501777</v>
      </c>
      <c r="M250" s="440">
        <f>F250-F240</f>
        <v>-3.080000000677984</v>
      </c>
      <c r="N250" s="440">
        <f>SUM(K250:M250)</f>
        <v>0.84099999740053022</v>
      </c>
    </row>
    <row r="251" spans="1:14" x14ac:dyDescent="0.25">
      <c r="A251" s="417" t="s">
        <v>391</v>
      </c>
      <c r="B251" s="440">
        <f>'Ind T6'!V294</f>
        <v>471.81499999577738</v>
      </c>
      <c r="C251" s="436" t="str">
        <f>CONCATENATE("(",ROUND((B251/$H252)*100,1),")")</f>
        <v>(18.8)</v>
      </c>
      <c r="D251" s="440">
        <f>'Ind T6'!W294</f>
        <v>786.85700001225905</v>
      </c>
      <c r="E251" s="436" t="str">
        <f>CONCATENATE("(",ROUND((D251/$H252)*100,1),")")</f>
        <v>(31.4)</v>
      </c>
      <c r="F251" s="440">
        <f>'Ind T6'!X294</f>
        <v>95.86600000228205</v>
      </c>
      <c r="G251" s="436" t="str">
        <f>CONCATENATE("(",ROUND((F251/$H252)*100,1),")")</f>
        <v>(3.8)</v>
      </c>
      <c r="H251" s="440">
        <f t="shared" ref="H251" si="196">SUM(B251,D251,F251)</f>
        <v>1354.5380000103185</v>
      </c>
      <c r="I251" s="436" t="str">
        <f>CONCATENATE("(",ROUND((H251/$H252)*100,1),")")</f>
        <v>(54)</v>
      </c>
      <c r="K251" s="440">
        <f t="shared" ref="K251:K252" si="197">B251-B241</f>
        <v>13.80099999609547</v>
      </c>
      <c r="L251" s="440">
        <f t="shared" ref="L251:L252" si="198">D251-D241</f>
        <v>47.830999990338569</v>
      </c>
      <c r="M251" s="440">
        <f t="shared" ref="M251:M252" si="199">F251-F241</f>
        <v>10.389999999466283</v>
      </c>
      <c r="N251" s="440">
        <f t="shared" ref="N251:N252" si="200">SUM(K251:M251)</f>
        <v>72.021999985900322</v>
      </c>
    </row>
    <row r="252" spans="1:14" x14ac:dyDescent="0.25">
      <c r="A252" s="408" t="s">
        <v>389</v>
      </c>
      <c r="B252" s="440">
        <f>SUM(B250:B251)</f>
        <v>1096.0609999950937</v>
      </c>
      <c r="C252" s="436" t="str">
        <f>CONCATENATE("(",ROUND((B252/$H252)*100,1),")")</f>
        <v>(43.7)</v>
      </c>
      <c r="D252" s="440">
        <f>SUM(D250:D251)</f>
        <v>1225.568000008926</v>
      </c>
      <c r="E252" s="436" t="str">
        <f>CONCATENATE("(",ROUND((D252/$H252)*100,1),")")</f>
        <v>(48.9)</v>
      </c>
      <c r="F252" s="440">
        <f>SUM(F250:F251)</f>
        <v>186.31000000125832</v>
      </c>
      <c r="G252" s="436" t="str">
        <f>CONCATENATE("(",ROUND((F252/$H252)*100,1),")")</f>
        <v>(7.4)</v>
      </c>
      <c r="H252" s="440">
        <f>SUM(H250:H251)</f>
        <v>2507.9390000052781</v>
      </c>
      <c r="I252" s="436" t="str">
        <f>CONCATENATE("(",ROUND((H252/$H252)*100,1),")")</f>
        <v>(100)</v>
      </c>
      <c r="K252" s="440">
        <f t="shared" si="197"/>
        <v>53.025999995675875</v>
      </c>
      <c r="L252" s="440">
        <f t="shared" si="198"/>
        <v>12.526999988836678</v>
      </c>
      <c r="M252" s="440">
        <f t="shared" si="199"/>
        <v>7.3099999987882995</v>
      </c>
      <c r="N252" s="440">
        <f t="shared" si="200"/>
        <v>72.862999983300853</v>
      </c>
    </row>
    <row r="253" spans="1:14" x14ac:dyDescent="0.25">
      <c r="A253" s="429"/>
      <c r="B253" s="430"/>
      <c r="C253" s="429"/>
      <c r="D253" s="430"/>
      <c r="E253" s="429"/>
      <c r="F253" s="430"/>
      <c r="G253" s="429"/>
      <c r="H253" s="430"/>
      <c r="I253" s="429"/>
      <c r="J253" s="429"/>
      <c r="K253" s="430"/>
      <c r="L253" s="430"/>
      <c r="M253" s="430"/>
      <c r="N253" s="430"/>
    </row>
    <row r="256" spans="1:14" x14ac:dyDescent="0.25">
      <c r="C256" s="267"/>
      <c r="E256" s="267"/>
      <c r="G256" s="267"/>
      <c r="I256" s="267"/>
    </row>
    <row r="257" spans="1:14" x14ac:dyDescent="0.25">
      <c r="A257" s="419"/>
      <c r="B257" s="420" t="s">
        <v>414</v>
      </c>
      <c r="C257" s="419"/>
      <c r="D257" s="420"/>
      <c r="E257" s="419"/>
      <c r="F257" s="420" t="str">
        <f>name!B15</f>
        <v>Media</v>
      </c>
      <c r="G257" s="419"/>
      <c r="H257" s="422"/>
      <c r="I257" s="419"/>
      <c r="J257" s="421"/>
      <c r="K257" s="422"/>
      <c r="L257" s="422"/>
      <c r="M257" s="422"/>
      <c r="N257" s="422"/>
    </row>
    <row r="258" spans="1:14" x14ac:dyDescent="0.25">
      <c r="A258" s="408"/>
      <c r="B258" s="409"/>
      <c r="C258" s="408"/>
      <c r="D258" s="409"/>
      <c r="E258" s="408"/>
      <c r="F258" s="409"/>
      <c r="G258" s="408"/>
      <c r="H258" s="409"/>
      <c r="I258" s="408"/>
      <c r="K258" s="409"/>
      <c r="L258" s="409"/>
      <c r="M258" s="409"/>
      <c r="N258" s="415" t="s">
        <v>412</v>
      </c>
    </row>
    <row r="259" spans="1:14" x14ac:dyDescent="0.25">
      <c r="A259" s="413" t="s">
        <v>413</v>
      </c>
      <c r="B259" s="512" t="s">
        <v>411</v>
      </c>
      <c r="C259" s="512"/>
      <c r="D259" s="512" t="s">
        <v>410</v>
      </c>
      <c r="E259" s="512"/>
      <c r="F259" s="512" t="s">
        <v>409</v>
      </c>
      <c r="G259" s="512"/>
      <c r="H259" s="512" t="s">
        <v>32</v>
      </c>
      <c r="I259" s="512"/>
      <c r="J259" s="413"/>
      <c r="K259" s="434" t="s">
        <v>371</v>
      </c>
      <c r="L259" s="434" t="s">
        <v>373</v>
      </c>
      <c r="M259" s="434" t="s">
        <v>369</v>
      </c>
      <c r="N259" s="434" t="s">
        <v>32</v>
      </c>
    </row>
    <row r="260" spans="1:14" x14ac:dyDescent="0.25">
      <c r="A260" s="423">
        <f>$A$8</f>
        <v>2017</v>
      </c>
      <c r="B260" s="424" t="s">
        <v>60</v>
      </c>
      <c r="C260" s="425" t="s">
        <v>408</v>
      </c>
      <c r="D260" s="424" t="s">
        <v>60</v>
      </c>
      <c r="E260" s="425" t="s">
        <v>408</v>
      </c>
      <c r="F260" s="424" t="s">
        <v>60</v>
      </c>
      <c r="G260" s="425" t="s">
        <v>408</v>
      </c>
      <c r="H260" s="424" t="s">
        <v>60</v>
      </c>
      <c r="I260" s="425" t="s">
        <v>408</v>
      </c>
      <c r="J260" s="413"/>
      <c r="K260" s="426" t="str">
        <f>CONCATENATE(A260," - ",A265)</f>
        <v>2017 - 2022</v>
      </c>
      <c r="L260" s="427"/>
      <c r="M260" s="427"/>
    </row>
    <row r="261" spans="1:14" x14ac:dyDescent="0.25">
      <c r="A261" s="417" t="s">
        <v>390</v>
      </c>
      <c r="B261" s="440">
        <f>'Ind T6'!L320</f>
        <v>138.02699999942078</v>
      </c>
      <c r="C261" s="436" t="str">
        <f>CONCATENATE("(",ROUND((B261/$H263)*100,1),")")</f>
        <v>(35)</v>
      </c>
      <c r="D261" s="440">
        <f>'Ind T6'!M320</f>
        <v>21.101000000011059</v>
      </c>
      <c r="E261" s="436" t="str">
        <f>CONCATENATE("(",ROUND((D261/$H263)*100,1),")")</f>
        <v>(5.4)</v>
      </c>
      <c r="F261" s="440">
        <f>'Ind T6'!N320</f>
        <v>61.000999998714036</v>
      </c>
      <c r="G261" s="436" t="str">
        <f>CONCATENATE("(",ROUND((F261/$H263)*100,1),")")</f>
        <v>(15.5)</v>
      </c>
      <c r="H261" s="440">
        <f>SUM(B261,D261,F261)</f>
        <v>220.12899999814587</v>
      </c>
      <c r="I261" s="436" t="str">
        <f>CONCATENATE("(",ROUND((H261/$H263)*100,1),")")</f>
        <v>(55.8)</v>
      </c>
      <c r="K261" s="440">
        <f>B266-B261</f>
        <v>-0.15399999961755384</v>
      </c>
      <c r="L261" s="440">
        <f>D266-D261</f>
        <v>6.235999999912039</v>
      </c>
      <c r="M261" s="440">
        <f>F266-F261</f>
        <v>-3.0000006414212521E-3</v>
      </c>
      <c r="N261" s="440">
        <f>SUM(K261:M261)</f>
        <v>6.0789999996530639</v>
      </c>
    </row>
    <row r="262" spans="1:14" x14ac:dyDescent="0.25">
      <c r="A262" s="417" t="s">
        <v>391</v>
      </c>
      <c r="B262" s="440">
        <f>'Ind T6'!L319</f>
        <v>99.07999999886961</v>
      </c>
      <c r="C262" s="436" t="str">
        <f>CONCATENATE("(",ROUND((B262/$H263)*100,1),")")</f>
        <v>(25.1)</v>
      </c>
      <c r="D262" s="440">
        <f>'Ind T6'!M319</f>
        <v>38.037000000170707</v>
      </c>
      <c r="E262" s="436" t="str">
        <f>CONCATENATE("(",ROUND((D262/$H263)*100,1),")")</f>
        <v>(9.6)</v>
      </c>
      <c r="F262" s="440">
        <f>'Ind T6'!N319</f>
        <v>36.998000000178713</v>
      </c>
      <c r="G262" s="436" t="str">
        <f>CONCATENATE("(",ROUND((F262/$H263)*100,1),")")</f>
        <v>(9.4)</v>
      </c>
      <c r="H262" s="440">
        <f t="shared" ref="H262" si="201">SUM(B262,D262,F262)</f>
        <v>174.11499999921904</v>
      </c>
      <c r="I262" s="436" t="str">
        <f>CONCATENATE("(",ROUND((H262/$H263)*100,1),")")</f>
        <v>(44.2)</v>
      </c>
      <c r="K262" s="440">
        <f t="shared" ref="K262:K263" si="202">B267-B262</f>
        <v>-3.9759999988443298</v>
      </c>
      <c r="L262" s="440">
        <f t="shared" ref="L262:L263" si="203">D267-D262</f>
        <v>4.8169999996949002</v>
      </c>
      <c r="M262" s="440">
        <f t="shared" ref="M262:M263" si="204">F267-F262</f>
        <v>-2.3119999990498883</v>
      </c>
      <c r="N262" s="440">
        <f t="shared" ref="N262:N263" si="205">SUM(K262:M262)</f>
        <v>-1.4709999981993178</v>
      </c>
    </row>
    <row r="263" spans="1:14" x14ac:dyDescent="0.25">
      <c r="A263" s="417" t="s">
        <v>389</v>
      </c>
      <c r="B263" s="440">
        <f>SUM(B261:B262)</f>
        <v>237.10699999829041</v>
      </c>
      <c r="C263" s="436" t="str">
        <f>CONCATENATE("(",ROUND((B263/$H263)*100,1),")")</f>
        <v>(60.1)</v>
      </c>
      <c r="D263" s="440">
        <f>SUM(D261:D262)</f>
        <v>59.138000000181762</v>
      </c>
      <c r="E263" s="436" t="str">
        <f>CONCATENATE("(",ROUND((D263/$H263)*100,1),")")</f>
        <v>(15)</v>
      </c>
      <c r="F263" s="440">
        <f>SUM(F261:F262)</f>
        <v>97.998999998892742</v>
      </c>
      <c r="G263" s="436" t="str">
        <f>CONCATENATE("(",ROUND((F263/$H263)*100,1),")")</f>
        <v>(24.9)</v>
      </c>
      <c r="H263" s="440">
        <f>SUM(H261:H262)</f>
        <v>394.24399999736488</v>
      </c>
      <c r="I263" s="436" t="str">
        <f>CONCATENATE("(",ROUND((H263/$H263)*100,1),")")</f>
        <v>(100)</v>
      </c>
      <c r="K263" s="440">
        <f t="shared" si="202"/>
        <v>-4.1299999984618978</v>
      </c>
      <c r="L263" s="440">
        <f t="shared" si="203"/>
        <v>11.052999999606939</v>
      </c>
      <c r="M263" s="440">
        <f t="shared" si="204"/>
        <v>-2.3149999996913095</v>
      </c>
      <c r="N263" s="440">
        <f t="shared" si="205"/>
        <v>4.6080000014537319</v>
      </c>
    </row>
    <row r="264" spans="1:14" x14ac:dyDescent="0.25">
      <c r="B264" s="440"/>
      <c r="C264" s="428"/>
      <c r="D264" s="440"/>
      <c r="E264" s="428"/>
      <c r="F264" s="440"/>
      <c r="G264" s="428"/>
      <c r="H264" s="440"/>
      <c r="I264" s="428"/>
    </row>
    <row r="265" spans="1:14" x14ac:dyDescent="0.25">
      <c r="A265" s="423">
        <f>$A$13</f>
        <v>2022</v>
      </c>
      <c r="B265" s="440"/>
      <c r="C265" s="428"/>
      <c r="D265" s="440"/>
      <c r="E265" s="428"/>
      <c r="F265" s="440"/>
      <c r="G265" s="428"/>
      <c r="H265" s="440"/>
      <c r="I265" s="428"/>
      <c r="K265" s="426" t="str">
        <f>CONCATENATE(A265," - ",A270)</f>
        <v>2022 - 2027</v>
      </c>
    </row>
    <row r="266" spans="1:14" x14ac:dyDescent="0.25">
      <c r="A266" s="417" t="s">
        <v>390</v>
      </c>
      <c r="B266" s="440">
        <f>'Ind T6'!Q320</f>
        <v>137.87299999980323</v>
      </c>
      <c r="C266" s="436" t="str">
        <f>CONCATENATE("(",ROUND((B266/$H268)*100,1),")")</f>
        <v>(34.6)</v>
      </c>
      <c r="D266" s="440">
        <f>'Ind T6'!R320</f>
        <v>27.336999999923098</v>
      </c>
      <c r="E266" s="436" t="str">
        <f>CONCATENATE("(",ROUND((D266/$H268)*100,1),")")</f>
        <v>(6.9)</v>
      </c>
      <c r="F266" s="440">
        <f>'Ind T6'!S320</f>
        <v>60.997999998072615</v>
      </c>
      <c r="G266" s="436" t="str">
        <f>CONCATENATE("(",ROUND((F266/$H268)*100,1),")")</f>
        <v>(15.3)</v>
      </c>
      <c r="H266" s="440">
        <f>SUM(B266,D266,F266)</f>
        <v>226.20799999779894</v>
      </c>
      <c r="I266" s="436" t="str">
        <f>CONCATENATE("(",ROUND((H266/$H268)*100,1),")")</f>
        <v>(56.7)</v>
      </c>
      <c r="K266" s="440">
        <f>B271-B266</f>
        <v>-0.21500000036121492</v>
      </c>
      <c r="L266" s="440">
        <f>D271-D266</f>
        <v>5.5519999999614917</v>
      </c>
      <c r="M266" s="440">
        <f>F271-F266</f>
        <v>0.28500000007461779</v>
      </c>
      <c r="N266" s="440">
        <f>SUM(K266:M266)</f>
        <v>5.6219999996748946</v>
      </c>
    </row>
    <row r="267" spans="1:14" x14ac:dyDescent="0.25">
      <c r="A267" s="417" t="s">
        <v>391</v>
      </c>
      <c r="B267" s="440">
        <f>'Ind T6'!Q319</f>
        <v>95.10400000002528</v>
      </c>
      <c r="C267" s="436" t="str">
        <f>CONCATENATE("(",ROUND((B267/$H268)*100,1),")")</f>
        <v>(23.8)</v>
      </c>
      <c r="D267" s="440">
        <f>'Ind T6'!R319</f>
        <v>42.853999999865607</v>
      </c>
      <c r="E267" s="436" t="str">
        <f>CONCATENATE("(",ROUND((D267/$H268)*100,1),")")</f>
        <v>(10.7)</v>
      </c>
      <c r="F267" s="440">
        <f>'Ind T6'!S319</f>
        <v>34.686000001128825</v>
      </c>
      <c r="G267" s="436" t="str">
        <f>CONCATENATE("(",ROUND((F267/$H268)*100,1),")")</f>
        <v>(8.7)</v>
      </c>
      <c r="H267" s="440">
        <f t="shared" ref="H267" si="206">SUM(B267,D267,F267)</f>
        <v>172.64400000101972</v>
      </c>
      <c r="I267" s="436" t="str">
        <f>CONCATENATE("(",ROUND((H267/$H268)*100,1),")")</f>
        <v>(43.3)</v>
      </c>
      <c r="K267" s="440">
        <f t="shared" ref="K267:K268" si="207">B272-B267</f>
        <v>-3.3560000007215223</v>
      </c>
      <c r="L267" s="440">
        <f t="shared" ref="L267:L268" si="208">D272-D267</f>
        <v>4.2110000002283314</v>
      </c>
      <c r="M267" s="440">
        <f t="shared" ref="M267:M268" si="209">F272-F267</f>
        <v>-1.8250000006371039</v>
      </c>
      <c r="N267" s="440">
        <f t="shared" ref="N267:N268" si="210">SUM(K267:M267)</f>
        <v>-0.97000000113029472</v>
      </c>
    </row>
    <row r="268" spans="1:14" x14ac:dyDescent="0.25">
      <c r="A268" s="417" t="s">
        <v>389</v>
      </c>
      <c r="B268" s="440">
        <f>SUM(B266:B267)</f>
        <v>232.97699999982851</v>
      </c>
      <c r="C268" s="436" t="str">
        <f>CONCATENATE("(",ROUND((B268/$H268)*100,1),")")</f>
        <v>(58.4)</v>
      </c>
      <c r="D268" s="440">
        <f>SUM(D266:D267)</f>
        <v>70.190999999788701</v>
      </c>
      <c r="E268" s="436" t="str">
        <f>CONCATENATE("(",ROUND((D268/$H268)*100,1),")")</f>
        <v>(17.6)</v>
      </c>
      <c r="F268" s="440">
        <f>SUM(F266:F267)</f>
        <v>95.683999999201433</v>
      </c>
      <c r="G268" s="436" t="str">
        <f>CONCATENATE("(",ROUND((F268/$H268)*100,1),")")</f>
        <v>(24)</v>
      </c>
      <c r="H268" s="440">
        <f>SUM(H266:H267)</f>
        <v>398.85199999881866</v>
      </c>
      <c r="I268" s="436" t="str">
        <f>CONCATENATE("(",ROUND((H268/$H268)*100,1),")")</f>
        <v>(100)</v>
      </c>
      <c r="K268" s="440">
        <f t="shared" si="207"/>
        <v>-3.5710000010827514</v>
      </c>
      <c r="L268" s="440">
        <f t="shared" si="208"/>
        <v>9.7630000001898196</v>
      </c>
      <c r="M268" s="440">
        <f t="shared" si="209"/>
        <v>-1.5400000005624861</v>
      </c>
      <c r="N268" s="440">
        <f t="shared" si="210"/>
        <v>4.6519999985445821</v>
      </c>
    </row>
    <row r="269" spans="1:14" x14ac:dyDescent="0.25">
      <c r="B269" s="440"/>
      <c r="C269" s="428"/>
      <c r="D269" s="440"/>
      <c r="E269" s="428"/>
      <c r="F269" s="440"/>
      <c r="G269" s="428"/>
      <c r="H269" s="440"/>
      <c r="I269" s="428"/>
    </row>
    <row r="270" spans="1:14" x14ac:dyDescent="0.25">
      <c r="A270" s="423">
        <f>$A$18</f>
        <v>2027</v>
      </c>
      <c r="B270" s="440"/>
      <c r="C270" s="428"/>
      <c r="D270" s="440"/>
      <c r="E270" s="428"/>
      <c r="F270" s="440"/>
      <c r="G270" s="428"/>
      <c r="H270" s="440"/>
      <c r="I270" s="428"/>
      <c r="K270" s="426" t="str">
        <f>CONCATENATE(A260," - ",A270)</f>
        <v>2017 - 2027</v>
      </c>
    </row>
    <row r="271" spans="1:14" x14ac:dyDescent="0.25">
      <c r="A271" s="417" t="s">
        <v>390</v>
      </c>
      <c r="B271" s="440">
        <f>'Ind T6'!V320</f>
        <v>137.65799999944201</v>
      </c>
      <c r="C271" s="436" t="str">
        <f>CONCATENATE("(",ROUND((B271/$H273)*100,1),")")</f>
        <v>(34.1)</v>
      </c>
      <c r="D271" s="440">
        <f>'Ind T6'!W320</f>
        <v>32.888999999884589</v>
      </c>
      <c r="E271" s="436" t="str">
        <f>CONCATENATE("(",ROUND((D271/$H273)*100,1),")")</f>
        <v>(8.2)</v>
      </c>
      <c r="F271" s="440">
        <f>'Ind T6'!X320</f>
        <v>61.282999998147233</v>
      </c>
      <c r="G271" s="436" t="str">
        <f>CONCATENATE("(",ROUND((F271/$H273)*100,1),")")</f>
        <v>(15.2)</v>
      </c>
      <c r="H271" s="440">
        <f>SUM(B271,D271,F271)</f>
        <v>231.82999999747383</v>
      </c>
      <c r="I271" s="436" t="str">
        <f>CONCATENATE("(",ROUND((H271/$H273)*100,1),")")</f>
        <v>(57.5)</v>
      </c>
      <c r="K271" s="440">
        <f>B271-B261</f>
        <v>-0.36899999997876876</v>
      </c>
      <c r="L271" s="440">
        <f>D271-D261</f>
        <v>11.787999999873531</v>
      </c>
      <c r="M271" s="440">
        <f>F271-F261</f>
        <v>0.28199999943319654</v>
      </c>
      <c r="N271" s="440">
        <f>SUM(K271:M271)</f>
        <v>11.700999999327959</v>
      </c>
    </row>
    <row r="272" spans="1:14" x14ac:dyDescent="0.25">
      <c r="A272" s="417" t="s">
        <v>391</v>
      </c>
      <c r="B272" s="440">
        <f>'Ind T6'!V319</f>
        <v>91.747999999303758</v>
      </c>
      <c r="C272" s="436" t="str">
        <f>CONCATENATE("(",ROUND((B272/$H273)*100,1),")")</f>
        <v>(22.7)</v>
      </c>
      <c r="D272" s="440">
        <f>'Ind T6'!W319</f>
        <v>47.065000000093939</v>
      </c>
      <c r="E272" s="436" t="str">
        <f>CONCATENATE("(",ROUND((D272/$H273)*100,1),")")</f>
        <v>(11.7)</v>
      </c>
      <c r="F272" s="440">
        <f>'Ind T6'!X319</f>
        <v>32.861000000491721</v>
      </c>
      <c r="G272" s="436" t="str">
        <f>CONCATENATE("(",ROUND((F272/$H273)*100,1),")")</f>
        <v>(8.1)</v>
      </c>
      <c r="H272" s="440">
        <f t="shared" ref="H272" si="211">SUM(B272,D272,F272)</f>
        <v>171.67399999988942</v>
      </c>
      <c r="I272" s="436" t="str">
        <f>CONCATENATE("(",ROUND((H272/$H273)*100,1),")")</f>
        <v>(42.5)</v>
      </c>
      <c r="K272" s="440">
        <f t="shared" ref="K272:K273" si="212">B272-B262</f>
        <v>-7.331999999565852</v>
      </c>
      <c r="L272" s="440">
        <f t="shared" ref="L272:L273" si="213">D272-D262</f>
        <v>9.0279999999232317</v>
      </c>
      <c r="M272" s="440">
        <f t="shared" ref="M272:M273" si="214">F272-F262</f>
        <v>-4.1369999996869922</v>
      </c>
      <c r="N272" s="440">
        <f t="shared" ref="N272:N273" si="215">SUM(K272:M272)</f>
        <v>-2.4409999993296125</v>
      </c>
    </row>
    <row r="273" spans="1:14" x14ac:dyDescent="0.25">
      <c r="A273" s="408" t="s">
        <v>389</v>
      </c>
      <c r="B273" s="440">
        <f>SUM(B271:B272)</f>
        <v>229.40599999874576</v>
      </c>
      <c r="C273" s="436" t="str">
        <f>CONCATENATE("(",ROUND((B273/$H273)*100,1),")")</f>
        <v>(56.9)</v>
      </c>
      <c r="D273" s="440">
        <f>SUM(D271:D272)</f>
        <v>79.953999999978521</v>
      </c>
      <c r="E273" s="436" t="str">
        <f>CONCATENATE("(",ROUND((D273/$H273)*100,1),")")</f>
        <v>(19.8)</v>
      </c>
      <c r="F273" s="440">
        <f>SUM(F271:F272)</f>
        <v>94.143999998638947</v>
      </c>
      <c r="G273" s="436" t="str">
        <f>CONCATENATE("(",ROUND((F273/$H273)*100,1),")")</f>
        <v>(23.3)</v>
      </c>
      <c r="H273" s="440">
        <f>SUM(H271:H272)</f>
        <v>403.50399999736328</v>
      </c>
      <c r="I273" s="436" t="str">
        <f>CONCATENATE("(",ROUND((H273/$H273)*100,1),")")</f>
        <v>(100)</v>
      </c>
      <c r="K273" s="440">
        <f t="shared" si="212"/>
        <v>-7.7009999995446492</v>
      </c>
      <c r="L273" s="440">
        <f t="shared" si="213"/>
        <v>20.815999999796759</v>
      </c>
      <c r="M273" s="440">
        <f t="shared" si="214"/>
        <v>-3.8550000002537956</v>
      </c>
      <c r="N273" s="440">
        <f t="shared" si="215"/>
        <v>9.259999999998314</v>
      </c>
    </row>
    <row r="274" spans="1:14" x14ac:dyDescent="0.25">
      <c r="A274" s="429"/>
      <c r="B274" s="430"/>
      <c r="C274" s="429"/>
      <c r="D274" s="430"/>
      <c r="E274" s="429"/>
      <c r="F274" s="430"/>
      <c r="G274" s="429"/>
      <c r="H274" s="430"/>
      <c r="I274" s="429"/>
      <c r="J274" s="429"/>
      <c r="K274" s="430"/>
      <c r="L274" s="430"/>
      <c r="M274" s="430"/>
      <c r="N274" s="430"/>
    </row>
    <row r="278" spans="1:14" x14ac:dyDescent="0.25">
      <c r="A278" s="419"/>
      <c r="B278" s="420" t="s">
        <v>414</v>
      </c>
      <c r="C278" s="419"/>
      <c r="D278" s="420"/>
      <c r="E278" s="419"/>
      <c r="F278" s="420" t="str">
        <f>name!B16</f>
        <v>Information technology</v>
      </c>
      <c r="G278" s="419"/>
      <c r="H278" s="422"/>
      <c r="I278" s="419"/>
      <c r="J278" s="421"/>
      <c r="K278" s="422"/>
      <c r="L278" s="422"/>
      <c r="M278" s="422"/>
      <c r="N278" s="422"/>
    </row>
    <row r="279" spans="1:14" x14ac:dyDescent="0.25">
      <c r="A279" s="408"/>
      <c r="B279" s="409"/>
      <c r="C279" s="408"/>
      <c r="D279" s="409"/>
      <c r="E279" s="408"/>
      <c r="F279" s="409"/>
      <c r="G279" s="408"/>
      <c r="H279" s="409"/>
      <c r="I279" s="408"/>
      <c r="K279" s="409"/>
      <c r="L279" s="409"/>
      <c r="M279" s="409"/>
      <c r="N279" s="415" t="s">
        <v>412</v>
      </c>
    </row>
    <row r="280" spans="1:14" x14ac:dyDescent="0.25">
      <c r="A280" s="413" t="s">
        <v>413</v>
      </c>
      <c r="B280" s="512" t="s">
        <v>411</v>
      </c>
      <c r="C280" s="512"/>
      <c r="D280" s="512" t="s">
        <v>410</v>
      </c>
      <c r="E280" s="512"/>
      <c r="F280" s="512" t="s">
        <v>409</v>
      </c>
      <c r="G280" s="512"/>
      <c r="H280" s="512" t="s">
        <v>32</v>
      </c>
      <c r="I280" s="512"/>
      <c r="J280" s="413"/>
      <c r="K280" s="434" t="s">
        <v>371</v>
      </c>
      <c r="L280" s="434" t="s">
        <v>373</v>
      </c>
      <c r="M280" s="434" t="s">
        <v>369</v>
      </c>
      <c r="N280" s="434" t="s">
        <v>32</v>
      </c>
    </row>
    <row r="281" spans="1:14" x14ac:dyDescent="0.25">
      <c r="A281" s="423">
        <f>$A$8</f>
        <v>2017</v>
      </c>
      <c r="B281" s="424" t="s">
        <v>60</v>
      </c>
      <c r="C281" s="425" t="s">
        <v>408</v>
      </c>
      <c r="D281" s="424" t="s">
        <v>60</v>
      </c>
      <c r="E281" s="425" t="s">
        <v>408</v>
      </c>
      <c r="F281" s="424" t="s">
        <v>60</v>
      </c>
      <c r="G281" s="425" t="s">
        <v>408</v>
      </c>
      <c r="H281" s="424" t="s">
        <v>60</v>
      </c>
      <c r="I281" s="425" t="s">
        <v>408</v>
      </c>
      <c r="J281" s="413"/>
      <c r="K281" s="426" t="str">
        <f>CONCATENATE(A281," - ",A286)</f>
        <v>2017 - 2022</v>
      </c>
      <c r="L281" s="427"/>
      <c r="M281" s="427"/>
    </row>
    <row r="282" spans="1:14" x14ac:dyDescent="0.25">
      <c r="A282" s="417" t="s">
        <v>390</v>
      </c>
      <c r="B282" s="440">
        <f>'Ind T6'!L345</f>
        <v>674.13199999422011</v>
      </c>
      <c r="C282" s="436" t="str">
        <f>CONCATENATE("(",ROUND((B282/$H284)*100,1),")")</f>
        <v>(61.1)</v>
      </c>
      <c r="D282" s="440">
        <f>'Ind T6'!M345</f>
        <v>29.049999999954942</v>
      </c>
      <c r="E282" s="436" t="str">
        <f>CONCATENATE("(",ROUND((D282/$H284)*100,1),")")</f>
        <v>(2.6)</v>
      </c>
      <c r="F282" s="440">
        <f>'Ind T6'!N345</f>
        <v>85.872999998551748</v>
      </c>
      <c r="G282" s="436" t="str">
        <f>CONCATENATE("(",ROUND((F282/$H284)*100,1),")")</f>
        <v>(7.8)</v>
      </c>
      <c r="H282" s="440">
        <f>SUM(B282,D282,F282)</f>
        <v>789.05499999272683</v>
      </c>
      <c r="I282" s="436" t="str">
        <f>CONCATENATE("(",ROUND((H282/$H284)*100,1),")")</f>
        <v>(71.6)</v>
      </c>
      <c r="K282" s="440">
        <f>B287-B282</f>
        <v>-15.778999991669139</v>
      </c>
      <c r="L282" s="440">
        <f>D287-D282</f>
        <v>14.923000000161515</v>
      </c>
      <c r="M282" s="440">
        <f>F287-F282</f>
        <v>10.977000000104411</v>
      </c>
      <c r="N282" s="440">
        <f>SUM(K282:M282)</f>
        <v>10.121000008596788</v>
      </c>
    </row>
    <row r="283" spans="1:14" x14ac:dyDescent="0.25">
      <c r="A283" s="417" t="s">
        <v>391</v>
      </c>
      <c r="B283" s="440">
        <f>'Ind T6'!L344</f>
        <v>221.73999999805329</v>
      </c>
      <c r="C283" s="436" t="str">
        <f>CONCATENATE("(",ROUND((B283/$H284)*100,1),")")</f>
        <v>(20.1)</v>
      </c>
      <c r="D283" s="440">
        <f>'Ind T6'!M344</f>
        <v>66.883999999757975</v>
      </c>
      <c r="E283" s="436" t="str">
        <f>CONCATENATE("(",ROUND((D283/$H284)*100,1),")")</f>
        <v>(6.1)</v>
      </c>
      <c r="F283" s="440">
        <f>'Ind T6'!N344</f>
        <v>25.121000000188783</v>
      </c>
      <c r="G283" s="436" t="str">
        <f>CONCATENATE("(",ROUND((F283/$H284)*100,1),")")</f>
        <v>(2.3)</v>
      </c>
      <c r="H283" s="440">
        <f t="shared" ref="H283" si="216">SUM(B283,D283,F283)</f>
        <v>313.74499999800003</v>
      </c>
      <c r="I283" s="436" t="str">
        <f>CONCATENATE("(",ROUND((H283/$H284)*100,1),")")</f>
        <v>(28.4)</v>
      </c>
      <c r="K283" s="440">
        <f t="shared" ref="K283:K284" si="217">B288-B283</f>
        <v>9.9530000006845967</v>
      </c>
      <c r="L283" s="440">
        <f t="shared" ref="L283:L284" si="218">D288-D283</f>
        <v>27.723000001065742</v>
      </c>
      <c r="M283" s="440">
        <f t="shared" ref="M283:M284" si="219">F288-F283</f>
        <v>-3.043999999800846</v>
      </c>
      <c r="N283" s="440">
        <f t="shared" ref="N283:N284" si="220">SUM(K283:M283)</f>
        <v>34.632000001949493</v>
      </c>
    </row>
    <row r="284" spans="1:14" x14ac:dyDescent="0.25">
      <c r="A284" s="417" t="s">
        <v>389</v>
      </c>
      <c r="B284" s="440">
        <f>SUM(B282:B283)</f>
        <v>895.87199999227346</v>
      </c>
      <c r="C284" s="436" t="str">
        <f>CONCATENATE("(",ROUND((B284/$H284)*100,1),")")</f>
        <v>(81.2)</v>
      </c>
      <c r="D284" s="440">
        <f>SUM(D282:D283)</f>
        <v>95.93399999971291</v>
      </c>
      <c r="E284" s="436" t="str">
        <f>CONCATENATE("(",ROUND((D284/$H284)*100,1),")")</f>
        <v>(8.7)</v>
      </c>
      <c r="F284" s="440">
        <f>SUM(F282:F283)</f>
        <v>110.99399999874053</v>
      </c>
      <c r="G284" s="436" t="str">
        <f>CONCATENATE("(",ROUND((F284/$H284)*100,1),")")</f>
        <v>(10.1)</v>
      </c>
      <c r="H284" s="440">
        <f>SUM(H282:H283)</f>
        <v>1102.799999990727</v>
      </c>
      <c r="I284" s="436" t="str">
        <f>CONCATENATE("(",ROUND((H284/$H284)*100,1),")")</f>
        <v>(100)</v>
      </c>
      <c r="K284" s="440">
        <f t="shared" si="217"/>
        <v>-5.8259999909846556</v>
      </c>
      <c r="L284" s="440">
        <f t="shared" si="218"/>
        <v>42.646000001227264</v>
      </c>
      <c r="M284" s="440">
        <f t="shared" si="219"/>
        <v>7.933000000303565</v>
      </c>
      <c r="N284" s="440">
        <f t="shared" si="220"/>
        <v>44.753000010546174</v>
      </c>
    </row>
    <row r="285" spans="1:14" x14ac:dyDescent="0.25">
      <c r="B285" s="440"/>
      <c r="C285" s="428"/>
      <c r="D285" s="440"/>
      <c r="E285" s="428"/>
      <c r="F285" s="440"/>
      <c r="G285" s="428"/>
      <c r="H285" s="440"/>
      <c r="I285" s="428"/>
    </row>
    <row r="286" spans="1:14" x14ac:dyDescent="0.25">
      <c r="A286" s="423">
        <f>$A$13</f>
        <v>2022</v>
      </c>
      <c r="B286" s="440"/>
      <c r="C286" s="428"/>
      <c r="D286" s="440"/>
      <c r="E286" s="428"/>
      <c r="F286" s="440"/>
      <c r="G286" s="428"/>
      <c r="H286" s="440"/>
      <c r="I286" s="428"/>
      <c r="K286" s="426" t="str">
        <f>CONCATENATE(A286," - ",A291)</f>
        <v>2022 - 2027</v>
      </c>
    </row>
    <row r="287" spans="1:14" x14ac:dyDescent="0.25">
      <c r="A287" s="417" t="s">
        <v>390</v>
      </c>
      <c r="B287" s="440">
        <f>'Ind T6'!Q345</f>
        <v>658.35300000255097</v>
      </c>
      <c r="C287" s="436" t="str">
        <f>CONCATENATE("(",ROUND((B287/$H289)*100,1),")")</f>
        <v>(57.4)</v>
      </c>
      <c r="D287" s="440">
        <f>'Ind T6'!R345</f>
        <v>43.973000000116457</v>
      </c>
      <c r="E287" s="436" t="str">
        <f>CONCATENATE("(",ROUND((D287/$H289)*100,1),")")</f>
        <v>(3.8)</v>
      </c>
      <c r="F287" s="440">
        <f>'Ind T6'!S345</f>
        <v>96.849999998656159</v>
      </c>
      <c r="G287" s="436" t="str">
        <f>CONCATENATE("(",ROUND((F287/$H289)*100,1),")")</f>
        <v>(8.4)</v>
      </c>
      <c r="H287" s="440">
        <f>SUM(B287,D287,F287)</f>
        <v>799.17600000132359</v>
      </c>
      <c r="I287" s="436" t="str">
        <f>CONCATENATE("(",ROUND((H287/$H289)*100,1),")")</f>
        <v>(69.6)</v>
      </c>
      <c r="K287" s="440">
        <f>B292-B287</f>
        <v>-11.685000004401445</v>
      </c>
      <c r="L287" s="440">
        <f>D292-D287</f>
        <v>13.007999999806465</v>
      </c>
      <c r="M287" s="440">
        <f>F292-F287</f>
        <v>9.3229999994582187</v>
      </c>
      <c r="N287" s="440">
        <f>SUM(K287:M287)</f>
        <v>10.645999994863239</v>
      </c>
    </row>
    <row r="288" spans="1:14" x14ac:dyDescent="0.25">
      <c r="A288" s="417" t="s">
        <v>391</v>
      </c>
      <c r="B288" s="440">
        <f>'Ind T6'!Q344</f>
        <v>231.69299999873789</v>
      </c>
      <c r="C288" s="436" t="str">
        <f>CONCATENATE("(",ROUND((B288/$H289)*100,1),")")</f>
        <v>(20.2)</v>
      </c>
      <c r="D288" s="440">
        <f>'Ind T6'!R344</f>
        <v>94.607000000823717</v>
      </c>
      <c r="E288" s="436" t="str">
        <f>CONCATENATE("(",ROUND((D288/$H289)*100,1),")")</f>
        <v>(8.2)</v>
      </c>
      <c r="F288" s="440">
        <f>'Ind T6'!S344</f>
        <v>22.077000000387937</v>
      </c>
      <c r="G288" s="436" t="str">
        <f>CONCATENATE("(",ROUND((F288/$H289)*100,1),")")</f>
        <v>(1.9)</v>
      </c>
      <c r="H288" s="440">
        <f t="shared" ref="H288" si="221">SUM(B288,D288,F288)</f>
        <v>348.37699999994953</v>
      </c>
      <c r="I288" s="436" t="str">
        <f>CONCATENATE("(",ROUND((H288/$H289)*100,1),")")</f>
        <v>(30.4)</v>
      </c>
      <c r="K288" s="440">
        <f t="shared" ref="K288:K289" si="222">B293-B288</f>
        <v>8.741999999897871</v>
      </c>
      <c r="L288" s="440">
        <f t="shared" ref="L288:L289" si="223">D293-D288</f>
        <v>24.225999999872428</v>
      </c>
      <c r="M288" s="440">
        <f t="shared" ref="M288:M289" si="224">F293-F288</f>
        <v>-2.8250000001399194</v>
      </c>
      <c r="N288" s="440">
        <f t="shared" ref="N288:N289" si="225">SUM(K288:M288)</f>
        <v>30.14299999963038</v>
      </c>
    </row>
    <row r="289" spans="1:14" x14ac:dyDescent="0.25">
      <c r="A289" s="417" t="s">
        <v>389</v>
      </c>
      <c r="B289" s="440">
        <f>SUM(B287:B288)</f>
        <v>890.0460000012888</v>
      </c>
      <c r="C289" s="436" t="str">
        <f>CONCATENATE("(",ROUND((B289/$H289)*100,1),")")</f>
        <v>(77.6)</v>
      </c>
      <c r="D289" s="440">
        <f>SUM(D287:D288)</f>
        <v>138.58000000094017</v>
      </c>
      <c r="E289" s="436" t="str">
        <f>CONCATENATE("(",ROUND((D289/$H289)*100,1),")")</f>
        <v>(12.1)</v>
      </c>
      <c r="F289" s="440">
        <f>SUM(F287:F288)</f>
        <v>118.9269999990441</v>
      </c>
      <c r="G289" s="436" t="str">
        <f>CONCATENATE("(",ROUND((F289/$H289)*100,1),")")</f>
        <v>(10.4)</v>
      </c>
      <c r="H289" s="440">
        <f>SUM(H287:H288)</f>
        <v>1147.5530000012732</v>
      </c>
      <c r="I289" s="436" t="str">
        <f>CONCATENATE("(",ROUND((H289/$H289)*100,1),")")</f>
        <v>(100)</v>
      </c>
      <c r="K289" s="440">
        <f t="shared" si="222"/>
        <v>-2.943000004503574</v>
      </c>
      <c r="L289" s="440">
        <f t="shared" si="223"/>
        <v>37.2339999996789</v>
      </c>
      <c r="M289" s="440">
        <f t="shared" si="224"/>
        <v>6.4979999993182957</v>
      </c>
      <c r="N289" s="440">
        <f t="shared" si="225"/>
        <v>40.788999994493622</v>
      </c>
    </row>
    <row r="290" spans="1:14" x14ac:dyDescent="0.25">
      <c r="B290" s="440"/>
      <c r="C290" s="428"/>
      <c r="D290" s="440"/>
      <c r="E290" s="428"/>
      <c r="F290" s="440"/>
      <c r="G290" s="428"/>
      <c r="H290" s="440"/>
      <c r="I290" s="428"/>
    </row>
    <row r="291" spans="1:14" x14ac:dyDescent="0.25">
      <c r="A291" s="423">
        <f>$A$18</f>
        <v>2027</v>
      </c>
      <c r="B291" s="440"/>
      <c r="C291" s="428"/>
      <c r="D291" s="440"/>
      <c r="E291" s="428"/>
      <c r="F291" s="440"/>
      <c r="G291" s="428"/>
      <c r="H291" s="440"/>
      <c r="I291" s="428"/>
      <c r="K291" s="426" t="str">
        <f>CONCATENATE(A281," - ",A291)</f>
        <v>2017 - 2027</v>
      </c>
    </row>
    <row r="292" spans="1:14" x14ac:dyDescent="0.25">
      <c r="A292" s="417" t="s">
        <v>390</v>
      </c>
      <c r="B292" s="440">
        <f>'Ind T6'!V345</f>
        <v>646.66799999814953</v>
      </c>
      <c r="C292" s="436" t="str">
        <f>CONCATENATE("(",ROUND((B292/$H294)*100,1),")")</f>
        <v>(54.4)</v>
      </c>
      <c r="D292" s="440">
        <f>'Ind T6'!W345</f>
        <v>56.980999999922922</v>
      </c>
      <c r="E292" s="436" t="str">
        <f>CONCATENATE("(",ROUND((D292/$H294)*100,1),")")</f>
        <v>(4.8)</v>
      </c>
      <c r="F292" s="440">
        <f>'Ind T6'!X345</f>
        <v>106.17299999811438</v>
      </c>
      <c r="G292" s="436" t="str">
        <f>CONCATENATE("(",ROUND((F292/$H294)*100,1),")")</f>
        <v>(8.9)</v>
      </c>
      <c r="H292" s="440">
        <f>SUM(B292,D292,F292)</f>
        <v>809.82199999618683</v>
      </c>
      <c r="I292" s="436" t="str">
        <f>CONCATENATE("(",ROUND((H292/$H294)*100,1),")")</f>
        <v>(68.1)</v>
      </c>
      <c r="K292" s="440">
        <f>B292-B282</f>
        <v>-27.463999996070584</v>
      </c>
      <c r="L292" s="440">
        <f>D292-D282</f>
        <v>27.93099999996798</v>
      </c>
      <c r="M292" s="440">
        <f>F292-F282</f>
        <v>20.29999999956263</v>
      </c>
      <c r="N292" s="440">
        <f>SUM(K292:M292)</f>
        <v>20.767000003460026</v>
      </c>
    </row>
    <row r="293" spans="1:14" x14ac:dyDescent="0.25">
      <c r="A293" s="417" t="s">
        <v>391</v>
      </c>
      <c r="B293" s="440">
        <f>'Ind T6'!V344</f>
        <v>240.43499999863576</v>
      </c>
      <c r="C293" s="436" t="str">
        <f>CONCATENATE("(",ROUND((B293/$H294)*100,1),")")</f>
        <v>(20.2)</v>
      </c>
      <c r="D293" s="440">
        <f>'Ind T6'!W344</f>
        <v>118.83300000069615</v>
      </c>
      <c r="E293" s="436" t="str">
        <f>CONCATENATE("(",ROUND((D293/$H294)*100,1),")")</f>
        <v>(10)</v>
      </c>
      <c r="F293" s="440">
        <f>'Ind T6'!X344</f>
        <v>19.252000000248017</v>
      </c>
      <c r="G293" s="436" t="str">
        <f>CONCATENATE("(",ROUND((F293/$H294)*100,1),")")</f>
        <v>(1.6)</v>
      </c>
      <c r="H293" s="440">
        <f t="shared" ref="H293" si="226">SUM(B293,D293,F293)</f>
        <v>378.51999999957991</v>
      </c>
      <c r="I293" s="436" t="str">
        <f>CONCATENATE("(",ROUND((H293/$H294)*100,1),")")</f>
        <v>(31.9)</v>
      </c>
      <c r="K293" s="440">
        <f t="shared" ref="K293:K294" si="227">B293-B283</f>
        <v>18.695000000582468</v>
      </c>
      <c r="L293" s="440">
        <f t="shared" ref="L293:L294" si="228">D293-D283</f>
        <v>51.94900000093817</v>
      </c>
      <c r="M293" s="440">
        <f t="shared" ref="M293:M294" si="229">F293-F283</f>
        <v>-5.8689999999407654</v>
      </c>
      <c r="N293" s="440">
        <f t="shared" ref="N293:N294" si="230">SUM(K293:M293)</f>
        <v>64.775000001579869</v>
      </c>
    </row>
    <row r="294" spans="1:14" x14ac:dyDescent="0.25">
      <c r="A294" s="408" t="s">
        <v>389</v>
      </c>
      <c r="B294" s="440">
        <f>SUM(B292:B293)</f>
        <v>887.10299999678523</v>
      </c>
      <c r="C294" s="436" t="str">
        <f>CONCATENATE("(",ROUND((B294/$H294)*100,1),")")</f>
        <v>(74.7)</v>
      </c>
      <c r="D294" s="440">
        <f>SUM(D292:D293)</f>
        <v>175.81400000061907</v>
      </c>
      <c r="E294" s="436" t="str">
        <f>CONCATENATE("(",ROUND((D294/$H294)*100,1),")")</f>
        <v>(14.8)</v>
      </c>
      <c r="F294" s="440">
        <f>SUM(F292:F293)</f>
        <v>125.4249999983624</v>
      </c>
      <c r="G294" s="436" t="str">
        <f>CONCATENATE("(",ROUND((F294/$H294)*100,1),")")</f>
        <v>(10.6)</v>
      </c>
      <c r="H294" s="440">
        <f>SUM(H292:H293)</f>
        <v>1188.3419999957669</v>
      </c>
      <c r="I294" s="436" t="str">
        <f>CONCATENATE("(",ROUND((H294/$H294)*100,1),")")</f>
        <v>(100)</v>
      </c>
      <c r="K294" s="440">
        <f t="shared" si="227"/>
        <v>-8.7689999954882296</v>
      </c>
      <c r="L294" s="440">
        <f t="shared" si="228"/>
        <v>79.880000000906165</v>
      </c>
      <c r="M294" s="440">
        <f t="shared" si="229"/>
        <v>14.430999999621861</v>
      </c>
      <c r="N294" s="440">
        <f t="shared" si="230"/>
        <v>85.542000005039796</v>
      </c>
    </row>
    <row r="295" spans="1:14" x14ac:dyDescent="0.25">
      <c r="A295" s="429"/>
      <c r="B295" s="430"/>
      <c r="C295" s="429"/>
      <c r="D295" s="430"/>
      <c r="E295" s="429"/>
      <c r="F295" s="430"/>
      <c r="G295" s="429"/>
      <c r="H295" s="430"/>
      <c r="I295" s="429"/>
      <c r="J295" s="429"/>
      <c r="K295" s="430"/>
      <c r="L295" s="430"/>
      <c r="M295" s="430"/>
      <c r="N295" s="430"/>
    </row>
    <row r="299" spans="1:14" x14ac:dyDescent="0.25">
      <c r="A299" s="419"/>
      <c r="B299" s="420" t="s">
        <v>414</v>
      </c>
      <c r="C299" s="419"/>
      <c r="D299" s="420"/>
      <c r="E299" s="419"/>
      <c r="F299" s="420" t="str">
        <f>name!B17</f>
        <v>Finance and insurance</v>
      </c>
      <c r="G299" s="419"/>
      <c r="H299" s="422"/>
      <c r="I299" s="419"/>
      <c r="J299" s="421"/>
      <c r="K299" s="422"/>
      <c r="L299" s="422"/>
      <c r="M299" s="422"/>
      <c r="N299" s="422"/>
    </row>
    <row r="300" spans="1:14" x14ac:dyDescent="0.25">
      <c r="A300" s="408"/>
      <c r="B300" s="409"/>
      <c r="C300" s="408"/>
      <c r="D300" s="409"/>
      <c r="E300" s="408"/>
      <c r="F300" s="409"/>
      <c r="G300" s="408"/>
      <c r="H300" s="409"/>
      <c r="I300" s="408"/>
      <c r="K300" s="409"/>
      <c r="L300" s="409"/>
      <c r="M300" s="409"/>
      <c r="N300" s="415" t="s">
        <v>412</v>
      </c>
    </row>
    <row r="301" spans="1:14" x14ac:dyDescent="0.25">
      <c r="A301" s="413" t="s">
        <v>413</v>
      </c>
      <c r="B301" s="512" t="s">
        <v>411</v>
      </c>
      <c r="C301" s="512"/>
      <c r="D301" s="512" t="s">
        <v>410</v>
      </c>
      <c r="E301" s="512"/>
      <c r="F301" s="512" t="s">
        <v>409</v>
      </c>
      <c r="G301" s="512"/>
      <c r="H301" s="512" t="s">
        <v>32</v>
      </c>
      <c r="I301" s="512"/>
      <c r="J301" s="413"/>
      <c r="K301" s="434" t="s">
        <v>371</v>
      </c>
      <c r="L301" s="434" t="s">
        <v>373</v>
      </c>
      <c r="M301" s="434" t="s">
        <v>369</v>
      </c>
      <c r="N301" s="434" t="s">
        <v>32</v>
      </c>
    </row>
    <row r="302" spans="1:14" x14ac:dyDescent="0.25">
      <c r="A302" s="423">
        <f>$A$8</f>
        <v>2017</v>
      </c>
      <c r="B302" s="424" t="s">
        <v>60</v>
      </c>
      <c r="C302" s="425" t="s">
        <v>408</v>
      </c>
      <c r="D302" s="424" t="s">
        <v>60</v>
      </c>
      <c r="E302" s="425" t="s">
        <v>408</v>
      </c>
      <c r="F302" s="424" t="s">
        <v>60</v>
      </c>
      <c r="G302" s="425" t="s">
        <v>408</v>
      </c>
      <c r="H302" s="424" t="s">
        <v>60</v>
      </c>
      <c r="I302" s="425" t="s">
        <v>408</v>
      </c>
      <c r="J302" s="413"/>
      <c r="K302" s="426" t="str">
        <f>CONCATENATE(A302," - ",A307)</f>
        <v>2017 - 2022</v>
      </c>
      <c r="L302" s="427"/>
      <c r="M302" s="427"/>
    </row>
    <row r="303" spans="1:14" x14ac:dyDescent="0.25">
      <c r="A303" s="417" t="s">
        <v>390</v>
      </c>
      <c r="B303" s="440">
        <f>'Ind T6'!L370</f>
        <v>517.02599999585175</v>
      </c>
      <c r="C303" s="436" t="str">
        <f>CONCATENATE("(",ROUND((B303/$H305)*100,1),")")</f>
        <v>(45.6)</v>
      </c>
      <c r="D303" s="440">
        <f>'Ind T6'!M370</f>
        <v>22.957000000044292</v>
      </c>
      <c r="E303" s="436" t="str">
        <f>CONCATENATE("(",ROUND((D303/$H305)*100,1),")")</f>
        <v>(2)</v>
      </c>
      <c r="F303" s="440">
        <f>'Ind T6'!N370</f>
        <v>45.3989999995147</v>
      </c>
      <c r="G303" s="436" t="str">
        <f>CONCATENATE("(",ROUND((F303/$H305)*100,1),")")</f>
        <v>(4)</v>
      </c>
      <c r="H303" s="440">
        <f>SUM(B303,D303,F303)</f>
        <v>585.38199999541075</v>
      </c>
      <c r="I303" s="436" t="str">
        <f>CONCATENATE("(",ROUND((H303/$H305)*100,1),")")</f>
        <v>(51.6)</v>
      </c>
      <c r="K303" s="440">
        <f>B308-B303</f>
        <v>10.612000003295634</v>
      </c>
      <c r="L303" s="440">
        <f>D308-D303</f>
        <v>-1.1430000000365474</v>
      </c>
      <c r="M303" s="440">
        <f>F308-F303</f>
        <v>-1.7160000002471705</v>
      </c>
      <c r="N303" s="440">
        <f>SUM(K303:M303)</f>
        <v>7.7530000030119162</v>
      </c>
    </row>
    <row r="304" spans="1:14" x14ac:dyDescent="0.25">
      <c r="A304" s="417" t="s">
        <v>391</v>
      </c>
      <c r="B304" s="440">
        <f>'Ind T6'!L369</f>
        <v>392.0389999955791</v>
      </c>
      <c r="C304" s="436" t="str">
        <f>CONCATENATE("(",ROUND((B304/$H305)*100,1),")")</f>
        <v>(34.6)</v>
      </c>
      <c r="D304" s="440">
        <f>'Ind T6'!M369</f>
        <v>138.01900000065254</v>
      </c>
      <c r="E304" s="436" t="str">
        <f>CONCATENATE("(",ROUND((D304/$H305)*100,1),")")</f>
        <v>(12.2)</v>
      </c>
      <c r="F304" s="440">
        <f>'Ind T6'!N369</f>
        <v>18.599000000237886</v>
      </c>
      <c r="G304" s="436" t="str">
        <f>CONCATENATE("(",ROUND((F304/$H305)*100,1),")")</f>
        <v>(1.6)</v>
      </c>
      <c r="H304" s="440">
        <f t="shared" ref="H304" si="231">SUM(B304,D304,F304)</f>
        <v>548.65699999646949</v>
      </c>
      <c r="I304" s="436" t="str">
        <f>CONCATENATE("(",ROUND((H304/$H305)*100,1),")")</f>
        <v>(48.4)</v>
      </c>
      <c r="K304" s="440">
        <f t="shared" ref="K304:K305" si="232">B309-B304</f>
        <v>-3.6299999974432353</v>
      </c>
      <c r="L304" s="440">
        <f t="shared" ref="L304:L305" si="233">D309-D304</f>
        <v>-2.2480000004932492</v>
      </c>
      <c r="M304" s="440">
        <f t="shared" ref="M304:M305" si="234">F309-F304</f>
        <v>0.75799999995166445</v>
      </c>
      <c r="N304" s="440">
        <f t="shared" ref="N304:N305" si="235">SUM(K304:M304)</f>
        <v>-5.1199999979848201</v>
      </c>
    </row>
    <row r="305" spans="1:14" x14ac:dyDescent="0.25">
      <c r="A305" s="417" t="s">
        <v>389</v>
      </c>
      <c r="B305" s="440">
        <f>SUM(B303:B304)</f>
        <v>909.0649999914308</v>
      </c>
      <c r="C305" s="436" t="str">
        <f>CONCATENATE("(",ROUND((B305/$H305)*100,1),")")</f>
        <v>(80.2)</v>
      </c>
      <c r="D305" s="440">
        <f>SUM(D303:D304)</f>
        <v>160.97600000069684</v>
      </c>
      <c r="E305" s="436" t="str">
        <f>CONCATENATE("(",ROUND((D305/$H305)*100,1),")")</f>
        <v>(14.2)</v>
      </c>
      <c r="F305" s="440">
        <f>SUM(F303:F304)</f>
        <v>63.997999999752587</v>
      </c>
      <c r="G305" s="436" t="str">
        <f>CONCATENATE("(",ROUND((F305/$H305)*100,1),")")</f>
        <v>(5.6)</v>
      </c>
      <c r="H305" s="440">
        <f>SUM(H303:H304)</f>
        <v>1134.0389999918802</v>
      </c>
      <c r="I305" s="436" t="str">
        <f>CONCATENATE("(",ROUND((H305/$H305)*100,1),")")</f>
        <v>(100)</v>
      </c>
      <c r="K305" s="440">
        <f t="shared" si="232"/>
        <v>6.9820000058524556</v>
      </c>
      <c r="L305" s="440">
        <f t="shared" si="233"/>
        <v>-3.3910000005298002</v>
      </c>
      <c r="M305" s="440">
        <f t="shared" si="234"/>
        <v>-0.95800000029550603</v>
      </c>
      <c r="N305" s="440">
        <f t="shared" si="235"/>
        <v>2.6330000050271494</v>
      </c>
    </row>
    <row r="306" spans="1:14" x14ac:dyDescent="0.25">
      <c r="B306" s="440"/>
      <c r="C306" s="428"/>
      <c r="D306" s="440"/>
      <c r="E306" s="428"/>
      <c r="F306" s="440"/>
      <c r="G306" s="428"/>
      <c r="H306" s="440"/>
      <c r="I306" s="428"/>
    </row>
    <row r="307" spans="1:14" x14ac:dyDescent="0.25">
      <c r="A307" s="423">
        <f>$A$13</f>
        <v>2022</v>
      </c>
      <c r="B307" s="440"/>
      <c r="C307" s="428"/>
      <c r="D307" s="440"/>
      <c r="E307" s="428"/>
      <c r="F307" s="440"/>
      <c r="G307" s="428"/>
      <c r="H307" s="440"/>
      <c r="I307" s="428"/>
      <c r="K307" s="426" t="str">
        <f>CONCATENATE(A307," - ",A312)</f>
        <v>2022 - 2027</v>
      </c>
    </row>
    <row r="308" spans="1:14" x14ac:dyDescent="0.25">
      <c r="A308" s="417" t="s">
        <v>390</v>
      </c>
      <c r="B308" s="440">
        <f>'Ind T6'!Q370</f>
        <v>527.63799999914738</v>
      </c>
      <c r="C308" s="436" t="str">
        <f>CONCATENATE("(",ROUND((B308/$H310)*100,1),")")</f>
        <v>(46.4)</v>
      </c>
      <c r="D308" s="440">
        <f>'Ind T6'!R370</f>
        <v>21.814000000007745</v>
      </c>
      <c r="E308" s="436" t="str">
        <f>CONCATENATE("(",ROUND((D308/$H310)*100,1),")")</f>
        <v>(1.9)</v>
      </c>
      <c r="F308" s="440">
        <f>'Ind T6'!S370</f>
        <v>43.68299999926753</v>
      </c>
      <c r="G308" s="436" t="str">
        <f>CONCATENATE("(",ROUND((F308/$H310)*100,1),")")</f>
        <v>(3.8)</v>
      </c>
      <c r="H308" s="440">
        <f>SUM(B308,D308,F308)</f>
        <v>593.13499999842259</v>
      </c>
      <c r="I308" s="436" t="str">
        <f>CONCATENATE("(",ROUND((H308/$H310)*100,1),")")</f>
        <v>(52.2)</v>
      </c>
      <c r="K308" s="440">
        <f>B313-B308</f>
        <v>1.7879999979343211</v>
      </c>
      <c r="L308" s="440">
        <f>D313-D308</f>
        <v>-1.3089999999733664</v>
      </c>
      <c r="M308" s="440">
        <f>F313-F308</f>
        <v>-1.9900000000621816</v>
      </c>
      <c r="N308" s="440">
        <f>SUM(K308:M308)</f>
        <v>-1.5110000021012269</v>
      </c>
    </row>
    <row r="309" spans="1:14" x14ac:dyDescent="0.25">
      <c r="A309" s="417" t="s">
        <v>391</v>
      </c>
      <c r="B309" s="440">
        <f>'Ind T6'!Q369</f>
        <v>388.40899999813587</v>
      </c>
      <c r="C309" s="436" t="str">
        <f>CONCATENATE("(",ROUND((B309/$H310)*100,1),")")</f>
        <v>(34.2)</v>
      </c>
      <c r="D309" s="440">
        <f>'Ind T6'!R369</f>
        <v>135.77100000015929</v>
      </c>
      <c r="E309" s="436" t="str">
        <f>CONCATENATE("(",ROUND((D309/$H310)*100,1),")")</f>
        <v>(11.9)</v>
      </c>
      <c r="F309" s="440">
        <f>'Ind T6'!S369</f>
        <v>19.357000000189551</v>
      </c>
      <c r="G309" s="436" t="str">
        <f>CONCATENATE("(",ROUND((F309/$H310)*100,1),")")</f>
        <v>(1.7)</v>
      </c>
      <c r="H309" s="440">
        <f t="shared" ref="H309" si="236">SUM(B309,D309,F309)</f>
        <v>543.53699999848482</v>
      </c>
      <c r="I309" s="436" t="str">
        <f>CONCATENATE("(",ROUND((H309/$H310)*100,1),")")</f>
        <v>(47.8)</v>
      </c>
      <c r="K309" s="440">
        <f t="shared" ref="K309:K310" si="237">B314-B309</f>
        <v>-8.9500000020873358</v>
      </c>
      <c r="L309" s="440">
        <f t="shared" ref="L309:L310" si="238">D314-D309</f>
        <v>-4.0409999994492409</v>
      </c>
      <c r="M309" s="440">
        <f t="shared" ref="M309:M310" si="239">F314-F309</f>
        <v>0.46200000004043318</v>
      </c>
      <c r="N309" s="440">
        <f t="shared" ref="N309:N310" si="240">SUM(K309:M309)</f>
        <v>-12.529000001496144</v>
      </c>
    </row>
    <row r="310" spans="1:14" x14ac:dyDescent="0.25">
      <c r="A310" s="417" t="s">
        <v>389</v>
      </c>
      <c r="B310" s="440">
        <f>SUM(B308:B309)</f>
        <v>916.04699999728325</v>
      </c>
      <c r="C310" s="436" t="str">
        <f>CONCATENATE("(",ROUND((B310/$H310)*100,1),")")</f>
        <v>(80.6)</v>
      </c>
      <c r="D310" s="440">
        <f>SUM(D308:D309)</f>
        <v>157.58500000016704</v>
      </c>
      <c r="E310" s="436" t="str">
        <f>CONCATENATE("(",ROUND((D310/$H310)*100,1),")")</f>
        <v>(13.9)</v>
      </c>
      <c r="F310" s="440">
        <f>SUM(F308:F309)</f>
        <v>63.039999999457081</v>
      </c>
      <c r="G310" s="436" t="str">
        <f>CONCATENATE("(",ROUND((F310/$H310)*100,1),")")</f>
        <v>(5.5)</v>
      </c>
      <c r="H310" s="440">
        <f>SUM(H308:H309)</f>
        <v>1136.6719999969073</v>
      </c>
      <c r="I310" s="436" t="str">
        <f>CONCATENATE("(",ROUND((H310/$H310)*100,1),")")</f>
        <v>(100)</v>
      </c>
      <c r="K310" s="440">
        <f t="shared" si="237"/>
        <v>-7.1620000041530147</v>
      </c>
      <c r="L310" s="440">
        <f t="shared" si="238"/>
        <v>-5.3499999994226073</v>
      </c>
      <c r="M310" s="440">
        <f t="shared" si="239"/>
        <v>-1.5280000000217484</v>
      </c>
      <c r="N310" s="440">
        <f t="shared" si="240"/>
        <v>-14.04000000359737</v>
      </c>
    </row>
    <row r="311" spans="1:14" x14ac:dyDescent="0.25">
      <c r="B311" s="440"/>
      <c r="C311" s="428"/>
      <c r="D311" s="440"/>
      <c r="E311" s="428"/>
      <c r="F311" s="440"/>
      <c r="G311" s="428"/>
      <c r="H311" s="440"/>
      <c r="I311" s="428"/>
    </row>
    <row r="312" spans="1:14" x14ac:dyDescent="0.25">
      <c r="A312" s="423">
        <f>$A$18</f>
        <v>2027</v>
      </c>
      <c r="B312" s="440"/>
      <c r="C312" s="428"/>
      <c r="D312" s="440"/>
      <c r="E312" s="428"/>
      <c r="F312" s="440"/>
      <c r="G312" s="428"/>
      <c r="H312" s="440"/>
      <c r="I312" s="428"/>
      <c r="K312" s="426" t="str">
        <f>CONCATENATE(A302," - ",A312)</f>
        <v>2017 - 2027</v>
      </c>
    </row>
    <row r="313" spans="1:14" x14ac:dyDescent="0.25">
      <c r="A313" s="417" t="s">
        <v>390</v>
      </c>
      <c r="B313" s="440">
        <f>'Ind T6'!V370</f>
        <v>529.4259999970817</v>
      </c>
      <c r="C313" s="436" t="str">
        <f>CONCATENATE("(",ROUND((B313/$H315)*100,1),")")</f>
        <v>(47.2)</v>
      </c>
      <c r="D313" s="440">
        <f>'Ind T6'!W370</f>
        <v>20.505000000034379</v>
      </c>
      <c r="E313" s="436" t="str">
        <f>CONCATENATE("(",ROUND((D313/$H315)*100,1),")")</f>
        <v>(1.8)</v>
      </c>
      <c r="F313" s="440">
        <f>'Ind T6'!X370</f>
        <v>41.692999999205348</v>
      </c>
      <c r="G313" s="436" t="str">
        <f>CONCATENATE("(",ROUND((F313/$H315)*100,1),")")</f>
        <v>(3.7)</v>
      </c>
      <c r="H313" s="440">
        <f>SUM(B313,D313,F313)</f>
        <v>591.62399999632134</v>
      </c>
      <c r="I313" s="436" t="str">
        <f>CONCATENATE("(",ROUND((H313/$H315)*100,1),")")</f>
        <v>(52.7)</v>
      </c>
      <c r="K313" s="440">
        <f>B313-B303</f>
        <v>12.400000001229955</v>
      </c>
      <c r="L313" s="440">
        <f>D313-D303</f>
        <v>-2.4520000000099138</v>
      </c>
      <c r="M313" s="440">
        <f>F313-F303</f>
        <v>-3.7060000003093521</v>
      </c>
      <c r="N313" s="440">
        <f>SUM(K313:M313)</f>
        <v>6.2420000009106893</v>
      </c>
    </row>
    <row r="314" spans="1:14" x14ac:dyDescent="0.25">
      <c r="A314" s="417" t="s">
        <v>391</v>
      </c>
      <c r="B314" s="440">
        <f>'Ind T6'!V369</f>
        <v>379.45899999604853</v>
      </c>
      <c r="C314" s="436" t="str">
        <f>CONCATENATE("(",ROUND((B314/$H315)*100,1),")")</f>
        <v>(33.8)</v>
      </c>
      <c r="D314" s="440">
        <f>'Ind T6'!W369</f>
        <v>131.73000000071005</v>
      </c>
      <c r="E314" s="436" t="str">
        <f>CONCATENATE("(",ROUND((D314/$H315)*100,1),")")</f>
        <v>(11.7)</v>
      </c>
      <c r="F314" s="440">
        <f>'Ind T6'!X369</f>
        <v>19.819000000229984</v>
      </c>
      <c r="G314" s="436" t="str">
        <f>CONCATENATE("(",ROUND((F314/$H315)*100,1),")")</f>
        <v>(1.8)</v>
      </c>
      <c r="H314" s="440">
        <f t="shared" ref="H314" si="241">SUM(B314,D314,F314)</f>
        <v>531.00799999698859</v>
      </c>
      <c r="I314" s="436" t="str">
        <f>CONCATENATE("(",ROUND((H314/$H315)*100,1),")")</f>
        <v>(47.3)</v>
      </c>
      <c r="K314" s="440">
        <f t="shared" ref="K314:K315" si="242">B314-B304</f>
        <v>-12.579999999530571</v>
      </c>
      <c r="L314" s="440">
        <f t="shared" ref="L314:L315" si="243">D314-D304</f>
        <v>-6.2889999999424901</v>
      </c>
      <c r="M314" s="440">
        <f t="shared" ref="M314:M315" si="244">F314-F304</f>
        <v>1.2199999999920976</v>
      </c>
      <c r="N314" s="440">
        <f t="shared" ref="N314:N315" si="245">SUM(K314:M314)</f>
        <v>-17.648999999480964</v>
      </c>
    </row>
    <row r="315" spans="1:14" x14ac:dyDescent="0.25">
      <c r="A315" s="408" t="s">
        <v>389</v>
      </c>
      <c r="B315" s="440">
        <f>SUM(B313:B314)</f>
        <v>908.88499999313024</v>
      </c>
      <c r="C315" s="436" t="str">
        <f>CONCATENATE("(",ROUND((B315/$H315)*100,1),")")</f>
        <v>(81)</v>
      </c>
      <c r="D315" s="440">
        <f>SUM(D313:D314)</f>
        <v>152.23500000074444</v>
      </c>
      <c r="E315" s="436" t="str">
        <f>CONCATENATE("(",ROUND((D315/$H315)*100,1),")")</f>
        <v>(13.6)</v>
      </c>
      <c r="F315" s="440">
        <f>SUM(F313:F314)</f>
        <v>61.511999999435332</v>
      </c>
      <c r="G315" s="436" t="str">
        <f>CONCATENATE("(",ROUND((F315/$H315)*100,1),")")</f>
        <v>(5.5)</v>
      </c>
      <c r="H315" s="440">
        <f>SUM(H313:H314)</f>
        <v>1122.6319999933098</v>
      </c>
      <c r="I315" s="436" t="str">
        <f>CONCATENATE("(",ROUND((H315/$H315)*100,1),")")</f>
        <v>(100)</v>
      </c>
      <c r="K315" s="440">
        <f t="shared" si="242"/>
        <v>-0.17999999830055913</v>
      </c>
      <c r="L315" s="440">
        <f t="shared" si="243"/>
        <v>-8.7409999999524075</v>
      </c>
      <c r="M315" s="440">
        <f t="shared" si="244"/>
        <v>-2.4860000003172544</v>
      </c>
      <c r="N315" s="440">
        <f t="shared" si="245"/>
        <v>-11.406999998570221</v>
      </c>
    </row>
    <row r="316" spans="1:14" x14ac:dyDescent="0.25">
      <c r="A316" s="429"/>
      <c r="B316" s="430"/>
      <c r="C316" s="429"/>
      <c r="D316" s="430"/>
      <c r="E316" s="429"/>
      <c r="F316" s="430"/>
      <c r="G316" s="429"/>
      <c r="H316" s="430"/>
      <c r="I316" s="429"/>
      <c r="J316" s="429"/>
      <c r="K316" s="430"/>
      <c r="L316" s="430"/>
      <c r="M316" s="430"/>
      <c r="N316" s="430"/>
    </row>
    <row r="320" spans="1:14" x14ac:dyDescent="0.25">
      <c r="A320" s="419"/>
      <c r="B320" s="420" t="s">
        <v>414</v>
      </c>
      <c r="C320" s="419"/>
      <c r="D320" s="420"/>
      <c r="E320" s="419"/>
      <c r="F320" s="420" t="str">
        <f>name!B18</f>
        <v>Real estate</v>
      </c>
      <c r="G320" s="419"/>
      <c r="H320" s="422"/>
      <c r="I320" s="419"/>
      <c r="J320" s="421"/>
      <c r="K320" s="422"/>
      <c r="L320" s="422"/>
      <c r="M320" s="422"/>
      <c r="N320" s="422"/>
    </row>
    <row r="321" spans="1:14" x14ac:dyDescent="0.25">
      <c r="A321" s="408"/>
      <c r="B321" s="409"/>
      <c r="C321" s="408"/>
      <c r="D321" s="409"/>
      <c r="E321" s="408"/>
      <c r="F321" s="409"/>
      <c r="G321" s="408"/>
      <c r="H321" s="409"/>
      <c r="I321" s="408"/>
      <c r="K321" s="409"/>
      <c r="L321" s="409"/>
      <c r="M321" s="409"/>
      <c r="N321" s="415" t="s">
        <v>412</v>
      </c>
    </row>
    <row r="322" spans="1:14" x14ac:dyDescent="0.25">
      <c r="A322" s="413" t="s">
        <v>413</v>
      </c>
      <c r="B322" s="512" t="s">
        <v>411</v>
      </c>
      <c r="C322" s="512"/>
      <c r="D322" s="512" t="s">
        <v>410</v>
      </c>
      <c r="E322" s="512"/>
      <c r="F322" s="512" t="s">
        <v>409</v>
      </c>
      <c r="G322" s="512"/>
      <c r="H322" s="512" t="s">
        <v>32</v>
      </c>
      <c r="I322" s="512"/>
      <c r="J322" s="413"/>
      <c r="K322" s="434" t="s">
        <v>371</v>
      </c>
      <c r="L322" s="434" t="s">
        <v>373</v>
      </c>
      <c r="M322" s="434" t="s">
        <v>369</v>
      </c>
      <c r="N322" s="434" t="s">
        <v>32</v>
      </c>
    </row>
    <row r="323" spans="1:14" x14ac:dyDescent="0.25">
      <c r="A323" s="423">
        <f>$A$8</f>
        <v>2017</v>
      </c>
      <c r="B323" s="424" t="s">
        <v>60</v>
      </c>
      <c r="C323" s="425" t="s">
        <v>408</v>
      </c>
      <c r="D323" s="424" t="s">
        <v>60</v>
      </c>
      <c r="E323" s="425" t="s">
        <v>408</v>
      </c>
      <c r="F323" s="424" t="s">
        <v>60</v>
      </c>
      <c r="G323" s="425" t="s">
        <v>408</v>
      </c>
      <c r="H323" s="424" t="s">
        <v>60</v>
      </c>
      <c r="I323" s="425" t="s">
        <v>408</v>
      </c>
      <c r="J323" s="413"/>
      <c r="K323" s="426" t="str">
        <f>CONCATENATE(A323," - ",A328)</f>
        <v>2017 - 2022</v>
      </c>
      <c r="L323" s="427"/>
      <c r="M323" s="427"/>
    </row>
    <row r="324" spans="1:14" x14ac:dyDescent="0.25">
      <c r="A324" s="417" t="s">
        <v>390</v>
      </c>
      <c r="B324" s="440">
        <f>'Ind T6'!L380</f>
        <v>176.14199999903795</v>
      </c>
      <c r="C324" s="436" t="str">
        <f>CONCATENATE("(",ROUND((B324/$H326)*100,1),")")</f>
        <v>(32.3)</v>
      </c>
      <c r="D324" s="440">
        <f>'Ind T6'!M380</f>
        <v>27.86399999992285</v>
      </c>
      <c r="E324" s="436" t="str">
        <f>CONCATENATE("(",ROUND((D324/$H326)*100,1),")")</f>
        <v>(5.1)</v>
      </c>
      <c r="F324" s="440">
        <f>'Ind T6'!N380</f>
        <v>39.001999999798819</v>
      </c>
      <c r="G324" s="436" t="str">
        <f>CONCATENATE("(",ROUND((F324/$H326)*100,1),")")</f>
        <v>(7.1)</v>
      </c>
      <c r="H324" s="440">
        <f>SUM(B324,D324,F324)</f>
        <v>243.0079999987596</v>
      </c>
      <c r="I324" s="436" t="str">
        <f>CONCATENATE("(",ROUND((H324/$H326)*100,1),")")</f>
        <v>(44.5)</v>
      </c>
      <c r="K324" s="440">
        <f>B329-B324</f>
        <v>10.117000000790853</v>
      </c>
      <c r="L324" s="440">
        <f>D329-D324</f>
        <v>-1.0189999999205952</v>
      </c>
      <c r="M324" s="440">
        <f>F329-F324</f>
        <v>0.3670000001128102</v>
      </c>
      <c r="N324" s="440">
        <f>SUM(K324:M324)</f>
        <v>9.4650000009830677</v>
      </c>
    </row>
    <row r="325" spans="1:14" x14ac:dyDescent="0.25">
      <c r="A325" s="417" t="s">
        <v>391</v>
      </c>
      <c r="B325" s="440">
        <f>'Ind T6'!L379</f>
        <v>175.00599999883013</v>
      </c>
      <c r="C325" s="436" t="str">
        <f>CONCATENATE("(",ROUND((B325/$H326)*100,1),")")</f>
        <v>(32.1)</v>
      </c>
      <c r="D325" s="440">
        <f>'Ind T6'!M379</f>
        <v>95.004000000809995</v>
      </c>
      <c r="E325" s="436" t="str">
        <f>CONCATENATE("(",ROUND((D325/$H326)*100,1),")")</f>
        <v>(17.4)</v>
      </c>
      <c r="F325" s="440">
        <f>'Ind T6'!N379</f>
        <v>33.001000000409114</v>
      </c>
      <c r="G325" s="436" t="str">
        <f>CONCATENATE("(",ROUND((F325/$H326)*100,1),")")</f>
        <v>(6)</v>
      </c>
      <c r="H325" s="440">
        <f t="shared" ref="H325" si="246">SUM(B325,D325,F325)</f>
        <v>303.01100000004925</v>
      </c>
      <c r="I325" s="436" t="str">
        <f>CONCATENATE("(",ROUND((H325/$H326)*100,1),")")</f>
        <v>(55.5)</v>
      </c>
      <c r="K325" s="440">
        <f t="shared" ref="K325:K326" si="247">B330-B325</f>
        <v>-1.1500000005498521</v>
      </c>
      <c r="L325" s="440">
        <f t="shared" ref="L325:L326" si="248">D330-D325</f>
        <v>1.021999999065784</v>
      </c>
      <c r="M325" s="440">
        <f t="shared" ref="M325:M326" si="249">F330-F325</f>
        <v>1.172000000159521</v>
      </c>
      <c r="N325" s="440">
        <f t="shared" ref="N325:N326" si="250">SUM(K325:M325)</f>
        <v>1.0439999986754529</v>
      </c>
    </row>
    <row r="326" spans="1:14" x14ac:dyDescent="0.25">
      <c r="A326" s="417" t="s">
        <v>389</v>
      </c>
      <c r="B326" s="440">
        <f>SUM(B324:B325)</f>
        <v>351.14799999786806</v>
      </c>
      <c r="C326" s="436" t="str">
        <f>CONCATENATE("(",ROUND((B326/$H326)*100,1),")")</f>
        <v>(64.3)</v>
      </c>
      <c r="D326" s="440">
        <f>SUM(D324:D325)</f>
        <v>122.86800000073285</v>
      </c>
      <c r="E326" s="436" t="str">
        <f>CONCATENATE("(",ROUND((D326/$H326)*100,1),")")</f>
        <v>(22.5)</v>
      </c>
      <c r="F326" s="440">
        <f>SUM(F324:F325)</f>
        <v>72.003000000207933</v>
      </c>
      <c r="G326" s="436" t="str">
        <f>CONCATENATE("(",ROUND((F326/$H326)*100,1),")")</f>
        <v>(13.2)</v>
      </c>
      <c r="H326" s="440">
        <f>SUM(H324:H325)</f>
        <v>546.01899999880879</v>
      </c>
      <c r="I326" s="436" t="str">
        <f>CONCATENATE("(",ROUND((H326/$H326)*100,1),")")</f>
        <v>(100)</v>
      </c>
      <c r="K326" s="440">
        <f t="shared" si="247"/>
        <v>8.9670000002410006</v>
      </c>
      <c r="L326" s="440">
        <f t="shared" si="248"/>
        <v>2.9999991451887809E-3</v>
      </c>
      <c r="M326" s="440">
        <f t="shared" si="249"/>
        <v>1.5390000002723383</v>
      </c>
      <c r="N326" s="440">
        <f t="shared" si="250"/>
        <v>10.508999999658528</v>
      </c>
    </row>
    <row r="327" spans="1:14" x14ac:dyDescent="0.25">
      <c r="B327" s="440"/>
      <c r="C327" s="428"/>
      <c r="D327" s="440"/>
      <c r="E327" s="428"/>
      <c r="F327" s="440"/>
      <c r="G327" s="428"/>
      <c r="H327" s="440"/>
      <c r="I327" s="428"/>
    </row>
    <row r="328" spans="1:14" x14ac:dyDescent="0.25">
      <c r="A328" s="423">
        <f>$A$13</f>
        <v>2022</v>
      </c>
      <c r="B328" s="440"/>
      <c r="C328" s="428"/>
      <c r="D328" s="440"/>
      <c r="E328" s="428"/>
      <c r="F328" s="440"/>
      <c r="G328" s="428"/>
      <c r="H328" s="440"/>
      <c r="I328" s="428"/>
      <c r="K328" s="426" t="str">
        <f>CONCATENATE(A328," - ",A333)</f>
        <v>2022 - 2027</v>
      </c>
    </row>
    <row r="329" spans="1:14" x14ac:dyDescent="0.25">
      <c r="A329" s="417" t="s">
        <v>390</v>
      </c>
      <c r="B329" s="440">
        <f>'Ind T6'!Q380</f>
        <v>186.2589999998288</v>
      </c>
      <c r="C329" s="436" t="str">
        <f>CONCATENATE("(",ROUND((B329/$H331)*100,1),")")</f>
        <v>(33.5)</v>
      </c>
      <c r="D329" s="440">
        <f>'Ind T6'!R380</f>
        <v>26.845000000002255</v>
      </c>
      <c r="E329" s="436" t="str">
        <f>CONCATENATE("(",ROUND((D329/$H331)*100,1),")")</f>
        <v>(4.8)</v>
      </c>
      <c r="F329" s="440">
        <f>'Ind T6'!S380</f>
        <v>39.36899999991163</v>
      </c>
      <c r="G329" s="436" t="str">
        <f>CONCATENATE("(",ROUND((F329/$H331)*100,1),")")</f>
        <v>(7.1)</v>
      </c>
      <c r="H329" s="440">
        <f>SUM(B329,D329,F329)</f>
        <v>252.47299999974268</v>
      </c>
      <c r="I329" s="436" t="str">
        <f>CONCATENATE("(",ROUND((H329/$H331)*100,1),")")</f>
        <v>(45.4)</v>
      </c>
      <c r="K329" s="440">
        <f>B334-B329</f>
        <v>10.715999999680207</v>
      </c>
      <c r="L329" s="440">
        <f>D334-D329</f>
        <v>-0.77000000007291547</v>
      </c>
      <c r="M329" s="440">
        <f>F334-F329</f>
        <v>0.60700000000473153</v>
      </c>
      <c r="N329" s="440">
        <f>SUM(K329:M329)</f>
        <v>10.552999999612023</v>
      </c>
    </row>
    <row r="330" spans="1:14" x14ac:dyDescent="0.25">
      <c r="A330" s="417" t="s">
        <v>391</v>
      </c>
      <c r="B330" s="440">
        <f>'Ind T6'!Q379</f>
        <v>173.85599999828028</v>
      </c>
      <c r="C330" s="436" t="str">
        <f>CONCATENATE("(",ROUND((B330/$H331)*100,1),")")</f>
        <v>(31.2)</v>
      </c>
      <c r="D330" s="440">
        <f>'Ind T6'!R379</f>
        <v>96.025999999875779</v>
      </c>
      <c r="E330" s="436" t="str">
        <f>CONCATENATE("(",ROUND((D330/$H331)*100,1),")")</f>
        <v>(17.3)</v>
      </c>
      <c r="F330" s="440">
        <f>'Ind T6'!S379</f>
        <v>34.173000000568635</v>
      </c>
      <c r="G330" s="436" t="str">
        <f>CONCATENATE("(",ROUND((F330/$H331)*100,1),")")</f>
        <v>(6.1)</v>
      </c>
      <c r="H330" s="440">
        <f t="shared" ref="H330" si="251">SUM(B330,D330,F330)</f>
        <v>304.05499999872472</v>
      </c>
      <c r="I330" s="436" t="str">
        <f>CONCATENATE("(",ROUND((H330/$H331)*100,1),")")</f>
        <v>(54.6)</v>
      </c>
      <c r="K330" s="440">
        <f t="shared" ref="K330:K331" si="252">B335-B330</f>
        <v>0.1000000005647621</v>
      </c>
      <c r="L330" s="440">
        <f t="shared" ref="L330:L331" si="253">D335-D330</f>
        <v>1.6020000008890776</v>
      </c>
      <c r="M330" s="440">
        <f t="shared" ref="M330:M331" si="254">F335-F330</f>
        <v>1.3260000000195973</v>
      </c>
      <c r="N330" s="440">
        <f t="shared" ref="N330:N331" si="255">SUM(K330:M330)</f>
        <v>3.028000001473437</v>
      </c>
    </row>
    <row r="331" spans="1:14" x14ac:dyDescent="0.25">
      <c r="A331" s="417" t="s">
        <v>389</v>
      </c>
      <c r="B331" s="440">
        <f>SUM(B329:B330)</f>
        <v>360.11499999810906</v>
      </c>
      <c r="C331" s="436" t="str">
        <f>CONCATENATE("(",ROUND((B331/$H331)*100,1),")")</f>
        <v>(64.7)</v>
      </c>
      <c r="D331" s="440">
        <f>SUM(D329:D330)</f>
        <v>122.87099999987804</v>
      </c>
      <c r="E331" s="436" t="str">
        <f>CONCATENATE("(",ROUND((D331/$H331)*100,1),")")</f>
        <v>(22.1)</v>
      </c>
      <c r="F331" s="440">
        <f>SUM(F329:F330)</f>
        <v>73.542000000480272</v>
      </c>
      <c r="G331" s="436" t="str">
        <f>CONCATENATE("(",ROUND((F331/$H331)*100,1),")")</f>
        <v>(13.2)</v>
      </c>
      <c r="H331" s="440">
        <f>SUM(H329:H330)</f>
        <v>556.52799999846741</v>
      </c>
      <c r="I331" s="436" t="str">
        <f>CONCATENATE("(",ROUND((H331/$H331)*100,1),")")</f>
        <v>(100)</v>
      </c>
      <c r="K331" s="440">
        <f t="shared" si="252"/>
        <v>10.816000000245026</v>
      </c>
      <c r="L331" s="440">
        <f t="shared" si="253"/>
        <v>0.83200000081616565</v>
      </c>
      <c r="M331" s="440">
        <f t="shared" si="254"/>
        <v>1.9330000000243217</v>
      </c>
      <c r="N331" s="440">
        <f t="shared" si="255"/>
        <v>13.581000001085513</v>
      </c>
    </row>
    <row r="332" spans="1:14" x14ac:dyDescent="0.25">
      <c r="B332" s="440"/>
      <c r="C332" s="428"/>
      <c r="D332" s="440"/>
      <c r="E332" s="428"/>
      <c r="F332" s="440"/>
      <c r="G332" s="428"/>
      <c r="H332" s="440"/>
      <c r="I332" s="428"/>
    </row>
    <row r="333" spans="1:14" x14ac:dyDescent="0.25">
      <c r="A333" s="423">
        <f>$A$18</f>
        <v>2027</v>
      </c>
      <c r="B333" s="440"/>
      <c r="C333" s="428"/>
      <c r="D333" s="440"/>
      <c r="E333" s="428"/>
      <c r="F333" s="440"/>
      <c r="G333" s="428"/>
      <c r="H333" s="440"/>
      <c r="I333" s="428"/>
      <c r="K333" s="426" t="str">
        <f>CONCATENATE(A323," - ",A333)</f>
        <v>2017 - 2027</v>
      </c>
    </row>
    <row r="334" spans="1:14" x14ac:dyDescent="0.25">
      <c r="A334" s="417" t="s">
        <v>390</v>
      </c>
      <c r="B334" s="440">
        <f>'Ind T6'!V380</f>
        <v>196.97499999950901</v>
      </c>
      <c r="C334" s="436" t="str">
        <f>CONCATENATE("(",ROUND((B334/$H336)*100,1),")")</f>
        <v>(34.6)</v>
      </c>
      <c r="D334" s="440">
        <f>'Ind T6'!W380</f>
        <v>26.074999999929339</v>
      </c>
      <c r="E334" s="436" t="str">
        <f>CONCATENATE("(",ROUND((D334/$H336)*100,1),")")</f>
        <v>(4.6)</v>
      </c>
      <c r="F334" s="440">
        <f>'Ind T6'!X380</f>
        <v>39.975999999916361</v>
      </c>
      <c r="G334" s="436" t="str">
        <f>CONCATENATE("(",ROUND((F334/$H336)*100,1),")")</f>
        <v>(7)</v>
      </c>
      <c r="H334" s="440">
        <f>SUM(B334,D334,F334)</f>
        <v>263.02599999935472</v>
      </c>
      <c r="I334" s="436" t="str">
        <f>CONCATENATE("(",ROUND((H334/$H336)*100,1),")")</f>
        <v>(46.1)</v>
      </c>
      <c r="K334" s="440">
        <f>B334-B324</f>
        <v>20.83300000047106</v>
      </c>
      <c r="L334" s="440">
        <f>D334-D324</f>
        <v>-1.7889999999935107</v>
      </c>
      <c r="M334" s="440">
        <f>F334-F324</f>
        <v>0.97400000011754173</v>
      </c>
      <c r="N334" s="440">
        <f>SUM(K334:M334)</f>
        <v>20.018000000595091</v>
      </c>
    </row>
    <row r="335" spans="1:14" x14ac:dyDescent="0.25">
      <c r="A335" s="417" t="s">
        <v>391</v>
      </c>
      <c r="B335" s="440">
        <f>'Ind T6'!V379</f>
        <v>173.95599999884504</v>
      </c>
      <c r="C335" s="436" t="str">
        <f>CONCATENATE("(",ROUND((B335/$H336)*100,1),")")</f>
        <v>(30.5)</v>
      </c>
      <c r="D335" s="440">
        <f>'Ind T6'!W379</f>
        <v>97.628000000764857</v>
      </c>
      <c r="E335" s="436" t="str">
        <f>CONCATENATE("(",ROUND((D335/$H336)*100,1),")")</f>
        <v>(17.1)</v>
      </c>
      <c r="F335" s="440">
        <f>'Ind T6'!X379</f>
        <v>35.499000000588232</v>
      </c>
      <c r="G335" s="436" t="str">
        <f>CONCATENATE("(",ROUND((F335/$H336)*100,1),")")</f>
        <v>(6.2)</v>
      </c>
      <c r="H335" s="440">
        <f>SUM(B335,D335,F335)</f>
        <v>307.08300000019813</v>
      </c>
      <c r="I335" s="436" t="str">
        <f>CONCATENATE("(",ROUND((H335/$H336)*100,1),")")</f>
        <v>(53.9)</v>
      </c>
      <c r="K335" s="440">
        <f t="shared" ref="K335:K336" si="256">B335-B325</f>
        <v>-1.04999999998509</v>
      </c>
      <c r="L335" s="440">
        <f t="shared" ref="L335:L336" si="257">D335-D325</f>
        <v>2.6239999999548616</v>
      </c>
      <c r="M335" s="440">
        <f t="shared" ref="M335:M336" si="258">F335-F325</f>
        <v>2.4980000001791183</v>
      </c>
      <c r="N335" s="440">
        <f t="shared" ref="N335:N336" si="259">SUM(K335:M335)</f>
        <v>4.0720000001488899</v>
      </c>
    </row>
    <row r="336" spans="1:14" x14ac:dyDescent="0.25">
      <c r="A336" s="408" t="s">
        <v>389</v>
      </c>
      <c r="B336" s="440">
        <f>SUM(B334:B335)</f>
        <v>370.93099999835408</v>
      </c>
      <c r="C336" s="436" t="str">
        <f>CONCATENATE("(",ROUND((B336/$H336)*100,1),")")</f>
        <v>(65.1)</v>
      </c>
      <c r="D336" s="440">
        <f>SUM(D334:D335)</f>
        <v>123.7030000006942</v>
      </c>
      <c r="E336" s="436" t="str">
        <f>CONCATENATE("(",ROUND((D336/$H336)*100,1),")")</f>
        <v>(21.7)</v>
      </c>
      <c r="F336" s="440">
        <f>SUM(F334:F335)</f>
        <v>75.475000000504593</v>
      </c>
      <c r="G336" s="436" t="str">
        <f>CONCATENATE("(",ROUND((F336/$H336)*100,1),")")</f>
        <v>(13.2)</v>
      </c>
      <c r="H336" s="440">
        <f>SUM(H334:H335)</f>
        <v>570.10899999955291</v>
      </c>
      <c r="I336" s="436" t="str">
        <f>CONCATENATE("(",ROUND((H336/$H336)*100,1),")")</f>
        <v>(100)</v>
      </c>
      <c r="K336" s="440">
        <f t="shared" si="256"/>
        <v>19.783000000486027</v>
      </c>
      <c r="L336" s="440">
        <f t="shared" si="257"/>
        <v>0.83499999996135443</v>
      </c>
      <c r="M336" s="440">
        <f t="shared" si="258"/>
        <v>3.47200000029666</v>
      </c>
      <c r="N336" s="440">
        <f t="shared" si="259"/>
        <v>24.090000000744041</v>
      </c>
    </row>
    <row r="337" spans="1:14" x14ac:dyDescent="0.25">
      <c r="A337" s="429"/>
      <c r="B337" s="430"/>
      <c r="C337" s="429"/>
      <c r="D337" s="430"/>
      <c r="E337" s="429"/>
      <c r="F337" s="430"/>
      <c r="G337" s="429"/>
      <c r="H337" s="430"/>
      <c r="I337" s="429"/>
      <c r="J337" s="429"/>
      <c r="K337" s="430"/>
      <c r="L337" s="430"/>
      <c r="M337" s="430"/>
      <c r="N337" s="430"/>
    </row>
    <row r="341" spans="1:14" x14ac:dyDescent="0.25">
      <c r="A341" s="419"/>
      <c r="B341" s="420" t="s">
        <v>414</v>
      </c>
      <c r="C341" s="419"/>
      <c r="D341" s="420"/>
      <c r="E341" s="419"/>
      <c r="F341" s="420" t="str">
        <f>name!B19</f>
        <v>Professional services</v>
      </c>
      <c r="G341" s="419"/>
      <c r="H341" s="422"/>
      <c r="I341" s="419"/>
      <c r="J341" s="421"/>
      <c r="K341" s="422"/>
      <c r="L341" s="422"/>
      <c r="M341" s="422"/>
      <c r="N341" s="422"/>
    </row>
    <row r="342" spans="1:14" x14ac:dyDescent="0.25">
      <c r="A342" s="408"/>
      <c r="B342" s="409"/>
      <c r="C342" s="408"/>
      <c r="D342" s="409"/>
      <c r="E342" s="408"/>
      <c r="F342" s="409"/>
      <c r="G342" s="408"/>
      <c r="H342" s="409"/>
      <c r="I342" s="408"/>
      <c r="K342" s="409"/>
      <c r="L342" s="409"/>
      <c r="M342" s="409"/>
      <c r="N342" s="415" t="s">
        <v>412</v>
      </c>
    </row>
    <row r="343" spans="1:14" x14ac:dyDescent="0.25">
      <c r="A343" s="413" t="s">
        <v>413</v>
      </c>
      <c r="B343" s="512" t="s">
        <v>411</v>
      </c>
      <c r="C343" s="512"/>
      <c r="D343" s="512" t="s">
        <v>410</v>
      </c>
      <c r="E343" s="512"/>
      <c r="F343" s="512" t="s">
        <v>409</v>
      </c>
      <c r="G343" s="512"/>
      <c r="H343" s="512" t="s">
        <v>32</v>
      </c>
      <c r="I343" s="512"/>
      <c r="J343" s="413"/>
      <c r="K343" s="434" t="s">
        <v>371</v>
      </c>
      <c r="L343" s="434" t="s">
        <v>373</v>
      </c>
      <c r="M343" s="434" t="s">
        <v>369</v>
      </c>
      <c r="N343" s="434" t="s">
        <v>32</v>
      </c>
    </row>
    <row r="344" spans="1:14" x14ac:dyDescent="0.25">
      <c r="A344" s="423">
        <f>$A$8</f>
        <v>2017</v>
      </c>
      <c r="B344" s="424" t="s">
        <v>60</v>
      </c>
      <c r="C344" s="425" t="s">
        <v>408</v>
      </c>
      <c r="D344" s="424" t="s">
        <v>60</v>
      </c>
      <c r="E344" s="425" t="s">
        <v>408</v>
      </c>
      <c r="F344" s="424" t="s">
        <v>60</v>
      </c>
      <c r="G344" s="425" t="s">
        <v>408</v>
      </c>
      <c r="H344" s="424" t="s">
        <v>60</v>
      </c>
      <c r="I344" s="425" t="s">
        <v>408</v>
      </c>
      <c r="J344" s="413"/>
      <c r="K344" s="426" t="str">
        <f>CONCATENATE(A344," - ",A349)</f>
        <v>2017 - 2022</v>
      </c>
      <c r="L344" s="427"/>
      <c r="M344" s="427"/>
    </row>
    <row r="345" spans="1:14" x14ac:dyDescent="0.25">
      <c r="A345" s="417" t="s">
        <v>390</v>
      </c>
      <c r="B345" s="440">
        <f>'Ind T6'!L425</f>
        <v>1231.0049999908351</v>
      </c>
      <c r="C345" s="436" t="str">
        <f>CONCATENATE("(",ROUND((B345/$H347)*100,1),")")</f>
        <v>(40.8)</v>
      </c>
      <c r="D345" s="440">
        <f>'Ind T6'!M425</f>
        <v>137.01200000002476</v>
      </c>
      <c r="E345" s="436" t="str">
        <f>CONCATENATE("(",ROUND((D345/$H347)*100,1),")")</f>
        <v>(4.5)</v>
      </c>
      <c r="F345" s="440">
        <f>'Ind T6'!N425</f>
        <v>302.08999999189274</v>
      </c>
      <c r="G345" s="436" t="str">
        <f>CONCATENATE("(",ROUND((F345/$H347)*100,1),")")</f>
        <v>(10)</v>
      </c>
      <c r="H345" s="440">
        <f>SUM(B345,D345,F345)</f>
        <v>1670.1069999827525</v>
      </c>
      <c r="I345" s="436" t="str">
        <f>CONCATENATE("(",ROUND((H345/$H347)*100,1),")")</f>
        <v>(55.4)</v>
      </c>
      <c r="K345" s="440">
        <f>B350-B345</f>
        <v>86.955000013914969</v>
      </c>
      <c r="L345" s="440">
        <f>D350-D345</f>
        <v>-0.64499999949191533</v>
      </c>
      <c r="M345" s="440">
        <f>F350-F345</f>
        <v>11.897999998905846</v>
      </c>
      <c r="N345" s="440">
        <f>SUM(K345:M345)</f>
        <v>98.208000013328899</v>
      </c>
    </row>
    <row r="346" spans="1:14" x14ac:dyDescent="0.25">
      <c r="A346" s="417" t="s">
        <v>391</v>
      </c>
      <c r="B346" s="440">
        <f>'Ind T6'!L424</f>
        <v>790.70599998775731</v>
      </c>
      <c r="C346" s="436" t="str">
        <f>CONCATENATE("(",ROUND((B346/$H347)*100,1),")")</f>
        <v>(26.2)</v>
      </c>
      <c r="D346" s="440">
        <f>'Ind T6'!M424</f>
        <v>354.3659999987193</v>
      </c>
      <c r="E346" s="436" t="str">
        <f>CONCATENATE("(",ROUND((D346/$H347)*100,1),")")</f>
        <v>(11.8)</v>
      </c>
      <c r="F346" s="440">
        <f>'Ind T6'!N424</f>
        <v>198.90899999930633</v>
      </c>
      <c r="G346" s="436" t="str">
        <f>CONCATENATE("(",ROUND((F346/$H347)*100,1),")")</f>
        <v>(6.6)</v>
      </c>
      <c r="H346" s="440">
        <f t="shared" ref="H346" si="260">SUM(B346,D346,F346)</f>
        <v>1343.980999985783</v>
      </c>
      <c r="I346" s="436" t="str">
        <f>CONCATENATE("(",ROUND((H346/$H347)*100,1),")")</f>
        <v>(44.6)</v>
      </c>
      <c r="K346" s="440">
        <f t="shared" ref="K346:K347" si="261">B351-B346</f>
        <v>25.009000016231766</v>
      </c>
      <c r="L346" s="440">
        <f t="shared" ref="L346:L347" si="262">D351-D346</f>
        <v>19.387000003630476</v>
      </c>
      <c r="M346" s="440">
        <f t="shared" ref="M346:M347" si="263">F351-F346</f>
        <v>9.829000004535942</v>
      </c>
      <c r="N346" s="440">
        <f t="shared" ref="N346:N347" si="264">SUM(K346:M346)</f>
        <v>54.225000024398184</v>
      </c>
    </row>
    <row r="347" spans="1:14" x14ac:dyDescent="0.25">
      <c r="A347" s="417" t="s">
        <v>389</v>
      </c>
      <c r="B347" s="440">
        <f>SUM(B345:B346)</f>
        <v>2021.7109999785926</v>
      </c>
      <c r="C347" s="436" t="str">
        <f>CONCATENATE("(",ROUND((B347/$H347)*100,1),")")</f>
        <v>(67.1)</v>
      </c>
      <c r="D347" s="440">
        <f>SUM(D345:D346)</f>
        <v>491.37799999874403</v>
      </c>
      <c r="E347" s="436" t="str">
        <f>CONCATENATE("(",ROUND((D347/$H347)*100,1),")")</f>
        <v>(16.3)</v>
      </c>
      <c r="F347" s="440">
        <f>SUM(F345:F346)</f>
        <v>500.99899999119907</v>
      </c>
      <c r="G347" s="436" t="str">
        <f>CONCATENATE("(",ROUND((F347/$H347)*100,1),")")</f>
        <v>(16.6)</v>
      </c>
      <c r="H347" s="440">
        <f>SUM(H345:H346)</f>
        <v>3014.0879999685358</v>
      </c>
      <c r="I347" s="436" t="str">
        <f>CONCATENATE("(",ROUND((H347/$H347)*100,1),")")</f>
        <v>(100)</v>
      </c>
      <c r="K347" s="440">
        <f t="shared" si="261"/>
        <v>111.96400003014651</v>
      </c>
      <c r="L347" s="440">
        <f t="shared" si="262"/>
        <v>18.742000004138617</v>
      </c>
      <c r="M347" s="440">
        <f t="shared" si="263"/>
        <v>21.727000003441844</v>
      </c>
      <c r="N347" s="440">
        <f t="shared" si="264"/>
        <v>152.43300003772697</v>
      </c>
    </row>
    <row r="348" spans="1:14" x14ac:dyDescent="0.25">
      <c r="B348" s="440"/>
      <c r="C348" s="428"/>
      <c r="D348" s="440"/>
      <c r="E348" s="428"/>
      <c r="F348" s="440"/>
      <c r="G348" s="428"/>
      <c r="H348" s="440"/>
      <c r="I348" s="428"/>
    </row>
    <row r="349" spans="1:14" x14ac:dyDescent="0.25">
      <c r="A349" s="423">
        <f>$A$13</f>
        <v>2022</v>
      </c>
      <c r="B349" s="440"/>
      <c r="C349" s="428"/>
      <c r="D349" s="440"/>
      <c r="E349" s="428"/>
      <c r="F349" s="440"/>
      <c r="G349" s="428"/>
      <c r="H349" s="440"/>
      <c r="I349" s="428"/>
      <c r="K349" s="426" t="str">
        <f>CONCATENATE(A349," - ",A354)</f>
        <v>2022 - 2027</v>
      </c>
    </row>
    <row r="350" spans="1:14" x14ac:dyDescent="0.25">
      <c r="A350" s="417" t="s">
        <v>390</v>
      </c>
      <c r="B350" s="440">
        <f>'Ind T6'!Q425</f>
        <v>1317.9600000047501</v>
      </c>
      <c r="C350" s="436" t="str">
        <f>CONCATENATE("(",ROUND((B350/$H352)*100,1),")")</f>
        <v>(41.6)</v>
      </c>
      <c r="D350" s="440">
        <f>'Ind T6'!R425</f>
        <v>136.36700000053284</v>
      </c>
      <c r="E350" s="436" t="str">
        <f>CONCATENATE("(",ROUND((D350/$H352)*100,1),")")</f>
        <v>(4.3)</v>
      </c>
      <c r="F350" s="440">
        <f>'Ind T6'!S425</f>
        <v>313.98799999079858</v>
      </c>
      <c r="G350" s="436" t="str">
        <f>CONCATENATE("(",ROUND((F350/$H352)*100,1),")")</f>
        <v>(9.9)</v>
      </c>
      <c r="H350" s="440">
        <f>SUM(B350,D350,F350)</f>
        <v>1768.3149999960815</v>
      </c>
      <c r="I350" s="436" t="str">
        <f>CONCATENATE("(",ROUND((H350/$H352)*100,1),")")</f>
        <v>(55.8)</v>
      </c>
      <c r="K350" s="440">
        <f>B355-B350</f>
        <v>44.448999993504458</v>
      </c>
      <c r="L350" s="440">
        <f>D355-D350</f>
        <v>-3.7710000004171036</v>
      </c>
      <c r="M350" s="440">
        <f>F355-F350</f>
        <v>4.9659999999068418</v>
      </c>
      <c r="N350" s="440">
        <f>SUM(K350:M350)</f>
        <v>45.643999992994196</v>
      </c>
    </row>
    <row r="351" spans="1:14" x14ac:dyDescent="0.25">
      <c r="A351" s="417" t="s">
        <v>391</v>
      </c>
      <c r="B351" s="440">
        <f>'Ind T6'!Q424</f>
        <v>815.71500000398908</v>
      </c>
      <c r="C351" s="436" t="str">
        <f>CONCATENATE("(",ROUND((B351/$H352)*100,1),")")</f>
        <v>(25.8)</v>
      </c>
      <c r="D351" s="440">
        <f>'Ind T6'!R424</f>
        <v>373.75300000234978</v>
      </c>
      <c r="E351" s="436" t="str">
        <f>CONCATENATE("(",ROUND((D351/$H352)*100,1),")")</f>
        <v>(11.8)</v>
      </c>
      <c r="F351" s="440">
        <f>'Ind T6'!S424</f>
        <v>208.73800000384227</v>
      </c>
      <c r="G351" s="436" t="str">
        <f>CONCATENATE("(",ROUND((F351/$H352)*100,1),")")</f>
        <v>(6.6)</v>
      </c>
      <c r="H351" s="440">
        <f t="shared" ref="H351" si="265">SUM(B351,D351,F351)</f>
        <v>1398.206000010181</v>
      </c>
      <c r="I351" s="436" t="str">
        <f>CONCATENATE("(",ROUND((H351/$H352)*100,1),")")</f>
        <v>(44.2)</v>
      </c>
      <c r="K351" s="440">
        <f t="shared" ref="K351:K352" si="266">B356-B351</f>
        <v>7.2749999905173581</v>
      </c>
      <c r="L351" s="440">
        <f t="shared" ref="L351:L352" si="267">D356-D351</f>
        <v>10.201999999425539</v>
      </c>
      <c r="M351" s="440">
        <f t="shared" ref="M351:M352" si="268">F356-F351</f>
        <v>6.5489999978320839</v>
      </c>
      <c r="N351" s="440">
        <f t="shared" ref="N351:N352" si="269">SUM(K351:M351)</f>
        <v>24.025999987774981</v>
      </c>
    </row>
    <row r="352" spans="1:14" x14ac:dyDescent="0.25">
      <c r="A352" s="417" t="s">
        <v>389</v>
      </c>
      <c r="B352" s="440">
        <f>SUM(B350:B351)</f>
        <v>2133.6750000087391</v>
      </c>
      <c r="C352" s="436" t="str">
        <f>CONCATENATE("(",ROUND((B352/$H352)*100,1),")")</f>
        <v>(67.4)</v>
      </c>
      <c r="D352" s="440">
        <f>SUM(D350:D351)</f>
        <v>510.12000000288265</v>
      </c>
      <c r="E352" s="436" t="str">
        <f>CONCATENATE("(",ROUND((D352/$H352)*100,1),")")</f>
        <v>(16.1)</v>
      </c>
      <c r="F352" s="440">
        <f>SUM(F350:F351)</f>
        <v>522.72599999464092</v>
      </c>
      <c r="G352" s="436" t="str">
        <f>CONCATENATE("(",ROUND((F352/$H352)*100,1),")")</f>
        <v>(16.5)</v>
      </c>
      <c r="H352" s="440">
        <f>SUM(H350:H351)</f>
        <v>3166.5210000062625</v>
      </c>
      <c r="I352" s="436" t="str">
        <f>CONCATENATE("(",ROUND((H352/$H352)*100,1),")")</f>
        <v>(100)</v>
      </c>
      <c r="K352" s="440">
        <f t="shared" si="266"/>
        <v>51.723999984021702</v>
      </c>
      <c r="L352" s="440">
        <f t="shared" si="267"/>
        <v>6.4309999990083497</v>
      </c>
      <c r="M352" s="440">
        <f t="shared" si="268"/>
        <v>11.514999997738869</v>
      </c>
      <c r="N352" s="440">
        <f t="shared" si="269"/>
        <v>69.669999980768921</v>
      </c>
    </row>
    <row r="353" spans="1:14" x14ac:dyDescent="0.25">
      <c r="B353" s="440"/>
      <c r="C353" s="428"/>
      <c r="D353" s="440"/>
      <c r="E353" s="428"/>
      <c r="F353" s="440"/>
      <c r="G353" s="428"/>
      <c r="H353" s="440"/>
      <c r="I353" s="428"/>
    </row>
    <row r="354" spans="1:14" x14ac:dyDescent="0.25">
      <c r="A354" s="423">
        <f>$A$18</f>
        <v>2027</v>
      </c>
      <c r="B354" s="440"/>
      <c r="C354" s="428"/>
      <c r="D354" s="440"/>
      <c r="E354" s="428"/>
      <c r="F354" s="440"/>
      <c r="G354" s="428"/>
      <c r="H354" s="440"/>
      <c r="I354" s="428"/>
      <c r="K354" s="426" t="str">
        <f>CONCATENATE(A344," - ",A354)</f>
        <v>2017 - 2027</v>
      </c>
    </row>
    <row r="355" spans="1:14" x14ac:dyDescent="0.25">
      <c r="A355" s="417" t="s">
        <v>390</v>
      </c>
      <c r="B355" s="440">
        <f>'Ind T6'!V425</f>
        <v>1362.4089999982546</v>
      </c>
      <c r="C355" s="436" t="str">
        <f>CONCATENATE("(",ROUND((B355/$H357)*100,1),")")</f>
        <v>(42.1)</v>
      </c>
      <c r="D355" s="440">
        <f>'Ind T6'!W425</f>
        <v>132.59600000011574</v>
      </c>
      <c r="E355" s="436" t="str">
        <f>CONCATENATE("(",ROUND((D355/$H357)*100,1),")")</f>
        <v>(4.1)</v>
      </c>
      <c r="F355" s="440">
        <f>'Ind T6'!X425</f>
        <v>318.95399999070543</v>
      </c>
      <c r="G355" s="436" t="str">
        <f>CONCATENATE("(",ROUND((F355/$H357)*100,1),")")</f>
        <v>(9.9)</v>
      </c>
      <c r="H355" s="440">
        <f>SUM(B355,D355,F355)</f>
        <v>1813.9589999890757</v>
      </c>
      <c r="I355" s="436" t="str">
        <f>CONCATENATE("(",ROUND((H355/$H357)*100,1),")")</f>
        <v>(56.1)</v>
      </c>
      <c r="K355" s="440">
        <f>B355-B345</f>
        <v>131.40400000741943</v>
      </c>
      <c r="L355" s="440">
        <f>D355-D345</f>
        <v>-4.4159999999090189</v>
      </c>
      <c r="M355" s="440">
        <f>F355-F345</f>
        <v>16.863999998812687</v>
      </c>
      <c r="N355" s="440">
        <f>SUM(K355:M355)</f>
        <v>143.8520000063231</v>
      </c>
    </row>
    <row r="356" spans="1:14" x14ac:dyDescent="0.25">
      <c r="A356" s="417" t="s">
        <v>391</v>
      </c>
      <c r="B356" s="440">
        <f>'Ind T6'!V424</f>
        <v>822.98999999450643</v>
      </c>
      <c r="C356" s="436" t="str">
        <f>CONCATENATE("(",ROUND((B356/$H357)*100,1),")")</f>
        <v>(25.4)</v>
      </c>
      <c r="D356" s="440">
        <f>'Ind T6'!W424</f>
        <v>383.95500000177532</v>
      </c>
      <c r="E356" s="436" t="str">
        <f>CONCATENATE("(",ROUND((D356/$H357)*100,1),")")</f>
        <v>(11.9)</v>
      </c>
      <c r="F356" s="440">
        <f>'Ind T6'!X424</f>
        <v>215.28700000167436</v>
      </c>
      <c r="G356" s="436" t="str">
        <f>CONCATENATE("(",ROUND((F356/$H357)*100,1),")")</f>
        <v>(6.7)</v>
      </c>
      <c r="H356" s="440">
        <f t="shared" ref="H356" si="270">SUM(B356,D356,F356)</f>
        <v>1422.2319999979561</v>
      </c>
      <c r="I356" s="436" t="str">
        <f>CONCATENATE("(",ROUND((H356/$H357)*100,1),")")</f>
        <v>(43.9)</v>
      </c>
      <c r="K356" s="440">
        <f t="shared" ref="K356:K357" si="271">B356-B346</f>
        <v>32.284000006749125</v>
      </c>
      <c r="L356" s="440">
        <f t="shared" ref="L356:L357" si="272">D356-D346</f>
        <v>29.589000003056015</v>
      </c>
      <c r="M356" s="440">
        <f t="shared" ref="M356:M357" si="273">F356-F346</f>
        <v>16.378000002368026</v>
      </c>
      <c r="N356" s="440">
        <f t="shared" ref="N356:N357" si="274">SUM(K356:M356)</f>
        <v>78.251000012173165</v>
      </c>
    </row>
    <row r="357" spans="1:14" x14ac:dyDescent="0.25">
      <c r="A357" s="408" t="s">
        <v>389</v>
      </c>
      <c r="B357" s="440">
        <f>SUM(B355:B356)</f>
        <v>2185.3989999927608</v>
      </c>
      <c r="C357" s="436" t="str">
        <f>CONCATENATE("(",ROUND((B357/$H357)*100,1),")")</f>
        <v>(67.5)</v>
      </c>
      <c r="D357" s="440">
        <f>SUM(D355:D356)</f>
        <v>516.551000001891</v>
      </c>
      <c r="E357" s="436" t="str">
        <f>CONCATENATE("(",ROUND((D357/$H357)*100,1),")")</f>
        <v>(16)</v>
      </c>
      <c r="F357" s="440">
        <f>SUM(F355:F356)</f>
        <v>534.24099999237978</v>
      </c>
      <c r="G357" s="436" t="str">
        <f>CONCATENATE("(",ROUND((F357/$H357)*100,1),")")</f>
        <v>(16.5)</v>
      </c>
      <c r="H357" s="440">
        <f>SUM(H355:H356)</f>
        <v>3236.1909999870318</v>
      </c>
      <c r="I357" s="436" t="str">
        <f>CONCATENATE("(",ROUND((H357/$H357)*100,1),")")</f>
        <v>(100)</v>
      </c>
      <c r="K357" s="440">
        <f t="shared" si="271"/>
        <v>163.68800001416821</v>
      </c>
      <c r="L357" s="440">
        <f t="shared" si="272"/>
        <v>25.173000003146967</v>
      </c>
      <c r="M357" s="440">
        <f t="shared" si="273"/>
        <v>33.242000001180713</v>
      </c>
      <c r="N357" s="440">
        <f t="shared" si="274"/>
        <v>222.10300001849589</v>
      </c>
    </row>
    <row r="358" spans="1:14" x14ac:dyDescent="0.25">
      <c r="A358" s="429"/>
      <c r="B358" s="430"/>
      <c r="C358" s="429"/>
      <c r="D358" s="430"/>
      <c r="E358" s="429"/>
      <c r="F358" s="430"/>
      <c r="G358" s="429"/>
      <c r="H358" s="430"/>
      <c r="I358" s="429"/>
      <c r="J358" s="429"/>
      <c r="K358" s="430"/>
      <c r="L358" s="430"/>
      <c r="M358" s="430"/>
      <c r="N358" s="430"/>
    </row>
    <row r="361" spans="1:14" x14ac:dyDescent="0.25">
      <c r="C361" s="267"/>
      <c r="E361" s="267"/>
      <c r="G361" s="267"/>
      <c r="I361" s="267"/>
    </row>
    <row r="362" spans="1:14" x14ac:dyDescent="0.25">
      <c r="A362" s="419"/>
      <c r="B362" s="420" t="s">
        <v>414</v>
      </c>
      <c r="C362" s="419"/>
      <c r="D362" s="420"/>
      <c r="E362" s="419"/>
      <c r="F362" s="420" t="str">
        <f>name!B20</f>
        <v>Support services</v>
      </c>
      <c r="G362" s="419"/>
      <c r="H362" s="422"/>
      <c r="I362" s="419"/>
      <c r="J362" s="421"/>
      <c r="K362" s="422"/>
      <c r="L362" s="422"/>
      <c r="M362" s="422"/>
      <c r="N362" s="422"/>
    </row>
    <row r="363" spans="1:14" x14ac:dyDescent="0.25">
      <c r="A363" s="408"/>
      <c r="B363" s="409"/>
      <c r="C363" s="408"/>
      <c r="D363" s="409"/>
      <c r="E363" s="408"/>
      <c r="F363" s="409"/>
      <c r="G363" s="408"/>
      <c r="H363" s="409"/>
      <c r="I363" s="408"/>
      <c r="K363" s="409"/>
      <c r="L363" s="409"/>
      <c r="M363" s="409"/>
      <c r="N363" s="415" t="s">
        <v>412</v>
      </c>
    </row>
    <row r="364" spans="1:14" x14ac:dyDescent="0.25">
      <c r="A364" s="413" t="s">
        <v>413</v>
      </c>
      <c r="B364" s="512" t="s">
        <v>411</v>
      </c>
      <c r="C364" s="512"/>
      <c r="D364" s="512" t="s">
        <v>410</v>
      </c>
      <c r="E364" s="512"/>
      <c r="F364" s="512" t="s">
        <v>409</v>
      </c>
      <c r="G364" s="512"/>
      <c r="H364" s="512" t="s">
        <v>32</v>
      </c>
      <c r="I364" s="512"/>
      <c r="J364" s="413"/>
      <c r="K364" s="434" t="s">
        <v>371</v>
      </c>
      <c r="L364" s="434" t="s">
        <v>373</v>
      </c>
      <c r="M364" s="434" t="s">
        <v>369</v>
      </c>
      <c r="N364" s="434" t="s">
        <v>32</v>
      </c>
    </row>
    <row r="365" spans="1:14" x14ac:dyDescent="0.25">
      <c r="A365" s="423">
        <f>$A$8</f>
        <v>2017</v>
      </c>
      <c r="B365" s="424" t="s">
        <v>60</v>
      </c>
      <c r="C365" s="425" t="s">
        <v>408</v>
      </c>
      <c r="D365" s="424" t="s">
        <v>60</v>
      </c>
      <c r="E365" s="425" t="s">
        <v>408</v>
      </c>
      <c r="F365" s="424" t="s">
        <v>60</v>
      </c>
      <c r="G365" s="425" t="s">
        <v>408</v>
      </c>
      <c r="H365" s="424" t="s">
        <v>60</v>
      </c>
      <c r="I365" s="425" t="s">
        <v>408</v>
      </c>
      <c r="J365" s="413"/>
      <c r="K365" s="426" t="str">
        <f>CONCATENATE(A365," - ",A370)</f>
        <v>2017 - 2022</v>
      </c>
      <c r="L365" s="427"/>
      <c r="M365" s="427"/>
    </row>
    <row r="366" spans="1:14" x14ac:dyDescent="0.25">
      <c r="A366" s="417" t="s">
        <v>390</v>
      </c>
      <c r="B366" s="440">
        <f>'Ind T6'!L465</f>
        <v>1107.4819999991287</v>
      </c>
      <c r="C366" s="436" t="str">
        <f>CONCATENATE("(",ROUND((B366/$H368)*100,1),")")</f>
        <v>(37)</v>
      </c>
      <c r="D366" s="440">
        <f>'Ind T6'!M465</f>
        <v>367.19400000061034</v>
      </c>
      <c r="E366" s="436" t="str">
        <f>CONCATENATE("(",ROUND((D366/$H368)*100,1),")")</f>
        <v>(12.3)</v>
      </c>
      <c r="F366" s="440">
        <f>'Ind T6'!N465</f>
        <v>183.99599999807103</v>
      </c>
      <c r="G366" s="436" t="str">
        <f>CONCATENATE("(",ROUND((F366/$H368)*100,1),")")</f>
        <v>(6.1)</v>
      </c>
      <c r="H366" s="440">
        <f>SUM(B366,D366,F366)</f>
        <v>1658.67199999781</v>
      </c>
      <c r="I366" s="436" t="str">
        <f>CONCATENATE("(",ROUND((H366/$H368)*100,1),")")</f>
        <v>(55.3)</v>
      </c>
      <c r="K366" s="440">
        <f>B371-B366</f>
        <v>67.485999997503313</v>
      </c>
      <c r="L366" s="440">
        <f>D371-D366</f>
        <v>19.131999997476669</v>
      </c>
      <c r="M366" s="440">
        <f>F371-F366</f>
        <v>-3.5090000011594498</v>
      </c>
      <c r="N366" s="440">
        <f>SUM(K366:M366)</f>
        <v>83.108999993820532</v>
      </c>
    </row>
    <row r="367" spans="1:14" x14ac:dyDescent="0.25">
      <c r="A367" s="417" t="s">
        <v>391</v>
      </c>
      <c r="B367" s="440">
        <f>'Ind T6'!L464</f>
        <v>621.18599999834282</v>
      </c>
      <c r="C367" s="436" t="str">
        <f>CONCATENATE("(",ROUND((B367/$H368)*100,1),")")</f>
        <v>(20.7)</v>
      </c>
      <c r="D367" s="440">
        <f>'Ind T6'!M464</f>
        <v>555.22600000438365</v>
      </c>
      <c r="E367" s="436" t="str">
        <f>CONCATENATE("(",ROUND((D367/$H368)*100,1),")")</f>
        <v>(18.5)</v>
      </c>
      <c r="F367" s="440">
        <f>'Ind T6'!N464</f>
        <v>162.00100000277777</v>
      </c>
      <c r="G367" s="436" t="str">
        <f>CONCATENATE("(",ROUND((F367/$H368)*100,1),")")</f>
        <v>(5.4)</v>
      </c>
      <c r="H367" s="440">
        <f t="shared" ref="H367" si="275">SUM(B367,D367,F367)</f>
        <v>1338.4130000055043</v>
      </c>
      <c r="I367" s="436" t="str">
        <f>CONCATENATE("(",ROUND((H367/$H368)*100,1),")")</f>
        <v>(44.7)</v>
      </c>
      <c r="K367" s="440">
        <f t="shared" ref="K367:K368" si="276">B372-B367</f>
        <v>9.950999993743153</v>
      </c>
      <c r="L367" s="440">
        <f t="shared" ref="L367:L368" si="277">D372-D367</f>
        <v>24.593999991821192</v>
      </c>
      <c r="M367" s="440">
        <f t="shared" ref="M367:M368" si="278">F372-F367</f>
        <v>5.4049999998872238</v>
      </c>
      <c r="N367" s="440">
        <f t="shared" ref="N367:N368" si="279">SUM(K367:M367)</f>
        <v>39.949999985451569</v>
      </c>
    </row>
    <row r="368" spans="1:14" x14ac:dyDescent="0.25">
      <c r="A368" s="417" t="s">
        <v>389</v>
      </c>
      <c r="B368" s="440">
        <f>SUM(B366:B367)</f>
        <v>1728.6679999974715</v>
      </c>
      <c r="C368" s="436" t="str">
        <f>CONCATENATE("(",ROUND((B368/$H368)*100,1),")")</f>
        <v>(57.7)</v>
      </c>
      <c r="D368" s="440">
        <f>SUM(D366:D367)</f>
        <v>922.42000000499399</v>
      </c>
      <c r="E368" s="436" t="str">
        <f>CONCATENATE("(",ROUND((D368/$H368)*100,1),")")</f>
        <v>(30.8)</v>
      </c>
      <c r="F368" s="440">
        <f>SUM(F366:F367)</f>
        <v>345.9970000008488</v>
      </c>
      <c r="G368" s="436" t="str">
        <f>CONCATENATE("(",ROUND((F368/$H368)*100,1),")")</f>
        <v>(11.5)</v>
      </c>
      <c r="H368" s="440">
        <f>SUM(H366:H367)</f>
        <v>2997.0850000033142</v>
      </c>
      <c r="I368" s="436" t="str">
        <f>CONCATENATE("(",ROUND((H368/$H368)*100,1),")")</f>
        <v>(100)</v>
      </c>
      <c r="K368" s="440">
        <f t="shared" si="276"/>
        <v>77.436999991246466</v>
      </c>
      <c r="L368" s="440">
        <f t="shared" si="277"/>
        <v>43.725999989297861</v>
      </c>
      <c r="M368" s="440">
        <f t="shared" si="278"/>
        <v>1.8959999987277456</v>
      </c>
      <c r="N368" s="440">
        <f t="shared" si="279"/>
        <v>123.05899997927207</v>
      </c>
    </row>
    <row r="369" spans="1:14" x14ac:dyDescent="0.25">
      <c r="B369" s="440"/>
      <c r="C369" s="428"/>
      <c r="D369" s="440"/>
      <c r="E369" s="428"/>
      <c r="F369" s="440"/>
      <c r="G369" s="428"/>
      <c r="H369" s="440"/>
      <c r="I369" s="428"/>
    </row>
    <row r="370" spans="1:14" x14ac:dyDescent="0.25">
      <c r="A370" s="423">
        <f>$A$13</f>
        <v>2022</v>
      </c>
      <c r="B370" s="440"/>
      <c r="C370" s="428"/>
      <c r="D370" s="440"/>
      <c r="E370" s="428"/>
      <c r="F370" s="440"/>
      <c r="G370" s="428"/>
      <c r="H370" s="440"/>
      <c r="I370" s="428"/>
      <c r="K370" s="426" t="str">
        <f>CONCATENATE(A370," - ",A375)</f>
        <v>2022 - 2027</v>
      </c>
    </row>
    <row r="371" spans="1:14" x14ac:dyDescent="0.25">
      <c r="A371" s="417" t="s">
        <v>390</v>
      </c>
      <c r="B371" s="440">
        <f>'Ind T6'!Q465</f>
        <v>1174.967999996632</v>
      </c>
      <c r="C371" s="436" t="str">
        <f>CONCATENATE("(",ROUND((B371/$H373)*100,1),")")</f>
        <v>(37.7)</v>
      </c>
      <c r="D371" s="440">
        <f>'Ind T6'!R465</f>
        <v>386.32599999808701</v>
      </c>
      <c r="E371" s="436" t="str">
        <f>CONCATENATE("(",ROUND((D371/$H373)*100,1),")")</f>
        <v>(12.4)</v>
      </c>
      <c r="F371" s="440">
        <f>'Ind T6'!S465</f>
        <v>180.48699999691158</v>
      </c>
      <c r="G371" s="436" t="str">
        <f>CONCATENATE("(",ROUND((F371/$H373)*100,1),")")</f>
        <v>(5.8)</v>
      </c>
      <c r="H371" s="440">
        <f>SUM(B371,D371,F371)</f>
        <v>1741.7809999916306</v>
      </c>
      <c r="I371" s="436" t="str">
        <f>CONCATENATE("(",ROUND((H371/$H373)*100,1),")")</f>
        <v>(55.8)</v>
      </c>
      <c r="K371" s="440">
        <f>B376-B371</f>
        <v>56.652000002199429</v>
      </c>
      <c r="L371" s="440">
        <f>D376-D371</f>
        <v>11.406000001171606</v>
      </c>
      <c r="M371" s="440">
        <f>F376-F371</f>
        <v>-8.2119999996676256</v>
      </c>
      <c r="N371" s="440">
        <f>SUM(K371:M371)</f>
        <v>59.846000003703409</v>
      </c>
    </row>
    <row r="372" spans="1:14" x14ac:dyDescent="0.25">
      <c r="A372" s="417" t="s">
        <v>391</v>
      </c>
      <c r="B372" s="440">
        <f>'Ind T6'!Q464</f>
        <v>631.13699999208598</v>
      </c>
      <c r="C372" s="436" t="str">
        <f>CONCATENATE("(",ROUND((B372/$H373)*100,1),")")</f>
        <v>(20.2)</v>
      </c>
      <c r="D372" s="440">
        <f>'Ind T6'!R464</f>
        <v>579.81999999620484</v>
      </c>
      <c r="E372" s="436" t="str">
        <f>CONCATENATE("(",ROUND((D372/$H373)*100,1),")")</f>
        <v>(18.6)</v>
      </c>
      <c r="F372" s="440">
        <f>'Ind T6'!S464</f>
        <v>167.406000002665</v>
      </c>
      <c r="G372" s="436" t="str">
        <f>CONCATENATE("(",ROUND((F372/$H373)*100,1),")")</f>
        <v>(5.4)</v>
      </c>
      <c r="H372" s="440">
        <f t="shared" ref="H372" si="280">SUM(B372,D372,F372)</f>
        <v>1378.3629999909558</v>
      </c>
      <c r="I372" s="436" t="str">
        <f>CONCATENATE("(",ROUND((H372/$H373)*100,1),")")</f>
        <v>(44.2)</v>
      </c>
      <c r="K372" s="440">
        <f t="shared" ref="K372:K373" si="281">B377-B372</f>
        <v>4.1400000039581073</v>
      </c>
      <c r="L372" s="440">
        <f t="shared" ref="L372:L373" si="282">D377-D372</f>
        <v>9.7400000048335187</v>
      </c>
      <c r="M372" s="440">
        <f t="shared" ref="M372:M373" si="283">F377-F372</f>
        <v>-0.12899999961419439</v>
      </c>
      <c r="N372" s="440">
        <f t="shared" ref="N372:N373" si="284">SUM(K372:M372)</f>
        <v>13.751000009177432</v>
      </c>
    </row>
    <row r="373" spans="1:14" x14ac:dyDescent="0.25">
      <c r="A373" s="417" t="s">
        <v>389</v>
      </c>
      <c r="B373" s="440">
        <f>SUM(B371:B372)</f>
        <v>1806.104999988718</v>
      </c>
      <c r="C373" s="436" t="str">
        <f>CONCATENATE("(",ROUND((B373/$H373)*100,1),")")</f>
        <v>(57.9)</v>
      </c>
      <c r="D373" s="440">
        <f>SUM(D371:D372)</f>
        <v>966.14599999429186</v>
      </c>
      <c r="E373" s="436" t="str">
        <f>CONCATENATE("(",ROUND((D373/$H373)*100,1),")")</f>
        <v>(31)</v>
      </c>
      <c r="F373" s="440">
        <f>SUM(F371:F372)</f>
        <v>347.89299999957655</v>
      </c>
      <c r="G373" s="436" t="str">
        <f>CONCATENATE("(",ROUND((F373/$H373)*100,1),")")</f>
        <v>(11.1)</v>
      </c>
      <c r="H373" s="440">
        <f>SUM(H371:H372)</f>
        <v>3120.1439999825861</v>
      </c>
      <c r="I373" s="436" t="str">
        <f>CONCATENATE("(",ROUND((H373/$H373)*100,1),")")</f>
        <v>(100)</v>
      </c>
      <c r="K373" s="440">
        <f t="shared" si="281"/>
        <v>60.792000006157423</v>
      </c>
      <c r="L373" s="440">
        <f t="shared" si="282"/>
        <v>21.146000006005124</v>
      </c>
      <c r="M373" s="440">
        <f t="shared" si="283"/>
        <v>-8.3409999992817916</v>
      </c>
      <c r="N373" s="440">
        <f t="shared" si="284"/>
        <v>73.597000012880756</v>
      </c>
    </row>
    <row r="374" spans="1:14" x14ac:dyDescent="0.25">
      <c r="B374" s="440"/>
      <c r="C374" s="428"/>
      <c r="D374" s="440"/>
      <c r="E374" s="428"/>
      <c r="F374" s="440"/>
      <c r="G374" s="428"/>
      <c r="H374" s="440"/>
      <c r="I374" s="428"/>
    </row>
    <row r="375" spans="1:14" x14ac:dyDescent="0.25">
      <c r="A375" s="423">
        <f>$A$18</f>
        <v>2027</v>
      </c>
      <c r="B375" s="440"/>
      <c r="C375" s="428"/>
      <c r="D375" s="440"/>
      <c r="E375" s="428"/>
      <c r="F375" s="440"/>
      <c r="G375" s="428"/>
      <c r="H375" s="440"/>
      <c r="I375" s="428"/>
      <c r="K375" s="426" t="str">
        <f>CONCATENATE(A365," - ",A375)</f>
        <v>2017 - 2027</v>
      </c>
    </row>
    <row r="376" spans="1:14" x14ac:dyDescent="0.25">
      <c r="A376" s="417" t="s">
        <v>390</v>
      </c>
      <c r="B376" s="440">
        <f>'Ind T6'!V465</f>
        <v>1231.6199999988314</v>
      </c>
      <c r="C376" s="436" t="str">
        <f>CONCATENATE("(",ROUND((B376/$H378)*100,1),")")</f>
        <v>(38.6)</v>
      </c>
      <c r="D376" s="440">
        <f>'Ind T6'!W465</f>
        <v>397.73199999925862</v>
      </c>
      <c r="E376" s="436" t="str">
        <f>CONCATENATE("(",ROUND((D376/$H378)*100,1),")")</f>
        <v>(12.5)</v>
      </c>
      <c r="F376" s="440">
        <f>'Ind T6'!X465</f>
        <v>172.27499999724395</v>
      </c>
      <c r="G376" s="436" t="str">
        <f>CONCATENATE("(",ROUND((F376/$H378)*100,1),")")</f>
        <v>(5.4)</v>
      </c>
      <c r="H376" s="440">
        <f>SUM(B376,D376,F376)</f>
        <v>1801.6269999953338</v>
      </c>
      <c r="I376" s="436" t="str">
        <f>CONCATENATE("(",ROUND((H376/$H378)*100,1),")")</f>
        <v>(56.4)</v>
      </c>
      <c r="K376" s="440">
        <f>B376-B366</f>
        <v>124.13799999970274</v>
      </c>
      <c r="L376" s="440">
        <f>D376-D366</f>
        <v>30.537999998648274</v>
      </c>
      <c r="M376" s="440">
        <f>F376-F366</f>
        <v>-11.721000000827075</v>
      </c>
      <c r="N376" s="440">
        <f>SUM(K376:M376)</f>
        <v>142.95499999752394</v>
      </c>
    </row>
    <row r="377" spans="1:14" x14ac:dyDescent="0.25">
      <c r="A377" s="417" t="s">
        <v>391</v>
      </c>
      <c r="B377" s="440">
        <f>'Ind T6'!V464</f>
        <v>635.27699999604408</v>
      </c>
      <c r="C377" s="436" t="str">
        <f>CONCATENATE("(",ROUND((B377/$H378)*100,1),")")</f>
        <v>(19.9)</v>
      </c>
      <c r="D377" s="440">
        <f>'Ind T6'!W464</f>
        <v>589.56000000103836</v>
      </c>
      <c r="E377" s="436" t="str">
        <f>CONCATENATE("(",ROUND((D377/$H378)*100,1),")")</f>
        <v>(18.5)</v>
      </c>
      <c r="F377" s="440">
        <f>'Ind T6'!X464</f>
        <v>167.2770000030508</v>
      </c>
      <c r="G377" s="436" t="str">
        <f>CONCATENATE("(",ROUND((F377/$H378)*100,1),")")</f>
        <v>(5.2)</v>
      </c>
      <c r="H377" s="440">
        <f t="shared" ref="H377" si="285">SUM(B377,D377,F377)</f>
        <v>1392.114000000133</v>
      </c>
      <c r="I377" s="436" t="str">
        <f>CONCATENATE("(",ROUND((H377/$H378)*100,1),")")</f>
        <v>(43.6)</v>
      </c>
      <c r="K377" s="440">
        <f t="shared" ref="K377:K378" si="286">B377-B367</f>
        <v>14.09099999770126</v>
      </c>
      <c r="L377" s="440">
        <f t="shared" ref="L377:L378" si="287">D377-D367</f>
        <v>34.333999996654711</v>
      </c>
      <c r="M377" s="440">
        <f t="shared" ref="M377:M378" si="288">F377-F367</f>
        <v>5.2760000002730294</v>
      </c>
      <c r="N377" s="440">
        <f t="shared" ref="N377:N378" si="289">SUM(K377:M377)</f>
        <v>53.700999994629001</v>
      </c>
    </row>
    <row r="378" spans="1:14" x14ac:dyDescent="0.25">
      <c r="A378" s="408" t="s">
        <v>389</v>
      </c>
      <c r="B378" s="440">
        <f>SUM(B376:B377)</f>
        <v>1866.8969999948754</v>
      </c>
      <c r="C378" s="436" t="str">
        <f>CONCATENATE("(",ROUND((B378/$H378)*100,1),")")</f>
        <v>(58.5)</v>
      </c>
      <c r="D378" s="440">
        <f>SUM(D376:D377)</f>
        <v>987.29200000029698</v>
      </c>
      <c r="E378" s="436" t="str">
        <f>CONCATENATE("(",ROUND((D378/$H378)*100,1),")")</f>
        <v>(30.9)</v>
      </c>
      <c r="F378" s="440">
        <f>SUM(F376:F377)</f>
        <v>339.55200000029475</v>
      </c>
      <c r="G378" s="436" t="str">
        <f>CONCATENATE("(",ROUND((F378/$H378)*100,1),")")</f>
        <v>(10.6)</v>
      </c>
      <c r="H378" s="440">
        <f>SUM(H376:H377)</f>
        <v>3193.7409999954671</v>
      </c>
      <c r="I378" s="436" t="str">
        <f>CONCATENATE("(",ROUND((H378/$H378)*100,1),")")</f>
        <v>(100)</v>
      </c>
      <c r="K378" s="440">
        <f t="shared" si="286"/>
        <v>138.22899999740389</v>
      </c>
      <c r="L378" s="440">
        <f t="shared" si="287"/>
        <v>64.871999995302986</v>
      </c>
      <c r="M378" s="440">
        <f t="shared" si="288"/>
        <v>-6.445000000554046</v>
      </c>
      <c r="N378" s="440">
        <f t="shared" si="289"/>
        <v>196.65599999215283</v>
      </c>
    </row>
    <row r="379" spans="1:14" x14ac:dyDescent="0.25">
      <c r="A379" s="429"/>
      <c r="B379" s="430"/>
      <c r="C379" s="429"/>
      <c r="D379" s="430"/>
      <c r="E379" s="429"/>
      <c r="F379" s="430"/>
      <c r="G379" s="429"/>
      <c r="H379" s="430"/>
      <c r="I379" s="429"/>
      <c r="J379" s="429"/>
      <c r="K379" s="430"/>
      <c r="L379" s="430"/>
      <c r="M379" s="430"/>
      <c r="N379" s="430"/>
    </row>
    <row r="383" spans="1:14" x14ac:dyDescent="0.25">
      <c r="A383" s="419"/>
      <c r="B383" s="420" t="s">
        <v>414</v>
      </c>
      <c r="C383" s="419"/>
      <c r="D383" s="420"/>
      <c r="E383" s="419"/>
      <c r="F383" s="420" t="str">
        <f>name!B21</f>
        <v>Public admin. and defence</v>
      </c>
      <c r="G383" s="419"/>
      <c r="H383" s="422"/>
      <c r="I383" s="419"/>
      <c r="J383" s="421"/>
      <c r="K383" s="422"/>
      <c r="L383" s="422"/>
      <c r="M383" s="422"/>
      <c r="N383" s="422"/>
    </row>
    <row r="384" spans="1:14" x14ac:dyDescent="0.25">
      <c r="A384" s="408"/>
      <c r="B384" s="409"/>
      <c r="C384" s="408"/>
      <c r="D384" s="409"/>
      <c r="E384" s="408"/>
      <c r="F384" s="409"/>
      <c r="G384" s="408"/>
      <c r="H384" s="409"/>
      <c r="I384" s="408"/>
      <c r="K384" s="409"/>
      <c r="L384" s="409"/>
      <c r="M384" s="409"/>
      <c r="N384" s="415" t="s">
        <v>412</v>
      </c>
    </row>
    <row r="385" spans="1:14" x14ac:dyDescent="0.25">
      <c r="A385" s="413" t="s">
        <v>413</v>
      </c>
      <c r="B385" s="512" t="s">
        <v>411</v>
      </c>
      <c r="C385" s="512"/>
      <c r="D385" s="512" t="s">
        <v>410</v>
      </c>
      <c r="E385" s="512"/>
      <c r="F385" s="512" t="s">
        <v>409</v>
      </c>
      <c r="G385" s="512"/>
      <c r="H385" s="512" t="s">
        <v>32</v>
      </c>
      <c r="I385" s="512"/>
      <c r="J385" s="413"/>
      <c r="K385" s="434" t="s">
        <v>371</v>
      </c>
      <c r="L385" s="434" t="s">
        <v>373</v>
      </c>
      <c r="M385" s="434" t="s">
        <v>369</v>
      </c>
      <c r="N385" s="434" t="s">
        <v>32</v>
      </c>
    </row>
    <row r="386" spans="1:14" x14ac:dyDescent="0.25">
      <c r="A386" s="423">
        <f>$A$8</f>
        <v>2017</v>
      </c>
      <c r="B386" s="424" t="s">
        <v>60</v>
      </c>
      <c r="C386" s="425" t="s">
        <v>408</v>
      </c>
      <c r="D386" s="424" t="s">
        <v>60</v>
      </c>
      <c r="E386" s="425" t="s">
        <v>408</v>
      </c>
      <c r="F386" s="424" t="s">
        <v>60</v>
      </c>
      <c r="G386" s="425" t="s">
        <v>408</v>
      </c>
      <c r="H386" s="424" t="s">
        <v>60</v>
      </c>
      <c r="I386" s="425" t="s">
        <v>408</v>
      </c>
      <c r="J386" s="413"/>
      <c r="K386" s="426" t="str">
        <f>CONCATENATE(A386," - ",A391)</f>
        <v>2017 - 2022</v>
      </c>
      <c r="L386" s="427"/>
      <c r="M386" s="427"/>
    </row>
    <row r="387" spans="1:14" x14ac:dyDescent="0.25">
      <c r="A387" s="417" t="s">
        <v>390</v>
      </c>
      <c r="B387" s="440">
        <f>'Ind T6'!L475</f>
        <v>489.01599999846604</v>
      </c>
      <c r="C387" s="436" t="str">
        <f>CONCATENATE("(",ROUND((B387/$H389)*100,1),")")</f>
        <v>(36.8)</v>
      </c>
      <c r="D387" s="440">
        <f>'Ind T6'!M475</f>
        <v>64.00600000024788</v>
      </c>
      <c r="E387" s="436" t="str">
        <f>CONCATENATE("(",ROUND((D387/$H389)*100,1),")")</f>
        <v>(4.8)</v>
      </c>
      <c r="F387" s="440">
        <f>'Ind T6'!N475</f>
        <v>26.000999999685572</v>
      </c>
      <c r="G387" s="436" t="str">
        <f>CONCATENATE("(",ROUND((F387/$H389)*100,1),")")</f>
        <v>(2)</v>
      </c>
      <c r="H387" s="440">
        <f>SUM(B387,D387,F387)</f>
        <v>579.02299999839943</v>
      </c>
      <c r="I387" s="436" t="str">
        <f>CONCATENATE("(",ROUND((H387/$H389)*100,1),")")</f>
        <v>(43.5)</v>
      </c>
      <c r="K387" s="440">
        <f>B392-B387</f>
        <v>-34.120999997342039</v>
      </c>
      <c r="L387" s="440">
        <f>D392-D387</f>
        <v>3.7949999997957917</v>
      </c>
      <c r="M387" s="440">
        <f>F392-F387</f>
        <v>0.7739999999135776</v>
      </c>
      <c r="N387" s="440">
        <f>SUM(K387:M387)</f>
        <v>-29.55199999763267</v>
      </c>
    </row>
    <row r="388" spans="1:14" x14ac:dyDescent="0.25">
      <c r="A388" s="417" t="s">
        <v>391</v>
      </c>
      <c r="B388" s="440">
        <f>'Ind T6'!L474</f>
        <v>395.01299999774346</v>
      </c>
      <c r="C388" s="436" t="str">
        <f>CONCATENATE("(",ROUND((B388/$H389)*100,1),")")</f>
        <v>(29.7)</v>
      </c>
      <c r="D388" s="440">
        <f>'Ind T6'!M474</f>
        <v>326.01299999789632</v>
      </c>
      <c r="E388" s="436" t="str">
        <f>CONCATENATE("(",ROUND((D388/$H389)*100,1),")")</f>
        <v>(24.5)</v>
      </c>
      <c r="F388" s="440">
        <f>'Ind T6'!N474</f>
        <v>29.998999999674545</v>
      </c>
      <c r="G388" s="436" t="str">
        <f>CONCATENATE("(",ROUND((F388/$H389)*100,1),")")</f>
        <v>(2.3)</v>
      </c>
      <c r="H388" s="440">
        <f t="shared" ref="H388" si="290">SUM(B388,D388,F388)</f>
        <v>751.02499999531426</v>
      </c>
      <c r="I388" s="436" t="str">
        <f>CONCATENATE("(",ROUND((H388/$H389)*100,1),")")</f>
        <v>(56.5)</v>
      </c>
      <c r="K388" s="440">
        <f t="shared" ref="K388:K389" si="291">B393-B388</f>
        <v>-9.0029999954987261</v>
      </c>
      <c r="L388" s="440">
        <f t="shared" ref="L388:L389" si="292">D393-D388</f>
        <v>16.159000002294817</v>
      </c>
      <c r="M388" s="440">
        <f t="shared" ref="M388:M389" si="293">F393-F388</f>
        <v>-0.80899999939198253</v>
      </c>
      <c r="N388" s="440">
        <f t="shared" ref="N388:N389" si="294">SUM(K388:M388)</f>
        <v>6.3470000074041089</v>
      </c>
    </row>
    <row r="389" spans="1:14" x14ac:dyDescent="0.25">
      <c r="A389" s="417" t="s">
        <v>389</v>
      </c>
      <c r="B389" s="440">
        <f>SUM(B387:B388)</f>
        <v>884.02899999620945</v>
      </c>
      <c r="C389" s="436" t="str">
        <f>CONCATENATE("(",ROUND((B389/$H389)*100,1),")")</f>
        <v>(66.5)</v>
      </c>
      <c r="D389" s="440">
        <f>SUM(D387:D388)</f>
        <v>390.01899999814418</v>
      </c>
      <c r="E389" s="436" t="str">
        <f>CONCATENATE("(",ROUND((D389/$H389)*100,1),")")</f>
        <v>(29.3)</v>
      </c>
      <c r="F389" s="440">
        <f>SUM(F387:F388)</f>
        <v>55.999999999360114</v>
      </c>
      <c r="G389" s="436" t="str">
        <f>CONCATENATE("(",ROUND((F389/$H389)*100,1),")")</f>
        <v>(4.2)</v>
      </c>
      <c r="H389" s="440">
        <f>SUM(H387:H388)</f>
        <v>1330.0479999937138</v>
      </c>
      <c r="I389" s="436" t="str">
        <f>CONCATENATE("(",ROUND((H389/$H389)*100,1),")")</f>
        <v>(100)</v>
      </c>
      <c r="K389" s="440">
        <f t="shared" si="291"/>
        <v>-43.123999992840709</v>
      </c>
      <c r="L389" s="440">
        <f t="shared" si="292"/>
        <v>19.954000002090652</v>
      </c>
      <c r="M389" s="440">
        <f t="shared" si="293"/>
        <v>-3.4999999478401378E-2</v>
      </c>
      <c r="N389" s="440">
        <f t="shared" si="294"/>
        <v>-23.204999990228458</v>
      </c>
    </row>
    <row r="390" spans="1:14" x14ac:dyDescent="0.25">
      <c r="B390" s="440"/>
      <c r="C390" s="428"/>
      <c r="D390" s="440"/>
      <c r="E390" s="428"/>
      <c r="F390" s="440"/>
      <c r="G390" s="428"/>
      <c r="H390" s="440"/>
      <c r="I390" s="428"/>
    </row>
    <row r="391" spans="1:14" x14ac:dyDescent="0.25">
      <c r="A391" s="423">
        <f>$A$13</f>
        <v>2022</v>
      </c>
      <c r="B391" s="440"/>
      <c r="C391" s="428"/>
      <c r="D391" s="440"/>
      <c r="E391" s="428"/>
      <c r="F391" s="440"/>
      <c r="G391" s="428"/>
      <c r="H391" s="440"/>
      <c r="I391" s="428"/>
      <c r="K391" s="426" t="str">
        <f>CONCATENATE(A391," - ",A396)</f>
        <v>2022 - 2027</v>
      </c>
    </row>
    <row r="392" spans="1:14" x14ac:dyDescent="0.25">
      <c r="A392" s="417" t="s">
        <v>390</v>
      </c>
      <c r="B392" s="440">
        <f>'Ind T6'!Q475</f>
        <v>454.895000001124</v>
      </c>
      <c r="C392" s="436" t="str">
        <f>CONCATENATE("(",ROUND((B392/$H394)*100,1),")")</f>
        <v>(34.8)</v>
      </c>
      <c r="D392" s="440">
        <f>'Ind T6'!R475</f>
        <v>67.801000000043672</v>
      </c>
      <c r="E392" s="436" t="str">
        <f>CONCATENATE("(",ROUND((D392/$H394)*100,1),")")</f>
        <v>(5.2)</v>
      </c>
      <c r="F392" s="440">
        <f>'Ind T6'!S475</f>
        <v>26.774999999599149</v>
      </c>
      <c r="G392" s="436" t="str">
        <f>CONCATENATE("(",ROUND((F392/$H394)*100,1),")")</f>
        <v>(2)</v>
      </c>
      <c r="H392" s="440">
        <f>SUM(B392,D392,F392)</f>
        <v>549.47100000076682</v>
      </c>
      <c r="I392" s="436" t="str">
        <f>CONCATENATE("(",ROUND((H392/$H394)*100,1),")")</f>
        <v>(42)</v>
      </c>
      <c r="K392" s="440">
        <f>B397-B392</f>
        <v>-17.995000000808034</v>
      </c>
      <c r="L392" s="440">
        <f>D397-D392</f>
        <v>5.3899999999120496</v>
      </c>
      <c r="M392" s="440">
        <f>F397-F392</f>
        <v>1.4720000000569016</v>
      </c>
      <c r="N392" s="440">
        <f>SUM(K392:M392)</f>
        <v>-11.133000000839083</v>
      </c>
    </row>
    <row r="393" spans="1:14" x14ac:dyDescent="0.25">
      <c r="A393" s="417" t="s">
        <v>391</v>
      </c>
      <c r="B393" s="440">
        <f>'Ind T6'!Q474</f>
        <v>386.01000000224474</v>
      </c>
      <c r="C393" s="436" t="str">
        <f>CONCATENATE("(",ROUND((B393/$H394)*100,1),")")</f>
        <v>(29.5)</v>
      </c>
      <c r="D393" s="440">
        <f>'Ind T6'!R474</f>
        <v>342.17200000019113</v>
      </c>
      <c r="E393" s="436" t="str">
        <f>CONCATENATE("(",ROUND((D393/$H394)*100,1),")")</f>
        <v>(26.2)</v>
      </c>
      <c r="F393" s="440">
        <f>'Ind T6'!S474</f>
        <v>29.190000000282563</v>
      </c>
      <c r="G393" s="436" t="str">
        <f>CONCATENATE("(",ROUND((F393/$H394)*100,1),")")</f>
        <v>(2.2)</v>
      </c>
      <c r="H393" s="440">
        <f t="shared" ref="H393" si="295">SUM(B393,D393,F393)</f>
        <v>757.37200000271844</v>
      </c>
      <c r="I393" s="436" t="str">
        <f>CONCATENATE("(",ROUND((H393/$H394)*100,1),")")</f>
        <v>(58)</v>
      </c>
      <c r="K393" s="440">
        <f t="shared" ref="K393:K394" si="296">B398-B393</f>
        <v>2.8629999978402907</v>
      </c>
      <c r="L393" s="440">
        <f t="shared" ref="L393:L394" si="297">D398-D393</f>
        <v>24.477999999505698</v>
      </c>
      <c r="M393" s="440">
        <f t="shared" ref="M393:M394" si="298">F398-F393</f>
        <v>0.10199999970144802</v>
      </c>
      <c r="N393" s="440">
        <f t="shared" ref="N393:N394" si="299">SUM(K393:M393)</f>
        <v>27.442999997047437</v>
      </c>
    </row>
    <row r="394" spans="1:14" x14ac:dyDescent="0.25">
      <c r="A394" s="417" t="s">
        <v>389</v>
      </c>
      <c r="B394" s="440">
        <f>SUM(B392:B393)</f>
        <v>840.90500000336874</v>
      </c>
      <c r="C394" s="436" t="str">
        <f>CONCATENATE("(",ROUND((B394/$H394)*100,1),")")</f>
        <v>(64.3)</v>
      </c>
      <c r="D394" s="440">
        <f>SUM(D392:D393)</f>
        <v>409.97300000023483</v>
      </c>
      <c r="E394" s="436" t="str">
        <f>CONCATENATE("(",ROUND((D394/$H394)*100,1),")")</f>
        <v>(31.4)</v>
      </c>
      <c r="F394" s="440">
        <f>SUM(F392:F393)</f>
        <v>55.964999999881712</v>
      </c>
      <c r="G394" s="436" t="str">
        <f>CONCATENATE("(",ROUND((F394/$H394)*100,1),")")</f>
        <v>(4.3)</v>
      </c>
      <c r="H394" s="440">
        <f>SUM(H392:H393)</f>
        <v>1306.8430000034853</v>
      </c>
      <c r="I394" s="436" t="str">
        <f>CONCATENATE("(",ROUND((H394/$H394)*100,1),")")</f>
        <v>(100)</v>
      </c>
      <c r="K394" s="440">
        <f t="shared" si="296"/>
        <v>-15.132000002967743</v>
      </c>
      <c r="L394" s="440">
        <f t="shared" si="297"/>
        <v>29.867999999417748</v>
      </c>
      <c r="M394" s="440">
        <f t="shared" si="298"/>
        <v>1.5739999997583496</v>
      </c>
      <c r="N394" s="440">
        <f t="shared" si="299"/>
        <v>16.309999996208354</v>
      </c>
    </row>
    <row r="395" spans="1:14" x14ac:dyDescent="0.25">
      <c r="B395" s="440"/>
      <c r="C395" s="428"/>
      <c r="D395" s="440"/>
      <c r="E395" s="428"/>
      <c r="F395" s="440"/>
      <c r="G395" s="428"/>
      <c r="H395" s="440"/>
      <c r="I395" s="428"/>
    </row>
    <row r="396" spans="1:14" x14ac:dyDescent="0.25">
      <c r="A396" s="423">
        <f>$A$18</f>
        <v>2027</v>
      </c>
      <c r="B396" s="440"/>
      <c r="C396" s="428"/>
      <c r="D396" s="440"/>
      <c r="E396" s="428"/>
      <c r="F396" s="440"/>
      <c r="G396" s="428"/>
      <c r="H396" s="440"/>
      <c r="I396" s="428"/>
      <c r="K396" s="426" t="str">
        <f>CONCATENATE(A386," - ",A396)</f>
        <v>2017 - 2027</v>
      </c>
    </row>
    <row r="397" spans="1:14" x14ac:dyDescent="0.25">
      <c r="A397" s="417" t="s">
        <v>390</v>
      </c>
      <c r="B397" s="440">
        <f>'Ind T6'!V475</f>
        <v>436.90000000031597</v>
      </c>
      <c r="C397" s="436" t="str">
        <f>CONCATENATE("(",ROUND((B397/$H399)*100,1),")")</f>
        <v>(33)</v>
      </c>
      <c r="D397" s="440">
        <f>'Ind T6'!W475</f>
        <v>73.190999999955721</v>
      </c>
      <c r="E397" s="436" t="str">
        <f>CONCATENATE("(",ROUND((D397/$H399)*100,1),")")</f>
        <v>(5.5)</v>
      </c>
      <c r="F397" s="440">
        <f>'Ind T6'!X475</f>
        <v>28.246999999656051</v>
      </c>
      <c r="G397" s="436" t="str">
        <f>CONCATENATE("(",ROUND((F397/$H399)*100,1),")")</f>
        <v>(2.1)</v>
      </c>
      <c r="H397" s="440">
        <f>SUM(B397,D397,F397)</f>
        <v>538.33799999992777</v>
      </c>
      <c r="I397" s="436" t="str">
        <f>CONCATENATE("(",ROUND((H397/$H399)*100,1),")")</f>
        <v>(40.7)</v>
      </c>
      <c r="K397" s="440">
        <f>B397-B387</f>
        <v>-52.115999998150073</v>
      </c>
      <c r="L397" s="440">
        <f>D397-D387</f>
        <v>9.1849999997078413</v>
      </c>
      <c r="M397" s="440">
        <f>F397-F387</f>
        <v>2.2459999999704792</v>
      </c>
      <c r="N397" s="440">
        <f>SUM(K397:M397)</f>
        <v>-40.684999998471753</v>
      </c>
    </row>
    <row r="398" spans="1:14" x14ac:dyDescent="0.25">
      <c r="A398" s="417" t="s">
        <v>391</v>
      </c>
      <c r="B398" s="440">
        <f>'Ind T6'!V474</f>
        <v>388.87300000008503</v>
      </c>
      <c r="C398" s="436" t="str">
        <f>CONCATENATE("(",ROUND((B398/$H399)*100,1),")")</f>
        <v>(29.4)</v>
      </c>
      <c r="D398" s="440">
        <f>'Ind T6'!W474</f>
        <v>366.64999999969683</v>
      </c>
      <c r="E398" s="436" t="str">
        <f>CONCATENATE("(",ROUND((D398/$H399)*100,1),")")</f>
        <v>(27.7)</v>
      </c>
      <c r="F398" s="440">
        <f>'Ind T6'!X474</f>
        <v>29.291999999984011</v>
      </c>
      <c r="G398" s="436" t="str">
        <f>CONCATENATE("(",ROUND((F398/$H399)*100,1),")")</f>
        <v>(2.2)</v>
      </c>
      <c r="H398" s="440">
        <f t="shared" ref="H398" si="300">SUM(B398,D398,F398)</f>
        <v>784.81499999976586</v>
      </c>
      <c r="I398" s="436" t="str">
        <f>CONCATENATE("(",ROUND((H398/$H399)*100,1),")")</f>
        <v>(59.3)</v>
      </c>
      <c r="K398" s="440">
        <f t="shared" ref="K398:K399" si="301">B398-B388</f>
        <v>-6.1399999976584354</v>
      </c>
      <c r="L398" s="440">
        <f t="shared" ref="L398:L399" si="302">D398-D388</f>
        <v>40.637000001800516</v>
      </c>
      <c r="M398" s="440">
        <f t="shared" ref="M398:M399" si="303">F398-F388</f>
        <v>-0.70699999969053451</v>
      </c>
      <c r="N398" s="440">
        <f t="shared" ref="N398:N399" si="304">SUM(K398:M398)</f>
        <v>33.790000004451542</v>
      </c>
    </row>
    <row r="399" spans="1:14" x14ac:dyDescent="0.25">
      <c r="A399" s="408" t="s">
        <v>389</v>
      </c>
      <c r="B399" s="440">
        <f>SUM(B397:B398)</f>
        <v>825.773000000401</v>
      </c>
      <c r="C399" s="436" t="str">
        <f>CONCATENATE("(",ROUND((B399/$H399)*100,1),")")</f>
        <v>(62.4)</v>
      </c>
      <c r="D399" s="440">
        <f>SUM(D397:D398)</f>
        <v>439.84099999965258</v>
      </c>
      <c r="E399" s="436" t="str">
        <f>CONCATENATE("(",ROUND((D399/$H399)*100,1),")")</f>
        <v>(33.2)</v>
      </c>
      <c r="F399" s="440">
        <f>SUM(F397:F398)</f>
        <v>57.538999999640062</v>
      </c>
      <c r="G399" s="436" t="str">
        <f>CONCATENATE("(",ROUND((F399/$H399)*100,1),")")</f>
        <v>(4.3)</v>
      </c>
      <c r="H399" s="440">
        <f>SUM(H397:H398)</f>
        <v>1323.1529999996937</v>
      </c>
      <c r="I399" s="436" t="str">
        <f>CONCATENATE("(",ROUND((H399/$H399)*100,1),")")</f>
        <v>(100)</v>
      </c>
      <c r="K399" s="440">
        <f t="shared" si="301"/>
        <v>-58.255999995808452</v>
      </c>
      <c r="L399" s="440">
        <f t="shared" si="302"/>
        <v>49.8220000015084</v>
      </c>
      <c r="M399" s="440">
        <f t="shared" si="303"/>
        <v>1.5390000002799482</v>
      </c>
      <c r="N399" s="440">
        <f t="shared" si="304"/>
        <v>-6.8949999940201039</v>
      </c>
    </row>
    <row r="400" spans="1:14" x14ac:dyDescent="0.25">
      <c r="A400" s="429"/>
      <c r="B400" s="430"/>
      <c r="C400" s="429"/>
      <c r="D400" s="430"/>
      <c r="E400" s="429"/>
      <c r="F400" s="430"/>
      <c r="G400" s="429"/>
      <c r="H400" s="430"/>
      <c r="I400" s="429"/>
      <c r="J400" s="429"/>
      <c r="K400" s="430"/>
      <c r="L400" s="430"/>
      <c r="M400" s="430"/>
      <c r="N400" s="430"/>
    </row>
    <row r="404" spans="1:14" x14ac:dyDescent="0.25">
      <c r="A404" s="419"/>
      <c r="B404" s="420" t="s">
        <v>414</v>
      </c>
      <c r="C404" s="419"/>
      <c r="D404" s="420"/>
      <c r="E404" s="419"/>
      <c r="F404" s="420" t="str">
        <f>name!B22</f>
        <v>Education</v>
      </c>
      <c r="G404" s="419"/>
      <c r="H404" s="422"/>
      <c r="I404" s="419"/>
      <c r="J404" s="421"/>
      <c r="K404" s="422"/>
      <c r="L404" s="422"/>
      <c r="M404" s="422"/>
      <c r="N404" s="422"/>
    </row>
    <row r="405" spans="1:14" x14ac:dyDescent="0.25">
      <c r="A405" s="408"/>
      <c r="B405" s="409"/>
      <c r="C405" s="408"/>
      <c r="D405" s="409"/>
      <c r="E405" s="408"/>
      <c r="F405" s="409"/>
      <c r="G405" s="408"/>
      <c r="H405" s="409"/>
      <c r="I405" s="408"/>
      <c r="K405" s="409"/>
      <c r="L405" s="409"/>
      <c r="M405" s="409"/>
      <c r="N405" s="415" t="s">
        <v>412</v>
      </c>
    </row>
    <row r="406" spans="1:14" x14ac:dyDescent="0.25">
      <c r="A406" s="413" t="s">
        <v>413</v>
      </c>
      <c r="B406" s="512" t="s">
        <v>411</v>
      </c>
      <c r="C406" s="512"/>
      <c r="D406" s="512" t="s">
        <v>410</v>
      </c>
      <c r="E406" s="512"/>
      <c r="F406" s="512" t="s">
        <v>409</v>
      </c>
      <c r="G406" s="512"/>
      <c r="H406" s="512" t="s">
        <v>32</v>
      </c>
      <c r="I406" s="512"/>
      <c r="J406" s="413"/>
      <c r="K406" s="434" t="s">
        <v>371</v>
      </c>
      <c r="L406" s="434" t="s">
        <v>373</v>
      </c>
      <c r="M406" s="434" t="s">
        <v>369</v>
      </c>
      <c r="N406" s="434" t="s">
        <v>32</v>
      </c>
    </row>
    <row r="407" spans="1:14" x14ac:dyDescent="0.25">
      <c r="A407" s="423">
        <f>$A$8</f>
        <v>2017</v>
      </c>
      <c r="B407" s="424" t="s">
        <v>60</v>
      </c>
      <c r="C407" s="425" t="s">
        <v>408</v>
      </c>
      <c r="D407" s="424" t="s">
        <v>60</v>
      </c>
      <c r="E407" s="425" t="s">
        <v>408</v>
      </c>
      <c r="F407" s="424" t="s">
        <v>60</v>
      </c>
      <c r="G407" s="425" t="s">
        <v>408</v>
      </c>
      <c r="H407" s="424" t="s">
        <v>60</v>
      </c>
      <c r="I407" s="425" t="s">
        <v>408</v>
      </c>
      <c r="J407" s="413"/>
      <c r="K407" s="426" t="str">
        <f>CONCATENATE(A407," - ",A412)</f>
        <v>2017 - 2022</v>
      </c>
      <c r="L407" s="427"/>
      <c r="M407" s="427"/>
    </row>
    <row r="408" spans="1:14" x14ac:dyDescent="0.25">
      <c r="A408" s="417" t="s">
        <v>390</v>
      </c>
      <c r="B408" s="440">
        <f>'Ind T6'!L485</f>
        <v>574.01900002885384</v>
      </c>
      <c r="C408" s="436" t="str">
        <f>CONCATENATE("(",ROUND((B408/$H410)*100,1),")")</f>
        <v>(19.6)</v>
      </c>
      <c r="D408" s="440">
        <f>'Ind T6'!M485</f>
        <v>221.00700000730978</v>
      </c>
      <c r="E408" s="436" t="str">
        <f>CONCATENATE("(",ROUND((D408/$H410)*100,1),")")</f>
        <v>(7.6)</v>
      </c>
      <c r="F408" s="440">
        <f>'Ind T6'!N485</f>
        <v>85.000000002624375</v>
      </c>
      <c r="G408" s="436" t="str">
        <f>CONCATENATE("(",ROUND((F408/$H410)*100,1),")")</f>
        <v>(2.9)</v>
      </c>
      <c r="H408" s="440">
        <f>SUM(B408,D408,F408)</f>
        <v>880.02600003878797</v>
      </c>
      <c r="I408" s="436" t="str">
        <f>CONCATENATE("(",ROUND((H408/$H410)*100,1),")")</f>
        <v>(30.1)</v>
      </c>
      <c r="K408" s="440">
        <f>B413-B408</f>
        <v>-48.569999996568185</v>
      </c>
      <c r="L408" s="440">
        <f>D413-D408</f>
        <v>21.603000004895279</v>
      </c>
      <c r="M408" s="440">
        <f>F413-F408</f>
        <v>2.4609999964664553</v>
      </c>
      <c r="N408" s="440">
        <f>SUM(K408:M408)</f>
        <v>-24.505999995206452</v>
      </c>
    </row>
    <row r="409" spans="1:14" x14ac:dyDescent="0.25">
      <c r="A409" s="417" t="s">
        <v>391</v>
      </c>
      <c r="B409" s="440">
        <f>'Ind T6'!L484</f>
        <v>862.02900002955084</v>
      </c>
      <c r="C409" s="436" t="str">
        <f>CONCATENATE("(",ROUND((B409/$H410)*100,1),")")</f>
        <v>(29.5)</v>
      </c>
      <c r="D409" s="440">
        <f>'Ind T6'!M484</f>
        <v>1021.0339999524648</v>
      </c>
      <c r="E409" s="436" t="str">
        <f>CONCATENATE("(",ROUND((D409/$H410)*100,1),")")</f>
        <v>(34.9)</v>
      </c>
      <c r="F409" s="440">
        <f>'Ind T6'!N484</f>
        <v>162.99999999848339</v>
      </c>
      <c r="G409" s="436" t="str">
        <f>CONCATENATE("(",ROUND((F409/$H410)*100,1),")")</f>
        <v>(5.6)</v>
      </c>
      <c r="H409" s="440">
        <f t="shared" ref="H409" si="305">SUM(B409,D409,F409)</f>
        <v>2046.0629999804992</v>
      </c>
      <c r="I409" s="436" t="str">
        <f>CONCATENATE("(",ROUND((H409/$H410)*100,1),")")</f>
        <v>(69.9)</v>
      </c>
      <c r="K409" s="440">
        <f t="shared" ref="K409:K410" si="306">B414-B409</f>
        <v>-20.705999963523936</v>
      </c>
      <c r="L409" s="440">
        <f t="shared" ref="L409:L410" si="307">D414-D409</f>
        <v>23.566000025199514</v>
      </c>
      <c r="M409" s="440">
        <f t="shared" ref="M409:M410" si="308">F414-F409</f>
        <v>-16.291999996005643</v>
      </c>
      <c r="N409" s="440">
        <f t="shared" ref="N409:N410" si="309">SUM(K409:M409)</f>
        <v>-13.431999934330065</v>
      </c>
    </row>
    <row r="410" spans="1:14" x14ac:dyDescent="0.25">
      <c r="A410" s="417" t="s">
        <v>389</v>
      </c>
      <c r="B410" s="440">
        <f>SUM(B408:B409)</f>
        <v>1436.0480000584048</v>
      </c>
      <c r="C410" s="436" t="str">
        <f>CONCATENATE("(",ROUND((B410/$H410)*100,1),")")</f>
        <v>(49.1)</v>
      </c>
      <c r="D410" s="440">
        <f>SUM(D408:D409)</f>
        <v>1242.0409999597746</v>
      </c>
      <c r="E410" s="436" t="str">
        <f>CONCATENATE("(",ROUND((D410/$H410)*100,1),")")</f>
        <v>(42.4)</v>
      </c>
      <c r="F410" s="440">
        <f>SUM(F408:F409)</f>
        <v>248.00000000110776</v>
      </c>
      <c r="G410" s="436" t="str">
        <f>CONCATENATE("(",ROUND((F410/$H410)*100,1),")")</f>
        <v>(8.5)</v>
      </c>
      <c r="H410" s="440">
        <f>SUM(H408:H409)</f>
        <v>2926.0890000192871</v>
      </c>
      <c r="I410" s="436" t="str">
        <f>CONCATENATE("(",ROUND((H410/$H410)*100,1),")")</f>
        <v>(100)</v>
      </c>
      <c r="K410" s="440">
        <f t="shared" si="306"/>
        <v>-69.275999960092122</v>
      </c>
      <c r="L410" s="440">
        <f t="shared" si="307"/>
        <v>45.169000030094821</v>
      </c>
      <c r="M410" s="440">
        <f t="shared" si="308"/>
        <v>-13.830999999539188</v>
      </c>
      <c r="N410" s="440">
        <f t="shared" si="309"/>
        <v>-37.937999929536488</v>
      </c>
    </row>
    <row r="411" spans="1:14" x14ac:dyDescent="0.25">
      <c r="B411" s="440"/>
      <c r="C411" s="428"/>
      <c r="D411" s="440"/>
      <c r="E411" s="428"/>
      <c r="F411" s="440"/>
      <c r="G411" s="428"/>
      <c r="H411" s="440"/>
      <c r="I411" s="428"/>
    </row>
    <row r="412" spans="1:14" x14ac:dyDescent="0.25">
      <c r="A412" s="423">
        <f>$A$13</f>
        <v>2022</v>
      </c>
      <c r="B412" s="440"/>
      <c r="C412" s="428"/>
      <c r="D412" s="440"/>
      <c r="E412" s="428"/>
      <c r="F412" s="440"/>
      <c r="G412" s="428"/>
      <c r="H412" s="440"/>
      <c r="I412" s="428"/>
      <c r="K412" s="426" t="str">
        <f>CONCATENATE(A412," - ",A417)</f>
        <v>2022 - 2027</v>
      </c>
    </row>
    <row r="413" spans="1:14" x14ac:dyDescent="0.25">
      <c r="A413" s="417" t="s">
        <v>390</v>
      </c>
      <c r="B413" s="440">
        <f>'Ind T6'!Q485</f>
        <v>525.44900003228565</v>
      </c>
      <c r="C413" s="436" t="str">
        <f>CONCATENATE("(",ROUND((B413/$H415)*100,1),")")</f>
        <v>(18.2)</v>
      </c>
      <c r="D413" s="440">
        <f>'Ind T6'!R485</f>
        <v>242.61000001220506</v>
      </c>
      <c r="E413" s="436" t="str">
        <f>CONCATENATE("(",ROUND((D413/$H415)*100,1),")")</f>
        <v>(8.4)</v>
      </c>
      <c r="F413" s="440">
        <f>'Ind T6'!S485</f>
        <v>87.460999999090831</v>
      </c>
      <c r="G413" s="436" t="str">
        <f>CONCATENATE("(",ROUND((F413/$H415)*100,1),")")</f>
        <v>(3)</v>
      </c>
      <c r="H413" s="440">
        <f>SUM(B413,D413,F413)</f>
        <v>855.5200000435816</v>
      </c>
      <c r="I413" s="436" t="str">
        <f>CONCATENATE("(",ROUND((H413/$H415)*100,1),")")</f>
        <v>(29.6)</v>
      </c>
      <c r="K413" s="440">
        <f>B418-B413</f>
        <v>-27.523000009354178</v>
      </c>
      <c r="L413" s="440">
        <f>D418-D413</f>
        <v>25.493000001498359</v>
      </c>
      <c r="M413" s="440">
        <f>F418-F413</f>
        <v>4.5679999990411631</v>
      </c>
      <c r="N413" s="440">
        <f>SUM(K413:M413)</f>
        <v>2.5379999911853446</v>
      </c>
    </row>
    <row r="414" spans="1:14" x14ac:dyDescent="0.25">
      <c r="A414" s="417" t="s">
        <v>391</v>
      </c>
      <c r="B414" s="440">
        <f>'Ind T6'!Q484</f>
        <v>841.32300006602691</v>
      </c>
      <c r="C414" s="436" t="str">
        <f>CONCATENATE("(",ROUND((B414/$H415)*100,1),")")</f>
        <v>(29.1)</v>
      </c>
      <c r="D414" s="440">
        <f>'Ind T6'!R484</f>
        <v>1044.5999999776643</v>
      </c>
      <c r="E414" s="436" t="str">
        <f>CONCATENATE("(",ROUND((D414/$H415)*100,1),")")</f>
        <v>(36.2)</v>
      </c>
      <c r="F414" s="440">
        <f>'Ind T6'!S484</f>
        <v>146.70800000247775</v>
      </c>
      <c r="G414" s="436" t="str">
        <f>CONCATENATE("(",ROUND((F414/$H415)*100,1),")")</f>
        <v>(5.1)</v>
      </c>
      <c r="H414" s="440">
        <f t="shared" ref="H414" si="310">SUM(B414,D414,F414)</f>
        <v>2032.631000046169</v>
      </c>
      <c r="I414" s="436" t="str">
        <f>CONCATENATE("(",ROUND((H414/$H415)*100,1),")")</f>
        <v>(70.4)</v>
      </c>
      <c r="K414" s="440">
        <f t="shared" ref="K414:K415" si="311">B419-B414</f>
        <v>5.4399999738196811</v>
      </c>
      <c r="L414" s="440">
        <f t="shared" ref="L414:L415" si="312">D419-D414</f>
        <v>49.508999986346453</v>
      </c>
      <c r="M414" s="440">
        <f t="shared" ref="M414:M415" si="313">F419-F414</f>
        <v>-10.054000002187877</v>
      </c>
      <c r="N414" s="440">
        <f t="shared" ref="N414:N415" si="314">SUM(K414:M414)</f>
        <v>44.894999957978257</v>
      </c>
    </row>
    <row r="415" spans="1:14" x14ac:dyDescent="0.25">
      <c r="A415" s="417" t="s">
        <v>389</v>
      </c>
      <c r="B415" s="440">
        <f>SUM(B413:B414)</f>
        <v>1366.7720000983127</v>
      </c>
      <c r="C415" s="436" t="str">
        <f>CONCATENATE("(",ROUND((B415/$H415)*100,1),")")</f>
        <v>(47.3)</v>
      </c>
      <c r="D415" s="440">
        <f>SUM(D413:D414)</f>
        <v>1287.2099999898694</v>
      </c>
      <c r="E415" s="436" t="str">
        <f>CONCATENATE("(",ROUND((D415/$H415)*100,1),")")</f>
        <v>(44.6)</v>
      </c>
      <c r="F415" s="440">
        <f>SUM(F413:F414)</f>
        <v>234.16900000156858</v>
      </c>
      <c r="G415" s="436" t="str">
        <f>CONCATENATE("(",ROUND((F415/$H415)*100,1),")")</f>
        <v>(8.1)</v>
      </c>
      <c r="H415" s="440">
        <f>SUM(H413:H414)</f>
        <v>2888.1510000897506</v>
      </c>
      <c r="I415" s="436" t="str">
        <f>CONCATENATE("(",ROUND((H415/$H415)*100,1),")")</f>
        <v>(100)</v>
      </c>
      <c r="K415" s="440">
        <f t="shared" si="311"/>
        <v>-22.083000035534496</v>
      </c>
      <c r="L415" s="440">
        <f t="shared" si="312"/>
        <v>75.001999987844783</v>
      </c>
      <c r="M415" s="440">
        <f t="shared" si="313"/>
        <v>-5.486000003146728</v>
      </c>
      <c r="N415" s="440">
        <f t="shared" si="314"/>
        <v>47.432999949163559</v>
      </c>
    </row>
    <row r="416" spans="1:14" x14ac:dyDescent="0.25">
      <c r="B416" s="440"/>
      <c r="C416" s="428"/>
      <c r="D416" s="440"/>
      <c r="E416" s="428"/>
      <c r="F416" s="440"/>
      <c r="G416" s="428"/>
      <c r="H416" s="440"/>
      <c r="I416" s="428"/>
    </row>
    <row r="417" spans="1:14" x14ac:dyDescent="0.25">
      <c r="A417" s="423">
        <f>$A$18</f>
        <v>2027</v>
      </c>
      <c r="B417" s="440"/>
      <c r="C417" s="428"/>
      <c r="D417" s="440"/>
      <c r="E417" s="428"/>
      <c r="F417" s="440"/>
      <c r="G417" s="428"/>
      <c r="H417" s="440"/>
      <c r="I417" s="428"/>
      <c r="K417" s="426" t="str">
        <f>CONCATENATE(A407," - ",A417)</f>
        <v>2017 - 2027</v>
      </c>
    </row>
    <row r="418" spans="1:14" x14ac:dyDescent="0.25">
      <c r="A418" s="417" t="s">
        <v>390</v>
      </c>
      <c r="B418" s="440">
        <f>'Ind T6'!V485</f>
        <v>497.92600002293148</v>
      </c>
      <c r="C418" s="436" t="str">
        <f>CONCATENATE("(",ROUND((B418/$H420)*100,1),")")</f>
        <v>(17)</v>
      </c>
      <c r="D418" s="440">
        <f>'Ind T6'!W485</f>
        <v>268.10300001370342</v>
      </c>
      <c r="E418" s="436" t="str">
        <f>CONCATENATE("(",ROUND((D418/$H420)*100,1),")")</f>
        <v>(9.1)</v>
      </c>
      <c r="F418" s="440">
        <f>'Ind T6'!X485</f>
        <v>92.028999998131994</v>
      </c>
      <c r="G418" s="436" t="str">
        <f>CONCATENATE("(",ROUND((F418/$H420)*100,1),")")</f>
        <v>(3.1)</v>
      </c>
      <c r="H418" s="440">
        <f>SUM(B418,D418,F418)</f>
        <v>858.05800003476691</v>
      </c>
      <c r="I418" s="436" t="str">
        <f>CONCATENATE("(",ROUND((H418/$H420)*100,1),")")</f>
        <v>(29.2)</v>
      </c>
      <c r="K418" s="440">
        <f>B418-B408</f>
        <v>-76.093000005922363</v>
      </c>
      <c r="L418" s="440">
        <f>D418-D408</f>
        <v>47.096000006393638</v>
      </c>
      <c r="M418" s="440">
        <f>F418-F408</f>
        <v>7.0289999955076183</v>
      </c>
      <c r="N418" s="440">
        <f>SUM(K418:M418)</f>
        <v>-21.968000004021107</v>
      </c>
    </row>
    <row r="419" spans="1:14" x14ac:dyDescent="0.25">
      <c r="A419" s="417" t="s">
        <v>391</v>
      </c>
      <c r="B419" s="440">
        <f>'Ind T6'!V484</f>
        <v>846.76300003984659</v>
      </c>
      <c r="C419" s="436" t="str">
        <f>CONCATENATE("(",ROUND((B419/$H420)*100,1),")")</f>
        <v>(28.8)</v>
      </c>
      <c r="D419" s="440">
        <f>'Ind T6'!W484</f>
        <v>1094.1089999640108</v>
      </c>
      <c r="E419" s="436" t="str">
        <f>CONCATENATE("(",ROUND((D419/$H420)*100,1),")")</f>
        <v>(37.3)</v>
      </c>
      <c r="F419" s="440">
        <f>'Ind T6'!X484</f>
        <v>136.65400000028987</v>
      </c>
      <c r="G419" s="436" t="str">
        <f>CONCATENATE("(",ROUND((F419/$H420)*100,1),")")</f>
        <v>(4.7)</v>
      </c>
      <c r="H419" s="440">
        <f t="shared" ref="H419" si="315">SUM(B419,D419,F419)</f>
        <v>2077.5260000041471</v>
      </c>
      <c r="I419" s="436" t="str">
        <f>CONCATENATE("(",ROUND((H419/$H420)*100,1),")")</f>
        <v>(70.8)</v>
      </c>
      <c r="K419" s="440">
        <f t="shared" ref="K419:K420" si="316">B419-B409</f>
        <v>-15.265999989704255</v>
      </c>
      <c r="L419" s="440">
        <f t="shared" ref="L419:L420" si="317">D419-D409</f>
        <v>73.075000011545967</v>
      </c>
      <c r="M419" s="440">
        <f t="shared" ref="M419:M420" si="318">F419-F409</f>
        <v>-26.34599999819352</v>
      </c>
      <c r="N419" s="440">
        <f t="shared" ref="N419:N420" si="319">SUM(K419:M419)</f>
        <v>31.463000023648192</v>
      </c>
    </row>
    <row r="420" spans="1:14" x14ac:dyDescent="0.25">
      <c r="A420" s="408" t="s">
        <v>389</v>
      </c>
      <c r="B420" s="440">
        <f>SUM(B418:B419)</f>
        <v>1344.6890000627782</v>
      </c>
      <c r="C420" s="436" t="str">
        <f>CONCATENATE("(",ROUND((B420/$H420)*100,1),")")</f>
        <v>(45.8)</v>
      </c>
      <c r="D420" s="440">
        <f>SUM(D418:D419)</f>
        <v>1362.2119999777142</v>
      </c>
      <c r="E420" s="436" t="str">
        <f>CONCATENATE("(",ROUND((D420/$H420)*100,1),")")</f>
        <v>(46.4)</v>
      </c>
      <c r="F420" s="440">
        <f>SUM(F418:F419)</f>
        <v>228.68299999842185</v>
      </c>
      <c r="G420" s="436" t="str">
        <f>CONCATENATE("(",ROUND((F420/$H420)*100,1),")")</f>
        <v>(7.8)</v>
      </c>
      <c r="H420" s="440">
        <f>SUM(H418:H419)</f>
        <v>2935.5840000389139</v>
      </c>
      <c r="I420" s="436" t="str">
        <f>CONCATENATE("(",ROUND((H420/$H420)*100,1),")")</f>
        <v>(100)</v>
      </c>
      <c r="K420" s="440">
        <f t="shared" si="316"/>
        <v>-91.358999995626618</v>
      </c>
      <c r="L420" s="440">
        <f t="shared" si="317"/>
        <v>120.1710000179396</v>
      </c>
      <c r="M420" s="440">
        <f t="shared" si="318"/>
        <v>-19.317000002685916</v>
      </c>
      <c r="N420" s="440">
        <f t="shared" si="319"/>
        <v>9.4950000196270707</v>
      </c>
    </row>
    <row r="421" spans="1:14" x14ac:dyDescent="0.25">
      <c r="A421" s="429"/>
      <c r="B421" s="430"/>
      <c r="C421" s="429"/>
      <c r="D421" s="430"/>
      <c r="E421" s="429"/>
      <c r="F421" s="430"/>
      <c r="G421" s="429"/>
      <c r="H421" s="430"/>
      <c r="I421" s="429"/>
      <c r="J421" s="429"/>
      <c r="K421" s="430"/>
      <c r="L421" s="430"/>
      <c r="M421" s="430"/>
      <c r="N421" s="430"/>
    </row>
    <row r="424" spans="1:14" x14ac:dyDescent="0.25">
      <c r="C424" s="267"/>
      <c r="E424" s="267"/>
      <c r="G424" s="267"/>
      <c r="I424" s="267"/>
    </row>
    <row r="425" spans="1:14" x14ac:dyDescent="0.25">
      <c r="A425" s="419"/>
      <c r="B425" s="420" t="s">
        <v>414</v>
      </c>
      <c r="C425" s="419"/>
      <c r="D425" s="420"/>
      <c r="E425" s="419"/>
      <c r="F425" s="420" t="str">
        <f>name!B23</f>
        <v>Health and social work</v>
      </c>
      <c r="G425" s="419"/>
      <c r="H425" s="422"/>
      <c r="I425" s="419"/>
      <c r="J425" s="421"/>
      <c r="K425" s="422"/>
      <c r="L425" s="422"/>
      <c r="M425" s="422"/>
      <c r="N425" s="422"/>
    </row>
    <row r="426" spans="1:14" x14ac:dyDescent="0.25">
      <c r="A426" s="408"/>
      <c r="B426" s="409"/>
      <c r="C426" s="408"/>
      <c r="D426" s="409"/>
      <c r="E426" s="408"/>
      <c r="F426" s="409"/>
      <c r="G426" s="408"/>
      <c r="H426" s="409"/>
      <c r="I426" s="408"/>
      <c r="K426" s="409"/>
      <c r="L426" s="409"/>
      <c r="M426" s="409"/>
      <c r="N426" s="415" t="s">
        <v>412</v>
      </c>
    </row>
    <row r="427" spans="1:14" x14ac:dyDescent="0.25">
      <c r="A427" s="413" t="s">
        <v>413</v>
      </c>
      <c r="B427" s="512" t="s">
        <v>411</v>
      </c>
      <c r="C427" s="512"/>
      <c r="D427" s="512" t="s">
        <v>410</v>
      </c>
      <c r="E427" s="512"/>
      <c r="F427" s="512" t="s">
        <v>409</v>
      </c>
      <c r="G427" s="512"/>
      <c r="H427" s="512" t="s">
        <v>32</v>
      </c>
      <c r="I427" s="512"/>
      <c r="J427" s="413"/>
      <c r="K427" s="434" t="s">
        <v>371</v>
      </c>
      <c r="L427" s="434" t="s">
        <v>373</v>
      </c>
      <c r="M427" s="434" t="s">
        <v>369</v>
      </c>
      <c r="N427" s="434" t="s">
        <v>32</v>
      </c>
    </row>
    <row r="428" spans="1:14" x14ac:dyDescent="0.25">
      <c r="A428" s="423">
        <f>$A$8</f>
        <v>2017</v>
      </c>
      <c r="B428" s="424" t="s">
        <v>60</v>
      </c>
      <c r="C428" s="425" t="s">
        <v>408</v>
      </c>
      <c r="D428" s="424" t="s">
        <v>60</v>
      </c>
      <c r="E428" s="425" t="s">
        <v>408</v>
      </c>
      <c r="F428" s="424" t="s">
        <v>60</v>
      </c>
      <c r="G428" s="425" t="s">
        <v>408</v>
      </c>
      <c r="H428" s="424" t="s">
        <v>60</v>
      </c>
      <c r="I428" s="425" t="s">
        <v>408</v>
      </c>
      <c r="J428" s="413"/>
      <c r="K428" s="426" t="str">
        <f>CONCATENATE(A428," - ",A433)</f>
        <v>2017 - 2022</v>
      </c>
      <c r="L428" s="427"/>
      <c r="M428" s="427"/>
    </row>
    <row r="429" spans="1:14" x14ac:dyDescent="0.25">
      <c r="A429" s="417" t="s">
        <v>390</v>
      </c>
      <c r="B429" s="440">
        <f>'Ind T6'!L510</f>
        <v>641.88000000117904</v>
      </c>
      <c r="C429" s="436" t="str">
        <f>CONCATENATE("(",ROUND((B429/$H431)*100,1),")")</f>
        <v>(14.7)</v>
      </c>
      <c r="D429" s="440">
        <f>'Ind T6'!M510</f>
        <v>212.93700000057157</v>
      </c>
      <c r="E429" s="436" t="str">
        <f>CONCATENATE("(",ROUND((D429/$H431)*100,1),")")</f>
        <v>(4.9)</v>
      </c>
      <c r="F429" s="440">
        <f>'Ind T6'!N510</f>
        <v>94.320999996277237</v>
      </c>
      <c r="G429" s="436" t="str">
        <f>CONCATENATE("(",ROUND((F429/$H431)*100,1),")")</f>
        <v>(2.2)</v>
      </c>
      <c r="H429" s="440">
        <f>SUM(B429,D429,F429)</f>
        <v>949.13799999802779</v>
      </c>
      <c r="I429" s="436" t="str">
        <f>CONCATENATE("(",ROUND((H429/$H431)*100,1),")")</f>
        <v>(21.7)</v>
      </c>
      <c r="K429" s="440">
        <f>B434-B429</f>
        <v>15.542000004909937</v>
      </c>
      <c r="L429" s="440">
        <f>D434-D429</f>
        <v>30.080000000079792</v>
      </c>
      <c r="M429" s="440">
        <f>F434-F429</f>
        <v>1.1159999993680287</v>
      </c>
      <c r="N429" s="440">
        <f>SUM(K429:M429)</f>
        <v>46.738000004357758</v>
      </c>
    </row>
    <row r="430" spans="1:14" x14ac:dyDescent="0.25">
      <c r="A430" s="417" t="s">
        <v>391</v>
      </c>
      <c r="B430" s="440">
        <f>'Ind T6'!L509</f>
        <v>1699.1609999969298</v>
      </c>
      <c r="C430" s="436" t="str">
        <f>CONCATENATE("(",ROUND((B430/$H431)*100,1),")")</f>
        <v>(38.8)</v>
      </c>
      <c r="D430" s="440">
        <f>'Ind T6'!M509</f>
        <v>1495.1549999717215</v>
      </c>
      <c r="E430" s="436" t="str">
        <f>CONCATENATE("(",ROUND((D430/$H431)*100,1),")")</f>
        <v>(34.1)</v>
      </c>
      <c r="F430" s="440">
        <f>'Ind T6'!N509</f>
        <v>237.67199998266142</v>
      </c>
      <c r="G430" s="436" t="str">
        <f>CONCATENATE("(",ROUND((F430/$H431)*100,1),")")</f>
        <v>(5.4)</v>
      </c>
      <c r="H430" s="440">
        <f t="shared" ref="H430" si="320">SUM(B430,D430,F430)</f>
        <v>3431.9879999513128</v>
      </c>
      <c r="I430" s="436" t="str">
        <f>CONCATENATE("(",ROUND((H430/$H431)*100,1),")")</f>
        <v>(78.3)</v>
      </c>
      <c r="K430" s="440">
        <f t="shared" ref="K430:K431" si="321">B435-B430</f>
        <v>76.208000013234596</v>
      </c>
      <c r="L430" s="440">
        <f t="shared" ref="L430:L431" si="322">D435-D430</f>
        <v>90.393000009561774</v>
      </c>
      <c r="M430" s="440">
        <f t="shared" ref="M430:M431" si="323">F435-F430</f>
        <v>1.0170000014838934</v>
      </c>
      <c r="N430" s="440">
        <f t="shared" ref="N430:N431" si="324">SUM(K430:M430)</f>
        <v>167.61800002428026</v>
      </c>
    </row>
    <row r="431" spans="1:14" x14ac:dyDescent="0.25">
      <c r="A431" s="417" t="s">
        <v>389</v>
      </c>
      <c r="B431" s="440">
        <f>SUM(B429:B430)</f>
        <v>2341.0409999981089</v>
      </c>
      <c r="C431" s="436" t="str">
        <f>CONCATENATE("(",ROUND((B431/$H431)*100,1),")")</f>
        <v>(53.4)</v>
      </c>
      <c r="D431" s="440">
        <f>SUM(D429:D430)</f>
        <v>1708.091999972293</v>
      </c>
      <c r="E431" s="436" t="str">
        <f>CONCATENATE("(",ROUND((D431/$H431)*100,1),")")</f>
        <v>(39)</v>
      </c>
      <c r="F431" s="440">
        <f>SUM(F429:F430)</f>
        <v>331.99299997893866</v>
      </c>
      <c r="G431" s="436" t="str">
        <f>CONCATENATE("(",ROUND((F431/$H431)*100,1),")")</f>
        <v>(7.6)</v>
      </c>
      <c r="H431" s="440">
        <f>SUM(H429:H430)</f>
        <v>4381.1259999493404</v>
      </c>
      <c r="I431" s="436" t="str">
        <f>CONCATENATE("(",ROUND((H431/$H431)*100,1),")")</f>
        <v>(100)</v>
      </c>
      <c r="K431" s="440">
        <f t="shared" si="321"/>
        <v>91.750000018144419</v>
      </c>
      <c r="L431" s="440">
        <f t="shared" si="322"/>
        <v>120.47300000964174</v>
      </c>
      <c r="M431" s="440">
        <f t="shared" si="323"/>
        <v>2.1330000008518937</v>
      </c>
      <c r="N431" s="440">
        <f t="shared" si="324"/>
        <v>214.35600002863805</v>
      </c>
    </row>
    <row r="432" spans="1:14" x14ac:dyDescent="0.25">
      <c r="B432" s="440"/>
      <c r="C432" s="428"/>
      <c r="D432" s="440"/>
      <c r="E432" s="428"/>
      <c r="F432" s="440"/>
      <c r="G432" s="428"/>
      <c r="H432" s="440"/>
      <c r="I432" s="428"/>
    </row>
    <row r="433" spans="1:14" x14ac:dyDescent="0.25">
      <c r="A433" s="423">
        <f>$A$13</f>
        <v>2022</v>
      </c>
      <c r="B433" s="440"/>
      <c r="C433" s="428"/>
      <c r="D433" s="440"/>
      <c r="E433" s="428"/>
      <c r="F433" s="440"/>
      <c r="G433" s="428"/>
      <c r="H433" s="440"/>
      <c r="I433" s="428"/>
      <c r="K433" s="426" t="str">
        <f>CONCATENATE(A433," - ",A438)</f>
        <v>2022 - 2027</v>
      </c>
    </row>
    <row r="434" spans="1:14" x14ac:dyDescent="0.25">
      <c r="A434" s="417" t="s">
        <v>390</v>
      </c>
      <c r="B434" s="440">
        <f>'Ind T6'!Q510</f>
        <v>657.42200000608898</v>
      </c>
      <c r="C434" s="436" t="str">
        <f>CONCATENATE("(",ROUND((B434/$H436)*100,1),")")</f>
        <v>(14.3)</v>
      </c>
      <c r="D434" s="440">
        <f>'Ind T6'!R510</f>
        <v>243.01700000065136</v>
      </c>
      <c r="E434" s="436" t="str">
        <f>CONCATENATE("(",ROUND((D434/$H436)*100,1),")")</f>
        <v>(5.3)</v>
      </c>
      <c r="F434" s="440">
        <f>'Ind T6'!S510</f>
        <v>95.436999995645266</v>
      </c>
      <c r="G434" s="436" t="str">
        <f>CONCATENATE("(",ROUND((F434/$H436)*100,1),")")</f>
        <v>(2.1)</v>
      </c>
      <c r="H434" s="440">
        <f>SUM(B434,D434,F434)</f>
        <v>995.87600000238558</v>
      </c>
      <c r="I434" s="436" t="str">
        <f>CONCATENATE("(",ROUND((H434/$H436)*100,1),")")</f>
        <v>(21.7)</v>
      </c>
      <c r="K434" s="440">
        <f>B439-B434</f>
        <v>15.992999998725395</v>
      </c>
      <c r="L434" s="440">
        <f>D439-D434</f>
        <v>28.762999999900899</v>
      </c>
      <c r="M434" s="440">
        <f>F439-F434</f>
        <v>1.4960000007888965</v>
      </c>
      <c r="N434" s="440">
        <f>SUM(K434:M434)</f>
        <v>46.25199999941519</v>
      </c>
    </row>
    <row r="435" spans="1:14" x14ac:dyDescent="0.25">
      <c r="A435" s="417" t="s">
        <v>391</v>
      </c>
      <c r="B435" s="440">
        <f>'Ind T6'!Q509</f>
        <v>1775.3690000101644</v>
      </c>
      <c r="C435" s="436" t="str">
        <f>CONCATENATE("(",ROUND((B435/$H436)*100,1),")")</f>
        <v>(38.6)</v>
      </c>
      <c r="D435" s="440">
        <f>'Ind T6'!R509</f>
        <v>1585.5479999812833</v>
      </c>
      <c r="E435" s="436" t="str">
        <f>CONCATENATE("(",ROUND((D435/$H436)*100,1),")")</f>
        <v>(34.5)</v>
      </c>
      <c r="F435" s="440">
        <f>'Ind T6'!S509</f>
        <v>238.68899998414531</v>
      </c>
      <c r="G435" s="436" t="str">
        <f>CONCATENATE("(",ROUND((F435/$H436)*100,1),")")</f>
        <v>(5.2)</v>
      </c>
      <c r="H435" s="440">
        <f t="shared" ref="H435" si="325">SUM(B435,D435,F435)</f>
        <v>3599.6059999755926</v>
      </c>
      <c r="I435" s="436" t="str">
        <f>CONCATENATE("(",ROUND((H435/$H436)*100,1),")")</f>
        <v>(78.3)</v>
      </c>
      <c r="K435" s="440">
        <f t="shared" ref="K435:K436" si="326">B440-B435</f>
        <v>75.939999996335246</v>
      </c>
      <c r="L435" s="440">
        <f t="shared" ref="L435:L436" si="327">D440-D435</f>
        <v>89.217999998016467</v>
      </c>
      <c r="M435" s="440">
        <f t="shared" ref="M435:M436" si="328">F440-F435</f>
        <v>1.1300000015860121</v>
      </c>
      <c r="N435" s="440">
        <f t="shared" ref="N435:N436" si="329">SUM(K435:M435)</f>
        <v>166.28799999593772</v>
      </c>
    </row>
    <row r="436" spans="1:14" x14ac:dyDescent="0.25">
      <c r="A436" s="417" t="s">
        <v>389</v>
      </c>
      <c r="B436" s="440">
        <f>SUM(B434:B435)</f>
        <v>2432.7910000162533</v>
      </c>
      <c r="C436" s="436" t="str">
        <f>CONCATENATE("(",ROUND((B436/$H436)*100,1),")")</f>
        <v>(52.9)</v>
      </c>
      <c r="D436" s="440">
        <f>SUM(D434:D435)</f>
        <v>1828.5649999819348</v>
      </c>
      <c r="E436" s="436" t="str">
        <f>CONCATENATE("(",ROUND((D436/$H436)*100,1),")")</f>
        <v>(39.8)</v>
      </c>
      <c r="F436" s="440">
        <f>SUM(F434:F435)</f>
        <v>334.12599997979055</v>
      </c>
      <c r="G436" s="436" t="str">
        <f>CONCATENATE("(",ROUND((F436/$H436)*100,1),")")</f>
        <v>(7.3)</v>
      </c>
      <c r="H436" s="440">
        <f>SUM(H434:H435)</f>
        <v>4595.4819999779784</v>
      </c>
      <c r="I436" s="436" t="str">
        <f>CONCATENATE("(",ROUND((H436/$H436)*100,1),")")</f>
        <v>(100)</v>
      </c>
      <c r="K436" s="440">
        <f t="shared" si="326"/>
        <v>91.932999995060982</v>
      </c>
      <c r="L436" s="440">
        <f t="shared" si="327"/>
        <v>117.98099999791725</v>
      </c>
      <c r="M436" s="440">
        <f t="shared" si="328"/>
        <v>2.6260000023749512</v>
      </c>
      <c r="N436" s="440">
        <f t="shared" si="329"/>
        <v>212.53999999535318</v>
      </c>
    </row>
    <row r="437" spans="1:14" x14ac:dyDescent="0.25">
      <c r="B437" s="440"/>
      <c r="C437" s="428"/>
      <c r="D437" s="440"/>
      <c r="E437" s="428"/>
      <c r="F437" s="440"/>
      <c r="G437" s="428"/>
      <c r="H437" s="440"/>
      <c r="I437" s="428"/>
    </row>
    <row r="438" spans="1:14" x14ac:dyDescent="0.25">
      <c r="A438" s="423">
        <f>$A$18</f>
        <v>2027</v>
      </c>
      <c r="B438" s="440"/>
      <c r="C438" s="428"/>
      <c r="D438" s="440"/>
      <c r="E438" s="428"/>
      <c r="F438" s="440"/>
      <c r="G438" s="428"/>
      <c r="H438" s="440"/>
      <c r="I438" s="428"/>
      <c r="K438" s="426" t="str">
        <f>CONCATENATE(A428," - ",A438)</f>
        <v>2017 - 2027</v>
      </c>
    </row>
    <row r="439" spans="1:14" x14ac:dyDescent="0.25">
      <c r="A439" s="417" t="s">
        <v>390</v>
      </c>
      <c r="B439" s="440">
        <f>'Ind T6'!V510</f>
        <v>673.41500000481437</v>
      </c>
      <c r="C439" s="436" t="str">
        <f>CONCATENATE("(",ROUND((B439/$H441)*100,1),")")</f>
        <v>(14)</v>
      </c>
      <c r="D439" s="440">
        <f>'Ind T6'!W510</f>
        <v>271.78000000055226</v>
      </c>
      <c r="E439" s="436" t="str">
        <f>CONCATENATE("(",ROUND((D439/$H441)*100,1),")")</f>
        <v>(5.7)</v>
      </c>
      <c r="F439" s="440">
        <f>'Ind T6'!X510</f>
        <v>96.932999996434162</v>
      </c>
      <c r="G439" s="436" t="str">
        <f>CONCATENATE("(",ROUND((F439/$H441)*100,1),")")</f>
        <v>(2)</v>
      </c>
      <c r="H439" s="440">
        <f>SUM(B439,D439,F439)</f>
        <v>1042.1280000018007</v>
      </c>
      <c r="I439" s="436" t="str">
        <f>CONCATENATE("(",ROUND((H439/$H441)*100,1),")")</f>
        <v>(21.7)</v>
      </c>
      <c r="K439" s="440">
        <f>B439-B429</f>
        <v>31.535000003635332</v>
      </c>
      <c r="L439" s="440">
        <f>D439-D429</f>
        <v>58.842999999980691</v>
      </c>
      <c r="M439" s="440">
        <f>F439-F429</f>
        <v>2.6120000001569252</v>
      </c>
      <c r="N439" s="440">
        <f>SUM(K439:M439)</f>
        <v>92.990000003772948</v>
      </c>
    </row>
    <row r="440" spans="1:14" x14ac:dyDescent="0.25">
      <c r="A440" s="417" t="s">
        <v>391</v>
      </c>
      <c r="B440" s="440">
        <f>'Ind T6'!V509</f>
        <v>1851.3090000064997</v>
      </c>
      <c r="C440" s="436" t="str">
        <f>CONCATENATE("(",ROUND((B440/$H441)*100,1),")")</f>
        <v>(38.5)</v>
      </c>
      <c r="D440" s="440">
        <f>'Ind T6'!W509</f>
        <v>1674.7659999792997</v>
      </c>
      <c r="E440" s="436" t="str">
        <f>CONCATENATE("(",ROUND((D440/$H441)*100,1),")")</f>
        <v>(34.8)</v>
      </c>
      <c r="F440" s="440">
        <f>'Ind T6'!X509</f>
        <v>239.81899998573132</v>
      </c>
      <c r="G440" s="436" t="str">
        <f>CONCATENATE("(",ROUND((F440/$H441)*100,1),")")</f>
        <v>(5)</v>
      </c>
      <c r="H440" s="440">
        <f t="shared" ref="H440" si="330">SUM(B440,D440,F440)</f>
        <v>3765.8939999715308</v>
      </c>
      <c r="I440" s="436" t="str">
        <f>CONCATENATE("(",ROUND((H440/$H441)*100,1),")")</f>
        <v>(78.3)</v>
      </c>
      <c r="K440" s="440">
        <f t="shared" ref="K440:K441" si="331">B440-B430</f>
        <v>152.14800000956984</v>
      </c>
      <c r="L440" s="440">
        <f t="shared" ref="L440:L441" si="332">D440-D430</f>
        <v>179.61100000757824</v>
      </c>
      <c r="M440" s="440">
        <f t="shared" ref="M440:M441" si="333">F440-F430</f>
        <v>2.1470000030699055</v>
      </c>
      <c r="N440" s="440">
        <f t="shared" ref="N440:N441" si="334">SUM(K440:M440)</f>
        <v>333.90600002021802</v>
      </c>
    </row>
    <row r="441" spans="1:14" x14ac:dyDescent="0.25">
      <c r="A441" s="408" t="s">
        <v>389</v>
      </c>
      <c r="B441" s="440">
        <f>SUM(B439:B440)</f>
        <v>2524.7240000113143</v>
      </c>
      <c r="C441" s="436" t="str">
        <f>CONCATENATE("(",ROUND((B441/$H441)*100,1),")")</f>
        <v>(52.5)</v>
      </c>
      <c r="D441" s="440">
        <f>SUM(D439:D440)</f>
        <v>1946.545999979852</v>
      </c>
      <c r="E441" s="436" t="str">
        <f>CONCATENATE("(",ROUND((D441/$H441)*100,1),")")</f>
        <v>(40.5)</v>
      </c>
      <c r="F441" s="440">
        <f>SUM(F439:F440)</f>
        <v>336.7519999821655</v>
      </c>
      <c r="G441" s="436" t="str">
        <f>CONCATENATE("(",ROUND((F441/$H441)*100,1),")")</f>
        <v>(7)</v>
      </c>
      <c r="H441" s="440">
        <f>SUM(H439:H440)</f>
        <v>4808.0219999733317</v>
      </c>
      <c r="I441" s="436" t="str">
        <f>CONCATENATE("(",ROUND((H441/$H441)*100,1),")")</f>
        <v>(100)</v>
      </c>
      <c r="K441" s="440">
        <f t="shared" si="331"/>
        <v>183.6830000132054</v>
      </c>
      <c r="L441" s="440">
        <f t="shared" si="332"/>
        <v>238.45400000755899</v>
      </c>
      <c r="M441" s="440">
        <f t="shared" si="333"/>
        <v>4.7590000032268449</v>
      </c>
      <c r="N441" s="440">
        <f t="shared" si="334"/>
        <v>426.89600002399123</v>
      </c>
    </row>
    <row r="442" spans="1:14" x14ac:dyDescent="0.25">
      <c r="A442" s="429"/>
      <c r="B442" s="430"/>
      <c r="C442" s="429"/>
      <c r="D442" s="430"/>
      <c r="E442" s="429"/>
      <c r="F442" s="430"/>
      <c r="G442" s="429"/>
      <c r="H442" s="430"/>
      <c r="I442" s="429"/>
      <c r="J442" s="429"/>
      <c r="K442" s="430"/>
      <c r="L442" s="430"/>
      <c r="M442" s="430"/>
      <c r="N442" s="430"/>
    </row>
    <row r="446" spans="1:14" x14ac:dyDescent="0.25">
      <c r="A446" s="419"/>
      <c r="B446" s="420" t="s">
        <v>414</v>
      </c>
      <c r="C446" s="419"/>
      <c r="D446" s="420"/>
      <c r="E446" s="419"/>
      <c r="F446" s="420" t="str">
        <f>name!B24</f>
        <v>Arts and entertainment</v>
      </c>
      <c r="G446" s="419"/>
      <c r="H446" s="422"/>
      <c r="I446" s="419"/>
      <c r="J446" s="421"/>
      <c r="K446" s="422"/>
      <c r="L446" s="422"/>
      <c r="M446" s="422"/>
      <c r="N446" s="422"/>
    </row>
    <row r="447" spans="1:14" x14ac:dyDescent="0.25">
      <c r="A447" s="408"/>
      <c r="B447" s="409"/>
      <c r="C447" s="408"/>
      <c r="D447" s="409"/>
      <c r="E447" s="408"/>
      <c r="F447" s="409"/>
      <c r="G447" s="408"/>
      <c r="H447" s="409"/>
      <c r="I447" s="408"/>
      <c r="K447" s="409"/>
      <c r="L447" s="409"/>
      <c r="M447" s="409"/>
      <c r="N447" s="415" t="s">
        <v>412</v>
      </c>
    </row>
    <row r="448" spans="1:14" x14ac:dyDescent="0.25">
      <c r="A448" s="413" t="s">
        <v>413</v>
      </c>
      <c r="B448" s="512" t="s">
        <v>411</v>
      </c>
      <c r="C448" s="512"/>
      <c r="D448" s="512" t="s">
        <v>410</v>
      </c>
      <c r="E448" s="512"/>
      <c r="F448" s="512" t="s">
        <v>409</v>
      </c>
      <c r="G448" s="512"/>
      <c r="H448" s="512" t="s">
        <v>32</v>
      </c>
      <c r="I448" s="512"/>
      <c r="J448" s="413"/>
      <c r="K448" s="434" t="s">
        <v>371</v>
      </c>
      <c r="L448" s="434" t="s">
        <v>373</v>
      </c>
      <c r="M448" s="434" t="s">
        <v>369</v>
      </c>
      <c r="N448" s="434" t="s">
        <v>32</v>
      </c>
    </row>
    <row r="449" spans="1:14" x14ac:dyDescent="0.25">
      <c r="A449" s="423">
        <f>$A$8</f>
        <v>2017</v>
      </c>
      <c r="B449" s="424" t="s">
        <v>60</v>
      </c>
      <c r="C449" s="425" t="s">
        <v>408</v>
      </c>
      <c r="D449" s="424" t="s">
        <v>60</v>
      </c>
      <c r="E449" s="425" t="s">
        <v>408</v>
      </c>
      <c r="F449" s="424" t="s">
        <v>369</v>
      </c>
      <c r="G449" s="425" t="s">
        <v>408</v>
      </c>
      <c r="H449" s="424" t="s">
        <v>60</v>
      </c>
      <c r="I449" s="425" t="s">
        <v>408</v>
      </c>
      <c r="J449" s="413"/>
      <c r="K449" s="426" t="str">
        <f>CONCATENATE(A449," - ",A454)</f>
        <v>2017 - 2022</v>
      </c>
      <c r="L449" s="427"/>
      <c r="M449" s="427"/>
    </row>
    <row r="450" spans="1:14" x14ac:dyDescent="0.25">
      <c r="A450" s="417" t="s">
        <v>390</v>
      </c>
      <c r="B450" s="440">
        <f>'Ind T6'!L540</f>
        <v>202.93499999965456</v>
      </c>
      <c r="C450" s="436" t="str">
        <f>CONCATENATE("(",ROUND((B450/$H452)*100,1),")")</f>
        <v>(20.7)</v>
      </c>
      <c r="D450" s="440">
        <f>'Ind T6'!M540</f>
        <v>166.9590000002791</v>
      </c>
      <c r="E450" s="436" t="str">
        <f>CONCATENATE("(",ROUND((D450/$H452)*100,1),")")</f>
        <v>(17)</v>
      </c>
      <c r="F450" s="440">
        <f>'Ind T6'!N540</f>
        <v>140.36799999647161</v>
      </c>
      <c r="G450" s="436" t="str">
        <f>CONCATENATE("(",ROUND((F450/$H452)*100,1),")")</f>
        <v>(14.3)</v>
      </c>
      <c r="H450" s="440">
        <f>SUM(B450,D450,F450)</f>
        <v>510.26199999640528</v>
      </c>
      <c r="I450" s="436" t="str">
        <f>CONCATENATE("(",ROUND((H450/$H452)*100,1),")")</f>
        <v>(52)</v>
      </c>
      <c r="K450" s="440">
        <f>B455-B450</f>
        <v>19.3140000001506</v>
      </c>
      <c r="L450" s="440">
        <f>D455-D450</f>
        <v>-1.1940000007901403</v>
      </c>
      <c r="M450" s="440">
        <f>F455-F450</f>
        <v>9.7819999977009502</v>
      </c>
      <c r="N450" s="440">
        <f>SUM(K450:M450)</f>
        <v>27.901999997061409</v>
      </c>
    </row>
    <row r="451" spans="1:14" x14ac:dyDescent="0.25">
      <c r="A451" s="417" t="s">
        <v>391</v>
      </c>
      <c r="B451" s="440">
        <f>'Ind T6'!L539</f>
        <v>147.6139999986857</v>
      </c>
      <c r="C451" s="436" t="str">
        <f>CONCATENATE("(",ROUND((B451/$H452)*100,1),")")</f>
        <v>(15)</v>
      </c>
      <c r="D451" s="440">
        <f>'Ind T6'!M539</f>
        <v>229.51700000115653</v>
      </c>
      <c r="E451" s="436" t="str">
        <f>CONCATENATE("(",ROUND((D451/$H452)*100,1),")")</f>
        <v>(23.4)</v>
      </c>
      <c r="F451" s="440">
        <f>'Ind T6'!N539</f>
        <v>93.633000000640351</v>
      </c>
      <c r="G451" s="436" t="str">
        <f>CONCATENATE("(",ROUND((F451/$H452)*100,1),")")</f>
        <v>(9.5)</v>
      </c>
      <c r="H451" s="440">
        <f t="shared" ref="H451" si="335">SUM(B451,D451,F451)</f>
        <v>470.76400000048261</v>
      </c>
      <c r="I451" s="436" t="str">
        <f>CONCATENATE("(",ROUND((H451/$H452)*100,1),")")</f>
        <v>(48)</v>
      </c>
      <c r="K451" s="440">
        <f t="shared" ref="K451:K452" si="336">B456-B451</f>
        <v>8.837000001510944</v>
      </c>
      <c r="L451" s="440">
        <f t="shared" ref="L451:L452" si="337">D456-D451</f>
        <v>10.952999998647186</v>
      </c>
      <c r="M451" s="440">
        <f t="shared" ref="M451:M452" si="338">F456-F451</f>
        <v>12.687000002918126</v>
      </c>
      <c r="N451" s="440">
        <f t="shared" ref="N451:N452" si="339">SUM(K451:M451)</f>
        <v>32.477000003076256</v>
      </c>
    </row>
    <row r="452" spans="1:14" x14ac:dyDescent="0.25">
      <c r="A452" s="417" t="s">
        <v>389</v>
      </c>
      <c r="B452" s="440">
        <f>SUM(B450:B451)</f>
        <v>350.54899999834026</v>
      </c>
      <c r="C452" s="436" t="str">
        <f>CONCATENATE("(",ROUND((B452/$H452)*100,1),")")</f>
        <v>(35.7)</v>
      </c>
      <c r="D452" s="440">
        <f>SUM(D450:D451)</f>
        <v>396.47600000143564</v>
      </c>
      <c r="E452" s="436" t="str">
        <f>CONCATENATE("(",ROUND((D452/$H452)*100,1),")")</f>
        <v>(40.4)</v>
      </c>
      <c r="F452" s="440">
        <f>SUM(F450:F451)</f>
        <v>234.00099999711196</v>
      </c>
      <c r="G452" s="436" t="str">
        <f>CONCATENATE("(",ROUND((F452/$H452)*100,1),")")</f>
        <v>(23.9)</v>
      </c>
      <c r="H452" s="440">
        <f>SUM(H450:H451)</f>
        <v>981.02599999688789</v>
      </c>
      <c r="I452" s="436" t="str">
        <f>CONCATENATE("(",ROUND((H452/$H452)*100,1),")")</f>
        <v>(100)</v>
      </c>
      <c r="K452" s="440">
        <f t="shared" si="336"/>
        <v>28.151000001661544</v>
      </c>
      <c r="L452" s="440">
        <f t="shared" si="337"/>
        <v>9.7589999978570177</v>
      </c>
      <c r="M452" s="440">
        <f t="shared" si="338"/>
        <v>22.469000000619104</v>
      </c>
      <c r="N452" s="440">
        <f t="shared" si="339"/>
        <v>60.379000000137665</v>
      </c>
    </row>
    <row r="453" spans="1:14" x14ac:dyDescent="0.25">
      <c r="B453" s="440"/>
      <c r="C453" s="428"/>
      <c r="D453" s="440"/>
      <c r="E453" s="428"/>
      <c r="F453" s="440"/>
      <c r="G453" s="428"/>
      <c r="H453" s="440"/>
      <c r="I453" s="428"/>
    </row>
    <row r="454" spans="1:14" x14ac:dyDescent="0.25">
      <c r="A454" s="423">
        <f>$A$13</f>
        <v>2022</v>
      </c>
      <c r="B454" s="440"/>
      <c r="C454" s="428"/>
      <c r="D454" s="440"/>
      <c r="E454" s="428"/>
      <c r="F454" s="440"/>
      <c r="G454" s="428"/>
      <c r="H454" s="440"/>
      <c r="I454" s="428"/>
      <c r="K454" s="426" t="str">
        <f>CONCATENATE(A454," - ",A459)</f>
        <v>2022 - 2027</v>
      </c>
    </row>
    <row r="455" spans="1:14" x14ac:dyDescent="0.25">
      <c r="A455" s="417" t="s">
        <v>390</v>
      </c>
      <c r="B455" s="440">
        <f>'Ind T6'!Q540</f>
        <v>222.24899999980516</v>
      </c>
      <c r="C455" s="436" t="str">
        <f>CONCATENATE("(",ROUND((B455/$H457)*100,1),")")</f>
        <v>(21.3)</v>
      </c>
      <c r="D455" s="440">
        <f>'Ind T6'!R540</f>
        <v>165.76499999948896</v>
      </c>
      <c r="E455" s="436" t="str">
        <f>CONCATENATE("(",ROUND((D455/$H457)*100,1),")")</f>
        <v>(15.9)</v>
      </c>
      <c r="F455" s="440">
        <f>'Ind T6'!S540</f>
        <v>150.14999999417256</v>
      </c>
      <c r="G455" s="436" t="str">
        <f>CONCATENATE("(",ROUND((F455/$H457)*100,1),")")</f>
        <v>(14.4)</v>
      </c>
      <c r="H455" s="440">
        <f>SUM(B455,D455,F455)</f>
        <v>538.16399999346663</v>
      </c>
      <c r="I455" s="436" t="str">
        <f>CONCATENATE("(",ROUND((H455/$H457)*100,1),")")</f>
        <v>(51.7)</v>
      </c>
      <c r="K455" s="440">
        <f>B460-B455</f>
        <v>15.2379999998318</v>
      </c>
      <c r="L455" s="440">
        <f>D460-D455</f>
        <v>-3.2839999998454914</v>
      </c>
      <c r="M455" s="440">
        <f>F460-F455</f>
        <v>-1.2029999995702951</v>
      </c>
      <c r="N455" s="440">
        <f>SUM(K455:M455)</f>
        <v>10.751000000416013</v>
      </c>
    </row>
    <row r="456" spans="1:14" x14ac:dyDescent="0.25">
      <c r="A456" s="417" t="s">
        <v>391</v>
      </c>
      <c r="B456" s="440">
        <f>'Ind T6'!Q539</f>
        <v>156.45100000019664</v>
      </c>
      <c r="C456" s="436" t="str">
        <f>CONCATENATE("(",ROUND((B456/$H457)*100,1),")")</f>
        <v>(15)</v>
      </c>
      <c r="D456" s="440">
        <f>'Ind T6'!R539</f>
        <v>240.46999999980372</v>
      </c>
      <c r="E456" s="436" t="str">
        <f>CONCATENATE("(",ROUND((D456/$H457)*100,1),")")</f>
        <v>(23.1)</v>
      </c>
      <c r="F456" s="440">
        <f>'Ind T6'!S539</f>
        <v>106.32000000355848</v>
      </c>
      <c r="G456" s="436" t="str">
        <f>CONCATENATE("(",ROUND((F456/$H457)*100,1),")")</f>
        <v>(10.2)</v>
      </c>
      <c r="H456" s="440">
        <f t="shared" ref="H456" si="340">SUM(B456,D456,F456)</f>
        <v>503.24100000355884</v>
      </c>
      <c r="I456" s="436" t="str">
        <f>CONCATENATE("(",ROUND((H456/$H457)*100,1),")")</f>
        <v>(48.3)</v>
      </c>
      <c r="K456" s="440">
        <f t="shared" ref="K456:K457" si="341">B461-B456</f>
        <v>6.5769999991094323</v>
      </c>
      <c r="L456" s="440">
        <f t="shared" ref="L456:L457" si="342">D461-D456</f>
        <v>7.1010000010197416</v>
      </c>
      <c r="M456" s="440">
        <f t="shared" ref="M456:M457" si="343">F461-F456</f>
        <v>4.6959999985281939</v>
      </c>
      <c r="N456" s="440">
        <f t="shared" ref="N456:N457" si="344">SUM(K456:M456)</f>
        <v>18.373999998657368</v>
      </c>
    </row>
    <row r="457" spans="1:14" x14ac:dyDescent="0.25">
      <c r="A457" s="417" t="s">
        <v>389</v>
      </c>
      <c r="B457" s="440">
        <f>SUM(B455:B456)</f>
        <v>378.70000000000181</v>
      </c>
      <c r="C457" s="436" t="str">
        <f>CONCATENATE("(",ROUND((B457/$H457)*100,1),")")</f>
        <v>(36.4)</v>
      </c>
      <c r="D457" s="440">
        <f>SUM(D455:D456)</f>
        <v>406.23499999929265</v>
      </c>
      <c r="E457" s="436" t="str">
        <f>CONCATENATE("(",ROUND((D457/$H457)*100,1),")")</f>
        <v>(39)</v>
      </c>
      <c r="F457" s="440">
        <f>SUM(F455:F456)</f>
        <v>256.46999999773107</v>
      </c>
      <c r="G457" s="436" t="str">
        <f>CONCATENATE("(",ROUND((F457/$H457)*100,1),")")</f>
        <v>(24.6)</v>
      </c>
      <c r="H457" s="440">
        <f>SUM(H455:H456)</f>
        <v>1041.4049999970255</v>
      </c>
      <c r="I457" s="436" t="str">
        <f>CONCATENATE("(",ROUND((H457/$H457)*100,1),")")</f>
        <v>(100)</v>
      </c>
      <c r="K457" s="440">
        <f t="shared" si="341"/>
        <v>21.814999998941232</v>
      </c>
      <c r="L457" s="440">
        <f t="shared" si="342"/>
        <v>3.8170000011742786</v>
      </c>
      <c r="M457" s="440">
        <f t="shared" si="343"/>
        <v>3.4929999989578846</v>
      </c>
      <c r="N457" s="440">
        <f t="shared" si="344"/>
        <v>29.124999999073395</v>
      </c>
    </row>
    <row r="458" spans="1:14" x14ac:dyDescent="0.25">
      <c r="B458" s="440"/>
      <c r="C458" s="428"/>
      <c r="D458" s="440"/>
      <c r="E458" s="428"/>
      <c r="F458" s="440"/>
      <c r="G458" s="428"/>
      <c r="H458" s="440"/>
      <c r="I458" s="428"/>
    </row>
    <row r="459" spans="1:14" x14ac:dyDescent="0.25">
      <c r="A459" s="423">
        <f>$A$18</f>
        <v>2027</v>
      </c>
      <c r="B459" s="440"/>
      <c r="C459" s="428"/>
      <c r="D459" s="440"/>
      <c r="E459" s="428"/>
      <c r="F459" s="440"/>
      <c r="G459" s="428"/>
      <c r="H459" s="440"/>
      <c r="I459" s="428"/>
      <c r="K459" s="426" t="str">
        <f>CONCATENATE(A449," - ",A459)</f>
        <v>2017 - 2027</v>
      </c>
    </row>
    <row r="460" spans="1:14" x14ac:dyDescent="0.25">
      <c r="A460" s="417" t="s">
        <v>390</v>
      </c>
      <c r="B460" s="440">
        <f>'Ind T6'!V540</f>
        <v>237.48699999963696</v>
      </c>
      <c r="C460" s="436" t="str">
        <f>CONCATENATE("(",ROUND((B460/$H462)*100,1),")")</f>
        <v>(22.2)</v>
      </c>
      <c r="D460" s="440">
        <f>'Ind T6'!W540</f>
        <v>162.48099999964347</v>
      </c>
      <c r="E460" s="436" t="str">
        <f>CONCATENATE("(",ROUND((D460/$H462)*100,1),")")</f>
        <v>(15.2)</v>
      </c>
      <c r="F460" s="440">
        <f>'Ind T6'!X540</f>
        <v>148.94699999460227</v>
      </c>
      <c r="G460" s="436" t="str">
        <f>CONCATENATE("(",ROUND((F460/$H462)*100,1),")")</f>
        <v>(13.9)</v>
      </c>
      <c r="H460" s="440">
        <f>SUM(B460,D460,F460)</f>
        <v>548.9149999938827</v>
      </c>
      <c r="I460" s="436" t="str">
        <f>CONCATENATE("(",ROUND((H460/$H462)*100,1),")")</f>
        <v>(51.3)</v>
      </c>
      <c r="K460" s="440">
        <f>B460-B450</f>
        <v>34.551999999982399</v>
      </c>
      <c r="L460" s="440">
        <f>D460-D450</f>
        <v>-4.4780000006356317</v>
      </c>
      <c r="M460" s="440">
        <f>F460-F450</f>
        <v>8.5789999981306551</v>
      </c>
      <c r="N460" s="440">
        <f>SUM(K460:M460)</f>
        <v>38.652999997477423</v>
      </c>
    </row>
    <row r="461" spans="1:14" x14ac:dyDescent="0.25">
      <c r="A461" s="417" t="s">
        <v>391</v>
      </c>
      <c r="B461" s="440">
        <f>'Ind T6'!V539</f>
        <v>163.02799999930608</v>
      </c>
      <c r="C461" s="436" t="str">
        <f>CONCATENATE("(",ROUND((B461/$H462)*100,1),")")</f>
        <v>(15.2)</v>
      </c>
      <c r="D461" s="440">
        <f>'Ind T6'!W539</f>
        <v>247.57100000082346</v>
      </c>
      <c r="E461" s="436" t="str">
        <f>CONCATENATE("(",ROUND((D461/$H462)*100,1),")")</f>
        <v>(23.1)</v>
      </c>
      <c r="F461" s="440">
        <f>'Ind T6'!X539</f>
        <v>111.01600000208667</v>
      </c>
      <c r="G461" s="436" t="str">
        <f>CONCATENATE("(",ROUND((F461/$H462)*100,1),")")</f>
        <v>(10.4)</v>
      </c>
      <c r="H461" s="440">
        <f t="shared" ref="H461" si="345">SUM(B461,D461,F461)</f>
        <v>521.61500000221622</v>
      </c>
      <c r="I461" s="436" t="str">
        <f>CONCATENATE("(",ROUND((H461/$H462)*100,1),")")</f>
        <v>(48.7)</v>
      </c>
      <c r="K461" s="440">
        <f t="shared" ref="K461:K462" si="346">B461-B451</f>
        <v>15.414000000620376</v>
      </c>
      <c r="L461" s="440">
        <f t="shared" ref="L461:L462" si="347">D461-D451</f>
        <v>18.053999999666928</v>
      </c>
      <c r="M461" s="440">
        <f t="shared" ref="M461:M462" si="348">F461-F451</f>
        <v>17.38300000144632</v>
      </c>
      <c r="N461" s="440">
        <f t="shared" ref="N461:N462" si="349">SUM(K461:M461)</f>
        <v>50.851000001733624</v>
      </c>
    </row>
    <row r="462" spans="1:14" x14ac:dyDescent="0.25">
      <c r="A462" s="408" t="s">
        <v>389</v>
      </c>
      <c r="B462" s="440">
        <f>SUM(B460:B461)</f>
        <v>400.51499999894304</v>
      </c>
      <c r="C462" s="436" t="str">
        <f>CONCATENATE("(",ROUND((B462/$H462)*100,1),")")</f>
        <v>(37.4)</v>
      </c>
      <c r="D462" s="440">
        <f>SUM(D460:D461)</f>
        <v>410.05200000046693</v>
      </c>
      <c r="E462" s="436" t="str">
        <f>CONCATENATE("(",ROUND((D462/$H462)*100,1),")")</f>
        <v>(38.3)</v>
      </c>
      <c r="F462" s="440">
        <f>SUM(F460:F461)</f>
        <v>259.96299999668895</v>
      </c>
      <c r="G462" s="436" t="str">
        <f>CONCATENATE("(",ROUND((F462/$H462)*100,1),")")</f>
        <v>(24.3)</v>
      </c>
      <c r="H462" s="440">
        <f>SUM(H460:H461)</f>
        <v>1070.5299999960989</v>
      </c>
      <c r="I462" s="436" t="str">
        <f>CONCATENATE("(",ROUND((H462/$H462)*100,1),")")</f>
        <v>(100)</v>
      </c>
      <c r="K462" s="440">
        <f t="shared" si="346"/>
        <v>49.966000000602776</v>
      </c>
      <c r="L462" s="440">
        <f t="shared" si="347"/>
        <v>13.575999999031296</v>
      </c>
      <c r="M462" s="440">
        <f t="shared" si="348"/>
        <v>25.961999999576989</v>
      </c>
      <c r="N462" s="440">
        <f t="shared" si="349"/>
        <v>89.503999999211061</v>
      </c>
    </row>
    <row r="463" spans="1:14" x14ac:dyDescent="0.25">
      <c r="A463" s="429"/>
      <c r="B463" s="430"/>
      <c r="C463" s="429"/>
      <c r="D463" s="430"/>
      <c r="E463" s="429"/>
      <c r="F463" s="430"/>
      <c r="G463" s="429"/>
      <c r="H463" s="430"/>
      <c r="I463" s="429"/>
      <c r="J463" s="429"/>
      <c r="K463" s="430"/>
      <c r="L463" s="430"/>
      <c r="M463" s="430"/>
      <c r="N463" s="430"/>
    </row>
    <row r="466" spans="1:14" x14ac:dyDescent="0.25">
      <c r="C466" s="267"/>
      <c r="E466" s="267"/>
      <c r="G466" s="267"/>
      <c r="I466" s="267"/>
    </row>
    <row r="467" spans="1:14" x14ac:dyDescent="0.25">
      <c r="A467" s="419"/>
      <c r="B467" s="420" t="s">
        <v>414</v>
      </c>
      <c r="C467" s="419"/>
      <c r="D467" s="420"/>
      <c r="E467" s="419"/>
      <c r="F467" s="420" t="str">
        <f>name!B25</f>
        <v>Other services</v>
      </c>
      <c r="G467" s="419"/>
      <c r="H467" s="422"/>
      <c r="I467" s="419"/>
      <c r="J467" s="421"/>
      <c r="K467" s="422"/>
      <c r="L467" s="422"/>
      <c r="M467" s="422"/>
      <c r="N467" s="422"/>
    </row>
    <row r="468" spans="1:14" x14ac:dyDescent="0.25">
      <c r="A468" s="408"/>
      <c r="B468" s="409"/>
      <c r="C468" s="408"/>
      <c r="D468" s="409"/>
      <c r="E468" s="408"/>
      <c r="F468" s="409"/>
      <c r="G468" s="408"/>
      <c r="H468" s="409"/>
      <c r="I468" s="408"/>
      <c r="K468" s="409"/>
      <c r="L468" s="409"/>
      <c r="M468" s="409"/>
      <c r="N468" s="415" t="s">
        <v>412</v>
      </c>
    </row>
    <row r="469" spans="1:14" x14ac:dyDescent="0.25">
      <c r="A469" s="413" t="s">
        <v>413</v>
      </c>
      <c r="B469" s="512" t="s">
        <v>411</v>
      </c>
      <c r="C469" s="512"/>
      <c r="D469" s="512" t="s">
        <v>410</v>
      </c>
      <c r="E469" s="512"/>
      <c r="F469" s="512" t="s">
        <v>409</v>
      </c>
      <c r="G469" s="512"/>
      <c r="H469" s="512" t="s">
        <v>32</v>
      </c>
      <c r="I469" s="512"/>
      <c r="J469" s="413"/>
      <c r="K469" s="434" t="s">
        <v>371</v>
      </c>
      <c r="L469" s="434" t="s">
        <v>373</v>
      </c>
      <c r="M469" s="434" t="s">
        <v>369</v>
      </c>
      <c r="N469" s="434" t="s">
        <v>32</v>
      </c>
    </row>
    <row r="470" spans="1:14" x14ac:dyDescent="0.25">
      <c r="A470" s="423">
        <f>$A$8</f>
        <v>2017</v>
      </c>
      <c r="B470" s="424" t="s">
        <v>60</v>
      </c>
      <c r="C470" s="425" t="s">
        <v>408</v>
      </c>
      <c r="D470" s="424" t="s">
        <v>60</v>
      </c>
      <c r="E470" s="425" t="s">
        <v>408</v>
      </c>
      <c r="F470" s="424" t="s">
        <v>60</v>
      </c>
      <c r="G470" s="425" t="s">
        <v>408</v>
      </c>
      <c r="H470" s="424" t="s">
        <v>60</v>
      </c>
      <c r="I470" s="425" t="s">
        <v>408</v>
      </c>
      <c r="J470" s="413"/>
      <c r="K470" s="426" t="str">
        <f>CONCATENATE(A470," - ",A475)</f>
        <v>2017 - 2022</v>
      </c>
      <c r="L470" s="427"/>
      <c r="M470" s="427"/>
    </row>
    <row r="471" spans="1:14" x14ac:dyDescent="0.25">
      <c r="A471" s="417" t="s">
        <v>390</v>
      </c>
      <c r="B471" s="440">
        <f>'Ind T6'!L565</f>
        <v>184.24999999925336</v>
      </c>
      <c r="C471" s="436" t="str">
        <f>CONCATENATE("(",ROUND((B471/$H473)*100,1),")")</f>
        <v>(18.3)</v>
      </c>
      <c r="D471" s="440">
        <f>'Ind T6'!M565</f>
        <v>52.120000000179758</v>
      </c>
      <c r="E471" s="436" t="str">
        <f>CONCATENATE("(",ROUND((D471/$H473)*100,1),")")</f>
        <v>(5.2)</v>
      </c>
      <c r="F471" s="440">
        <f>'Ind T6'!N565</f>
        <v>114.57299999829389</v>
      </c>
      <c r="G471" s="436" t="str">
        <f>CONCATENATE("(",ROUND((F471/$H473)*100,1),")")</f>
        <v>(11.4)</v>
      </c>
      <c r="H471" s="440">
        <f>SUM(B471,D471,F471)</f>
        <v>350.94299999772699</v>
      </c>
      <c r="I471" s="436" t="str">
        <f>CONCATENATE("(",ROUND((H471/$H473)*100,1),")")</f>
        <v>(34.8)</v>
      </c>
      <c r="K471" s="440">
        <f>B476-B471</f>
        <v>19.926000000677874</v>
      </c>
      <c r="L471" s="440">
        <f>D476-D471</f>
        <v>0.41799999983683733</v>
      </c>
      <c r="M471" s="440">
        <f>F476-F471</f>
        <v>-1.2710000014129577</v>
      </c>
      <c r="N471" s="440">
        <f>SUM(K471:M471)</f>
        <v>19.072999999101754</v>
      </c>
    </row>
    <row r="472" spans="1:14" x14ac:dyDescent="0.25">
      <c r="A472" s="417" t="s">
        <v>391</v>
      </c>
      <c r="B472" s="440">
        <f>'Ind T6'!L564</f>
        <v>215.80199999792185</v>
      </c>
      <c r="C472" s="436" t="str">
        <f>CONCATENATE("(",ROUND((B472/$H473)*100,1),")")</f>
        <v>(21.4)</v>
      </c>
      <c r="D472" s="440">
        <f>'Ind T6'!M564</f>
        <v>216.853000001591</v>
      </c>
      <c r="E472" s="436" t="str">
        <f>CONCATENATE("(",ROUND((D472/$H473)*100,1),")")</f>
        <v>(21.5)</v>
      </c>
      <c r="F472" s="440">
        <f>'Ind T6'!N564</f>
        <v>223.42800000368834</v>
      </c>
      <c r="G472" s="436" t="str">
        <f>CONCATENATE("(",ROUND((F472/$H473)*100,1),")")</f>
        <v>(22.2)</v>
      </c>
      <c r="H472" s="440">
        <f t="shared" ref="H472" si="350">SUM(B472,D472,F472)</f>
        <v>656.08300000320116</v>
      </c>
      <c r="I472" s="436" t="str">
        <f>CONCATENATE("(",ROUND((H472/$H473)*100,1),")")</f>
        <v>(65.2)</v>
      </c>
      <c r="K472" s="440">
        <f t="shared" ref="K472:K473" si="351">B477-B472</f>
        <v>3.9390000012302551</v>
      </c>
      <c r="L472" s="440">
        <f t="shared" ref="L472:L473" si="352">D477-D472</f>
        <v>5.389999998110568</v>
      </c>
      <c r="M472" s="440">
        <f t="shared" ref="M472:M473" si="353">F477-F472</f>
        <v>6.3320000014634275</v>
      </c>
      <c r="N472" s="440">
        <f t="shared" ref="N472:N473" si="354">SUM(K472:M472)</f>
        <v>15.66100000080425</v>
      </c>
    </row>
    <row r="473" spans="1:14" x14ac:dyDescent="0.25">
      <c r="A473" s="417" t="s">
        <v>389</v>
      </c>
      <c r="B473" s="440">
        <f>SUM(B471:B472)</f>
        <v>400.05199999717524</v>
      </c>
      <c r="C473" s="436" t="str">
        <f>CONCATENATE("(",ROUND((B473/$H473)*100,1),")")</f>
        <v>(39.7)</v>
      </c>
      <c r="D473" s="440">
        <f>SUM(D471:D472)</f>
        <v>268.97300000177074</v>
      </c>
      <c r="E473" s="436" t="str">
        <f>CONCATENATE("(",ROUND((D473/$H473)*100,1),")")</f>
        <v>(26.7)</v>
      </c>
      <c r="F473" s="440">
        <f>SUM(F471:F472)</f>
        <v>338.00100000198222</v>
      </c>
      <c r="G473" s="436" t="str">
        <f>CONCATENATE("(",ROUND((F473/$H473)*100,1),")")</f>
        <v>(33.6)</v>
      </c>
      <c r="H473" s="440">
        <f>SUM(H471:H472)</f>
        <v>1007.0260000009282</v>
      </c>
      <c r="I473" s="436" t="str">
        <f>CONCATENATE("(",ROUND((H473/$H473)*100,1),")")</f>
        <v>(100)</v>
      </c>
      <c r="K473" s="440">
        <f t="shared" si="351"/>
        <v>23.865000001908129</v>
      </c>
      <c r="L473" s="440">
        <f t="shared" si="352"/>
        <v>5.8079999979474337</v>
      </c>
      <c r="M473" s="440">
        <f t="shared" si="353"/>
        <v>5.0610000000505124</v>
      </c>
      <c r="N473" s="440">
        <f t="shared" si="354"/>
        <v>34.733999999906075</v>
      </c>
    </row>
    <row r="474" spans="1:14" x14ac:dyDescent="0.25">
      <c r="B474" s="440"/>
      <c r="C474" s="428"/>
      <c r="D474" s="440"/>
      <c r="E474" s="428"/>
      <c r="F474" s="440"/>
      <c r="G474" s="428"/>
      <c r="H474" s="440"/>
      <c r="I474" s="428"/>
    </row>
    <row r="475" spans="1:14" x14ac:dyDescent="0.25">
      <c r="A475" s="423">
        <f>$A$13</f>
        <v>2022</v>
      </c>
      <c r="B475" s="440"/>
      <c r="C475" s="428"/>
      <c r="D475" s="440"/>
      <c r="E475" s="428"/>
      <c r="F475" s="440"/>
      <c r="G475" s="428"/>
      <c r="H475" s="440"/>
      <c r="I475" s="428"/>
      <c r="K475" s="426" t="str">
        <f>CONCATENATE(A475," - ",A480)</f>
        <v>2022 - 2027</v>
      </c>
    </row>
    <row r="476" spans="1:14" x14ac:dyDescent="0.25">
      <c r="A476" s="417" t="s">
        <v>390</v>
      </c>
      <c r="B476" s="440">
        <f>'Ind T6'!Q565</f>
        <v>204.17599999993124</v>
      </c>
      <c r="C476" s="436" t="str">
        <f>CONCATENATE("(",ROUND((B476/$H478)*100,1),")")</f>
        <v>(19.6)</v>
      </c>
      <c r="D476" s="440">
        <f>'Ind T6'!R565</f>
        <v>52.538000000016595</v>
      </c>
      <c r="E476" s="436" t="str">
        <f>CONCATENATE("(",ROUND((D476/$H478)*100,1),")")</f>
        <v>(5)</v>
      </c>
      <c r="F476" s="440">
        <f>'Ind T6'!S565</f>
        <v>113.30199999688094</v>
      </c>
      <c r="G476" s="436" t="str">
        <f>CONCATENATE("(",ROUND((F476/$H478)*100,1),")")</f>
        <v>(10.9)</v>
      </c>
      <c r="H476" s="440">
        <f>SUM(B476,D476,F476)</f>
        <v>370.01599999682878</v>
      </c>
      <c r="I476" s="436" t="str">
        <f>CONCATENATE("(",ROUND((H476/$H478)*100,1),")")</f>
        <v>(35.5)</v>
      </c>
      <c r="K476" s="440">
        <f>B481-B476</f>
        <v>15.815999999623358</v>
      </c>
      <c r="L476" s="440">
        <f>D481-D476</f>
        <v>-9.8999999999293209E-2</v>
      </c>
      <c r="M476" s="440">
        <f>F481-F476</f>
        <v>-3.0949999994102768</v>
      </c>
      <c r="N476" s="440">
        <f>SUM(K476:M476)</f>
        <v>12.622000000213788</v>
      </c>
    </row>
    <row r="477" spans="1:14" x14ac:dyDescent="0.25">
      <c r="A477" s="417" t="s">
        <v>391</v>
      </c>
      <c r="B477" s="440">
        <f>'Ind T6'!Q564</f>
        <v>219.74099999915211</v>
      </c>
      <c r="C477" s="436" t="str">
        <f>CONCATENATE("(",ROUND((B477/$H478)*100,1),")")</f>
        <v>(21.1)</v>
      </c>
      <c r="D477" s="440">
        <f>'Ind T6'!R564</f>
        <v>222.24299999970157</v>
      </c>
      <c r="E477" s="436" t="str">
        <f>CONCATENATE("(",ROUND((D477/$H478)*100,1),")")</f>
        <v>(21.3)</v>
      </c>
      <c r="F477" s="440">
        <f>'Ind T6'!S564</f>
        <v>229.76000000515177</v>
      </c>
      <c r="G477" s="436" t="str">
        <f>CONCATENATE("(",ROUND((F477/$H478)*100,1),")")</f>
        <v>(22.1)</v>
      </c>
      <c r="H477" s="440">
        <f t="shared" ref="H477" si="355">SUM(B477,D477,F477)</f>
        <v>671.74400000400544</v>
      </c>
      <c r="I477" s="436" t="str">
        <f>CONCATENATE("(",ROUND((H477/$H478)*100,1),")")</f>
        <v>(64.5)</v>
      </c>
      <c r="K477" s="440">
        <f t="shared" ref="K477:K478" si="356">B482-B477</f>
        <v>-0.87400000080270956</v>
      </c>
      <c r="L477" s="440">
        <f t="shared" ref="L477:L478" si="357">D482-D477</f>
        <v>1.2690000015739997</v>
      </c>
      <c r="M477" s="440">
        <f t="shared" ref="M477:M478" si="358">F482-F477</f>
        <v>-1.4410000015012656</v>
      </c>
      <c r="N477" s="440">
        <f t="shared" ref="N477:N478" si="359">SUM(K477:M477)</f>
        <v>-1.0460000007299755</v>
      </c>
    </row>
    <row r="478" spans="1:14" x14ac:dyDescent="0.25">
      <c r="A478" s="417" t="s">
        <v>389</v>
      </c>
      <c r="B478" s="440">
        <f>SUM(B476:B477)</f>
        <v>423.91699999908337</v>
      </c>
      <c r="C478" s="436" t="str">
        <f>CONCATENATE("(",ROUND((B478/$H478)*100,1),")")</f>
        <v>(40.7)</v>
      </c>
      <c r="D478" s="440">
        <f>SUM(D476:D477)</f>
        <v>274.78099999971818</v>
      </c>
      <c r="E478" s="436" t="str">
        <f>CONCATENATE("(",ROUND((D478/$H478)*100,1),")")</f>
        <v>(26.4)</v>
      </c>
      <c r="F478" s="440">
        <f>SUM(F476:F477)</f>
        <v>343.06200000203273</v>
      </c>
      <c r="G478" s="436" t="str">
        <f>CONCATENATE("(",ROUND((F478/$H478)*100,1),")")</f>
        <v>(32.9)</v>
      </c>
      <c r="H478" s="440">
        <f>SUM(H476:H477)</f>
        <v>1041.7600000008342</v>
      </c>
      <c r="I478" s="436" t="str">
        <f>CONCATENATE("(",ROUND((H478/$H478)*100,1),")")</f>
        <v>(100)</v>
      </c>
      <c r="K478" s="440">
        <f t="shared" si="356"/>
        <v>14.94199999882062</v>
      </c>
      <c r="L478" s="440">
        <f t="shared" si="357"/>
        <v>1.1700000015746923</v>
      </c>
      <c r="M478" s="440">
        <f t="shared" si="358"/>
        <v>-4.5360000009115993</v>
      </c>
      <c r="N478" s="440">
        <f t="shared" si="359"/>
        <v>11.575999999483713</v>
      </c>
    </row>
    <row r="479" spans="1:14" x14ac:dyDescent="0.25">
      <c r="B479" s="440"/>
      <c r="C479" s="428"/>
      <c r="D479" s="440"/>
      <c r="E479" s="428"/>
      <c r="F479" s="440"/>
      <c r="G479" s="428"/>
      <c r="H479" s="440"/>
      <c r="I479" s="428"/>
    </row>
    <row r="480" spans="1:14" x14ac:dyDescent="0.25">
      <c r="A480" s="423">
        <f>$A$18</f>
        <v>2027</v>
      </c>
      <c r="B480" s="440"/>
      <c r="C480" s="428"/>
      <c r="D480" s="440"/>
      <c r="E480" s="428"/>
      <c r="F480" s="440"/>
      <c r="G480" s="428"/>
      <c r="H480" s="440"/>
      <c r="I480" s="428"/>
      <c r="K480" s="426" t="str">
        <f>CONCATENATE(A470," - ",A480)</f>
        <v>2017 - 2027</v>
      </c>
    </row>
    <row r="481" spans="1:15" x14ac:dyDescent="0.25">
      <c r="A481" s="417" t="s">
        <v>390</v>
      </c>
      <c r="B481" s="440">
        <f>'Ind T6'!V565</f>
        <v>219.99199999955459</v>
      </c>
      <c r="C481" s="436" t="str">
        <f>CONCATENATE("(",ROUND((B481/$H483)*100,1),")")</f>
        <v>(20.9)</v>
      </c>
      <c r="D481" s="440">
        <f>'Ind T6'!W565</f>
        <v>52.439000000017302</v>
      </c>
      <c r="E481" s="436" t="str">
        <f>CONCATENATE("(",ROUND((D481/$H483)*100,1),")")</f>
        <v>(5)</v>
      </c>
      <c r="F481" s="440">
        <f>'Ind T6'!X565</f>
        <v>110.20699999747066</v>
      </c>
      <c r="G481" s="436" t="str">
        <f>CONCATENATE("(",ROUND((F481/$H483)*100,1),")")</f>
        <v>(10.5)</v>
      </c>
      <c r="H481" s="440">
        <f>SUM(B481,D481,F481)</f>
        <v>382.63799999704258</v>
      </c>
      <c r="I481" s="436" t="str">
        <f>CONCATENATE("(",ROUND((H481/$H483)*100,1),")")</f>
        <v>(36.3)</v>
      </c>
      <c r="K481" s="440">
        <f>B481-B471</f>
        <v>35.742000000301232</v>
      </c>
      <c r="L481" s="440">
        <f>D481-D471</f>
        <v>0.31899999983754412</v>
      </c>
      <c r="M481" s="440">
        <f>F481-F471</f>
        <v>-4.3660000008232345</v>
      </c>
      <c r="N481" s="440">
        <f>SUM(K481:M481)</f>
        <v>31.694999999315542</v>
      </c>
    </row>
    <row r="482" spans="1:15" x14ac:dyDescent="0.25">
      <c r="A482" s="417" t="s">
        <v>391</v>
      </c>
      <c r="B482" s="440">
        <f>'Ind T6'!V564</f>
        <v>218.8669999983494</v>
      </c>
      <c r="C482" s="436" t="str">
        <f>CONCATENATE("(",ROUND((B482/$H483)*100,1),")")</f>
        <v>(20.8)</v>
      </c>
      <c r="D482" s="440">
        <f>'Ind T6'!W564</f>
        <v>223.51200000127557</v>
      </c>
      <c r="E482" s="436" t="str">
        <f>CONCATENATE("(",ROUND((D482/$H483)*100,1),")")</f>
        <v>(21.2)</v>
      </c>
      <c r="F482" s="440">
        <f>'Ind T6'!X564</f>
        <v>228.3190000036505</v>
      </c>
      <c r="G482" s="436" t="str">
        <f>CONCATENATE("(",ROUND((F482/$H483)*100,1),")")</f>
        <v>(21.7)</v>
      </c>
      <c r="H482" s="440">
        <f t="shared" ref="H482" si="360">SUM(B482,D482,F482)</f>
        <v>670.69800000327541</v>
      </c>
      <c r="I482" s="436" t="str">
        <f>CONCATENATE("(",ROUND((H482/$H483)*100,1),")")</f>
        <v>(63.7)</v>
      </c>
      <c r="K482" s="440">
        <f t="shared" ref="K482:K483" si="361">B482-B472</f>
        <v>3.0650000004275455</v>
      </c>
      <c r="L482" s="440">
        <f t="shared" ref="L482:L483" si="362">D482-D472</f>
        <v>6.6589999996845677</v>
      </c>
      <c r="M482" s="440">
        <f t="shared" ref="M482:M483" si="363">F482-F472</f>
        <v>4.8909999999621618</v>
      </c>
      <c r="N482" s="440">
        <f t="shared" ref="N482:N483" si="364">SUM(K482:M482)</f>
        <v>14.615000000074275</v>
      </c>
    </row>
    <row r="483" spans="1:15" x14ac:dyDescent="0.25">
      <c r="A483" s="408" t="s">
        <v>389</v>
      </c>
      <c r="B483" s="440">
        <f>SUM(B481:B482)</f>
        <v>438.85899999790399</v>
      </c>
      <c r="C483" s="436" t="str">
        <f>CONCATENATE("(",ROUND((B483/$H483)*100,1),")")</f>
        <v>(41.7)</v>
      </c>
      <c r="D483" s="440">
        <f>SUM(D481:D482)</f>
        <v>275.95100000129287</v>
      </c>
      <c r="E483" s="436" t="str">
        <f>CONCATENATE("(",ROUND((D483/$H483)*100,1),")")</f>
        <v>(26.2)</v>
      </c>
      <c r="F483" s="440">
        <f>SUM(F481:F482)</f>
        <v>338.52600000112113</v>
      </c>
      <c r="G483" s="436" t="str">
        <f>CONCATENATE("(",ROUND((F483/$H483)*100,1),")")</f>
        <v>(32.1)</v>
      </c>
      <c r="H483" s="440">
        <f>SUM(H481:H482)</f>
        <v>1053.3360000003181</v>
      </c>
      <c r="I483" s="436" t="str">
        <f>CONCATENATE("(",ROUND((H483/$H483)*100,1),")")</f>
        <v>(100)</v>
      </c>
      <c r="K483" s="440">
        <f t="shared" si="361"/>
        <v>38.807000000728749</v>
      </c>
      <c r="L483" s="440">
        <f t="shared" si="362"/>
        <v>6.977999999522126</v>
      </c>
      <c r="M483" s="440">
        <f t="shared" si="363"/>
        <v>0.52499999913891315</v>
      </c>
      <c r="N483" s="440">
        <f t="shared" si="364"/>
        <v>46.309999999389788</v>
      </c>
    </row>
    <row r="484" spans="1:15" x14ac:dyDescent="0.25">
      <c r="A484" s="429"/>
      <c r="B484" s="430"/>
      <c r="C484" s="429"/>
      <c r="D484" s="430"/>
      <c r="E484" s="429"/>
      <c r="F484" s="430"/>
      <c r="G484" s="429"/>
      <c r="H484" s="430"/>
      <c r="I484" s="429"/>
      <c r="J484" s="429"/>
      <c r="K484" s="430"/>
      <c r="L484" s="430"/>
      <c r="M484" s="430"/>
      <c r="N484" s="430"/>
    </row>
    <row r="486" spans="1:15" x14ac:dyDescent="0.25">
      <c r="A486" s="408"/>
    </row>
    <row r="487" spans="1:15" x14ac:dyDescent="0.25">
      <c r="A487" s="408"/>
      <c r="B487" s="409"/>
      <c r="C487" s="408"/>
      <c r="D487" s="409"/>
      <c r="E487" s="408"/>
      <c r="F487" s="409"/>
      <c r="G487" s="408"/>
      <c r="H487" s="409"/>
      <c r="I487" s="408"/>
      <c r="K487" s="409"/>
      <c r="L487" s="409"/>
      <c r="M487" s="409"/>
      <c r="N487" s="409"/>
      <c r="O487" s="408"/>
    </row>
    <row r="488" spans="1:15" x14ac:dyDescent="0.25">
      <c r="A488" s="413"/>
      <c r="B488" s="411"/>
      <c r="C488" s="413"/>
      <c r="D488" s="411"/>
      <c r="E488" s="413"/>
      <c r="F488" s="411"/>
      <c r="G488" s="413"/>
      <c r="H488" s="409"/>
      <c r="I488" s="413"/>
      <c r="K488" s="409"/>
      <c r="L488" s="409"/>
      <c r="M488" s="409"/>
      <c r="N488" s="409"/>
      <c r="O488" s="408"/>
    </row>
    <row r="489" spans="1:15" x14ac:dyDescent="0.25">
      <c r="A489" s="408"/>
      <c r="B489" s="409"/>
      <c r="C489" s="408"/>
      <c r="D489" s="409"/>
      <c r="E489" s="408"/>
      <c r="F489" s="409"/>
      <c r="G489" s="408"/>
      <c r="H489" s="409"/>
      <c r="I489" s="408"/>
      <c r="K489" s="409"/>
      <c r="L489" s="409"/>
      <c r="M489" s="409"/>
      <c r="N489" s="415"/>
      <c r="O489" s="408"/>
    </row>
    <row r="490" spans="1:15" x14ac:dyDescent="0.25">
      <c r="A490" s="413"/>
      <c r="B490" s="512"/>
      <c r="C490" s="512"/>
      <c r="D490" s="512"/>
      <c r="E490" s="512"/>
      <c r="F490" s="512"/>
      <c r="G490" s="512"/>
      <c r="H490" s="512"/>
      <c r="I490" s="512"/>
      <c r="J490" s="413"/>
      <c r="K490" s="415"/>
      <c r="L490" s="415"/>
      <c r="M490" s="415"/>
      <c r="N490" s="415"/>
      <c r="O490" s="408"/>
    </row>
    <row r="491" spans="1:15" x14ac:dyDescent="0.25">
      <c r="A491" s="432"/>
      <c r="B491" s="415"/>
      <c r="C491" s="414"/>
      <c r="D491" s="415"/>
      <c r="E491" s="414"/>
      <c r="F491" s="415"/>
      <c r="G491" s="414"/>
      <c r="H491" s="415"/>
      <c r="I491" s="414"/>
      <c r="J491" s="413"/>
      <c r="K491" s="412"/>
      <c r="L491" s="411"/>
      <c r="M491" s="411"/>
      <c r="N491" s="409"/>
      <c r="O491" s="408"/>
    </row>
    <row r="492" spans="1:15" x14ac:dyDescent="0.25">
      <c r="A492" s="408"/>
      <c r="B492" s="416"/>
      <c r="C492" s="410"/>
      <c r="D492" s="416"/>
      <c r="E492" s="410"/>
      <c r="F492" s="416"/>
      <c r="G492" s="410"/>
      <c r="H492" s="416"/>
      <c r="I492" s="410"/>
      <c r="K492" s="416"/>
      <c r="L492" s="416"/>
      <c r="M492" s="416"/>
      <c r="N492" s="416"/>
      <c r="O492" s="408"/>
    </row>
    <row r="493" spans="1:15" x14ac:dyDescent="0.25">
      <c r="A493" s="408"/>
      <c r="B493" s="416"/>
      <c r="C493" s="410"/>
      <c r="D493" s="416"/>
      <c r="E493" s="410"/>
      <c r="F493" s="416"/>
      <c r="G493" s="410"/>
      <c r="H493" s="416"/>
      <c r="I493" s="410"/>
      <c r="K493" s="416"/>
      <c r="L493" s="416"/>
      <c r="M493" s="416"/>
      <c r="N493" s="416"/>
      <c r="O493" s="408"/>
    </row>
    <row r="494" spans="1:15" x14ac:dyDescent="0.25">
      <c r="A494" s="408"/>
      <c r="B494" s="416"/>
      <c r="C494" s="410"/>
      <c r="D494" s="416"/>
      <c r="E494" s="410"/>
      <c r="F494" s="416"/>
      <c r="G494" s="410"/>
      <c r="H494" s="416"/>
      <c r="I494" s="410"/>
      <c r="K494" s="416"/>
      <c r="L494" s="416"/>
      <c r="M494" s="416"/>
      <c r="N494" s="416"/>
      <c r="O494" s="408"/>
    </row>
    <row r="495" spans="1:15" x14ac:dyDescent="0.25">
      <c r="A495" s="408"/>
      <c r="B495" s="416"/>
      <c r="C495" s="410"/>
      <c r="D495" s="416"/>
      <c r="E495" s="410"/>
      <c r="F495" s="416"/>
      <c r="G495" s="410"/>
      <c r="H495" s="416"/>
      <c r="I495" s="410"/>
      <c r="K495" s="409"/>
      <c r="L495" s="409"/>
      <c r="M495" s="409"/>
      <c r="N495" s="409"/>
      <c r="O495" s="408"/>
    </row>
    <row r="496" spans="1:15" x14ac:dyDescent="0.25">
      <c r="A496" s="432"/>
      <c r="B496" s="416"/>
      <c r="C496" s="410"/>
      <c r="D496" s="416"/>
      <c r="E496" s="410"/>
      <c r="F496" s="416"/>
      <c r="G496" s="410"/>
      <c r="H496" s="416"/>
      <c r="I496" s="410"/>
      <c r="K496" s="411"/>
      <c r="L496" s="409"/>
      <c r="M496" s="409"/>
      <c r="N496" s="409"/>
      <c r="O496" s="408"/>
    </row>
    <row r="497" spans="1:15" x14ac:dyDescent="0.25">
      <c r="A497" s="408"/>
      <c r="B497" s="416"/>
      <c r="C497" s="410"/>
      <c r="D497" s="416"/>
      <c r="E497" s="410"/>
      <c r="F497" s="416"/>
      <c r="G497" s="410"/>
      <c r="H497" s="416"/>
      <c r="I497" s="410"/>
      <c r="K497" s="416"/>
      <c r="L497" s="416"/>
      <c r="M497" s="416"/>
      <c r="N497" s="416"/>
      <c r="O497" s="408"/>
    </row>
    <row r="498" spans="1:15" x14ac:dyDescent="0.25">
      <c r="A498" s="408"/>
      <c r="B498" s="416"/>
      <c r="C498" s="410"/>
      <c r="D498" s="416"/>
      <c r="E498" s="410"/>
      <c r="F498" s="416"/>
      <c r="G498" s="410"/>
      <c r="H498" s="416"/>
      <c r="I498" s="410"/>
      <c r="K498" s="416"/>
      <c r="L498" s="416"/>
      <c r="M498" s="416"/>
      <c r="N498" s="416"/>
      <c r="O498" s="408"/>
    </row>
    <row r="499" spans="1:15" x14ac:dyDescent="0.25">
      <c r="A499" s="408"/>
      <c r="B499" s="416"/>
      <c r="C499" s="410"/>
      <c r="D499" s="416"/>
      <c r="E499" s="410"/>
      <c r="F499" s="416"/>
      <c r="G499" s="410"/>
      <c r="H499" s="416"/>
      <c r="I499" s="410"/>
      <c r="K499" s="416"/>
      <c r="L499" s="416"/>
      <c r="M499" s="416"/>
      <c r="N499" s="416"/>
      <c r="O499" s="408"/>
    </row>
    <row r="500" spans="1:15" x14ac:dyDescent="0.25">
      <c r="A500" s="408"/>
      <c r="B500" s="416"/>
      <c r="C500" s="410"/>
      <c r="D500" s="416"/>
      <c r="E500" s="410"/>
      <c r="F500" s="416"/>
      <c r="G500" s="410"/>
      <c r="H500" s="416"/>
      <c r="I500" s="410"/>
      <c r="K500" s="409"/>
      <c r="L500" s="409"/>
      <c r="M500" s="409"/>
      <c r="N500" s="409"/>
      <c r="O500" s="408"/>
    </row>
    <row r="501" spans="1:15" x14ac:dyDescent="0.25">
      <c r="A501" s="432"/>
      <c r="B501" s="416"/>
      <c r="C501" s="410"/>
      <c r="D501" s="416"/>
      <c r="E501" s="410"/>
      <c r="F501" s="416"/>
      <c r="G501" s="410"/>
      <c r="H501" s="416"/>
      <c r="I501" s="410"/>
      <c r="K501" s="411"/>
      <c r="L501" s="409"/>
      <c r="M501" s="409"/>
      <c r="N501" s="409"/>
      <c r="O501" s="408"/>
    </row>
    <row r="502" spans="1:15" x14ac:dyDescent="0.25">
      <c r="A502" s="408"/>
      <c r="B502" s="416"/>
      <c r="C502" s="410"/>
      <c r="D502" s="416"/>
      <c r="E502" s="410"/>
      <c r="F502" s="416"/>
      <c r="G502" s="410"/>
      <c r="H502" s="416"/>
      <c r="I502" s="410"/>
      <c r="K502" s="416"/>
      <c r="L502" s="416"/>
      <c r="M502" s="416"/>
      <c r="N502" s="416"/>
      <c r="O502" s="408"/>
    </row>
    <row r="503" spans="1:15" x14ac:dyDescent="0.25">
      <c r="A503" s="408"/>
      <c r="B503" s="416"/>
      <c r="C503" s="410"/>
      <c r="D503" s="416"/>
      <c r="E503" s="410"/>
      <c r="F503" s="416"/>
      <c r="G503" s="410"/>
      <c r="H503" s="416"/>
      <c r="I503" s="410"/>
      <c r="K503" s="416"/>
      <c r="L503" s="416"/>
      <c r="M503" s="416"/>
      <c r="N503" s="416"/>
      <c r="O503" s="408"/>
    </row>
    <row r="504" spans="1:15" x14ac:dyDescent="0.25">
      <c r="A504" s="408"/>
      <c r="B504" s="416"/>
      <c r="C504" s="410"/>
      <c r="D504" s="416"/>
      <c r="E504" s="410"/>
      <c r="F504" s="416"/>
      <c r="G504" s="410"/>
      <c r="H504" s="416"/>
      <c r="I504" s="410"/>
      <c r="K504" s="416"/>
      <c r="L504" s="416"/>
      <c r="M504" s="416"/>
      <c r="N504" s="416"/>
      <c r="O504" s="408"/>
    </row>
    <row r="505" spans="1:15" x14ac:dyDescent="0.25">
      <c r="A505" s="408"/>
      <c r="B505" s="409"/>
      <c r="C505" s="408"/>
      <c r="D505" s="409"/>
      <c r="E505" s="408"/>
      <c r="F505" s="409"/>
      <c r="G505" s="408"/>
      <c r="H505" s="409"/>
      <c r="I505" s="408"/>
      <c r="K505" s="409"/>
      <c r="L505" s="409"/>
      <c r="M505" s="409"/>
      <c r="N505" s="409"/>
      <c r="O505" s="408"/>
    </row>
    <row r="506" spans="1:15" x14ac:dyDescent="0.25">
      <c r="A506" s="408"/>
      <c r="B506" s="409"/>
      <c r="C506" s="408"/>
      <c r="D506" s="409"/>
      <c r="E506" s="408"/>
      <c r="F506" s="409"/>
      <c r="G506" s="408"/>
      <c r="H506" s="409"/>
      <c r="I506" s="408"/>
      <c r="K506" s="409"/>
      <c r="L506" s="409"/>
      <c r="M506" s="409"/>
      <c r="N506" s="409"/>
      <c r="O506" s="408"/>
    </row>
    <row r="507" spans="1:15" x14ac:dyDescent="0.25">
      <c r="A507" s="408"/>
      <c r="B507" s="409"/>
      <c r="C507" s="408"/>
      <c r="D507" s="409"/>
      <c r="E507" s="408"/>
      <c r="F507" s="409"/>
      <c r="G507" s="408"/>
      <c r="H507" s="409"/>
      <c r="I507" s="408"/>
      <c r="K507" s="409"/>
      <c r="L507" s="409"/>
      <c r="M507" s="409"/>
      <c r="N507" s="409"/>
      <c r="O507" s="408"/>
    </row>
    <row r="508" spans="1:15" x14ac:dyDescent="0.25">
      <c r="A508" s="408"/>
      <c r="B508" s="409"/>
      <c r="C508" s="408"/>
      <c r="D508" s="409"/>
      <c r="E508" s="408"/>
      <c r="F508" s="409"/>
      <c r="G508" s="408"/>
      <c r="H508" s="409"/>
      <c r="I508" s="408"/>
      <c r="K508" s="409"/>
      <c r="L508" s="409"/>
      <c r="M508" s="409"/>
      <c r="N508" s="409"/>
      <c r="O508" s="408"/>
    </row>
    <row r="509" spans="1:15" x14ac:dyDescent="0.25">
      <c r="A509" s="413"/>
      <c r="B509" s="411"/>
      <c r="C509" s="413"/>
      <c r="D509" s="411"/>
      <c r="E509" s="413"/>
      <c r="F509" s="411"/>
      <c r="G509" s="413"/>
      <c r="H509" s="409"/>
      <c r="I509" s="413"/>
      <c r="K509" s="409"/>
      <c r="L509" s="409"/>
      <c r="M509" s="409"/>
      <c r="N509" s="409"/>
      <c r="O509" s="408"/>
    </row>
    <row r="510" spans="1:15" x14ac:dyDescent="0.25">
      <c r="A510" s="408"/>
      <c r="B510" s="409"/>
      <c r="C510" s="408"/>
      <c r="D510" s="409"/>
      <c r="E510" s="408"/>
      <c r="F510" s="409"/>
      <c r="G510" s="408"/>
      <c r="H510" s="409"/>
      <c r="I510" s="408"/>
      <c r="K510" s="409"/>
      <c r="L510" s="409"/>
      <c r="M510" s="409"/>
      <c r="N510" s="415"/>
      <c r="O510" s="408"/>
    </row>
    <row r="511" spans="1:15" x14ac:dyDescent="0.25">
      <c r="A511" s="413"/>
      <c r="B511" s="512"/>
      <c r="C511" s="512"/>
      <c r="D511" s="512"/>
      <c r="E511" s="512"/>
      <c r="F511" s="512"/>
      <c r="G511" s="512"/>
      <c r="H511" s="512"/>
      <c r="I511" s="512"/>
      <c r="J511" s="413"/>
      <c r="K511" s="415"/>
      <c r="L511" s="415"/>
      <c r="M511" s="415"/>
      <c r="N511" s="415"/>
      <c r="O511" s="408"/>
    </row>
    <row r="512" spans="1:15" x14ac:dyDescent="0.25">
      <c r="A512" s="432"/>
      <c r="B512" s="415"/>
      <c r="C512" s="414"/>
      <c r="D512" s="415"/>
      <c r="E512" s="414"/>
      <c r="F512" s="415"/>
      <c r="G512" s="414"/>
      <c r="H512" s="415"/>
      <c r="I512" s="414"/>
      <c r="J512" s="413"/>
      <c r="K512" s="412"/>
      <c r="L512" s="411"/>
      <c r="M512" s="411"/>
      <c r="N512" s="409"/>
      <c r="O512" s="408"/>
    </row>
    <row r="513" spans="1:15" x14ac:dyDescent="0.25">
      <c r="A513" s="408"/>
      <c r="B513" s="416"/>
      <c r="C513" s="410"/>
      <c r="D513" s="416"/>
      <c r="E513" s="410"/>
      <c r="F513" s="416"/>
      <c r="G513" s="410"/>
      <c r="H513" s="416"/>
      <c r="I513" s="410"/>
      <c r="K513" s="416"/>
      <c r="L513" s="416"/>
      <c r="M513" s="416"/>
      <c r="N513" s="416"/>
      <c r="O513" s="408"/>
    </row>
    <row r="514" spans="1:15" x14ac:dyDescent="0.25">
      <c r="A514" s="408"/>
      <c r="B514" s="416"/>
      <c r="C514" s="410"/>
      <c r="D514" s="416"/>
      <c r="E514" s="410"/>
      <c r="F514" s="416"/>
      <c r="G514" s="410"/>
      <c r="H514" s="416"/>
      <c r="I514" s="410"/>
      <c r="K514" s="416"/>
      <c r="L514" s="416"/>
      <c r="M514" s="416"/>
      <c r="N514" s="416"/>
      <c r="O514" s="408"/>
    </row>
    <row r="515" spans="1:15" x14ac:dyDescent="0.25">
      <c r="A515" s="408"/>
      <c r="B515" s="416"/>
      <c r="C515" s="410"/>
      <c r="D515" s="416"/>
      <c r="E515" s="410"/>
      <c r="F515" s="416"/>
      <c r="G515" s="410"/>
      <c r="H515" s="416"/>
      <c r="I515" s="410"/>
      <c r="K515" s="416"/>
      <c r="L515" s="416"/>
      <c r="M515" s="416"/>
      <c r="N515" s="416"/>
      <c r="O515" s="408"/>
    </row>
    <row r="516" spans="1:15" x14ac:dyDescent="0.25">
      <c r="A516" s="408"/>
      <c r="B516" s="416"/>
      <c r="C516" s="410"/>
      <c r="D516" s="416"/>
      <c r="E516" s="410"/>
      <c r="F516" s="416"/>
      <c r="G516" s="410"/>
      <c r="H516" s="416"/>
      <c r="I516" s="410"/>
      <c r="K516" s="409"/>
      <c r="L516" s="409"/>
      <c r="M516" s="409"/>
      <c r="N516" s="409"/>
      <c r="O516" s="408"/>
    </row>
    <row r="517" spans="1:15" x14ac:dyDescent="0.25">
      <c r="A517" s="432"/>
      <c r="B517" s="416"/>
      <c r="C517" s="410"/>
      <c r="D517" s="416"/>
      <c r="E517" s="410"/>
      <c r="F517" s="416"/>
      <c r="G517" s="410"/>
      <c r="H517" s="416"/>
      <c r="I517" s="410"/>
      <c r="K517" s="411"/>
      <c r="L517" s="409"/>
      <c r="M517" s="409"/>
      <c r="N517" s="409"/>
      <c r="O517" s="408"/>
    </row>
    <row r="518" spans="1:15" x14ac:dyDescent="0.25">
      <c r="A518" s="408"/>
      <c r="B518" s="416"/>
      <c r="C518" s="410"/>
      <c r="D518" s="416"/>
      <c r="E518" s="410"/>
      <c r="F518" s="416"/>
      <c r="G518" s="410"/>
      <c r="H518" s="416"/>
      <c r="I518" s="410"/>
      <c r="K518" s="416"/>
      <c r="L518" s="416"/>
      <c r="M518" s="416"/>
      <c r="N518" s="416"/>
      <c r="O518" s="408"/>
    </row>
    <row r="519" spans="1:15" x14ac:dyDescent="0.25">
      <c r="A519" s="408"/>
      <c r="B519" s="416"/>
      <c r="C519" s="410"/>
      <c r="D519" s="416"/>
      <c r="E519" s="410"/>
      <c r="F519" s="416"/>
      <c r="G519" s="410"/>
      <c r="H519" s="416"/>
      <c r="I519" s="410"/>
      <c r="K519" s="416"/>
      <c r="L519" s="416"/>
      <c r="M519" s="416"/>
      <c r="N519" s="416"/>
      <c r="O519" s="408"/>
    </row>
    <row r="520" spans="1:15" x14ac:dyDescent="0.25">
      <c r="A520" s="408"/>
      <c r="B520" s="416"/>
      <c r="C520" s="410"/>
      <c r="D520" s="416"/>
      <c r="E520" s="410"/>
      <c r="F520" s="416"/>
      <c r="G520" s="410"/>
      <c r="H520" s="416"/>
      <c r="I520" s="410"/>
      <c r="K520" s="416"/>
      <c r="L520" s="416"/>
      <c r="M520" s="416"/>
      <c r="N520" s="416"/>
      <c r="O520" s="408"/>
    </row>
    <row r="521" spans="1:15" x14ac:dyDescent="0.25">
      <c r="A521" s="408"/>
      <c r="B521" s="416"/>
      <c r="C521" s="410"/>
      <c r="D521" s="416"/>
      <c r="E521" s="410"/>
      <c r="F521" s="416"/>
      <c r="G521" s="410"/>
      <c r="H521" s="416"/>
      <c r="I521" s="410"/>
      <c r="K521" s="409"/>
      <c r="L521" s="409"/>
      <c r="M521" s="409"/>
      <c r="N521" s="409"/>
      <c r="O521" s="408"/>
    </row>
    <row r="522" spans="1:15" x14ac:dyDescent="0.25">
      <c r="A522" s="432"/>
      <c r="B522" s="416"/>
      <c r="C522" s="410"/>
      <c r="D522" s="416"/>
      <c r="E522" s="410"/>
      <c r="F522" s="416"/>
      <c r="G522" s="410"/>
      <c r="H522" s="416"/>
      <c r="I522" s="410"/>
      <c r="K522" s="411"/>
      <c r="L522" s="409"/>
      <c r="M522" s="409"/>
      <c r="N522" s="409"/>
      <c r="O522" s="408"/>
    </row>
    <row r="523" spans="1:15" x14ac:dyDescent="0.25">
      <c r="A523" s="408"/>
      <c r="B523" s="416"/>
      <c r="C523" s="410"/>
      <c r="D523" s="416"/>
      <c r="E523" s="410"/>
      <c r="F523" s="416"/>
      <c r="G523" s="410"/>
      <c r="H523" s="416"/>
      <c r="I523" s="410"/>
      <c r="K523" s="416"/>
      <c r="L523" s="416"/>
      <c r="M523" s="416"/>
      <c r="N523" s="416"/>
      <c r="O523" s="408"/>
    </row>
    <row r="524" spans="1:15" x14ac:dyDescent="0.25">
      <c r="A524" s="408"/>
      <c r="B524" s="416"/>
      <c r="C524" s="410"/>
      <c r="D524" s="416"/>
      <c r="E524" s="410"/>
      <c r="F524" s="416"/>
      <c r="G524" s="410"/>
      <c r="H524" s="416"/>
      <c r="I524" s="410"/>
      <c r="K524" s="416"/>
      <c r="L524" s="416"/>
      <c r="M524" s="416"/>
      <c r="N524" s="416"/>
      <c r="O524" s="408"/>
    </row>
    <row r="525" spans="1:15" x14ac:dyDescent="0.25">
      <c r="A525" s="408"/>
      <c r="B525" s="416"/>
      <c r="C525" s="410"/>
      <c r="D525" s="416"/>
      <c r="E525" s="410"/>
      <c r="F525" s="416"/>
      <c r="G525" s="410"/>
      <c r="H525" s="416"/>
      <c r="I525" s="410"/>
      <c r="K525" s="416"/>
      <c r="L525" s="416"/>
      <c r="M525" s="416"/>
      <c r="N525" s="416"/>
      <c r="O525" s="408"/>
    </row>
    <row r="526" spans="1:15" x14ac:dyDescent="0.25">
      <c r="A526" s="408"/>
      <c r="B526" s="409"/>
      <c r="C526" s="408"/>
      <c r="D526" s="409"/>
      <c r="E526" s="408"/>
      <c r="F526" s="409"/>
      <c r="G526" s="408"/>
      <c r="H526" s="409"/>
      <c r="I526" s="408"/>
      <c r="K526" s="409"/>
      <c r="L526" s="409"/>
      <c r="M526" s="409"/>
      <c r="N526" s="409"/>
      <c r="O526" s="408"/>
    </row>
    <row r="527" spans="1:15" x14ac:dyDescent="0.25">
      <c r="A527" s="408"/>
      <c r="B527" s="409"/>
      <c r="C527" s="408"/>
      <c r="D527" s="409"/>
      <c r="E527" s="408"/>
      <c r="F527" s="409"/>
      <c r="G527" s="408"/>
      <c r="H527" s="409"/>
      <c r="I527" s="408"/>
      <c r="K527" s="409"/>
      <c r="L527" s="409"/>
      <c r="M527" s="409"/>
      <c r="N527" s="409"/>
      <c r="O527" s="408"/>
    </row>
    <row r="528" spans="1:15" x14ac:dyDescent="0.25">
      <c r="A528" s="408"/>
      <c r="B528" s="409"/>
      <c r="C528" s="408"/>
      <c r="D528" s="409"/>
      <c r="E528" s="408"/>
      <c r="F528" s="409"/>
      <c r="G528" s="408"/>
      <c r="H528" s="409"/>
      <c r="I528" s="408"/>
      <c r="K528" s="409"/>
      <c r="L528" s="409"/>
      <c r="M528" s="409"/>
      <c r="N528" s="409"/>
      <c r="O528" s="408"/>
    </row>
    <row r="529" spans="1:15" x14ac:dyDescent="0.25">
      <c r="A529" s="408"/>
      <c r="B529" s="409"/>
      <c r="C529" s="408"/>
      <c r="D529" s="409"/>
      <c r="E529" s="408"/>
      <c r="F529" s="409"/>
      <c r="G529" s="408"/>
      <c r="H529" s="409"/>
      <c r="I529" s="408"/>
      <c r="K529" s="409"/>
      <c r="L529" s="409"/>
      <c r="M529" s="409"/>
      <c r="N529" s="409"/>
      <c r="O529" s="408"/>
    </row>
    <row r="530" spans="1:15" x14ac:dyDescent="0.25">
      <c r="A530" s="413"/>
      <c r="B530" s="411"/>
      <c r="C530" s="413"/>
      <c r="D530" s="411"/>
      <c r="E530" s="413"/>
      <c r="F530" s="411"/>
      <c r="G530" s="413"/>
      <c r="H530" s="411"/>
      <c r="I530" s="413"/>
      <c r="K530" s="409"/>
      <c r="L530" s="409"/>
      <c r="M530" s="409"/>
      <c r="N530" s="409"/>
      <c r="O530" s="408"/>
    </row>
    <row r="531" spans="1:15" x14ac:dyDescent="0.25">
      <c r="A531" s="408"/>
      <c r="B531" s="409"/>
      <c r="C531" s="408"/>
      <c r="D531" s="409"/>
      <c r="E531" s="408"/>
      <c r="F531" s="409"/>
      <c r="G531" s="408"/>
      <c r="H531" s="409"/>
      <c r="I531" s="408"/>
      <c r="K531" s="409"/>
      <c r="L531" s="409"/>
      <c r="M531" s="409"/>
      <c r="N531" s="415"/>
      <c r="O531" s="408"/>
    </row>
    <row r="532" spans="1:15" x14ac:dyDescent="0.25">
      <c r="A532" s="413"/>
      <c r="B532" s="411"/>
      <c r="C532" s="413"/>
      <c r="D532" s="411"/>
      <c r="E532" s="413"/>
      <c r="F532" s="411"/>
      <c r="G532" s="413"/>
      <c r="H532" s="411"/>
      <c r="I532" s="413"/>
      <c r="J532" s="413"/>
      <c r="K532" s="415"/>
      <c r="L532" s="415"/>
      <c r="M532" s="415"/>
      <c r="N532" s="415"/>
      <c r="O532" s="408"/>
    </row>
    <row r="533" spans="1:15" x14ac:dyDescent="0.25">
      <c r="A533" s="432"/>
      <c r="B533" s="415"/>
      <c r="C533" s="414"/>
      <c r="D533" s="415"/>
      <c r="E533" s="414"/>
      <c r="F533" s="415"/>
      <c r="G533" s="414"/>
      <c r="H533" s="415"/>
      <c r="I533" s="414"/>
      <c r="J533" s="413"/>
      <c r="K533" s="412"/>
      <c r="L533" s="411"/>
      <c r="M533" s="411"/>
      <c r="N533" s="409"/>
      <c r="O533" s="408"/>
    </row>
    <row r="534" spans="1:15" x14ac:dyDescent="0.25">
      <c r="A534" s="408"/>
      <c r="B534" s="409"/>
      <c r="C534" s="410"/>
      <c r="D534" s="409"/>
      <c r="E534" s="410"/>
      <c r="F534" s="409"/>
      <c r="G534" s="410"/>
      <c r="H534" s="409"/>
      <c r="I534" s="410"/>
      <c r="K534" s="409"/>
      <c r="L534" s="409"/>
      <c r="M534" s="409"/>
      <c r="N534" s="409"/>
      <c r="O534" s="408"/>
    </row>
    <row r="535" spans="1:15" x14ac:dyDescent="0.25">
      <c r="A535" s="408"/>
      <c r="B535" s="409"/>
      <c r="C535" s="410"/>
      <c r="D535" s="409"/>
      <c r="E535" s="410"/>
      <c r="F535" s="409"/>
      <c r="G535" s="410"/>
      <c r="H535" s="409"/>
      <c r="I535" s="410"/>
      <c r="K535" s="409"/>
      <c r="L535" s="409"/>
      <c r="M535" s="409"/>
      <c r="N535" s="409"/>
      <c r="O535" s="408"/>
    </row>
    <row r="536" spans="1:15" x14ac:dyDescent="0.25">
      <c r="A536" s="408"/>
      <c r="B536" s="409"/>
      <c r="C536" s="410"/>
      <c r="D536" s="409"/>
      <c r="E536" s="410"/>
      <c r="F536" s="409"/>
      <c r="G536" s="410"/>
      <c r="H536" s="409"/>
      <c r="I536" s="410"/>
      <c r="K536" s="409"/>
      <c r="L536" s="409"/>
      <c r="M536" s="409"/>
      <c r="N536" s="409"/>
      <c r="O536" s="408"/>
    </row>
    <row r="537" spans="1:15" x14ac:dyDescent="0.25">
      <c r="A537" s="408"/>
      <c r="B537" s="409"/>
      <c r="C537" s="410"/>
      <c r="D537" s="409"/>
      <c r="E537" s="410"/>
      <c r="F537" s="409"/>
      <c r="G537" s="410"/>
      <c r="H537" s="409"/>
      <c r="I537" s="410"/>
      <c r="K537" s="409"/>
      <c r="L537" s="409"/>
      <c r="M537" s="409"/>
      <c r="N537" s="409"/>
      <c r="O537" s="408"/>
    </row>
    <row r="538" spans="1:15" x14ac:dyDescent="0.25">
      <c r="A538" s="432"/>
      <c r="B538" s="409"/>
      <c r="C538" s="410"/>
      <c r="D538" s="409"/>
      <c r="E538" s="410"/>
      <c r="F538" s="409"/>
      <c r="G538" s="410"/>
      <c r="H538" s="409"/>
      <c r="I538" s="410"/>
      <c r="K538" s="411"/>
      <c r="L538" s="409"/>
      <c r="M538" s="409"/>
      <c r="N538" s="409"/>
      <c r="O538" s="408"/>
    </row>
    <row r="539" spans="1:15" x14ac:dyDescent="0.25">
      <c r="A539" s="408"/>
      <c r="B539" s="409"/>
      <c r="C539" s="410"/>
      <c r="D539" s="409"/>
      <c r="E539" s="410"/>
      <c r="F539" s="409"/>
      <c r="G539" s="410"/>
      <c r="H539" s="409"/>
      <c r="I539" s="410"/>
      <c r="K539" s="409"/>
      <c r="L539" s="409"/>
      <c r="M539" s="409"/>
      <c r="N539" s="409"/>
      <c r="O539" s="408"/>
    </row>
    <row r="540" spans="1:15" x14ac:dyDescent="0.25">
      <c r="A540" s="408"/>
      <c r="B540" s="409"/>
      <c r="C540" s="410"/>
      <c r="D540" s="409"/>
      <c r="E540" s="410"/>
      <c r="F540" s="409"/>
      <c r="G540" s="410"/>
      <c r="H540" s="409"/>
      <c r="I540" s="410"/>
      <c r="K540" s="409"/>
      <c r="L540" s="409"/>
      <c r="M540" s="409"/>
      <c r="N540" s="409"/>
    </row>
    <row r="541" spans="1:15" x14ac:dyDescent="0.25">
      <c r="A541" s="408"/>
      <c r="B541" s="409"/>
      <c r="C541" s="410"/>
      <c r="D541" s="409"/>
      <c r="E541" s="410"/>
      <c r="F541" s="409"/>
      <c r="G541" s="410"/>
      <c r="H541" s="409"/>
      <c r="I541" s="410"/>
      <c r="K541" s="409"/>
      <c r="L541" s="409"/>
      <c r="M541" s="409"/>
      <c r="N541" s="409"/>
    </row>
    <row r="542" spans="1:15" x14ac:dyDescent="0.25">
      <c r="A542" s="408"/>
      <c r="B542" s="409"/>
      <c r="C542" s="410"/>
      <c r="D542" s="409"/>
      <c r="E542" s="410"/>
      <c r="F542" s="409"/>
      <c r="G542" s="410"/>
      <c r="H542" s="409"/>
      <c r="I542" s="410"/>
      <c r="K542" s="409"/>
      <c r="L542" s="409"/>
      <c r="M542" s="409"/>
      <c r="N542" s="409"/>
    </row>
    <row r="543" spans="1:15" x14ac:dyDescent="0.25">
      <c r="A543" s="432"/>
      <c r="B543" s="409"/>
      <c r="C543" s="410"/>
      <c r="D543" s="409"/>
      <c r="E543" s="410"/>
      <c r="F543" s="409"/>
      <c r="G543" s="410"/>
      <c r="H543" s="409"/>
      <c r="I543" s="410"/>
      <c r="K543" s="411"/>
      <c r="L543" s="409"/>
      <c r="M543" s="409"/>
      <c r="N543" s="409"/>
    </row>
    <row r="544" spans="1:15" x14ac:dyDescent="0.25">
      <c r="A544" s="408"/>
      <c r="B544" s="409"/>
      <c r="C544" s="410"/>
      <c r="D544" s="409"/>
      <c r="E544" s="410"/>
      <c r="F544" s="409"/>
      <c r="G544" s="410"/>
      <c r="H544" s="409"/>
      <c r="I544" s="410"/>
      <c r="K544" s="409"/>
      <c r="L544" s="409"/>
      <c r="M544" s="409"/>
      <c r="N544" s="409"/>
    </row>
    <row r="545" spans="1:14" x14ac:dyDescent="0.25">
      <c r="A545" s="408"/>
      <c r="B545" s="409"/>
      <c r="C545" s="410"/>
      <c r="D545" s="409"/>
      <c r="E545" s="410"/>
      <c r="F545" s="409"/>
      <c r="G545" s="410"/>
      <c r="H545" s="409"/>
      <c r="I545" s="410"/>
      <c r="K545" s="409"/>
      <c r="L545" s="409"/>
      <c r="M545" s="409"/>
      <c r="N545" s="409"/>
    </row>
    <row r="546" spans="1:14" x14ac:dyDescent="0.25">
      <c r="A546" s="408"/>
      <c r="B546" s="409"/>
      <c r="C546" s="410"/>
      <c r="D546" s="409"/>
      <c r="E546" s="410"/>
      <c r="F546" s="409"/>
      <c r="G546" s="410"/>
      <c r="H546" s="409"/>
      <c r="I546" s="410"/>
      <c r="K546" s="409"/>
      <c r="L546" s="409"/>
      <c r="M546" s="409"/>
      <c r="N546" s="409"/>
    </row>
    <row r="547" spans="1:14" x14ac:dyDescent="0.25">
      <c r="A547" s="408"/>
      <c r="B547" s="409"/>
      <c r="C547" s="408"/>
      <c r="D547" s="409"/>
      <c r="E547" s="408"/>
      <c r="F547" s="409"/>
      <c r="G547" s="408"/>
      <c r="H547" s="409"/>
      <c r="I547" s="408"/>
      <c r="K547" s="409"/>
      <c r="L547" s="409"/>
      <c r="M547" s="409"/>
      <c r="N547" s="409"/>
    </row>
    <row r="548" spans="1:14" x14ac:dyDescent="0.25">
      <c r="A548" s="408"/>
      <c r="B548" s="409"/>
      <c r="C548" s="408"/>
      <c r="D548" s="409"/>
      <c r="E548" s="408"/>
      <c r="F548" s="409"/>
      <c r="G548" s="408"/>
      <c r="H548" s="409"/>
      <c r="I548" s="408"/>
      <c r="K548" s="409"/>
      <c r="L548" s="409"/>
      <c r="M548" s="409"/>
      <c r="N548" s="409"/>
    </row>
    <row r="549" spans="1:14" x14ac:dyDescent="0.25">
      <c r="A549" s="408"/>
      <c r="B549" s="409"/>
      <c r="C549" s="408"/>
      <c r="D549" s="409"/>
      <c r="E549" s="408"/>
      <c r="F549" s="409"/>
      <c r="G549" s="408"/>
      <c r="H549" s="409"/>
      <c r="I549" s="408"/>
      <c r="K549" s="409"/>
      <c r="L549" s="409"/>
      <c r="M549" s="409"/>
      <c r="N549" s="409"/>
    </row>
    <row r="550" spans="1:14" x14ac:dyDescent="0.25">
      <c r="A550" s="408"/>
      <c r="B550" s="409"/>
      <c r="C550" s="408"/>
      <c r="D550" s="409"/>
      <c r="E550" s="408"/>
      <c r="F550" s="409"/>
      <c r="G550" s="408"/>
      <c r="H550" s="409"/>
      <c r="I550" s="408"/>
      <c r="K550" s="409"/>
      <c r="L550" s="409"/>
      <c r="M550" s="409"/>
      <c r="N550" s="409"/>
    </row>
    <row r="551" spans="1:14" x14ac:dyDescent="0.25">
      <c r="A551" s="408"/>
      <c r="B551" s="409"/>
      <c r="C551" s="408"/>
      <c r="D551" s="409"/>
      <c r="E551" s="408"/>
      <c r="F551" s="409"/>
      <c r="G551" s="408"/>
      <c r="H551" s="409"/>
      <c r="I551" s="408"/>
      <c r="K551" s="409"/>
      <c r="L551" s="409"/>
      <c r="M551" s="409"/>
      <c r="N551" s="409"/>
    </row>
    <row r="552" spans="1:14" x14ac:dyDescent="0.25">
      <c r="A552" s="408"/>
      <c r="B552" s="409"/>
      <c r="C552" s="408"/>
      <c r="D552" s="409"/>
      <c r="E552" s="408"/>
      <c r="F552" s="409"/>
      <c r="G552" s="408"/>
      <c r="H552" s="409"/>
      <c r="I552" s="408"/>
      <c r="K552" s="409"/>
      <c r="L552" s="409"/>
      <c r="M552" s="409"/>
      <c r="N552" s="409"/>
    </row>
    <row r="553" spans="1:14" x14ac:dyDescent="0.25">
      <c r="A553" s="408"/>
      <c r="B553" s="409"/>
      <c r="C553" s="408"/>
      <c r="D553" s="409"/>
      <c r="E553" s="408"/>
      <c r="F553" s="409"/>
      <c r="G553" s="408"/>
      <c r="H553" s="409"/>
      <c r="I553" s="408"/>
      <c r="K553" s="409"/>
      <c r="L553" s="409"/>
      <c r="M553" s="409"/>
      <c r="N553" s="409"/>
    </row>
    <row r="554" spans="1:14" x14ac:dyDescent="0.25">
      <c r="A554" s="408"/>
      <c r="B554" s="409"/>
      <c r="C554" s="408"/>
      <c r="D554" s="409"/>
      <c r="E554" s="408"/>
      <c r="F554" s="409"/>
      <c r="G554" s="408"/>
      <c r="H554" s="409"/>
      <c r="I554" s="408"/>
      <c r="K554" s="409"/>
      <c r="L554" s="409"/>
      <c r="M554" s="409"/>
      <c r="N554" s="409"/>
    </row>
    <row r="555" spans="1:14" x14ac:dyDescent="0.25">
      <c r="A555" s="408"/>
      <c r="B555" s="409"/>
      <c r="C555" s="408"/>
      <c r="D555" s="409"/>
      <c r="E555" s="408"/>
      <c r="F555" s="409"/>
      <c r="G555" s="408"/>
      <c r="H555" s="409"/>
      <c r="I555" s="408"/>
      <c r="K555" s="409"/>
      <c r="L555" s="409"/>
      <c r="M555" s="409"/>
      <c r="N555" s="409"/>
    </row>
    <row r="556" spans="1:14" x14ac:dyDescent="0.25">
      <c r="A556" s="408"/>
      <c r="B556" s="409"/>
      <c r="C556" s="408"/>
      <c r="D556" s="409"/>
      <c r="E556" s="408"/>
      <c r="F556" s="409"/>
      <c r="G556" s="408"/>
      <c r="H556" s="409"/>
      <c r="I556" s="408"/>
      <c r="K556" s="409"/>
      <c r="L556" s="409"/>
      <c r="M556" s="409"/>
      <c r="N556" s="409"/>
    </row>
    <row r="557" spans="1:14" x14ac:dyDescent="0.25">
      <c r="A557" s="408"/>
      <c r="B557" s="409"/>
      <c r="C557" s="413"/>
      <c r="D557" s="409"/>
      <c r="E557" s="413"/>
      <c r="F557" s="409"/>
      <c r="G557" s="413"/>
      <c r="H557" s="409"/>
      <c r="I557" s="413"/>
      <c r="K557" s="409"/>
      <c r="L557" s="409"/>
      <c r="M557" s="409"/>
      <c r="N557" s="409"/>
    </row>
    <row r="558" spans="1:14" x14ac:dyDescent="0.25">
      <c r="A558" s="413"/>
      <c r="B558" s="411"/>
      <c r="C558" s="413"/>
      <c r="D558" s="411"/>
      <c r="E558" s="413"/>
      <c r="F558" s="411"/>
      <c r="G558" s="413"/>
      <c r="H558" s="411"/>
      <c r="I558" s="413"/>
      <c r="K558" s="409"/>
      <c r="L558" s="409"/>
      <c r="M558" s="409"/>
      <c r="N558" s="409"/>
    </row>
    <row r="559" spans="1:14" x14ac:dyDescent="0.25">
      <c r="A559" s="413"/>
      <c r="B559" s="411"/>
      <c r="C559" s="413"/>
      <c r="D559" s="411"/>
      <c r="E559" s="413"/>
      <c r="F559" s="411"/>
      <c r="G559" s="413"/>
      <c r="H559" s="411"/>
      <c r="I559" s="413"/>
      <c r="K559" s="409"/>
      <c r="L559" s="409"/>
      <c r="M559" s="409"/>
      <c r="N559" s="409"/>
    </row>
    <row r="560" spans="1:14" x14ac:dyDescent="0.25">
      <c r="A560" s="413"/>
      <c r="B560" s="411"/>
      <c r="C560" s="413"/>
      <c r="D560" s="411"/>
      <c r="E560" s="413"/>
      <c r="F560" s="411"/>
      <c r="G560" s="413"/>
      <c r="H560" s="411"/>
      <c r="I560" s="413"/>
      <c r="K560" s="409"/>
      <c r="L560" s="409"/>
      <c r="M560" s="409"/>
      <c r="N560" s="409"/>
    </row>
    <row r="561" spans="1:14" x14ac:dyDescent="0.25">
      <c r="A561" s="413"/>
      <c r="B561" s="411"/>
      <c r="C561" s="413"/>
      <c r="D561" s="411"/>
      <c r="E561" s="413"/>
      <c r="F561" s="411"/>
      <c r="G561" s="413"/>
      <c r="H561" s="411"/>
      <c r="I561" s="413"/>
      <c r="K561" s="409"/>
      <c r="L561" s="409"/>
      <c r="M561" s="409"/>
      <c r="N561" s="409"/>
    </row>
    <row r="562" spans="1:14" x14ac:dyDescent="0.25">
      <c r="A562" s="413"/>
      <c r="B562" s="411"/>
      <c r="C562" s="413"/>
      <c r="D562" s="411"/>
      <c r="E562" s="413"/>
      <c r="F562" s="411"/>
      <c r="G562" s="413"/>
      <c r="H562" s="411"/>
      <c r="I562" s="413"/>
      <c r="K562" s="409"/>
      <c r="L562" s="409"/>
      <c r="M562" s="409"/>
      <c r="N562" s="409"/>
    </row>
    <row r="563" spans="1:14" x14ac:dyDescent="0.25">
      <c r="A563" s="413"/>
      <c r="B563" s="411"/>
      <c r="C563" s="413"/>
      <c r="D563" s="411"/>
      <c r="E563" s="413"/>
      <c r="F563" s="411"/>
      <c r="G563" s="413"/>
      <c r="H563" s="411"/>
      <c r="I563" s="413"/>
      <c r="K563" s="409"/>
      <c r="L563" s="409"/>
      <c r="M563" s="409"/>
      <c r="N563" s="409"/>
    </row>
    <row r="564" spans="1:14" x14ac:dyDescent="0.25">
      <c r="A564" s="413"/>
      <c r="B564" s="411"/>
      <c r="C564" s="413"/>
      <c r="D564" s="411"/>
      <c r="E564" s="413"/>
      <c r="F564" s="411"/>
      <c r="G564" s="413"/>
      <c r="H564" s="411"/>
      <c r="I564" s="413"/>
      <c r="K564" s="409"/>
      <c r="L564" s="409"/>
      <c r="M564" s="409"/>
      <c r="N564" s="409"/>
    </row>
    <row r="565" spans="1:14" x14ac:dyDescent="0.25">
      <c r="A565" s="413"/>
      <c r="B565" s="411"/>
      <c r="C565" s="413"/>
      <c r="D565" s="411"/>
      <c r="E565" s="413"/>
      <c r="F565" s="411"/>
      <c r="G565" s="413"/>
      <c r="H565" s="411"/>
      <c r="I565" s="413"/>
      <c r="K565" s="409"/>
      <c r="L565" s="409"/>
      <c r="M565" s="409"/>
      <c r="N565" s="409"/>
    </row>
    <row r="566" spans="1:14" x14ac:dyDescent="0.25">
      <c r="A566" s="413"/>
      <c r="B566" s="411"/>
      <c r="C566" s="413"/>
      <c r="D566" s="411"/>
      <c r="E566" s="413"/>
      <c r="F566" s="411"/>
      <c r="G566" s="413"/>
      <c r="H566" s="411"/>
      <c r="I566" s="413"/>
      <c r="K566" s="409"/>
      <c r="L566" s="409"/>
      <c r="M566" s="409"/>
      <c r="N566" s="409"/>
    </row>
    <row r="567" spans="1:14" x14ac:dyDescent="0.25">
      <c r="A567" s="413"/>
      <c r="B567" s="411"/>
      <c r="C567" s="413"/>
      <c r="D567" s="411"/>
      <c r="E567" s="413"/>
      <c r="F567" s="411"/>
      <c r="G567" s="413"/>
      <c r="H567" s="411"/>
      <c r="I567" s="413"/>
      <c r="K567" s="409"/>
      <c r="L567" s="409"/>
      <c r="M567" s="409"/>
      <c r="N567" s="409"/>
    </row>
    <row r="568" spans="1:14" x14ac:dyDescent="0.25">
      <c r="A568" s="413"/>
      <c r="B568" s="411"/>
      <c r="C568" s="413"/>
      <c r="D568" s="411"/>
      <c r="E568" s="413"/>
      <c r="F568" s="411"/>
      <c r="G568" s="413"/>
      <c r="H568" s="411"/>
      <c r="I568" s="413"/>
      <c r="K568" s="409"/>
      <c r="L568" s="409"/>
      <c r="M568" s="409"/>
      <c r="N568" s="409"/>
    </row>
    <row r="569" spans="1:14" x14ac:dyDescent="0.25">
      <c r="A569" s="413"/>
      <c r="B569" s="411"/>
      <c r="C569" s="413"/>
      <c r="D569" s="411"/>
      <c r="E569" s="413"/>
      <c r="F569" s="411"/>
      <c r="G569" s="413"/>
      <c r="H569" s="411"/>
      <c r="I569" s="413"/>
      <c r="K569" s="409"/>
      <c r="L569" s="409"/>
      <c r="M569" s="409"/>
      <c r="N569" s="409"/>
    </row>
    <row r="570" spans="1:14" x14ac:dyDescent="0.25">
      <c r="A570" s="413"/>
      <c r="B570" s="411"/>
      <c r="C570" s="413"/>
      <c r="D570" s="411"/>
      <c r="E570" s="413"/>
      <c r="F570" s="411"/>
      <c r="G570" s="413"/>
      <c r="H570" s="411"/>
      <c r="I570" s="413"/>
      <c r="K570" s="409"/>
      <c r="L570" s="409"/>
      <c r="M570" s="409"/>
      <c r="N570" s="409"/>
    </row>
    <row r="571" spans="1:14" x14ac:dyDescent="0.25">
      <c r="A571" s="413"/>
      <c r="B571" s="411"/>
      <c r="C571" s="413"/>
      <c r="D571" s="411"/>
      <c r="E571" s="413"/>
      <c r="F571" s="411"/>
      <c r="G571" s="413"/>
      <c r="H571" s="411"/>
      <c r="I571" s="413"/>
      <c r="K571" s="409"/>
      <c r="L571" s="409"/>
      <c r="M571" s="409"/>
      <c r="N571" s="409"/>
    </row>
    <row r="572" spans="1:14" x14ac:dyDescent="0.25">
      <c r="A572" s="413"/>
      <c r="B572" s="411"/>
      <c r="C572" s="413"/>
      <c r="D572" s="411"/>
      <c r="E572" s="413"/>
      <c r="F572" s="411"/>
      <c r="G572" s="413"/>
      <c r="H572" s="411"/>
      <c r="I572" s="413"/>
      <c r="K572" s="409"/>
      <c r="L572" s="409"/>
      <c r="M572" s="409"/>
      <c r="N572" s="409"/>
    </row>
    <row r="573" spans="1:14" x14ac:dyDescent="0.25">
      <c r="A573" s="413"/>
      <c r="B573" s="411"/>
      <c r="C573" s="413"/>
      <c r="D573" s="411"/>
      <c r="E573" s="413"/>
      <c r="F573" s="411"/>
      <c r="G573" s="413"/>
      <c r="H573" s="411"/>
      <c r="I573" s="413"/>
      <c r="K573" s="409"/>
      <c r="L573" s="409"/>
      <c r="M573" s="409"/>
      <c r="N573" s="409"/>
    </row>
    <row r="574" spans="1:14" x14ac:dyDescent="0.25">
      <c r="A574" s="413"/>
      <c r="B574" s="411"/>
      <c r="C574" s="413"/>
      <c r="D574" s="411"/>
      <c r="E574" s="413"/>
      <c r="F574" s="411"/>
      <c r="G574" s="413"/>
      <c r="H574" s="411"/>
      <c r="I574" s="413"/>
      <c r="K574" s="409"/>
      <c r="L574" s="409"/>
      <c r="M574" s="409"/>
      <c r="N574" s="409"/>
    </row>
    <row r="575" spans="1:14" x14ac:dyDescent="0.25">
      <c r="A575" s="413"/>
      <c r="B575" s="411"/>
      <c r="C575" s="413"/>
      <c r="D575" s="411"/>
      <c r="E575" s="413"/>
      <c r="F575" s="411"/>
      <c r="G575" s="413"/>
      <c r="H575" s="411"/>
      <c r="I575" s="413"/>
      <c r="K575" s="409"/>
      <c r="L575" s="409"/>
      <c r="M575" s="409"/>
      <c r="N575" s="409"/>
    </row>
    <row r="576" spans="1:14" x14ac:dyDescent="0.25">
      <c r="A576" s="413"/>
      <c r="B576" s="411"/>
      <c r="C576" s="413"/>
      <c r="D576" s="411"/>
      <c r="E576" s="413"/>
      <c r="F576" s="411"/>
      <c r="G576" s="413"/>
      <c r="H576" s="411"/>
      <c r="I576" s="413"/>
      <c r="K576" s="409"/>
      <c r="L576" s="409"/>
      <c r="M576" s="409"/>
      <c r="N576" s="409"/>
    </row>
    <row r="577" spans="1:14" x14ac:dyDescent="0.25">
      <c r="A577" s="413"/>
      <c r="B577" s="411"/>
      <c r="C577" s="408"/>
      <c r="D577" s="411"/>
      <c r="E577" s="408"/>
      <c r="F577" s="411"/>
      <c r="G577" s="408"/>
      <c r="H577" s="411"/>
      <c r="I577" s="408"/>
      <c r="K577" s="409"/>
      <c r="L577" s="409"/>
      <c r="M577" s="409"/>
      <c r="N577" s="409"/>
    </row>
  </sheetData>
  <mergeCells count="100">
    <mergeCell ref="B490:C490"/>
    <mergeCell ref="D490:E490"/>
    <mergeCell ref="F490:G490"/>
    <mergeCell ref="H490:I490"/>
    <mergeCell ref="B511:C511"/>
    <mergeCell ref="D511:E511"/>
    <mergeCell ref="F511:G511"/>
    <mergeCell ref="H511:I511"/>
    <mergeCell ref="B7:C7"/>
    <mergeCell ref="D7:E7"/>
    <mergeCell ref="F7:G7"/>
    <mergeCell ref="H7:I7"/>
    <mergeCell ref="B28:C28"/>
    <mergeCell ref="D28:E28"/>
    <mergeCell ref="F28:G28"/>
    <mergeCell ref="H28:I28"/>
    <mergeCell ref="B49:C49"/>
    <mergeCell ref="D49:E49"/>
    <mergeCell ref="F49:G49"/>
    <mergeCell ref="H49:I49"/>
    <mergeCell ref="B70:C70"/>
    <mergeCell ref="D70:E70"/>
    <mergeCell ref="F70:G70"/>
    <mergeCell ref="H70:I70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9:I484" 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Y1061"/>
  <sheetViews>
    <sheetView showGridLines="0" zoomScale="85" zoomScaleNormal="85" zoomScaleSheetLayoutView="85" workbookViewId="0"/>
  </sheetViews>
  <sheetFormatPr defaultColWidth="6.33203125" defaultRowHeight="13.2" x14ac:dyDescent="0.25"/>
  <cols>
    <col min="1" max="1" width="40.6640625" style="382" customWidth="1"/>
    <col min="2" max="2" width="6.77734375" style="453" customWidth="1"/>
    <col min="3" max="3" width="6.77734375" style="454" customWidth="1"/>
    <col min="4" max="25" width="6.77734375" style="453" customWidth="1"/>
    <col min="26" max="26" width="7.5546875" style="376" customWidth="1"/>
    <col min="27" max="266" width="6.33203125" style="376"/>
    <col min="267" max="267" width="43.5546875" style="376" customWidth="1"/>
    <col min="268" max="268" width="7.5546875" style="376" customWidth="1"/>
    <col min="269" max="270" width="8.44140625" style="376" customWidth="1"/>
    <col min="271" max="271" width="6.6640625" style="376" customWidth="1"/>
    <col min="272" max="273" width="7.5546875" style="376" customWidth="1"/>
    <col min="274" max="275" width="8.44140625" style="376" customWidth="1"/>
    <col min="276" max="276" width="6.6640625" style="376" customWidth="1"/>
    <col min="277" max="278" width="7.5546875" style="376" customWidth="1"/>
    <col min="279" max="280" width="8.44140625" style="376" customWidth="1"/>
    <col min="281" max="281" width="6.6640625" style="376" customWidth="1"/>
    <col min="282" max="282" width="7.5546875" style="376" customWidth="1"/>
    <col min="283" max="522" width="6.33203125" style="376"/>
    <col min="523" max="523" width="43.5546875" style="376" customWidth="1"/>
    <col min="524" max="524" width="7.5546875" style="376" customWidth="1"/>
    <col min="525" max="526" width="8.44140625" style="376" customWidth="1"/>
    <col min="527" max="527" width="6.6640625" style="376" customWidth="1"/>
    <col min="528" max="529" width="7.5546875" style="376" customWidth="1"/>
    <col min="530" max="531" width="8.44140625" style="376" customWidth="1"/>
    <col min="532" max="532" width="6.6640625" style="376" customWidth="1"/>
    <col min="533" max="534" width="7.5546875" style="376" customWidth="1"/>
    <col min="535" max="536" width="8.44140625" style="376" customWidth="1"/>
    <col min="537" max="537" width="6.6640625" style="376" customWidth="1"/>
    <col min="538" max="538" width="7.5546875" style="376" customWidth="1"/>
    <col min="539" max="778" width="6.33203125" style="376"/>
    <col min="779" max="779" width="43.5546875" style="376" customWidth="1"/>
    <col min="780" max="780" width="7.5546875" style="376" customWidth="1"/>
    <col min="781" max="782" width="8.44140625" style="376" customWidth="1"/>
    <col min="783" max="783" width="6.6640625" style="376" customWidth="1"/>
    <col min="784" max="785" width="7.5546875" style="376" customWidth="1"/>
    <col min="786" max="787" width="8.44140625" style="376" customWidth="1"/>
    <col min="788" max="788" width="6.6640625" style="376" customWidth="1"/>
    <col min="789" max="790" width="7.5546875" style="376" customWidth="1"/>
    <col min="791" max="792" width="8.44140625" style="376" customWidth="1"/>
    <col min="793" max="793" width="6.6640625" style="376" customWidth="1"/>
    <col min="794" max="794" width="7.5546875" style="376" customWidth="1"/>
    <col min="795" max="1034" width="6.33203125" style="376"/>
    <col min="1035" max="1035" width="43.5546875" style="376" customWidth="1"/>
    <col min="1036" max="1036" width="7.5546875" style="376" customWidth="1"/>
    <col min="1037" max="1038" width="8.44140625" style="376" customWidth="1"/>
    <col min="1039" max="1039" width="6.6640625" style="376" customWidth="1"/>
    <col min="1040" max="1041" width="7.5546875" style="376" customWidth="1"/>
    <col min="1042" max="1043" width="8.44140625" style="376" customWidth="1"/>
    <col min="1044" max="1044" width="6.6640625" style="376" customWidth="1"/>
    <col min="1045" max="1046" width="7.5546875" style="376" customWidth="1"/>
    <col min="1047" max="1048" width="8.44140625" style="376" customWidth="1"/>
    <col min="1049" max="1049" width="6.6640625" style="376" customWidth="1"/>
    <col min="1050" max="1050" width="7.5546875" style="376" customWidth="1"/>
    <col min="1051" max="1290" width="6.33203125" style="376"/>
    <col min="1291" max="1291" width="43.5546875" style="376" customWidth="1"/>
    <col min="1292" max="1292" width="7.5546875" style="376" customWidth="1"/>
    <col min="1293" max="1294" width="8.44140625" style="376" customWidth="1"/>
    <col min="1295" max="1295" width="6.6640625" style="376" customWidth="1"/>
    <col min="1296" max="1297" width="7.5546875" style="376" customWidth="1"/>
    <col min="1298" max="1299" width="8.44140625" style="376" customWidth="1"/>
    <col min="1300" max="1300" width="6.6640625" style="376" customWidth="1"/>
    <col min="1301" max="1302" width="7.5546875" style="376" customWidth="1"/>
    <col min="1303" max="1304" width="8.44140625" style="376" customWidth="1"/>
    <col min="1305" max="1305" width="6.6640625" style="376" customWidth="1"/>
    <col min="1306" max="1306" width="7.5546875" style="376" customWidth="1"/>
    <col min="1307" max="1546" width="6.33203125" style="376"/>
    <col min="1547" max="1547" width="43.5546875" style="376" customWidth="1"/>
    <col min="1548" max="1548" width="7.5546875" style="376" customWidth="1"/>
    <col min="1549" max="1550" width="8.44140625" style="376" customWidth="1"/>
    <col min="1551" max="1551" width="6.6640625" style="376" customWidth="1"/>
    <col min="1552" max="1553" width="7.5546875" style="376" customWidth="1"/>
    <col min="1554" max="1555" width="8.44140625" style="376" customWidth="1"/>
    <col min="1556" max="1556" width="6.6640625" style="376" customWidth="1"/>
    <col min="1557" max="1558" width="7.5546875" style="376" customWidth="1"/>
    <col min="1559" max="1560" width="8.44140625" style="376" customWidth="1"/>
    <col min="1561" max="1561" width="6.6640625" style="376" customWidth="1"/>
    <col min="1562" max="1562" width="7.5546875" style="376" customWidth="1"/>
    <col min="1563" max="1802" width="6.33203125" style="376"/>
    <col min="1803" max="1803" width="43.5546875" style="376" customWidth="1"/>
    <col min="1804" max="1804" width="7.5546875" style="376" customWidth="1"/>
    <col min="1805" max="1806" width="8.44140625" style="376" customWidth="1"/>
    <col min="1807" max="1807" width="6.6640625" style="376" customWidth="1"/>
    <col min="1808" max="1809" width="7.5546875" style="376" customWidth="1"/>
    <col min="1810" max="1811" width="8.44140625" style="376" customWidth="1"/>
    <col min="1812" max="1812" width="6.6640625" style="376" customWidth="1"/>
    <col min="1813" max="1814" width="7.5546875" style="376" customWidth="1"/>
    <col min="1815" max="1816" width="8.44140625" style="376" customWidth="1"/>
    <col min="1817" max="1817" width="6.6640625" style="376" customWidth="1"/>
    <col min="1818" max="1818" width="7.5546875" style="376" customWidth="1"/>
    <col min="1819" max="2058" width="6.33203125" style="376"/>
    <col min="2059" max="2059" width="43.5546875" style="376" customWidth="1"/>
    <col min="2060" max="2060" width="7.5546875" style="376" customWidth="1"/>
    <col min="2061" max="2062" width="8.44140625" style="376" customWidth="1"/>
    <col min="2063" max="2063" width="6.6640625" style="376" customWidth="1"/>
    <col min="2064" max="2065" width="7.5546875" style="376" customWidth="1"/>
    <col min="2066" max="2067" width="8.44140625" style="376" customWidth="1"/>
    <col min="2068" max="2068" width="6.6640625" style="376" customWidth="1"/>
    <col min="2069" max="2070" width="7.5546875" style="376" customWidth="1"/>
    <col min="2071" max="2072" width="8.44140625" style="376" customWidth="1"/>
    <col min="2073" max="2073" width="6.6640625" style="376" customWidth="1"/>
    <col min="2074" max="2074" width="7.5546875" style="376" customWidth="1"/>
    <col min="2075" max="2314" width="6.33203125" style="376"/>
    <col min="2315" max="2315" width="43.5546875" style="376" customWidth="1"/>
    <col min="2316" max="2316" width="7.5546875" style="376" customWidth="1"/>
    <col min="2317" max="2318" width="8.44140625" style="376" customWidth="1"/>
    <col min="2319" max="2319" width="6.6640625" style="376" customWidth="1"/>
    <col min="2320" max="2321" width="7.5546875" style="376" customWidth="1"/>
    <col min="2322" max="2323" width="8.44140625" style="376" customWidth="1"/>
    <col min="2324" max="2324" width="6.6640625" style="376" customWidth="1"/>
    <col min="2325" max="2326" width="7.5546875" style="376" customWidth="1"/>
    <col min="2327" max="2328" width="8.44140625" style="376" customWidth="1"/>
    <col min="2329" max="2329" width="6.6640625" style="376" customWidth="1"/>
    <col min="2330" max="2330" width="7.5546875" style="376" customWidth="1"/>
    <col min="2331" max="2570" width="6.33203125" style="376"/>
    <col min="2571" max="2571" width="43.5546875" style="376" customWidth="1"/>
    <col min="2572" max="2572" width="7.5546875" style="376" customWidth="1"/>
    <col min="2573" max="2574" width="8.44140625" style="376" customWidth="1"/>
    <col min="2575" max="2575" width="6.6640625" style="376" customWidth="1"/>
    <col min="2576" max="2577" width="7.5546875" style="376" customWidth="1"/>
    <col min="2578" max="2579" width="8.44140625" style="376" customWidth="1"/>
    <col min="2580" max="2580" width="6.6640625" style="376" customWidth="1"/>
    <col min="2581" max="2582" width="7.5546875" style="376" customWidth="1"/>
    <col min="2583" max="2584" width="8.44140625" style="376" customWidth="1"/>
    <col min="2585" max="2585" width="6.6640625" style="376" customWidth="1"/>
    <col min="2586" max="2586" width="7.5546875" style="376" customWidth="1"/>
    <col min="2587" max="2826" width="6.33203125" style="376"/>
    <col min="2827" max="2827" width="43.5546875" style="376" customWidth="1"/>
    <col min="2828" max="2828" width="7.5546875" style="376" customWidth="1"/>
    <col min="2829" max="2830" width="8.44140625" style="376" customWidth="1"/>
    <col min="2831" max="2831" width="6.6640625" style="376" customWidth="1"/>
    <col min="2832" max="2833" width="7.5546875" style="376" customWidth="1"/>
    <col min="2834" max="2835" width="8.44140625" style="376" customWidth="1"/>
    <col min="2836" max="2836" width="6.6640625" style="376" customWidth="1"/>
    <col min="2837" max="2838" width="7.5546875" style="376" customWidth="1"/>
    <col min="2839" max="2840" width="8.44140625" style="376" customWidth="1"/>
    <col min="2841" max="2841" width="6.6640625" style="376" customWidth="1"/>
    <col min="2842" max="2842" width="7.5546875" style="376" customWidth="1"/>
    <col min="2843" max="3082" width="6.33203125" style="376"/>
    <col min="3083" max="3083" width="43.5546875" style="376" customWidth="1"/>
    <col min="3084" max="3084" width="7.5546875" style="376" customWidth="1"/>
    <col min="3085" max="3086" width="8.44140625" style="376" customWidth="1"/>
    <col min="3087" max="3087" width="6.6640625" style="376" customWidth="1"/>
    <col min="3088" max="3089" width="7.5546875" style="376" customWidth="1"/>
    <col min="3090" max="3091" width="8.44140625" style="376" customWidth="1"/>
    <col min="3092" max="3092" width="6.6640625" style="376" customWidth="1"/>
    <col min="3093" max="3094" width="7.5546875" style="376" customWidth="1"/>
    <col min="3095" max="3096" width="8.44140625" style="376" customWidth="1"/>
    <col min="3097" max="3097" width="6.6640625" style="376" customWidth="1"/>
    <col min="3098" max="3098" width="7.5546875" style="376" customWidth="1"/>
    <col min="3099" max="3338" width="6.33203125" style="376"/>
    <col min="3339" max="3339" width="43.5546875" style="376" customWidth="1"/>
    <col min="3340" max="3340" width="7.5546875" style="376" customWidth="1"/>
    <col min="3341" max="3342" width="8.44140625" style="376" customWidth="1"/>
    <col min="3343" max="3343" width="6.6640625" style="376" customWidth="1"/>
    <col min="3344" max="3345" width="7.5546875" style="376" customWidth="1"/>
    <col min="3346" max="3347" width="8.44140625" style="376" customWidth="1"/>
    <col min="3348" max="3348" width="6.6640625" style="376" customWidth="1"/>
    <col min="3349" max="3350" width="7.5546875" style="376" customWidth="1"/>
    <col min="3351" max="3352" width="8.44140625" style="376" customWidth="1"/>
    <col min="3353" max="3353" width="6.6640625" style="376" customWidth="1"/>
    <col min="3354" max="3354" width="7.5546875" style="376" customWidth="1"/>
    <col min="3355" max="3594" width="6.33203125" style="376"/>
    <col min="3595" max="3595" width="43.5546875" style="376" customWidth="1"/>
    <col min="3596" max="3596" width="7.5546875" style="376" customWidth="1"/>
    <col min="3597" max="3598" width="8.44140625" style="376" customWidth="1"/>
    <col min="3599" max="3599" width="6.6640625" style="376" customWidth="1"/>
    <col min="3600" max="3601" width="7.5546875" style="376" customWidth="1"/>
    <col min="3602" max="3603" width="8.44140625" style="376" customWidth="1"/>
    <col min="3604" max="3604" width="6.6640625" style="376" customWidth="1"/>
    <col min="3605" max="3606" width="7.5546875" style="376" customWidth="1"/>
    <col min="3607" max="3608" width="8.44140625" style="376" customWidth="1"/>
    <col min="3609" max="3609" width="6.6640625" style="376" customWidth="1"/>
    <col min="3610" max="3610" width="7.5546875" style="376" customWidth="1"/>
    <col min="3611" max="3850" width="6.33203125" style="376"/>
    <col min="3851" max="3851" width="43.5546875" style="376" customWidth="1"/>
    <col min="3852" max="3852" width="7.5546875" style="376" customWidth="1"/>
    <col min="3853" max="3854" width="8.44140625" style="376" customWidth="1"/>
    <col min="3855" max="3855" width="6.6640625" style="376" customWidth="1"/>
    <col min="3856" max="3857" width="7.5546875" style="376" customWidth="1"/>
    <col min="3858" max="3859" width="8.44140625" style="376" customWidth="1"/>
    <col min="3860" max="3860" width="6.6640625" style="376" customWidth="1"/>
    <col min="3861" max="3862" width="7.5546875" style="376" customWidth="1"/>
    <col min="3863" max="3864" width="8.44140625" style="376" customWidth="1"/>
    <col min="3865" max="3865" width="6.6640625" style="376" customWidth="1"/>
    <col min="3866" max="3866" width="7.5546875" style="376" customWidth="1"/>
    <col min="3867" max="4106" width="6.33203125" style="376"/>
    <col min="4107" max="4107" width="43.5546875" style="376" customWidth="1"/>
    <col min="4108" max="4108" width="7.5546875" style="376" customWidth="1"/>
    <col min="4109" max="4110" width="8.44140625" style="376" customWidth="1"/>
    <col min="4111" max="4111" width="6.6640625" style="376" customWidth="1"/>
    <col min="4112" max="4113" width="7.5546875" style="376" customWidth="1"/>
    <col min="4114" max="4115" width="8.44140625" style="376" customWidth="1"/>
    <col min="4116" max="4116" width="6.6640625" style="376" customWidth="1"/>
    <col min="4117" max="4118" width="7.5546875" style="376" customWidth="1"/>
    <col min="4119" max="4120" width="8.44140625" style="376" customWidth="1"/>
    <col min="4121" max="4121" width="6.6640625" style="376" customWidth="1"/>
    <col min="4122" max="4122" width="7.5546875" style="376" customWidth="1"/>
    <col min="4123" max="4362" width="6.33203125" style="376"/>
    <col min="4363" max="4363" width="43.5546875" style="376" customWidth="1"/>
    <col min="4364" max="4364" width="7.5546875" style="376" customWidth="1"/>
    <col min="4365" max="4366" width="8.44140625" style="376" customWidth="1"/>
    <col min="4367" max="4367" width="6.6640625" style="376" customWidth="1"/>
    <col min="4368" max="4369" width="7.5546875" style="376" customWidth="1"/>
    <col min="4370" max="4371" width="8.44140625" style="376" customWidth="1"/>
    <col min="4372" max="4372" width="6.6640625" style="376" customWidth="1"/>
    <col min="4373" max="4374" width="7.5546875" style="376" customWidth="1"/>
    <col min="4375" max="4376" width="8.44140625" style="376" customWidth="1"/>
    <col min="4377" max="4377" width="6.6640625" style="376" customWidth="1"/>
    <col min="4378" max="4378" width="7.5546875" style="376" customWidth="1"/>
    <col min="4379" max="4618" width="6.33203125" style="376"/>
    <col min="4619" max="4619" width="43.5546875" style="376" customWidth="1"/>
    <col min="4620" max="4620" width="7.5546875" style="376" customWidth="1"/>
    <col min="4621" max="4622" width="8.44140625" style="376" customWidth="1"/>
    <col min="4623" max="4623" width="6.6640625" style="376" customWidth="1"/>
    <col min="4624" max="4625" width="7.5546875" style="376" customWidth="1"/>
    <col min="4626" max="4627" width="8.44140625" style="376" customWidth="1"/>
    <col min="4628" max="4628" width="6.6640625" style="376" customWidth="1"/>
    <col min="4629" max="4630" width="7.5546875" style="376" customWidth="1"/>
    <col min="4631" max="4632" width="8.44140625" style="376" customWidth="1"/>
    <col min="4633" max="4633" width="6.6640625" style="376" customWidth="1"/>
    <col min="4634" max="4634" width="7.5546875" style="376" customWidth="1"/>
    <col min="4635" max="4874" width="6.33203125" style="376"/>
    <col min="4875" max="4875" width="43.5546875" style="376" customWidth="1"/>
    <col min="4876" max="4876" width="7.5546875" style="376" customWidth="1"/>
    <col min="4877" max="4878" width="8.44140625" style="376" customWidth="1"/>
    <col min="4879" max="4879" width="6.6640625" style="376" customWidth="1"/>
    <col min="4880" max="4881" width="7.5546875" style="376" customWidth="1"/>
    <col min="4882" max="4883" width="8.44140625" style="376" customWidth="1"/>
    <col min="4884" max="4884" width="6.6640625" style="376" customWidth="1"/>
    <col min="4885" max="4886" width="7.5546875" style="376" customWidth="1"/>
    <col min="4887" max="4888" width="8.44140625" style="376" customWidth="1"/>
    <col min="4889" max="4889" width="6.6640625" style="376" customWidth="1"/>
    <col min="4890" max="4890" width="7.5546875" style="376" customWidth="1"/>
    <col min="4891" max="5130" width="6.33203125" style="376"/>
    <col min="5131" max="5131" width="43.5546875" style="376" customWidth="1"/>
    <col min="5132" max="5132" width="7.5546875" style="376" customWidth="1"/>
    <col min="5133" max="5134" width="8.44140625" style="376" customWidth="1"/>
    <col min="5135" max="5135" width="6.6640625" style="376" customWidth="1"/>
    <col min="5136" max="5137" width="7.5546875" style="376" customWidth="1"/>
    <col min="5138" max="5139" width="8.44140625" style="376" customWidth="1"/>
    <col min="5140" max="5140" width="6.6640625" style="376" customWidth="1"/>
    <col min="5141" max="5142" width="7.5546875" style="376" customWidth="1"/>
    <col min="5143" max="5144" width="8.44140625" style="376" customWidth="1"/>
    <col min="5145" max="5145" width="6.6640625" style="376" customWidth="1"/>
    <col min="5146" max="5146" width="7.5546875" style="376" customWidth="1"/>
    <col min="5147" max="5386" width="6.33203125" style="376"/>
    <col min="5387" max="5387" width="43.5546875" style="376" customWidth="1"/>
    <col min="5388" max="5388" width="7.5546875" style="376" customWidth="1"/>
    <col min="5389" max="5390" width="8.44140625" style="376" customWidth="1"/>
    <col min="5391" max="5391" width="6.6640625" style="376" customWidth="1"/>
    <col min="5392" max="5393" width="7.5546875" style="376" customWidth="1"/>
    <col min="5394" max="5395" width="8.44140625" style="376" customWidth="1"/>
    <col min="5396" max="5396" width="6.6640625" style="376" customWidth="1"/>
    <col min="5397" max="5398" width="7.5546875" style="376" customWidth="1"/>
    <col min="5399" max="5400" width="8.44140625" style="376" customWidth="1"/>
    <col min="5401" max="5401" width="6.6640625" style="376" customWidth="1"/>
    <col min="5402" max="5402" width="7.5546875" style="376" customWidth="1"/>
    <col min="5403" max="5642" width="6.33203125" style="376"/>
    <col min="5643" max="5643" width="43.5546875" style="376" customWidth="1"/>
    <col min="5644" max="5644" width="7.5546875" style="376" customWidth="1"/>
    <col min="5645" max="5646" width="8.44140625" style="376" customWidth="1"/>
    <col min="5647" max="5647" width="6.6640625" style="376" customWidth="1"/>
    <col min="5648" max="5649" width="7.5546875" style="376" customWidth="1"/>
    <col min="5650" max="5651" width="8.44140625" style="376" customWidth="1"/>
    <col min="5652" max="5652" width="6.6640625" style="376" customWidth="1"/>
    <col min="5653" max="5654" width="7.5546875" style="376" customWidth="1"/>
    <col min="5655" max="5656" width="8.44140625" style="376" customWidth="1"/>
    <col min="5657" max="5657" width="6.6640625" style="376" customWidth="1"/>
    <col min="5658" max="5658" width="7.5546875" style="376" customWidth="1"/>
    <col min="5659" max="5898" width="6.33203125" style="376"/>
    <col min="5899" max="5899" width="43.5546875" style="376" customWidth="1"/>
    <col min="5900" max="5900" width="7.5546875" style="376" customWidth="1"/>
    <col min="5901" max="5902" width="8.44140625" style="376" customWidth="1"/>
    <col min="5903" max="5903" width="6.6640625" style="376" customWidth="1"/>
    <col min="5904" max="5905" width="7.5546875" style="376" customWidth="1"/>
    <col min="5906" max="5907" width="8.44140625" style="376" customWidth="1"/>
    <col min="5908" max="5908" width="6.6640625" style="376" customWidth="1"/>
    <col min="5909" max="5910" width="7.5546875" style="376" customWidth="1"/>
    <col min="5911" max="5912" width="8.44140625" style="376" customWidth="1"/>
    <col min="5913" max="5913" width="6.6640625" style="376" customWidth="1"/>
    <col min="5914" max="5914" width="7.5546875" style="376" customWidth="1"/>
    <col min="5915" max="6154" width="6.33203125" style="376"/>
    <col min="6155" max="6155" width="43.5546875" style="376" customWidth="1"/>
    <col min="6156" max="6156" width="7.5546875" style="376" customWidth="1"/>
    <col min="6157" max="6158" width="8.44140625" style="376" customWidth="1"/>
    <col min="6159" max="6159" width="6.6640625" style="376" customWidth="1"/>
    <col min="6160" max="6161" width="7.5546875" style="376" customWidth="1"/>
    <col min="6162" max="6163" width="8.44140625" style="376" customWidth="1"/>
    <col min="6164" max="6164" width="6.6640625" style="376" customWidth="1"/>
    <col min="6165" max="6166" width="7.5546875" style="376" customWidth="1"/>
    <col min="6167" max="6168" width="8.44140625" style="376" customWidth="1"/>
    <col min="6169" max="6169" width="6.6640625" style="376" customWidth="1"/>
    <col min="6170" max="6170" width="7.5546875" style="376" customWidth="1"/>
    <col min="6171" max="6410" width="6.33203125" style="376"/>
    <col min="6411" max="6411" width="43.5546875" style="376" customWidth="1"/>
    <col min="6412" max="6412" width="7.5546875" style="376" customWidth="1"/>
    <col min="6413" max="6414" width="8.44140625" style="376" customWidth="1"/>
    <col min="6415" max="6415" width="6.6640625" style="376" customWidth="1"/>
    <col min="6416" max="6417" width="7.5546875" style="376" customWidth="1"/>
    <col min="6418" max="6419" width="8.44140625" style="376" customWidth="1"/>
    <col min="6420" max="6420" width="6.6640625" style="376" customWidth="1"/>
    <col min="6421" max="6422" width="7.5546875" style="376" customWidth="1"/>
    <col min="6423" max="6424" width="8.44140625" style="376" customWidth="1"/>
    <col min="6425" max="6425" width="6.6640625" style="376" customWidth="1"/>
    <col min="6426" max="6426" width="7.5546875" style="376" customWidth="1"/>
    <col min="6427" max="6666" width="6.33203125" style="376"/>
    <col min="6667" max="6667" width="43.5546875" style="376" customWidth="1"/>
    <col min="6668" max="6668" width="7.5546875" style="376" customWidth="1"/>
    <col min="6669" max="6670" width="8.44140625" style="376" customWidth="1"/>
    <col min="6671" max="6671" width="6.6640625" style="376" customWidth="1"/>
    <col min="6672" max="6673" width="7.5546875" style="376" customWidth="1"/>
    <col min="6674" max="6675" width="8.44140625" style="376" customWidth="1"/>
    <col min="6676" max="6676" width="6.6640625" style="376" customWidth="1"/>
    <col min="6677" max="6678" width="7.5546875" style="376" customWidth="1"/>
    <col min="6679" max="6680" width="8.44140625" style="376" customWidth="1"/>
    <col min="6681" max="6681" width="6.6640625" style="376" customWidth="1"/>
    <col min="6682" max="6682" width="7.5546875" style="376" customWidth="1"/>
    <col min="6683" max="6922" width="6.33203125" style="376"/>
    <col min="6923" max="6923" width="43.5546875" style="376" customWidth="1"/>
    <col min="6924" max="6924" width="7.5546875" style="376" customWidth="1"/>
    <col min="6925" max="6926" width="8.44140625" style="376" customWidth="1"/>
    <col min="6927" max="6927" width="6.6640625" style="376" customWidth="1"/>
    <col min="6928" max="6929" width="7.5546875" style="376" customWidth="1"/>
    <col min="6930" max="6931" width="8.44140625" style="376" customWidth="1"/>
    <col min="6932" max="6932" width="6.6640625" style="376" customWidth="1"/>
    <col min="6933" max="6934" width="7.5546875" style="376" customWidth="1"/>
    <col min="6935" max="6936" width="8.44140625" style="376" customWidth="1"/>
    <col min="6937" max="6937" width="6.6640625" style="376" customWidth="1"/>
    <col min="6938" max="6938" width="7.5546875" style="376" customWidth="1"/>
    <col min="6939" max="7178" width="6.33203125" style="376"/>
    <col min="7179" max="7179" width="43.5546875" style="376" customWidth="1"/>
    <col min="7180" max="7180" width="7.5546875" style="376" customWidth="1"/>
    <col min="7181" max="7182" width="8.44140625" style="376" customWidth="1"/>
    <col min="7183" max="7183" width="6.6640625" style="376" customWidth="1"/>
    <col min="7184" max="7185" width="7.5546875" style="376" customWidth="1"/>
    <col min="7186" max="7187" width="8.44140625" style="376" customWidth="1"/>
    <col min="7188" max="7188" width="6.6640625" style="376" customWidth="1"/>
    <col min="7189" max="7190" width="7.5546875" style="376" customWidth="1"/>
    <col min="7191" max="7192" width="8.44140625" style="376" customWidth="1"/>
    <col min="7193" max="7193" width="6.6640625" style="376" customWidth="1"/>
    <col min="7194" max="7194" width="7.5546875" style="376" customWidth="1"/>
    <col min="7195" max="7434" width="6.33203125" style="376"/>
    <col min="7435" max="7435" width="43.5546875" style="376" customWidth="1"/>
    <col min="7436" max="7436" width="7.5546875" style="376" customWidth="1"/>
    <col min="7437" max="7438" width="8.44140625" style="376" customWidth="1"/>
    <col min="7439" max="7439" width="6.6640625" style="376" customWidth="1"/>
    <col min="7440" max="7441" width="7.5546875" style="376" customWidth="1"/>
    <col min="7442" max="7443" width="8.44140625" style="376" customWidth="1"/>
    <col min="7444" max="7444" width="6.6640625" style="376" customWidth="1"/>
    <col min="7445" max="7446" width="7.5546875" style="376" customWidth="1"/>
    <col min="7447" max="7448" width="8.44140625" style="376" customWidth="1"/>
    <col min="7449" max="7449" width="6.6640625" style="376" customWidth="1"/>
    <col min="7450" max="7450" width="7.5546875" style="376" customWidth="1"/>
    <col min="7451" max="7690" width="6.33203125" style="376"/>
    <col min="7691" max="7691" width="43.5546875" style="376" customWidth="1"/>
    <col min="7692" max="7692" width="7.5546875" style="376" customWidth="1"/>
    <col min="7693" max="7694" width="8.44140625" style="376" customWidth="1"/>
    <col min="7695" max="7695" width="6.6640625" style="376" customWidth="1"/>
    <col min="7696" max="7697" width="7.5546875" style="376" customWidth="1"/>
    <col min="7698" max="7699" width="8.44140625" style="376" customWidth="1"/>
    <col min="7700" max="7700" width="6.6640625" style="376" customWidth="1"/>
    <col min="7701" max="7702" width="7.5546875" style="376" customWidth="1"/>
    <col min="7703" max="7704" width="8.44140625" style="376" customWidth="1"/>
    <col min="7705" max="7705" width="6.6640625" style="376" customWidth="1"/>
    <col min="7706" max="7706" width="7.5546875" style="376" customWidth="1"/>
    <col min="7707" max="7946" width="6.33203125" style="376"/>
    <col min="7947" max="7947" width="43.5546875" style="376" customWidth="1"/>
    <col min="7948" max="7948" width="7.5546875" style="376" customWidth="1"/>
    <col min="7949" max="7950" width="8.44140625" style="376" customWidth="1"/>
    <col min="7951" max="7951" width="6.6640625" style="376" customWidth="1"/>
    <col min="7952" max="7953" width="7.5546875" style="376" customWidth="1"/>
    <col min="7954" max="7955" width="8.44140625" style="376" customWidth="1"/>
    <col min="7956" max="7956" width="6.6640625" style="376" customWidth="1"/>
    <col min="7957" max="7958" width="7.5546875" style="376" customWidth="1"/>
    <col min="7959" max="7960" width="8.44140625" style="376" customWidth="1"/>
    <col min="7961" max="7961" width="6.6640625" style="376" customWidth="1"/>
    <col min="7962" max="7962" width="7.5546875" style="376" customWidth="1"/>
    <col min="7963" max="8202" width="6.33203125" style="376"/>
    <col min="8203" max="8203" width="43.5546875" style="376" customWidth="1"/>
    <col min="8204" max="8204" width="7.5546875" style="376" customWidth="1"/>
    <col min="8205" max="8206" width="8.44140625" style="376" customWidth="1"/>
    <col min="8207" max="8207" width="6.6640625" style="376" customWidth="1"/>
    <col min="8208" max="8209" width="7.5546875" style="376" customWidth="1"/>
    <col min="8210" max="8211" width="8.44140625" style="376" customWidth="1"/>
    <col min="8212" max="8212" width="6.6640625" style="376" customWidth="1"/>
    <col min="8213" max="8214" width="7.5546875" style="376" customWidth="1"/>
    <col min="8215" max="8216" width="8.44140625" style="376" customWidth="1"/>
    <col min="8217" max="8217" width="6.6640625" style="376" customWidth="1"/>
    <col min="8218" max="8218" width="7.5546875" style="376" customWidth="1"/>
    <col min="8219" max="8458" width="6.33203125" style="376"/>
    <col min="8459" max="8459" width="43.5546875" style="376" customWidth="1"/>
    <col min="8460" max="8460" width="7.5546875" style="376" customWidth="1"/>
    <col min="8461" max="8462" width="8.44140625" style="376" customWidth="1"/>
    <col min="8463" max="8463" width="6.6640625" style="376" customWidth="1"/>
    <col min="8464" max="8465" width="7.5546875" style="376" customWidth="1"/>
    <col min="8466" max="8467" width="8.44140625" style="376" customWidth="1"/>
    <col min="8468" max="8468" width="6.6640625" style="376" customWidth="1"/>
    <col min="8469" max="8470" width="7.5546875" style="376" customWidth="1"/>
    <col min="8471" max="8472" width="8.44140625" style="376" customWidth="1"/>
    <col min="8473" max="8473" width="6.6640625" style="376" customWidth="1"/>
    <col min="8474" max="8474" width="7.5546875" style="376" customWidth="1"/>
    <col min="8475" max="8714" width="6.33203125" style="376"/>
    <col min="8715" max="8715" width="43.5546875" style="376" customWidth="1"/>
    <col min="8716" max="8716" width="7.5546875" style="376" customWidth="1"/>
    <col min="8717" max="8718" width="8.44140625" style="376" customWidth="1"/>
    <col min="8719" max="8719" width="6.6640625" style="376" customWidth="1"/>
    <col min="8720" max="8721" width="7.5546875" style="376" customWidth="1"/>
    <col min="8722" max="8723" width="8.44140625" style="376" customWidth="1"/>
    <col min="8724" max="8724" width="6.6640625" style="376" customWidth="1"/>
    <col min="8725" max="8726" width="7.5546875" style="376" customWidth="1"/>
    <col min="8727" max="8728" width="8.44140625" style="376" customWidth="1"/>
    <col min="8729" max="8729" width="6.6640625" style="376" customWidth="1"/>
    <col min="8730" max="8730" width="7.5546875" style="376" customWidth="1"/>
    <col min="8731" max="8970" width="6.33203125" style="376"/>
    <col min="8971" max="8971" width="43.5546875" style="376" customWidth="1"/>
    <col min="8972" max="8972" width="7.5546875" style="376" customWidth="1"/>
    <col min="8973" max="8974" width="8.44140625" style="376" customWidth="1"/>
    <col min="8975" max="8975" width="6.6640625" style="376" customWidth="1"/>
    <col min="8976" max="8977" width="7.5546875" style="376" customWidth="1"/>
    <col min="8978" max="8979" width="8.44140625" style="376" customWidth="1"/>
    <col min="8980" max="8980" width="6.6640625" style="376" customWidth="1"/>
    <col min="8981" max="8982" width="7.5546875" style="376" customWidth="1"/>
    <col min="8983" max="8984" width="8.44140625" style="376" customWidth="1"/>
    <col min="8985" max="8985" width="6.6640625" style="376" customWidth="1"/>
    <col min="8986" max="8986" width="7.5546875" style="376" customWidth="1"/>
    <col min="8987" max="9226" width="6.33203125" style="376"/>
    <col min="9227" max="9227" width="43.5546875" style="376" customWidth="1"/>
    <col min="9228" max="9228" width="7.5546875" style="376" customWidth="1"/>
    <col min="9229" max="9230" width="8.44140625" style="376" customWidth="1"/>
    <col min="9231" max="9231" width="6.6640625" style="376" customWidth="1"/>
    <col min="9232" max="9233" width="7.5546875" style="376" customWidth="1"/>
    <col min="9234" max="9235" width="8.44140625" style="376" customWidth="1"/>
    <col min="9236" max="9236" width="6.6640625" style="376" customWidth="1"/>
    <col min="9237" max="9238" width="7.5546875" style="376" customWidth="1"/>
    <col min="9239" max="9240" width="8.44140625" style="376" customWidth="1"/>
    <col min="9241" max="9241" width="6.6640625" style="376" customWidth="1"/>
    <col min="9242" max="9242" width="7.5546875" style="376" customWidth="1"/>
    <col min="9243" max="9482" width="6.33203125" style="376"/>
    <col min="9483" max="9483" width="43.5546875" style="376" customWidth="1"/>
    <col min="9484" max="9484" width="7.5546875" style="376" customWidth="1"/>
    <col min="9485" max="9486" width="8.44140625" style="376" customWidth="1"/>
    <col min="9487" max="9487" width="6.6640625" style="376" customWidth="1"/>
    <col min="9488" max="9489" width="7.5546875" style="376" customWidth="1"/>
    <col min="9490" max="9491" width="8.44140625" style="376" customWidth="1"/>
    <col min="9492" max="9492" width="6.6640625" style="376" customWidth="1"/>
    <col min="9493" max="9494" width="7.5546875" style="376" customWidth="1"/>
    <col min="9495" max="9496" width="8.44140625" style="376" customWidth="1"/>
    <col min="9497" max="9497" width="6.6640625" style="376" customWidth="1"/>
    <col min="9498" max="9498" width="7.5546875" style="376" customWidth="1"/>
    <col min="9499" max="9738" width="6.33203125" style="376"/>
    <col min="9739" max="9739" width="43.5546875" style="376" customWidth="1"/>
    <col min="9740" max="9740" width="7.5546875" style="376" customWidth="1"/>
    <col min="9741" max="9742" width="8.44140625" style="376" customWidth="1"/>
    <col min="9743" max="9743" width="6.6640625" style="376" customWidth="1"/>
    <col min="9744" max="9745" width="7.5546875" style="376" customWidth="1"/>
    <col min="9746" max="9747" width="8.44140625" style="376" customWidth="1"/>
    <col min="9748" max="9748" width="6.6640625" style="376" customWidth="1"/>
    <col min="9749" max="9750" width="7.5546875" style="376" customWidth="1"/>
    <col min="9751" max="9752" width="8.44140625" style="376" customWidth="1"/>
    <col min="9753" max="9753" width="6.6640625" style="376" customWidth="1"/>
    <col min="9754" max="9754" width="7.5546875" style="376" customWidth="1"/>
    <col min="9755" max="9994" width="6.33203125" style="376"/>
    <col min="9995" max="9995" width="43.5546875" style="376" customWidth="1"/>
    <col min="9996" max="9996" width="7.5546875" style="376" customWidth="1"/>
    <col min="9997" max="9998" width="8.44140625" style="376" customWidth="1"/>
    <col min="9999" max="9999" width="6.6640625" style="376" customWidth="1"/>
    <col min="10000" max="10001" width="7.5546875" style="376" customWidth="1"/>
    <col min="10002" max="10003" width="8.44140625" style="376" customWidth="1"/>
    <col min="10004" max="10004" width="6.6640625" style="376" customWidth="1"/>
    <col min="10005" max="10006" width="7.5546875" style="376" customWidth="1"/>
    <col min="10007" max="10008" width="8.44140625" style="376" customWidth="1"/>
    <col min="10009" max="10009" width="6.6640625" style="376" customWidth="1"/>
    <col min="10010" max="10010" width="7.5546875" style="376" customWidth="1"/>
    <col min="10011" max="10250" width="6.33203125" style="376"/>
    <col min="10251" max="10251" width="43.5546875" style="376" customWidth="1"/>
    <col min="10252" max="10252" width="7.5546875" style="376" customWidth="1"/>
    <col min="10253" max="10254" width="8.44140625" style="376" customWidth="1"/>
    <col min="10255" max="10255" width="6.6640625" style="376" customWidth="1"/>
    <col min="10256" max="10257" width="7.5546875" style="376" customWidth="1"/>
    <col min="10258" max="10259" width="8.44140625" style="376" customWidth="1"/>
    <col min="10260" max="10260" width="6.6640625" style="376" customWidth="1"/>
    <col min="10261" max="10262" width="7.5546875" style="376" customWidth="1"/>
    <col min="10263" max="10264" width="8.44140625" style="376" customWidth="1"/>
    <col min="10265" max="10265" width="6.6640625" style="376" customWidth="1"/>
    <col min="10266" max="10266" width="7.5546875" style="376" customWidth="1"/>
    <col min="10267" max="10506" width="6.33203125" style="376"/>
    <col min="10507" max="10507" width="43.5546875" style="376" customWidth="1"/>
    <col min="10508" max="10508" width="7.5546875" style="376" customWidth="1"/>
    <col min="10509" max="10510" width="8.44140625" style="376" customWidth="1"/>
    <col min="10511" max="10511" width="6.6640625" style="376" customWidth="1"/>
    <col min="10512" max="10513" width="7.5546875" style="376" customWidth="1"/>
    <col min="10514" max="10515" width="8.44140625" style="376" customWidth="1"/>
    <col min="10516" max="10516" width="6.6640625" style="376" customWidth="1"/>
    <col min="10517" max="10518" width="7.5546875" style="376" customWidth="1"/>
    <col min="10519" max="10520" width="8.44140625" style="376" customWidth="1"/>
    <col min="10521" max="10521" width="6.6640625" style="376" customWidth="1"/>
    <col min="10522" max="10522" width="7.5546875" style="376" customWidth="1"/>
    <col min="10523" max="10762" width="6.33203125" style="376"/>
    <col min="10763" max="10763" width="43.5546875" style="376" customWidth="1"/>
    <col min="10764" max="10764" width="7.5546875" style="376" customWidth="1"/>
    <col min="10765" max="10766" width="8.44140625" style="376" customWidth="1"/>
    <col min="10767" max="10767" width="6.6640625" style="376" customWidth="1"/>
    <col min="10768" max="10769" width="7.5546875" style="376" customWidth="1"/>
    <col min="10770" max="10771" width="8.44140625" style="376" customWidth="1"/>
    <col min="10772" max="10772" width="6.6640625" style="376" customWidth="1"/>
    <col min="10773" max="10774" width="7.5546875" style="376" customWidth="1"/>
    <col min="10775" max="10776" width="8.44140625" style="376" customWidth="1"/>
    <col min="10777" max="10777" width="6.6640625" style="376" customWidth="1"/>
    <col min="10778" max="10778" width="7.5546875" style="376" customWidth="1"/>
    <col min="10779" max="11018" width="6.33203125" style="376"/>
    <col min="11019" max="11019" width="43.5546875" style="376" customWidth="1"/>
    <col min="11020" max="11020" width="7.5546875" style="376" customWidth="1"/>
    <col min="11021" max="11022" width="8.44140625" style="376" customWidth="1"/>
    <col min="11023" max="11023" width="6.6640625" style="376" customWidth="1"/>
    <col min="11024" max="11025" width="7.5546875" style="376" customWidth="1"/>
    <col min="11026" max="11027" width="8.44140625" style="376" customWidth="1"/>
    <col min="11028" max="11028" width="6.6640625" style="376" customWidth="1"/>
    <col min="11029" max="11030" width="7.5546875" style="376" customWidth="1"/>
    <col min="11031" max="11032" width="8.44140625" style="376" customWidth="1"/>
    <col min="11033" max="11033" width="6.6640625" style="376" customWidth="1"/>
    <col min="11034" max="11034" width="7.5546875" style="376" customWidth="1"/>
    <col min="11035" max="11274" width="6.33203125" style="376"/>
    <col min="11275" max="11275" width="43.5546875" style="376" customWidth="1"/>
    <col min="11276" max="11276" width="7.5546875" style="376" customWidth="1"/>
    <col min="11277" max="11278" width="8.44140625" style="376" customWidth="1"/>
    <col min="11279" max="11279" width="6.6640625" style="376" customWidth="1"/>
    <col min="11280" max="11281" width="7.5546875" style="376" customWidth="1"/>
    <col min="11282" max="11283" width="8.44140625" style="376" customWidth="1"/>
    <col min="11284" max="11284" width="6.6640625" style="376" customWidth="1"/>
    <col min="11285" max="11286" width="7.5546875" style="376" customWidth="1"/>
    <col min="11287" max="11288" width="8.44140625" style="376" customWidth="1"/>
    <col min="11289" max="11289" width="6.6640625" style="376" customWidth="1"/>
    <col min="11290" max="11290" width="7.5546875" style="376" customWidth="1"/>
    <col min="11291" max="11530" width="6.33203125" style="376"/>
    <col min="11531" max="11531" width="43.5546875" style="376" customWidth="1"/>
    <col min="11532" max="11532" width="7.5546875" style="376" customWidth="1"/>
    <col min="11533" max="11534" width="8.44140625" style="376" customWidth="1"/>
    <col min="11535" max="11535" width="6.6640625" style="376" customWidth="1"/>
    <col min="11536" max="11537" width="7.5546875" style="376" customWidth="1"/>
    <col min="11538" max="11539" width="8.44140625" style="376" customWidth="1"/>
    <col min="11540" max="11540" width="6.6640625" style="376" customWidth="1"/>
    <col min="11541" max="11542" width="7.5546875" style="376" customWidth="1"/>
    <col min="11543" max="11544" width="8.44140625" style="376" customWidth="1"/>
    <col min="11545" max="11545" width="6.6640625" style="376" customWidth="1"/>
    <col min="11546" max="11546" width="7.5546875" style="376" customWidth="1"/>
    <col min="11547" max="11786" width="6.33203125" style="376"/>
    <col min="11787" max="11787" width="43.5546875" style="376" customWidth="1"/>
    <col min="11788" max="11788" width="7.5546875" style="376" customWidth="1"/>
    <col min="11789" max="11790" width="8.44140625" style="376" customWidth="1"/>
    <col min="11791" max="11791" width="6.6640625" style="376" customWidth="1"/>
    <col min="11792" max="11793" width="7.5546875" style="376" customWidth="1"/>
    <col min="11794" max="11795" width="8.44140625" style="376" customWidth="1"/>
    <col min="11796" max="11796" width="6.6640625" style="376" customWidth="1"/>
    <col min="11797" max="11798" width="7.5546875" style="376" customWidth="1"/>
    <col min="11799" max="11800" width="8.44140625" style="376" customWidth="1"/>
    <col min="11801" max="11801" width="6.6640625" style="376" customWidth="1"/>
    <col min="11802" max="11802" width="7.5546875" style="376" customWidth="1"/>
    <col min="11803" max="12042" width="6.33203125" style="376"/>
    <col min="12043" max="12043" width="43.5546875" style="376" customWidth="1"/>
    <col min="12044" max="12044" width="7.5546875" style="376" customWidth="1"/>
    <col min="12045" max="12046" width="8.44140625" style="376" customWidth="1"/>
    <col min="12047" max="12047" width="6.6640625" style="376" customWidth="1"/>
    <col min="12048" max="12049" width="7.5546875" style="376" customWidth="1"/>
    <col min="12050" max="12051" width="8.44140625" style="376" customWidth="1"/>
    <col min="12052" max="12052" width="6.6640625" style="376" customWidth="1"/>
    <col min="12053" max="12054" width="7.5546875" style="376" customWidth="1"/>
    <col min="12055" max="12056" width="8.44140625" style="376" customWidth="1"/>
    <col min="12057" max="12057" width="6.6640625" style="376" customWidth="1"/>
    <col min="12058" max="12058" width="7.5546875" style="376" customWidth="1"/>
    <col min="12059" max="12298" width="6.33203125" style="376"/>
    <col min="12299" max="12299" width="43.5546875" style="376" customWidth="1"/>
    <col min="12300" max="12300" width="7.5546875" style="376" customWidth="1"/>
    <col min="12301" max="12302" width="8.44140625" style="376" customWidth="1"/>
    <col min="12303" max="12303" width="6.6640625" style="376" customWidth="1"/>
    <col min="12304" max="12305" width="7.5546875" style="376" customWidth="1"/>
    <col min="12306" max="12307" width="8.44140625" style="376" customWidth="1"/>
    <col min="12308" max="12308" width="6.6640625" style="376" customWidth="1"/>
    <col min="12309" max="12310" width="7.5546875" style="376" customWidth="1"/>
    <col min="12311" max="12312" width="8.44140625" style="376" customWidth="1"/>
    <col min="12313" max="12313" width="6.6640625" style="376" customWidth="1"/>
    <col min="12314" max="12314" width="7.5546875" style="376" customWidth="1"/>
    <col min="12315" max="12554" width="6.33203125" style="376"/>
    <col min="12555" max="12555" width="43.5546875" style="376" customWidth="1"/>
    <col min="12556" max="12556" width="7.5546875" style="376" customWidth="1"/>
    <col min="12557" max="12558" width="8.44140625" style="376" customWidth="1"/>
    <col min="12559" max="12559" width="6.6640625" style="376" customWidth="1"/>
    <col min="12560" max="12561" width="7.5546875" style="376" customWidth="1"/>
    <col min="12562" max="12563" width="8.44140625" style="376" customWidth="1"/>
    <col min="12564" max="12564" width="6.6640625" style="376" customWidth="1"/>
    <col min="12565" max="12566" width="7.5546875" style="376" customWidth="1"/>
    <col min="12567" max="12568" width="8.44140625" style="376" customWidth="1"/>
    <col min="12569" max="12569" width="6.6640625" style="376" customWidth="1"/>
    <col min="12570" max="12570" width="7.5546875" style="376" customWidth="1"/>
    <col min="12571" max="12810" width="6.33203125" style="376"/>
    <col min="12811" max="12811" width="43.5546875" style="376" customWidth="1"/>
    <col min="12812" max="12812" width="7.5546875" style="376" customWidth="1"/>
    <col min="12813" max="12814" width="8.44140625" style="376" customWidth="1"/>
    <col min="12815" max="12815" width="6.6640625" style="376" customWidth="1"/>
    <col min="12816" max="12817" width="7.5546875" style="376" customWidth="1"/>
    <col min="12818" max="12819" width="8.44140625" style="376" customWidth="1"/>
    <col min="12820" max="12820" width="6.6640625" style="376" customWidth="1"/>
    <col min="12821" max="12822" width="7.5546875" style="376" customWidth="1"/>
    <col min="12823" max="12824" width="8.44140625" style="376" customWidth="1"/>
    <col min="12825" max="12825" width="6.6640625" style="376" customWidth="1"/>
    <col min="12826" max="12826" width="7.5546875" style="376" customWidth="1"/>
    <col min="12827" max="13066" width="6.33203125" style="376"/>
    <col min="13067" max="13067" width="43.5546875" style="376" customWidth="1"/>
    <col min="13068" max="13068" width="7.5546875" style="376" customWidth="1"/>
    <col min="13069" max="13070" width="8.44140625" style="376" customWidth="1"/>
    <col min="13071" max="13071" width="6.6640625" style="376" customWidth="1"/>
    <col min="13072" max="13073" width="7.5546875" style="376" customWidth="1"/>
    <col min="13074" max="13075" width="8.44140625" style="376" customWidth="1"/>
    <col min="13076" max="13076" width="6.6640625" style="376" customWidth="1"/>
    <col min="13077" max="13078" width="7.5546875" style="376" customWidth="1"/>
    <col min="13079" max="13080" width="8.44140625" style="376" customWidth="1"/>
    <col min="13081" max="13081" width="6.6640625" style="376" customWidth="1"/>
    <col min="13082" max="13082" width="7.5546875" style="376" customWidth="1"/>
    <col min="13083" max="13322" width="6.33203125" style="376"/>
    <col min="13323" max="13323" width="43.5546875" style="376" customWidth="1"/>
    <col min="13324" max="13324" width="7.5546875" style="376" customWidth="1"/>
    <col min="13325" max="13326" width="8.44140625" style="376" customWidth="1"/>
    <col min="13327" max="13327" width="6.6640625" style="376" customWidth="1"/>
    <col min="13328" max="13329" width="7.5546875" style="376" customWidth="1"/>
    <col min="13330" max="13331" width="8.44140625" style="376" customWidth="1"/>
    <col min="13332" max="13332" width="6.6640625" style="376" customWidth="1"/>
    <col min="13333" max="13334" width="7.5546875" style="376" customWidth="1"/>
    <col min="13335" max="13336" width="8.44140625" style="376" customWidth="1"/>
    <col min="13337" max="13337" width="6.6640625" style="376" customWidth="1"/>
    <col min="13338" max="13338" width="7.5546875" style="376" customWidth="1"/>
    <col min="13339" max="13578" width="6.33203125" style="376"/>
    <col min="13579" max="13579" width="43.5546875" style="376" customWidth="1"/>
    <col min="13580" max="13580" width="7.5546875" style="376" customWidth="1"/>
    <col min="13581" max="13582" width="8.44140625" style="376" customWidth="1"/>
    <col min="13583" max="13583" width="6.6640625" style="376" customWidth="1"/>
    <col min="13584" max="13585" width="7.5546875" style="376" customWidth="1"/>
    <col min="13586" max="13587" width="8.44140625" style="376" customWidth="1"/>
    <col min="13588" max="13588" width="6.6640625" style="376" customWidth="1"/>
    <col min="13589" max="13590" width="7.5546875" style="376" customWidth="1"/>
    <col min="13591" max="13592" width="8.44140625" style="376" customWidth="1"/>
    <col min="13593" max="13593" width="6.6640625" style="376" customWidth="1"/>
    <col min="13594" max="13594" width="7.5546875" style="376" customWidth="1"/>
    <col min="13595" max="13834" width="6.33203125" style="376"/>
    <col min="13835" max="13835" width="43.5546875" style="376" customWidth="1"/>
    <col min="13836" max="13836" width="7.5546875" style="376" customWidth="1"/>
    <col min="13837" max="13838" width="8.44140625" style="376" customWidth="1"/>
    <col min="13839" max="13839" width="6.6640625" style="376" customWidth="1"/>
    <col min="13840" max="13841" width="7.5546875" style="376" customWidth="1"/>
    <col min="13842" max="13843" width="8.44140625" style="376" customWidth="1"/>
    <col min="13844" max="13844" width="6.6640625" style="376" customWidth="1"/>
    <col min="13845" max="13846" width="7.5546875" style="376" customWidth="1"/>
    <col min="13847" max="13848" width="8.44140625" style="376" customWidth="1"/>
    <col min="13849" max="13849" width="6.6640625" style="376" customWidth="1"/>
    <col min="13850" max="13850" width="7.5546875" style="376" customWidth="1"/>
    <col min="13851" max="14090" width="6.33203125" style="376"/>
    <col min="14091" max="14091" width="43.5546875" style="376" customWidth="1"/>
    <col min="14092" max="14092" width="7.5546875" style="376" customWidth="1"/>
    <col min="14093" max="14094" width="8.44140625" style="376" customWidth="1"/>
    <col min="14095" max="14095" width="6.6640625" style="376" customWidth="1"/>
    <col min="14096" max="14097" width="7.5546875" style="376" customWidth="1"/>
    <col min="14098" max="14099" width="8.44140625" style="376" customWidth="1"/>
    <col min="14100" max="14100" width="6.6640625" style="376" customWidth="1"/>
    <col min="14101" max="14102" width="7.5546875" style="376" customWidth="1"/>
    <col min="14103" max="14104" width="8.44140625" style="376" customWidth="1"/>
    <col min="14105" max="14105" width="6.6640625" style="376" customWidth="1"/>
    <col min="14106" max="14106" width="7.5546875" style="376" customWidth="1"/>
    <col min="14107" max="14346" width="6.33203125" style="376"/>
    <col min="14347" max="14347" width="43.5546875" style="376" customWidth="1"/>
    <col min="14348" max="14348" width="7.5546875" style="376" customWidth="1"/>
    <col min="14349" max="14350" width="8.44140625" style="376" customWidth="1"/>
    <col min="14351" max="14351" width="6.6640625" style="376" customWidth="1"/>
    <col min="14352" max="14353" width="7.5546875" style="376" customWidth="1"/>
    <col min="14354" max="14355" width="8.44140625" style="376" customWidth="1"/>
    <col min="14356" max="14356" width="6.6640625" style="376" customWidth="1"/>
    <col min="14357" max="14358" width="7.5546875" style="376" customWidth="1"/>
    <col min="14359" max="14360" width="8.44140625" style="376" customWidth="1"/>
    <col min="14361" max="14361" width="6.6640625" style="376" customWidth="1"/>
    <col min="14362" max="14362" width="7.5546875" style="376" customWidth="1"/>
    <col min="14363" max="14602" width="6.33203125" style="376"/>
    <col min="14603" max="14603" width="43.5546875" style="376" customWidth="1"/>
    <col min="14604" max="14604" width="7.5546875" style="376" customWidth="1"/>
    <col min="14605" max="14606" width="8.44140625" style="376" customWidth="1"/>
    <col min="14607" max="14607" width="6.6640625" style="376" customWidth="1"/>
    <col min="14608" max="14609" width="7.5546875" style="376" customWidth="1"/>
    <col min="14610" max="14611" width="8.44140625" style="376" customWidth="1"/>
    <col min="14612" max="14612" width="6.6640625" style="376" customWidth="1"/>
    <col min="14613" max="14614" width="7.5546875" style="376" customWidth="1"/>
    <col min="14615" max="14616" width="8.44140625" style="376" customWidth="1"/>
    <col min="14617" max="14617" width="6.6640625" style="376" customWidth="1"/>
    <col min="14618" max="14618" width="7.5546875" style="376" customWidth="1"/>
    <col min="14619" max="14858" width="6.33203125" style="376"/>
    <col min="14859" max="14859" width="43.5546875" style="376" customWidth="1"/>
    <col min="14860" max="14860" width="7.5546875" style="376" customWidth="1"/>
    <col min="14861" max="14862" width="8.44140625" style="376" customWidth="1"/>
    <col min="14863" max="14863" width="6.6640625" style="376" customWidth="1"/>
    <col min="14864" max="14865" width="7.5546875" style="376" customWidth="1"/>
    <col min="14866" max="14867" width="8.44140625" style="376" customWidth="1"/>
    <col min="14868" max="14868" width="6.6640625" style="376" customWidth="1"/>
    <col min="14869" max="14870" width="7.5546875" style="376" customWidth="1"/>
    <col min="14871" max="14872" width="8.44140625" style="376" customWidth="1"/>
    <col min="14873" max="14873" width="6.6640625" style="376" customWidth="1"/>
    <col min="14874" max="14874" width="7.5546875" style="376" customWidth="1"/>
    <col min="14875" max="15114" width="6.33203125" style="376"/>
    <col min="15115" max="15115" width="43.5546875" style="376" customWidth="1"/>
    <col min="15116" max="15116" width="7.5546875" style="376" customWidth="1"/>
    <col min="15117" max="15118" width="8.44140625" style="376" customWidth="1"/>
    <col min="15119" max="15119" width="6.6640625" style="376" customWidth="1"/>
    <col min="15120" max="15121" width="7.5546875" style="376" customWidth="1"/>
    <col min="15122" max="15123" width="8.44140625" style="376" customWidth="1"/>
    <col min="15124" max="15124" width="6.6640625" style="376" customWidth="1"/>
    <col min="15125" max="15126" width="7.5546875" style="376" customWidth="1"/>
    <col min="15127" max="15128" width="8.44140625" style="376" customWidth="1"/>
    <col min="15129" max="15129" width="6.6640625" style="376" customWidth="1"/>
    <col min="15130" max="15130" width="7.5546875" style="376" customWidth="1"/>
    <col min="15131" max="15370" width="6.33203125" style="376"/>
    <col min="15371" max="15371" width="43.5546875" style="376" customWidth="1"/>
    <col min="15372" max="15372" width="7.5546875" style="376" customWidth="1"/>
    <col min="15373" max="15374" width="8.44140625" style="376" customWidth="1"/>
    <col min="15375" max="15375" width="6.6640625" style="376" customWidth="1"/>
    <col min="15376" max="15377" width="7.5546875" style="376" customWidth="1"/>
    <col min="15378" max="15379" width="8.44140625" style="376" customWidth="1"/>
    <col min="15380" max="15380" width="6.6640625" style="376" customWidth="1"/>
    <col min="15381" max="15382" width="7.5546875" style="376" customWidth="1"/>
    <col min="15383" max="15384" width="8.44140625" style="376" customWidth="1"/>
    <col min="15385" max="15385" width="6.6640625" style="376" customWidth="1"/>
    <col min="15386" max="15386" width="7.5546875" style="376" customWidth="1"/>
    <col min="15387" max="15626" width="6.33203125" style="376"/>
    <col min="15627" max="15627" width="43.5546875" style="376" customWidth="1"/>
    <col min="15628" max="15628" width="7.5546875" style="376" customWidth="1"/>
    <col min="15629" max="15630" width="8.44140625" style="376" customWidth="1"/>
    <col min="15631" max="15631" width="6.6640625" style="376" customWidth="1"/>
    <col min="15632" max="15633" width="7.5546875" style="376" customWidth="1"/>
    <col min="15634" max="15635" width="8.44140625" style="376" customWidth="1"/>
    <col min="15636" max="15636" width="6.6640625" style="376" customWidth="1"/>
    <col min="15637" max="15638" width="7.5546875" style="376" customWidth="1"/>
    <col min="15639" max="15640" width="8.44140625" style="376" customWidth="1"/>
    <col min="15641" max="15641" width="6.6640625" style="376" customWidth="1"/>
    <col min="15642" max="15642" width="7.5546875" style="376" customWidth="1"/>
    <col min="15643" max="15882" width="6.33203125" style="376"/>
    <col min="15883" max="15883" width="43.5546875" style="376" customWidth="1"/>
    <col min="15884" max="15884" width="7.5546875" style="376" customWidth="1"/>
    <col min="15885" max="15886" width="8.44140625" style="376" customWidth="1"/>
    <col min="15887" max="15887" width="6.6640625" style="376" customWidth="1"/>
    <col min="15888" max="15889" width="7.5546875" style="376" customWidth="1"/>
    <col min="15890" max="15891" width="8.44140625" style="376" customWidth="1"/>
    <col min="15892" max="15892" width="6.6640625" style="376" customWidth="1"/>
    <col min="15893" max="15894" width="7.5546875" style="376" customWidth="1"/>
    <col min="15895" max="15896" width="8.44140625" style="376" customWidth="1"/>
    <col min="15897" max="15897" width="6.6640625" style="376" customWidth="1"/>
    <col min="15898" max="15898" width="7.5546875" style="376" customWidth="1"/>
    <col min="15899" max="16138" width="6.33203125" style="376"/>
    <col min="16139" max="16139" width="43.5546875" style="376" customWidth="1"/>
    <col min="16140" max="16140" width="7.5546875" style="376" customWidth="1"/>
    <col min="16141" max="16142" width="8.44140625" style="376" customWidth="1"/>
    <col min="16143" max="16143" width="6.6640625" style="376" customWidth="1"/>
    <col min="16144" max="16145" width="7.5546875" style="376" customWidth="1"/>
    <col min="16146" max="16147" width="8.44140625" style="376" customWidth="1"/>
    <col min="16148" max="16148" width="6.6640625" style="376" customWidth="1"/>
    <col min="16149" max="16150" width="7.5546875" style="376" customWidth="1"/>
    <col min="16151" max="16152" width="8.44140625" style="376" customWidth="1"/>
    <col min="16153" max="16153" width="6.6640625" style="376" customWidth="1"/>
    <col min="16154" max="16154" width="7.5546875" style="376" customWidth="1"/>
    <col min="16155" max="16384" width="6.33203125" style="376"/>
  </cols>
  <sheetData>
    <row r="1" spans="1:25" ht="15.6" x14ac:dyDescent="0.3">
      <c r="A1" s="265" t="str">
        <f>CONCATENATE("Industry Table 6  Employment status by Industry (SIC 2007) and Gender, ",B$5,"-",V$5)</f>
        <v>Industry Table 6  Employment status by Industry (SIC 2007) and Gender, 2007-2027</v>
      </c>
    </row>
    <row r="3" spans="1:25" x14ac:dyDescent="0.25">
      <c r="A3" s="377"/>
      <c r="B3" s="380"/>
      <c r="C3" s="455"/>
      <c r="D3" s="380"/>
      <c r="E3" s="380"/>
      <c r="F3" s="380"/>
      <c r="G3" s="380"/>
      <c r="H3" s="380"/>
      <c r="I3" s="380"/>
      <c r="J3" s="380"/>
      <c r="K3" s="380"/>
      <c r="L3" s="380"/>
      <c r="M3" s="380"/>
      <c r="N3" s="380"/>
      <c r="O3" s="380"/>
      <c r="P3" s="380"/>
      <c r="Q3" s="380"/>
      <c r="R3" s="380"/>
      <c r="S3" s="380"/>
      <c r="T3" s="380"/>
      <c r="U3" s="380"/>
      <c r="V3" s="380"/>
      <c r="W3" s="380"/>
      <c r="X3" s="380"/>
      <c r="Y3" s="380"/>
    </row>
    <row r="4" spans="1:25" x14ac:dyDescent="0.25">
      <c r="A4" s="381"/>
      <c r="B4" s="456"/>
      <c r="C4" s="457"/>
      <c r="D4" s="456"/>
      <c r="E4" s="456"/>
      <c r="F4" s="456"/>
      <c r="G4" s="456"/>
      <c r="H4" s="456"/>
      <c r="I4" s="456"/>
      <c r="J4" s="456"/>
      <c r="K4" s="456"/>
      <c r="L4" s="456"/>
      <c r="M4" s="456"/>
      <c r="N4" s="456"/>
      <c r="O4" s="456"/>
      <c r="P4" s="456"/>
      <c r="Q4" s="456"/>
      <c r="R4" s="456"/>
      <c r="S4" s="456"/>
      <c r="T4" s="456"/>
      <c r="U4" s="456"/>
      <c r="V4" s="456"/>
      <c r="W4" s="456"/>
      <c r="X4" s="456"/>
      <c r="Y4" s="456" t="s">
        <v>35</v>
      </c>
    </row>
    <row r="5" spans="1:25" ht="13.8" x14ac:dyDescent="0.25">
      <c r="A5" s="385" t="str">
        <f>"Industry 1 : "&amp; name!B4</f>
        <v>Industry 1 : Agriculture</v>
      </c>
      <c r="B5" s="514">
        <v>2007</v>
      </c>
      <c r="C5" s="514"/>
      <c r="D5" s="514"/>
      <c r="E5" s="514"/>
      <c r="F5" s="458"/>
      <c r="G5" s="514">
        <v>2012</v>
      </c>
      <c r="H5" s="514"/>
      <c r="I5" s="514"/>
      <c r="J5" s="514"/>
      <c r="K5" s="459"/>
      <c r="L5" s="514">
        <v>2017</v>
      </c>
      <c r="M5" s="514"/>
      <c r="N5" s="514"/>
      <c r="O5" s="514"/>
      <c r="P5" s="459"/>
      <c r="Q5" s="514">
        <v>2022</v>
      </c>
      <c r="R5" s="514"/>
      <c r="S5" s="514"/>
      <c r="T5" s="514"/>
      <c r="U5" s="458"/>
      <c r="V5" s="514">
        <v>2027</v>
      </c>
      <c r="W5" s="514"/>
      <c r="X5" s="514"/>
      <c r="Y5" s="514"/>
    </row>
    <row r="6" spans="1:25" x14ac:dyDescent="0.25">
      <c r="A6" s="387"/>
      <c r="B6" s="388" t="str">
        <f>name!$J$5</f>
        <v>FT</v>
      </c>
      <c r="C6" s="388" t="str">
        <f>name!$J$6</f>
        <v>PT</v>
      </c>
      <c r="D6" s="388" t="str">
        <f>name!$J$4</f>
        <v>SE</v>
      </c>
      <c r="E6" s="388" t="s">
        <v>32</v>
      </c>
      <c r="F6" s="388"/>
      <c r="G6" s="388" t="str">
        <f>name!$J$5</f>
        <v>FT</v>
      </c>
      <c r="H6" s="388" t="str">
        <f>name!$J$6</f>
        <v>PT</v>
      </c>
      <c r="I6" s="388" t="str">
        <f>name!$J$4</f>
        <v>SE</v>
      </c>
      <c r="J6" s="388" t="s">
        <v>32</v>
      </c>
      <c r="K6" s="388"/>
      <c r="L6" s="388" t="str">
        <f>name!$J$5</f>
        <v>FT</v>
      </c>
      <c r="M6" s="388" t="str">
        <f>name!$J$6</f>
        <v>PT</v>
      </c>
      <c r="N6" s="388" t="str">
        <f>name!$J$4</f>
        <v>SE</v>
      </c>
      <c r="O6" s="388" t="s">
        <v>32</v>
      </c>
      <c r="P6" s="388"/>
      <c r="Q6" s="388" t="str">
        <f>name!$J$5</f>
        <v>FT</v>
      </c>
      <c r="R6" s="388" t="str">
        <f>name!$J$6</f>
        <v>PT</v>
      </c>
      <c r="S6" s="388" t="str">
        <f>name!$J$4</f>
        <v>SE</v>
      </c>
      <c r="T6" s="388" t="s">
        <v>32</v>
      </c>
      <c r="U6" s="388"/>
      <c r="V6" s="388" t="str">
        <f>name!$J$5</f>
        <v>FT</v>
      </c>
      <c r="W6" s="388" t="str">
        <f>name!$J$6</f>
        <v>PT</v>
      </c>
      <c r="X6" s="388" t="str">
        <f>name!$J$4</f>
        <v>SE</v>
      </c>
      <c r="Y6" s="388" t="s">
        <v>32</v>
      </c>
    </row>
    <row r="7" spans="1:25" x14ac:dyDescent="0.25">
      <c r="A7" s="389"/>
      <c r="B7" s="380"/>
      <c r="C7" s="460"/>
      <c r="D7" s="460"/>
      <c r="E7" s="460"/>
      <c r="F7" s="460"/>
      <c r="G7" s="460"/>
      <c r="H7" s="460"/>
      <c r="I7" s="460"/>
      <c r="J7" s="460"/>
      <c r="K7" s="460"/>
      <c r="L7" s="460"/>
      <c r="M7" s="460"/>
      <c r="N7" s="460"/>
      <c r="O7" s="460"/>
      <c r="P7" s="460"/>
      <c r="Q7" s="460"/>
      <c r="R7" s="460"/>
      <c r="S7" s="460"/>
      <c r="T7" s="460"/>
      <c r="U7" s="460"/>
      <c r="V7" s="460"/>
      <c r="W7" s="460"/>
      <c r="X7" s="460"/>
      <c r="Y7" s="460"/>
    </row>
    <row r="8" spans="1:25" x14ac:dyDescent="0.25">
      <c r="A8" s="378" t="str">
        <f>name!A4</f>
        <v>Agriculture, etc</v>
      </c>
      <c r="C8" s="380"/>
      <c r="D8" s="380"/>
      <c r="E8" s="380"/>
      <c r="F8" s="380"/>
      <c r="G8" s="380"/>
      <c r="H8" s="380"/>
      <c r="I8" s="380"/>
      <c r="J8" s="380"/>
      <c r="K8" s="380"/>
      <c r="L8" s="380"/>
      <c r="M8" s="380"/>
      <c r="N8" s="380"/>
      <c r="O8" s="380"/>
      <c r="P8" s="380"/>
      <c r="Q8" s="380"/>
      <c r="R8" s="380"/>
      <c r="S8" s="380"/>
      <c r="T8" s="380"/>
      <c r="U8" s="380"/>
      <c r="V8" s="380"/>
      <c r="W8" s="380"/>
      <c r="X8" s="380"/>
      <c r="Y8" s="380"/>
    </row>
    <row r="9" spans="1:25" x14ac:dyDescent="0.25">
      <c r="A9" s="382" t="s">
        <v>391</v>
      </c>
      <c r="B9" s="437">
        <v>30.807999999715491</v>
      </c>
      <c r="C9" s="437">
        <v>30.190000000001614</v>
      </c>
      <c r="D9" s="437">
        <v>35.533000000762542</v>
      </c>
      <c r="E9" s="437">
        <f>SUM(B9:D9)</f>
        <v>96.531000000479651</v>
      </c>
      <c r="F9" s="437"/>
      <c r="G9" s="437">
        <v>39.158999999863305</v>
      </c>
      <c r="H9" s="437">
        <v>33.732000000003687</v>
      </c>
      <c r="I9" s="437">
        <v>48.636000001207002</v>
      </c>
      <c r="J9" s="437">
        <f>SUM(G9:I9)</f>
        <v>121.52700000107399</v>
      </c>
      <c r="K9" s="437"/>
      <c r="L9" s="437">
        <v>38.038999999960318</v>
      </c>
      <c r="M9" s="437">
        <v>32.016000000204087</v>
      </c>
      <c r="N9" s="437">
        <v>43.233000001339178</v>
      </c>
      <c r="O9" s="437">
        <f>SUM(L9:N9)</f>
        <v>113.28800000150358</v>
      </c>
      <c r="P9" s="437"/>
      <c r="Q9" s="437">
        <v>39.44499999940804</v>
      </c>
      <c r="R9" s="437">
        <v>35.936000000031079</v>
      </c>
      <c r="S9" s="437">
        <v>41.394000000885029</v>
      </c>
      <c r="T9" s="437">
        <f>SUM(Q9:S9)</f>
        <v>116.77500000032416</v>
      </c>
      <c r="U9" s="437"/>
      <c r="V9" s="437">
        <v>42.254000000088517</v>
      </c>
      <c r="W9" s="437">
        <v>41.416000000168772</v>
      </c>
      <c r="X9" s="437">
        <v>40.716000000970126</v>
      </c>
      <c r="Y9" s="437">
        <f>SUM(V9:X9)</f>
        <v>124.38600000122742</v>
      </c>
    </row>
    <row r="10" spans="1:25" x14ac:dyDescent="0.25">
      <c r="A10" s="382" t="s">
        <v>390</v>
      </c>
      <c r="B10" s="437">
        <v>132.51599999949096</v>
      </c>
      <c r="C10" s="437">
        <v>38.481999999927147</v>
      </c>
      <c r="D10" s="437">
        <v>106.46599999938987</v>
      </c>
      <c r="E10" s="437">
        <f t="shared" ref="E10:E11" si="0">SUM(B10:D10)</f>
        <v>277.46399999880799</v>
      </c>
      <c r="F10" s="437"/>
      <c r="G10" s="437">
        <v>129.22299999914387</v>
      </c>
      <c r="H10" s="437">
        <v>20.86999999995297</v>
      </c>
      <c r="I10" s="437">
        <v>150.41399999874807</v>
      </c>
      <c r="J10" s="437">
        <f t="shared" ref="J10:J11" si="1">SUM(G10:I10)</f>
        <v>300.5069999978449</v>
      </c>
      <c r="K10" s="437"/>
      <c r="L10" s="437">
        <v>162.41499999984683</v>
      </c>
      <c r="M10" s="437">
        <v>23.539000000068732</v>
      </c>
      <c r="N10" s="437">
        <v>142.76899999981836</v>
      </c>
      <c r="O10" s="437">
        <f t="shared" ref="O10:O11" si="2">SUM(L10:N10)</f>
        <v>328.72299999973393</v>
      </c>
      <c r="P10" s="437"/>
      <c r="Q10" s="437">
        <v>154.45899999874641</v>
      </c>
      <c r="R10" s="437">
        <v>23.552999999980493</v>
      </c>
      <c r="S10" s="437">
        <v>130.03800000029611</v>
      </c>
      <c r="T10" s="437">
        <f t="shared" ref="T10:T11" si="3">SUM(Q10:S10)</f>
        <v>308.04999999902304</v>
      </c>
      <c r="U10" s="437"/>
      <c r="V10" s="437">
        <v>150.67999999916123</v>
      </c>
      <c r="W10" s="437">
        <v>24.238999999994338</v>
      </c>
      <c r="X10" s="437">
        <v>120.12700000056786</v>
      </c>
      <c r="Y10" s="437">
        <f t="shared" ref="Y10:Y11" si="4">SUM(V10:X10)</f>
        <v>295.04599999972345</v>
      </c>
    </row>
    <row r="11" spans="1:25" x14ac:dyDescent="0.25">
      <c r="A11" s="381" t="s">
        <v>389</v>
      </c>
      <c r="B11" s="439">
        <f>SUM(B9:B10)</f>
        <v>163.32399999920645</v>
      </c>
      <c r="C11" s="439">
        <f t="shared" ref="C11:D11" si="5">SUM(C9:C10)</f>
        <v>68.671999999928758</v>
      </c>
      <c r="D11" s="439">
        <f t="shared" si="5"/>
        <v>141.99900000015242</v>
      </c>
      <c r="E11" s="439">
        <f t="shared" si="0"/>
        <v>373.99499999928764</v>
      </c>
      <c r="F11" s="439"/>
      <c r="G11" s="439">
        <f>SUM(G9:G10)</f>
        <v>168.38199999900718</v>
      </c>
      <c r="H11" s="439">
        <f t="shared" ref="H11" si="6">SUM(H9:H10)</f>
        <v>54.601999999956661</v>
      </c>
      <c r="I11" s="439">
        <f t="shared" ref="I11" si="7">SUM(I9:I10)</f>
        <v>199.04999999995508</v>
      </c>
      <c r="J11" s="439">
        <f t="shared" si="1"/>
        <v>422.03399999891894</v>
      </c>
      <c r="K11" s="439"/>
      <c r="L11" s="439">
        <f>SUM(L9:L10)</f>
        <v>200.45399999980714</v>
      </c>
      <c r="M11" s="439">
        <f t="shared" ref="M11" si="8">SUM(M9:M10)</f>
        <v>55.55500000027282</v>
      </c>
      <c r="N11" s="439">
        <f t="shared" ref="N11" si="9">SUM(N9:N10)</f>
        <v>186.00200000115754</v>
      </c>
      <c r="O11" s="439">
        <f t="shared" si="2"/>
        <v>442.01100000123745</v>
      </c>
      <c r="P11" s="439"/>
      <c r="Q11" s="439">
        <f>SUM(Q9:Q10)</f>
        <v>193.90399999815446</v>
      </c>
      <c r="R11" s="439">
        <f t="shared" ref="R11" si="10">SUM(R9:R10)</f>
        <v>59.489000000011572</v>
      </c>
      <c r="S11" s="439">
        <f t="shared" ref="S11" si="11">SUM(S9:S10)</f>
        <v>171.43200000118114</v>
      </c>
      <c r="T11" s="439">
        <f t="shared" si="3"/>
        <v>424.82499999934714</v>
      </c>
      <c r="U11" s="439"/>
      <c r="V11" s="439">
        <f>SUM(V9:V10)</f>
        <v>192.93399999924975</v>
      </c>
      <c r="W11" s="439">
        <f t="shared" ref="W11" si="12">SUM(W9:W10)</f>
        <v>65.655000000163113</v>
      </c>
      <c r="X11" s="439">
        <f t="shared" ref="X11" si="13">SUM(X9:X10)</f>
        <v>160.84300000153797</v>
      </c>
      <c r="Y11" s="439">
        <f t="shared" si="4"/>
        <v>419.43200000095084</v>
      </c>
    </row>
    <row r="13" spans="1:25" x14ac:dyDescent="0.25">
      <c r="A13" s="383"/>
    </row>
    <row r="14" spans="1:25" x14ac:dyDescent="0.25">
      <c r="C14" s="453"/>
    </row>
    <row r="15" spans="1:25" ht="13.8" x14ac:dyDescent="0.25">
      <c r="A15" s="385" t="str">
        <f>"Industry 2 : "&amp; name!B5</f>
        <v>Industry 2 : Mining and quarrying</v>
      </c>
      <c r="B15" s="514">
        <f>$B$5</f>
        <v>2007</v>
      </c>
      <c r="C15" s="514"/>
      <c r="D15" s="514"/>
      <c r="E15" s="514"/>
      <c r="F15" s="461"/>
      <c r="G15" s="514">
        <f>$G$5</f>
        <v>2012</v>
      </c>
      <c r="H15" s="514"/>
      <c r="I15" s="514"/>
      <c r="J15" s="514"/>
      <c r="K15" s="461"/>
      <c r="L15" s="514">
        <f>$L$5</f>
        <v>2017</v>
      </c>
      <c r="M15" s="514"/>
      <c r="N15" s="514"/>
      <c r="O15" s="514"/>
      <c r="P15" s="459"/>
      <c r="Q15" s="514">
        <f>$Q$5</f>
        <v>2022</v>
      </c>
      <c r="R15" s="514"/>
      <c r="S15" s="514"/>
      <c r="T15" s="514"/>
      <c r="U15" s="461"/>
      <c r="V15" s="514">
        <f>$V$5</f>
        <v>2027</v>
      </c>
      <c r="W15" s="514"/>
      <c r="X15" s="514"/>
      <c r="Y15" s="514"/>
    </row>
    <row r="16" spans="1:25" x14ac:dyDescent="0.25">
      <c r="A16" s="381"/>
      <c r="B16" s="388" t="str">
        <f>$B$6</f>
        <v>FT</v>
      </c>
      <c r="C16" s="388" t="str">
        <f>$C$6</f>
        <v>PT</v>
      </c>
      <c r="D16" s="388" t="str">
        <f>$D$6</f>
        <v>SE</v>
      </c>
      <c r="E16" s="388" t="str">
        <f>$E$6</f>
        <v>Total</v>
      </c>
      <c r="F16" s="388"/>
      <c r="G16" s="388" t="str">
        <f>$B$6</f>
        <v>FT</v>
      </c>
      <c r="H16" s="388" t="str">
        <f>$C$6</f>
        <v>PT</v>
      </c>
      <c r="I16" s="388" t="str">
        <f>$D$6</f>
        <v>SE</v>
      </c>
      <c r="J16" s="388" t="str">
        <f>$E$6</f>
        <v>Total</v>
      </c>
      <c r="K16" s="388"/>
      <c r="L16" s="388" t="str">
        <f>$L$6</f>
        <v>FT</v>
      </c>
      <c r="M16" s="388" t="str">
        <f>$M$6</f>
        <v>PT</v>
      </c>
      <c r="N16" s="388" t="str">
        <f>$N$6</f>
        <v>SE</v>
      </c>
      <c r="O16" s="388" t="str">
        <f>$O$6</f>
        <v>Total</v>
      </c>
      <c r="P16" s="388"/>
      <c r="Q16" s="388" t="str">
        <f>$L$6</f>
        <v>FT</v>
      </c>
      <c r="R16" s="388" t="str">
        <f>$M$6</f>
        <v>PT</v>
      </c>
      <c r="S16" s="388" t="str">
        <f>$N$6</f>
        <v>SE</v>
      </c>
      <c r="T16" s="388" t="str">
        <f>$O$6</f>
        <v>Total</v>
      </c>
      <c r="U16" s="388"/>
      <c r="V16" s="388" t="str">
        <f>$V$6</f>
        <v>FT</v>
      </c>
      <c r="W16" s="388" t="str">
        <f>$W$6</f>
        <v>PT</v>
      </c>
      <c r="X16" s="388" t="str">
        <f>$X$6</f>
        <v>SE</v>
      </c>
      <c r="Y16" s="388" t="str">
        <f>$Y$6</f>
        <v>Total</v>
      </c>
    </row>
    <row r="17" spans="1:25" x14ac:dyDescent="0.25">
      <c r="B17" s="380"/>
      <c r="C17" s="460"/>
      <c r="D17" s="460"/>
      <c r="E17" s="460"/>
      <c r="F17" s="460"/>
      <c r="G17" s="460"/>
      <c r="H17" s="460"/>
      <c r="I17" s="460"/>
      <c r="J17" s="460"/>
      <c r="K17" s="460"/>
      <c r="L17" s="460"/>
      <c r="M17" s="460"/>
      <c r="N17" s="460"/>
      <c r="O17" s="460"/>
      <c r="P17" s="460"/>
      <c r="Q17" s="460"/>
      <c r="R17" s="460"/>
      <c r="S17" s="460"/>
      <c r="T17" s="460"/>
      <c r="U17" s="460"/>
      <c r="V17" s="460"/>
      <c r="W17" s="460"/>
      <c r="X17" s="460"/>
      <c r="Y17" s="460"/>
    </row>
    <row r="18" spans="1:25" x14ac:dyDescent="0.25">
      <c r="A18" s="378" t="str">
        <f>name!A5</f>
        <v>Coal, oil &amp; gas; Mining &amp; related</v>
      </c>
      <c r="C18" s="380"/>
      <c r="D18" s="380"/>
      <c r="E18" s="380"/>
      <c r="F18" s="380"/>
      <c r="G18" s="380"/>
      <c r="H18" s="380"/>
      <c r="I18" s="380"/>
      <c r="J18" s="380"/>
      <c r="K18" s="380"/>
      <c r="L18" s="380"/>
      <c r="M18" s="380"/>
      <c r="N18" s="380"/>
      <c r="O18" s="380"/>
      <c r="P18" s="380"/>
      <c r="Q18" s="380"/>
      <c r="R18" s="380"/>
      <c r="S18" s="380"/>
      <c r="T18" s="380"/>
      <c r="U18" s="380"/>
      <c r="V18" s="380"/>
      <c r="W18" s="380"/>
      <c r="X18" s="380"/>
      <c r="Y18" s="380"/>
    </row>
    <row r="19" spans="1:25" x14ac:dyDescent="0.25">
      <c r="A19" s="382" t="s">
        <v>391</v>
      </c>
      <c r="B19" s="437">
        <v>6.1859999999263371</v>
      </c>
      <c r="C19" s="437">
        <v>1.71600000000942</v>
      </c>
      <c r="D19" s="437">
        <v>2.1350000000453702</v>
      </c>
      <c r="E19" s="437">
        <f>SUM(B19:D19)</f>
        <v>10.036999999981127</v>
      </c>
      <c r="F19" s="437"/>
      <c r="G19" s="437">
        <v>8.3549999999033382</v>
      </c>
      <c r="H19" s="437">
        <v>2.4869999999945467</v>
      </c>
      <c r="I19" s="437">
        <v>1.6940000000197002</v>
      </c>
      <c r="J19" s="437">
        <f>SUM(G19:I19)</f>
        <v>12.535999999917586</v>
      </c>
      <c r="K19" s="437"/>
      <c r="L19" s="437">
        <v>8.8029999999139452</v>
      </c>
      <c r="M19" s="437">
        <v>2.0450000000017181</v>
      </c>
      <c r="N19" s="437">
        <v>0.88800000000792256</v>
      </c>
      <c r="O19" s="437">
        <f>SUM(L19:N19)</f>
        <v>11.735999999923585</v>
      </c>
      <c r="P19" s="437"/>
      <c r="Q19" s="437">
        <v>8.6070000000026123</v>
      </c>
      <c r="R19" s="437">
        <v>1.9669999999913657</v>
      </c>
      <c r="S19" s="437">
        <v>0.89800000001387847</v>
      </c>
      <c r="T19" s="437">
        <f>SUM(Q19:S19)</f>
        <v>11.472000000007856</v>
      </c>
      <c r="U19" s="437"/>
      <c r="V19" s="437">
        <v>7.7839999999671621</v>
      </c>
      <c r="W19" s="437">
        <v>1.7850000000194346</v>
      </c>
      <c r="X19" s="437">
        <v>0.85800000001197441</v>
      </c>
      <c r="Y19" s="437">
        <f>SUM(V19:X19)</f>
        <v>10.426999999998571</v>
      </c>
    </row>
    <row r="20" spans="1:25" x14ac:dyDescent="0.25">
      <c r="A20" s="382" t="s">
        <v>390</v>
      </c>
      <c r="B20" s="437">
        <v>50.738000000031263</v>
      </c>
      <c r="C20" s="437">
        <v>1.3450000000014348</v>
      </c>
      <c r="D20" s="437">
        <v>5.8839999999622634</v>
      </c>
      <c r="E20" s="437">
        <f t="shared" ref="E20:E21" si="14">SUM(B20:D20)</f>
        <v>57.966999999994961</v>
      </c>
      <c r="F20" s="437"/>
      <c r="G20" s="437">
        <v>51.846999999991233</v>
      </c>
      <c r="H20" s="437">
        <v>1.2930000000034392</v>
      </c>
      <c r="I20" s="437">
        <v>11.324999999946307</v>
      </c>
      <c r="J20" s="437">
        <f t="shared" ref="J20:J21" si="15">SUM(G20:I20)</f>
        <v>64.464999999940972</v>
      </c>
      <c r="K20" s="437"/>
      <c r="L20" s="437">
        <v>44.349999999723245</v>
      </c>
      <c r="M20" s="437">
        <v>1.7949999999952477</v>
      </c>
      <c r="N20" s="437">
        <v>6.1230000000193128</v>
      </c>
      <c r="O20" s="437">
        <f t="shared" ref="O20:O21" si="16">SUM(L20:N20)</f>
        <v>52.267999999737803</v>
      </c>
      <c r="P20" s="437"/>
      <c r="Q20" s="437">
        <v>41.921999999880768</v>
      </c>
      <c r="R20" s="437">
        <v>1.9969999999973549</v>
      </c>
      <c r="S20" s="437">
        <v>5.8000000000353591</v>
      </c>
      <c r="T20" s="437">
        <f t="shared" ref="T20:T21" si="17">SUM(Q20:S20)</f>
        <v>49.718999999913486</v>
      </c>
      <c r="U20" s="437"/>
      <c r="V20" s="437">
        <v>38.313999999910081</v>
      </c>
      <c r="W20" s="437">
        <v>1.9889999999928136</v>
      </c>
      <c r="X20" s="437">
        <v>5.1980000000270961</v>
      </c>
      <c r="Y20" s="437">
        <f t="shared" ref="Y20:Y21" si="18">SUM(V20:X20)</f>
        <v>45.500999999929988</v>
      </c>
    </row>
    <row r="21" spans="1:25" x14ac:dyDescent="0.25">
      <c r="A21" s="381" t="s">
        <v>389</v>
      </c>
      <c r="B21" s="439">
        <f>SUM(B19:B20)</f>
        <v>56.923999999957601</v>
      </c>
      <c r="C21" s="439">
        <f t="shared" ref="C21" si="19">SUM(C19:C20)</f>
        <v>3.0610000000108548</v>
      </c>
      <c r="D21" s="439">
        <f t="shared" ref="D21" si="20">SUM(D19:D20)</f>
        <v>8.0190000000076331</v>
      </c>
      <c r="E21" s="439">
        <f t="shared" si="14"/>
        <v>68.003999999976088</v>
      </c>
      <c r="F21" s="439"/>
      <c r="G21" s="439">
        <f>SUM(G19:G20)</f>
        <v>60.201999999894568</v>
      </c>
      <c r="H21" s="439">
        <f t="shared" ref="H21" si="21">SUM(H19:H20)</f>
        <v>3.7799999999979859</v>
      </c>
      <c r="I21" s="439">
        <f t="shared" ref="I21" si="22">SUM(I19:I20)</f>
        <v>13.018999999966008</v>
      </c>
      <c r="J21" s="439">
        <f t="shared" si="15"/>
        <v>77.000999999858564</v>
      </c>
      <c r="K21" s="439"/>
      <c r="L21" s="439">
        <f>SUM(L19:L20)</f>
        <v>53.152999999637188</v>
      </c>
      <c r="M21" s="439">
        <f t="shared" ref="M21" si="23">SUM(M19:M20)</f>
        <v>3.8399999999969658</v>
      </c>
      <c r="N21" s="439">
        <f t="shared" ref="N21" si="24">SUM(N19:N20)</f>
        <v>7.0110000000272352</v>
      </c>
      <c r="O21" s="439">
        <f t="shared" si="16"/>
        <v>64.003999999661389</v>
      </c>
      <c r="P21" s="439"/>
      <c r="Q21" s="439">
        <f>SUM(Q19:Q20)</f>
        <v>50.528999999883382</v>
      </c>
      <c r="R21" s="439">
        <f t="shared" ref="R21" si="25">SUM(R19:R20)</f>
        <v>3.9639999999887205</v>
      </c>
      <c r="S21" s="439">
        <f t="shared" ref="S21" si="26">SUM(S19:S20)</f>
        <v>6.6980000000492375</v>
      </c>
      <c r="T21" s="439">
        <f t="shared" si="17"/>
        <v>61.190999999921345</v>
      </c>
      <c r="U21" s="439"/>
      <c r="V21" s="439">
        <f>SUM(V19:V20)</f>
        <v>46.097999999877246</v>
      </c>
      <c r="W21" s="439">
        <f t="shared" ref="W21" si="27">SUM(W19:W20)</f>
        <v>3.774000000012248</v>
      </c>
      <c r="X21" s="439">
        <f t="shared" ref="X21" si="28">SUM(X19:X20)</f>
        <v>6.0560000000390701</v>
      </c>
      <c r="Y21" s="439">
        <f t="shared" si="18"/>
        <v>55.927999999928566</v>
      </c>
    </row>
    <row r="22" spans="1:25" x14ac:dyDescent="0.25">
      <c r="A22" s="384"/>
    </row>
    <row r="23" spans="1:25" x14ac:dyDescent="0.25">
      <c r="A23" s="384"/>
    </row>
    <row r="24" spans="1:25" x14ac:dyDescent="0.25">
      <c r="A24" s="384"/>
    </row>
    <row r="25" spans="1:25" ht="13.8" x14ac:dyDescent="0.25">
      <c r="A25" s="385" t="str">
        <f>"Industry 3 : "&amp; name!B6</f>
        <v>Industry 3 : Food drink and tobacco</v>
      </c>
      <c r="B25" s="514">
        <f>$B$5</f>
        <v>2007</v>
      </c>
      <c r="C25" s="514"/>
      <c r="D25" s="514"/>
      <c r="E25" s="514"/>
      <c r="F25" s="461"/>
      <c r="G25" s="514">
        <f>$G$5</f>
        <v>2012</v>
      </c>
      <c r="H25" s="514"/>
      <c r="I25" s="514"/>
      <c r="J25" s="514"/>
      <c r="K25" s="461"/>
      <c r="L25" s="514">
        <f>$L$5</f>
        <v>2017</v>
      </c>
      <c r="M25" s="514"/>
      <c r="N25" s="514"/>
      <c r="O25" s="514"/>
      <c r="P25" s="459"/>
      <c r="Q25" s="514">
        <f>$Q$5</f>
        <v>2022</v>
      </c>
      <c r="R25" s="514"/>
      <c r="S25" s="514"/>
      <c r="T25" s="514"/>
      <c r="U25" s="461"/>
      <c r="V25" s="514">
        <f>$V$5</f>
        <v>2027</v>
      </c>
      <c r="W25" s="514"/>
      <c r="X25" s="514"/>
      <c r="Y25" s="514"/>
    </row>
    <row r="26" spans="1:25" x14ac:dyDescent="0.25">
      <c r="A26" s="381"/>
      <c r="B26" s="388" t="str">
        <f>$B$6</f>
        <v>FT</v>
      </c>
      <c r="C26" s="388" t="str">
        <f>$C$6</f>
        <v>PT</v>
      </c>
      <c r="D26" s="388" t="str">
        <f>$D$6</f>
        <v>SE</v>
      </c>
      <c r="E26" s="388" t="str">
        <f>$E$6</f>
        <v>Total</v>
      </c>
      <c r="F26" s="388"/>
      <c r="G26" s="388" t="str">
        <f>$B$6</f>
        <v>FT</v>
      </c>
      <c r="H26" s="388" t="str">
        <f>$C$6</f>
        <v>PT</v>
      </c>
      <c r="I26" s="388" t="str">
        <f>$D$6</f>
        <v>SE</v>
      </c>
      <c r="J26" s="388" t="str">
        <f>$E$6</f>
        <v>Total</v>
      </c>
      <c r="K26" s="388"/>
      <c r="L26" s="388" t="str">
        <f>$L$6</f>
        <v>FT</v>
      </c>
      <c r="M26" s="388" t="str">
        <f>$M$6</f>
        <v>PT</v>
      </c>
      <c r="N26" s="388" t="str">
        <f>$N$6</f>
        <v>SE</v>
      </c>
      <c r="O26" s="388" t="str">
        <f>$O$6</f>
        <v>Total</v>
      </c>
      <c r="P26" s="388"/>
      <c r="Q26" s="388" t="str">
        <f>$L$6</f>
        <v>FT</v>
      </c>
      <c r="R26" s="388" t="str">
        <f>$M$6</f>
        <v>PT</v>
      </c>
      <c r="S26" s="388" t="str">
        <f>$N$6</f>
        <v>SE</v>
      </c>
      <c r="T26" s="388" t="str">
        <f>$O$6</f>
        <v>Total</v>
      </c>
      <c r="U26" s="388"/>
      <c r="V26" s="388" t="str">
        <f>$V$6</f>
        <v>FT</v>
      </c>
      <c r="W26" s="388" t="str">
        <f>$W$6</f>
        <v>PT</v>
      </c>
      <c r="X26" s="388" t="str">
        <f>$X$6</f>
        <v>SE</v>
      </c>
      <c r="Y26" s="388" t="str">
        <f>$Y$6</f>
        <v>Total</v>
      </c>
    </row>
    <row r="27" spans="1:25" x14ac:dyDescent="0.25">
      <c r="B27" s="380"/>
      <c r="C27" s="460"/>
      <c r="D27" s="460"/>
      <c r="E27" s="460"/>
      <c r="F27" s="460"/>
      <c r="G27" s="460"/>
      <c r="H27" s="460"/>
      <c r="I27" s="460"/>
      <c r="J27" s="460"/>
      <c r="K27" s="460"/>
      <c r="L27" s="460"/>
      <c r="M27" s="460"/>
      <c r="N27" s="460"/>
      <c r="O27" s="460"/>
      <c r="P27" s="460"/>
      <c r="Q27" s="460"/>
      <c r="R27" s="460"/>
      <c r="S27" s="460"/>
      <c r="T27" s="460"/>
      <c r="U27" s="460"/>
      <c r="V27" s="460"/>
      <c r="W27" s="460"/>
      <c r="X27" s="460"/>
      <c r="Y27" s="460"/>
    </row>
    <row r="28" spans="1:25" x14ac:dyDescent="0.25">
      <c r="A28" s="378" t="str">
        <f>name!A6</f>
        <v>Food products</v>
      </c>
      <c r="C28" s="380"/>
      <c r="D28" s="380"/>
      <c r="E28" s="380"/>
      <c r="F28" s="380"/>
      <c r="G28" s="380"/>
      <c r="H28" s="380"/>
      <c r="I28" s="380"/>
      <c r="J28" s="380"/>
      <c r="K28" s="380"/>
      <c r="L28" s="380"/>
      <c r="M28" s="380"/>
      <c r="N28" s="380"/>
      <c r="O28" s="380"/>
      <c r="P28" s="380"/>
      <c r="Q28" s="380"/>
      <c r="R28" s="380"/>
      <c r="S28" s="380"/>
      <c r="T28" s="380"/>
      <c r="U28" s="380"/>
      <c r="V28" s="380"/>
      <c r="W28" s="380"/>
      <c r="X28" s="380"/>
      <c r="Y28" s="380"/>
    </row>
    <row r="29" spans="1:25" x14ac:dyDescent="0.25">
      <c r="A29" s="382" t="s">
        <v>391</v>
      </c>
      <c r="B29" s="437">
        <v>98.563999998378435</v>
      </c>
      <c r="C29" s="437">
        <v>26.705000000293516</v>
      </c>
      <c r="D29" s="437">
        <v>3.9240000000622133</v>
      </c>
      <c r="E29" s="437">
        <f>SUM(B29:D29)</f>
        <v>129.19299999873417</v>
      </c>
      <c r="F29" s="437"/>
      <c r="G29" s="437">
        <v>93.751999998546893</v>
      </c>
      <c r="H29" s="437">
        <v>27.240000000269074</v>
      </c>
      <c r="I29" s="437">
        <v>9.4370000001257406</v>
      </c>
      <c r="J29" s="437">
        <f>SUM(G29:I29)</f>
        <v>130.42899999894172</v>
      </c>
      <c r="K29" s="437"/>
      <c r="L29" s="437">
        <v>104.00999999929387</v>
      </c>
      <c r="M29" s="437">
        <v>29.907000000736772</v>
      </c>
      <c r="N29" s="437">
        <v>12.680000000227487</v>
      </c>
      <c r="O29" s="437">
        <f>SUM(L29:N29)</f>
        <v>146.59700000025813</v>
      </c>
      <c r="P29" s="437"/>
      <c r="Q29" s="437">
        <v>99.668999997695821</v>
      </c>
      <c r="R29" s="437">
        <v>28.992000000019548</v>
      </c>
      <c r="S29" s="437">
        <v>11.762000000145562</v>
      </c>
      <c r="T29" s="437">
        <f>SUM(Q29:S29)</f>
        <v>140.42299999786093</v>
      </c>
      <c r="U29" s="437"/>
      <c r="V29" s="437">
        <v>97.351999999030568</v>
      </c>
      <c r="W29" s="437">
        <v>28.634000000397652</v>
      </c>
      <c r="X29" s="437">
        <v>11.134000000142345</v>
      </c>
      <c r="Y29" s="437">
        <f>SUM(V29:X29)</f>
        <v>137.11999999957055</v>
      </c>
    </row>
    <row r="30" spans="1:25" x14ac:dyDescent="0.25">
      <c r="A30" s="382" t="s">
        <v>390</v>
      </c>
      <c r="B30" s="438">
        <v>238.22999999901143</v>
      </c>
      <c r="C30" s="438">
        <v>10.781999999887093</v>
      </c>
      <c r="D30" s="438">
        <v>7.7669999999668509</v>
      </c>
      <c r="E30" s="438">
        <f t="shared" ref="E30:E31" si="29">SUM(B30:D30)</f>
        <v>256.77899999886534</v>
      </c>
      <c r="F30" s="438"/>
      <c r="G30" s="438">
        <v>219.11599999778261</v>
      </c>
      <c r="H30" s="438">
        <v>10.820999999886197</v>
      </c>
      <c r="I30" s="438">
        <v>3.2189999999866732</v>
      </c>
      <c r="J30" s="438">
        <f t="shared" ref="J30:J31" si="30">SUM(G30:I30)</f>
        <v>233.15599999765547</v>
      </c>
      <c r="K30" s="438"/>
      <c r="L30" s="438">
        <v>223.2599999991466</v>
      </c>
      <c r="M30" s="438">
        <v>13.636999999954872</v>
      </c>
      <c r="N30" s="438">
        <v>8.806999999964729</v>
      </c>
      <c r="O30" s="438">
        <f t="shared" ref="O30:O31" si="31">SUM(L30:N30)</f>
        <v>245.70399999906618</v>
      </c>
      <c r="P30" s="438"/>
      <c r="Q30" s="438">
        <v>209.20099999820712</v>
      </c>
      <c r="R30" s="438">
        <v>15.227999999936754</v>
      </c>
      <c r="S30" s="438">
        <v>8.2419999999946505</v>
      </c>
      <c r="T30" s="438">
        <f t="shared" ref="T30:T31" si="32">SUM(Q30:S30)</f>
        <v>232.67099999813851</v>
      </c>
      <c r="U30" s="438"/>
      <c r="V30" s="438">
        <v>200.05099999895793</v>
      </c>
      <c r="W30" s="438">
        <v>16.890999999945365</v>
      </c>
      <c r="X30" s="438">
        <v>7.8809999999898857</v>
      </c>
      <c r="Y30" s="438">
        <f t="shared" ref="Y30:Y31" si="33">SUM(V30:X30)</f>
        <v>224.82299999889318</v>
      </c>
    </row>
    <row r="31" spans="1:25" x14ac:dyDescent="0.25">
      <c r="A31" s="382" t="s">
        <v>389</v>
      </c>
      <c r="B31" s="438">
        <f>SUM(B29:B30)</f>
        <v>336.79399999738985</v>
      </c>
      <c r="C31" s="438">
        <f t="shared" ref="C31" si="34">SUM(C29:C30)</f>
        <v>37.487000000180608</v>
      </c>
      <c r="D31" s="438">
        <f t="shared" ref="D31" si="35">SUM(D29:D30)</f>
        <v>11.691000000029064</v>
      </c>
      <c r="E31" s="438">
        <f t="shared" si="29"/>
        <v>385.97199999759954</v>
      </c>
      <c r="F31" s="438"/>
      <c r="G31" s="438">
        <f>SUM(G29:G30)</f>
        <v>312.8679999963295</v>
      </c>
      <c r="H31" s="438">
        <f t="shared" ref="H31" si="36">SUM(H29:H30)</f>
        <v>38.061000000155275</v>
      </c>
      <c r="I31" s="438">
        <f t="shared" ref="I31" si="37">SUM(I29:I30)</f>
        <v>12.656000000112414</v>
      </c>
      <c r="J31" s="438">
        <f t="shared" si="30"/>
        <v>363.58499999659716</v>
      </c>
      <c r="K31" s="438"/>
      <c r="L31" s="438">
        <f>SUM(L29:L30)</f>
        <v>327.26999999844048</v>
      </c>
      <c r="M31" s="438">
        <f t="shared" ref="M31" si="38">SUM(M29:M30)</f>
        <v>43.544000000691646</v>
      </c>
      <c r="N31" s="438">
        <f t="shared" ref="N31" si="39">SUM(N29:N30)</f>
        <v>21.487000000192218</v>
      </c>
      <c r="O31" s="438">
        <f t="shared" si="31"/>
        <v>392.30099999932435</v>
      </c>
      <c r="P31" s="438"/>
      <c r="Q31" s="438">
        <f>SUM(Q29:Q30)</f>
        <v>308.86999999590296</v>
      </c>
      <c r="R31" s="438">
        <f t="shared" ref="R31" si="40">SUM(R29:R30)</f>
        <v>44.2199999999563</v>
      </c>
      <c r="S31" s="438">
        <f t="shared" ref="S31" si="41">SUM(S29:S30)</f>
        <v>20.004000000140213</v>
      </c>
      <c r="T31" s="438">
        <f t="shared" si="32"/>
        <v>373.09399999599947</v>
      </c>
      <c r="U31" s="438"/>
      <c r="V31" s="438">
        <f>SUM(V29:V30)</f>
        <v>297.4029999979885</v>
      </c>
      <c r="W31" s="438">
        <f t="shared" ref="W31" si="42">SUM(W29:W30)</f>
        <v>45.525000000343013</v>
      </c>
      <c r="X31" s="438">
        <f t="shared" ref="X31" si="43">SUM(X29:X30)</f>
        <v>19.015000000132233</v>
      </c>
      <c r="Y31" s="438">
        <f t="shared" si="33"/>
        <v>361.94299999846373</v>
      </c>
    </row>
    <row r="32" spans="1:25" x14ac:dyDescent="0.25">
      <c r="B32" s="380"/>
      <c r="C32" s="460"/>
      <c r="D32" s="460"/>
      <c r="E32" s="460"/>
      <c r="F32" s="460"/>
      <c r="G32" s="460"/>
      <c r="H32" s="460"/>
      <c r="I32" s="460"/>
      <c r="J32" s="460"/>
      <c r="K32" s="460"/>
      <c r="L32" s="460"/>
      <c r="M32" s="460"/>
      <c r="N32" s="460"/>
      <c r="O32" s="460"/>
      <c r="P32" s="460"/>
      <c r="Q32" s="460"/>
      <c r="R32" s="460"/>
      <c r="S32" s="460"/>
      <c r="T32" s="460"/>
      <c r="U32" s="460"/>
      <c r="V32" s="460"/>
      <c r="W32" s="460"/>
      <c r="X32" s="460"/>
      <c r="Y32" s="460"/>
    </row>
    <row r="33" spans="1:25" x14ac:dyDescent="0.25">
      <c r="A33" s="378" t="str">
        <f>name!A7</f>
        <v>Beverages and tobacco</v>
      </c>
      <c r="B33" s="380"/>
      <c r="C33" s="380"/>
      <c r="D33" s="380"/>
      <c r="E33" s="380"/>
      <c r="F33" s="380"/>
      <c r="G33" s="380"/>
      <c r="H33" s="380"/>
      <c r="I33" s="380"/>
      <c r="J33" s="380"/>
      <c r="K33" s="380"/>
      <c r="L33" s="380"/>
      <c r="M33" s="380"/>
      <c r="N33" s="380"/>
      <c r="O33" s="380"/>
      <c r="P33" s="380"/>
      <c r="Q33" s="380"/>
      <c r="R33" s="380"/>
      <c r="S33" s="380"/>
      <c r="T33" s="380"/>
      <c r="U33" s="380"/>
      <c r="V33" s="380"/>
      <c r="W33" s="380"/>
      <c r="X33" s="380"/>
      <c r="Y33" s="380"/>
    </row>
    <row r="34" spans="1:25" x14ac:dyDescent="0.25">
      <c r="A34" s="377" t="s">
        <v>391</v>
      </c>
      <c r="B34" s="438">
        <v>9.897999999912841</v>
      </c>
      <c r="C34" s="438">
        <v>4.4000000000035397</v>
      </c>
      <c r="D34" s="438">
        <v>0.55900000000103811</v>
      </c>
      <c r="E34" s="438">
        <f>SUM(B34:D34)</f>
        <v>14.85699999991742</v>
      </c>
      <c r="F34" s="438"/>
      <c r="G34" s="438">
        <v>9.4609999999298093</v>
      </c>
      <c r="H34" s="438">
        <v>3.5090000000213872</v>
      </c>
      <c r="I34" s="438">
        <v>0.98500000000548937</v>
      </c>
      <c r="J34" s="438">
        <f>SUM(G34:I34)</f>
        <v>13.954999999956687</v>
      </c>
      <c r="K34" s="438"/>
      <c r="L34" s="438">
        <v>9.9639999999450328</v>
      </c>
      <c r="M34" s="438">
        <v>5.0780000000382888</v>
      </c>
      <c r="N34" s="438">
        <v>1.2380000000120206</v>
      </c>
      <c r="O34" s="438">
        <f>SUM(L34:N34)</f>
        <v>16.279999999995344</v>
      </c>
      <c r="P34" s="438"/>
      <c r="Q34" s="438">
        <v>9.5019999999159044</v>
      </c>
      <c r="R34" s="438">
        <v>4.9619999999860713</v>
      </c>
      <c r="S34" s="438">
        <v>1.1590000000033602</v>
      </c>
      <c r="T34" s="438">
        <f>SUM(Q34:S34)</f>
        <v>15.622999999905335</v>
      </c>
      <c r="U34" s="438"/>
      <c r="V34" s="438">
        <v>9.2109999999455106</v>
      </c>
      <c r="W34" s="438">
        <v>4.9180000000294557</v>
      </c>
      <c r="X34" s="438">
        <v>1.1060000000088843</v>
      </c>
      <c r="Y34" s="438">
        <f>SUM(V34:X34)</f>
        <v>15.234999999983849</v>
      </c>
    </row>
    <row r="35" spans="1:25" x14ac:dyDescent="0.25">
      <c r="A35" s="377" t="s">
        <v>390</v>
      </c>
      <c r="B35" s="438">
        <v>29.070999999878431</v>
      </c>
      <c r="C35" s="438">
        <v>1.1869999999907266</v>
      </c>
      <c r="D35" s="438">
        <v>1.1970000000099796</v>
      </c>
      <c r="E35" s="438">
        <f t="shared" ref="E35:E36" si="44">SUM(B35:D35)</f>
        <v>31.454999999879135</v>
      </c>
      <c r="F35" s="438"/>
      <c r="G35" s="438">
        <v>23.887999999792434</v>
      </c>
      <c r="H35" s="438">
        <v>1.1819999999904416</v>
      </c>
      <c r="I35" s="438">
        <v>0.51400000000358359</v>
      </c>
      <c r="J35" s="438">
        <f t="shared" ref="J35:J36" si="45">SUM(G35:I35)</f>
        <v>25.58399999978646</v>
      </c>
      <c r="K35" s="438"/>
      <c r="L35" s="438">
        <v>25.769999999999968</v>
      </c>
      <c r="M35" s="438">
        <v>1.3719999999943135</v>
      </c>
      <c r="N35" s="438">
        <v>1.1689999999883365</v>
      </c>
      <c r="O35" s="438">
        <f t="shared" ref="O35:O36" si="46">SUM(L35:N35)</f>
        <v>28.310999999982617</v>
      </c>
      <c r="P35" s="438"/>
      <c r="Q35" s="438">
        <v>24.338999999884962</v>
      </c>
      <c r="R35" s="438">
        <v>1.5549999999959132</v>
      </c>
      <c r="S35" s="438">
        <v>1.1020000000012697</v>
      </c>
      <c r="T35" s="438">
        <f t="shared" ref="T35:T36" si="47">SUM(Q35:S35)</f>
        <v>26.995999999882144</v>
      </c>
      <c r="U35" s="438"/>
      <c r="V35" s="438">
        <v>23.437999999917519</v>
      </c>
      <c r="W35" s="438">
        <v>1.7469999999799484</v>
      </c>
      <c r="X35" s="438">
        <v>1.0639999999984788</v>
      </c>
      <c r="Y35" s="438">
        <f t="shared" ref="Y35:Y36" si="48">SUM(V35:X35)</f>
        <v>26.248999999895947</v>
      </c>
    </row>
    <row r="36" spans="1:25" x14ac:dyDescent="0.25">
      <c r="A36" s="377" t="s">
        <v>389</v>
      </c>
      <c r="B36" s="438">
        <f>SUM(B34:B35)</f>
        <v>38.968999999791272</v>
      </c>
      <c r="C36" s="438">
        <f t="shared" ref="C36" si="49">SUM(C34:C35)</f>
        <v>5.5869999999942666</v>
      </c>
      <c r="D36" s="438">
        <f t="shared" ref="D36" si="50">SUM(D34:D35)</f>
        <v>1.7560000000110176</v>
      </c>
      <c r="E36" s="438">
        <f t="shared" si="44"/>
        <v>46.311999999796562</v>
      </c>
      <c r="F36" s="438"/>
      <c r="G36" s="438">
        <f>SUM(G34:G35)</f>
        <v>33.348999999722245</v>
      </c>
      <c r="H36" s="438">
        <f t="shared" ref="H36" si="51">SUM(H34:H35)</f>
        <v>4.6910000000118286</v>
      </c>
      <c r="I36" s="438">
        <f t="shared" ref="I36" si="52">SUM(I34:I35)</f>
        <v>1.4990000000090729</v>
      </c>
      <c r="J36" s="438">
        <f t="shared" si="45"/>
        <v>39.538999999743147</v>
      </c>
      <c r="K36" s="438"/>
      <c r="L36" s="438">
        <f>SUM(L34:L35)</f>
        <v>35.733999999944999</v>
      </c>
      <c r="M36" s="438">
        <f t="shared" ref="M36" si="53">SUM(M34:M35)</f>
        <v>6.4500000000326025</v>
      </c>
      <c r="N36" s="438">
        <f t="shared" ref="N36" si="54">SUM(N34:N35)</f>
        <v>2.4070000000003571</v>
      </c>
      <c r="O36" s="438">
        <f t="shared" si="46"/>
        <v>44.59099999997796</v>
      </c>
      <c r="P36" s="438"/>
      <c r="Q36" s="438">
        <f>SUM(Q34:Q35)</f>
        <v>33.840999999800864</v>
      </c>
      <c r="R36" s="438">
        <f t="shared" ref="R36" si="55">SUM(R34:R35)</f>
        <v>6.5169999999819845</v>
      </c>
      <c r="S36" s="438">
        <f t="shared" ref="S36" si="56">SUM(S34:S35)</f>
        <v>2.2610000000046302</v>
      </c>
      <c r="T36" s="438">
        <f t="shared" si="47"/>
        <v>42.618999999787476</v>
      </c>
      <c r="U36" s="438"/>
      <c r="V36" s="438">
        <f>SUM(V34:V35)</f>
        <v>32.64899999986303</v>
      </c>
      <c r="W36" s="438">
        <f t="shared" ref="W36" si="57">SUM(W34:W35)</f>
        <v>6.6650000000094041</v>
      </c>
      <c r="X36" s="438">
        <f t="shared" ref="X36" si="58">SUM(X34:X35)</f>
        <v>2.1700000000073629</v>
      </c>
      <c r="Y36" s="438">
        <f t="shared" si="48"/>
        <v>41.483999999879799</v>
      </c>
    </row>
    <row r="37" spans="1:25" x14ac:dyDescent="0.25">
      <c r="A37" s="377"/>
      <c r="B37" s="380"/>
      <c r="C37" s="380"/>
      <c r="D37" s="380"/>
      <c r="E37" s="380"/>
      <c r="F37" s="380"/>
      <c r="G37" s="380"/>
      <c r="H37" s="380"/>
      <c r="I37" s="380"/>
      <c r="J37" s="380"/>
      <c r="K37" s="380"/>
      <c r="L37" s="380"/>
      <c r="M37" s="380"/>
      <c r="N37" s="380"/>
      <c r="O37" s="380"/>
      <c r="P37" s="380"/>
      <c r="Q37" s="380"/>
      <c r="R37" s="380"/>
      <c r="S37" s="380"/>
      <c r="T37" s="380"/>
      <c r="U37" s="380"/>
      <c r="V37" s="380"/>
      <c r="W37" s="380"/>
      <c r="X37" s="380"/>
      <c r="Y37" s="380"/>
    </row>
    <row r="38" spans="1:25" x14ac:dyDescent="0.25">
      <c r="A38" s="383" t="s">
        <v>407</v>
      </c>
    </row>
    <row r="39" spans="1:25" x14ac:dyDescent="0.25">
      <c r="A39" s="377" t="s">
        <v>391</v>
      </c>
      <c r="B39" s="437">
        <f>SUM(B29,B34)</f>
        <v>108.46199999829128</v>
      </c>
      <c r="C39" s="437">
        <f t="shared" ref="C39:D40" si="59">SUM(C29,C34)</f>
        <v>31.105000000297057</v>
      </c>
      <c r="D39" s="437">
        <f t="shared" si="59"/>
        <v>4.4830000000632513</v>
      </c>
      <c r="E39" s="437">
        <f>SUM(B39:D39)</f>
        <v>144.04999999865157</v>
      </c>
      <c r="F39" s="437"/>
      <c r="G39" s="437">
        <f>SUM(G29,G34)</f>
        <v>103.2129999984767</v>
      </c>
      <c r="H39" s="437">
        <f t="shared" ref="H39:I39" si="60">SUM(H29,H34)</f>
        <v>30.749000000290462</v>
      </c>
      <c r="I39" s="437">
        <f t="shared" si="60"/>
        <v>10.422000000131231</v>
      </c>
      <c r="J39" s="437">
        <f>SUM(G39:I39)</f>
        <v>144.38399999889839</v>
      </c>
      <c r="K39" s="437"/>
      <c r="L39" s="437">
        <f>SUM(L29,L34)</f>
        <v>113.9739999992389</v>
      </c>
      <c r="M39" s="437">
        <f t="shared" ref="M39:N39" si="61">SUM(M29,M34)</f>
        <v>34.985000000775059</v>
      </c>
      <c r="N39" s="437">
        <f t="shared" si="61"/>
        <v>13.918000000239507</v>
      </c>
      <c r="O39" s="437">
        <f>SUM(L39:N39)</f>
        <v>162.87700000025347</v>
      </c>
      <c r="P39" s="437"/>
      <c r="Q39" s="437">
        <f>SUM(Q29,Q34)</f>
        <v>109.17099999761173</v>
      </c>
      <c r="R39" s="437">
        <f t="shared" ref="R39:S39" si="62">SUM(R29,R34)</f>
        <v>33.954000000005621</v>
      </c>
      <c r="S39" s="437">
        <f t="shared" si="62"/>
        <v>12.921000000148922</v>
      </c>
      <c r="T39" s="437">
        <f>SUM(Q39:S39)</f>
        <v>156.04599999776627</v>
      </c>
      <c r="U39" s="437"/>
      <c r="V39" s="437">
        <f>SUM(V29,V34)</f>
        <v>106.56299999897608</v>
      </c>
      <c r="W39" s="437">
        <f t="shared" ref="W39:X39" si="63">SUM(W29,W34)</f>
        <v>33.552000000427107</v>
      </c>
      <c r="X39" s="437">
        <f t="shared" si="63"/>
        <v>12.24000000015123</v>
      </c>
      <c r="Y39" s="437">
        <f>SUM(V39:X39)</f>
        <v>152.35499999955442</v>
      </c>
    </row>
    <row r="40" spans="1:25" x14ac:dyDescent="0.25">
      <c r="A40" s="377" t="s">
        <v>390</v>
      </c>
      <c r="B40" s="437">
        <f>SUM(B30,B35)</f>
        <v>267.30099999888984</v>
      </c>
      <c r="C40" s="437">
        <f t="shared" si="59"/>
        <v>11.96899999987782</v>
      </c>
      <c r="D40" s="437">
        <f t="shared" si="59"/>
        <v>8.9639999999768314</v>
      </c>
      <c r="E40" s="437">
        <f t="shared" ref="E40:E41" si="64">SUM(B40:D40)</f>
        <v>288.23399999874448</v>
      </c>
      <c r="F40" s="437"/>
      <c r="G40" s="437">
        <f>SUM(G30,G35)</f>
        <v>243.00399999757505</v>
      </c>
      <c r="H40" s="437">
        <f t="shared" ref="H40:I40" si="65">SUM(H30,H35)</f>
        <v>12.002999999876639</v>
      </c>
      <c r="I40" s="437">
        <f t="shared" si="65"/>
        <v>3.7329999999902568</v>
      </c>
      <c r="J40" s="437">
        <f t="shared" ref="J40:J41" si="66">SUM(G40:I40)</f>
        <v>258.73999999744194</v>
      </c>
      <c r="K40" s="437"/>
      <c r="L40" s="437">
        <f>SUM(L30,L35)</f>
        <v>249.02999999914658</v>
      </c>
      <c r="M40" s="437">
        <f t="shared" ref="M40:N40" si="67">SUM(M30,M35)</f>
        <v>15.008999999949186</v>
      </c>
      <c r="N40" s="437">
        <f t="shared" si="67"/>
        <v>9.975999999953066</v>
      </c>
      <c r="O40" s="437">
        <f t="shared" ref="O40:O41" si="68">SUM(L40:N40)</f>
        <v>274.01499999904883</v>
      </c>
      <c r="P40" s="437"/>
      <c r="Q40" s="437">
        <f>SUM(Q30,Q35)</f>
        <v>233.53999999809207</v>
      </c>
      <c r="R40" s="437">
        <f t="shared" ref="R40:S40" si="69">SUM(R30,R35)</f>
        <v>16.782999999932667</v>
      </c>
      <c r="S40" s="437">
        <f t="shared" si="69"/>
        <v>9.3439999999959209</v>
      </c>
      <c r="T40" s="437">
        <f t="shared" ref="T40:T41" si="70">SUM(Q40:S40)</f>
        <v>259.66699999802063</v>
      </c>
      <c r="U40" s="437"/>
      <c r="V40" s="437">
        <f>SUM(V30,V35)</f>
        <v>223.48899999887544</v>
      </c>
      <c r="W40" s="437">
        <f t="shared" ref="W40:X40" si="71">SUM(W30,W35)</f>
        <v>18.637999999925313</v>
      </c>
      <c r="X40" s="437">
        <f t="shared" si="71"/>
        <v>8.9449999999883651</v>
      </c>
      <c r="Y40" s="437">
        <f t="shared" ref="Y40:Y41" si="72">SUM(V40:X40)</f>
        <v>251.07199999878912</v>
      </c>
    </row>
    <row r="41" spans="1:25" x14ac:dyDescent="0.25">
      <c r="A41" s="381" t="s">
        <v>389</v>
      </c>
      <c r="B41" s="439">
        <f>SUM(B39:B40)</f>
        <v>375.76299999718111</v>
      </c>
      <c r="C41" s="439">
        <f t="shared" ref="C41" si="73">SUM(C39:C40)</f>
        <v>43.074000000174877</v>
      </c>
      <c r="D41" s="439">
        <f t="shared" ref="D41" si="74">SUM(D39:D40)</f>
        <v>13.447000000040083</v>
      </c>
      <c r="E41" s="439">
        <f t="shared" si="64"/>
        <v>432.28399999739605</v>
      </c>
      <c r="F41" s="439"/>
      <c r="G41" s="439">
        <f>SUM(G39:G40)</f>
        <v>346.21699999605175</v>
      </c>
      <c r="H41" s="439">
        <f t="shared" ref="H41" si="75">SUM(H39:H40)</f>
        <v>42.752000000167101</v>
      </c>
      <c r="I41" s="439">
        <f t="shared" ref="I41" si="76">SUM(I39:I40)</f>
        <v>14.155000000121488</v>
      </c>
      <c r="J41" s="439">
        <f t="shared" si="66"/>
        <v>403.12399999634033</v>
      </c>
      <c r="K41" s="439"/>
      <c r="L41" s="439">
        <f>SUM(L39:L40)</f>
        <v>363.0039999983855</v>
      </c>
      <c r="M41" s="439">
        <f t="shared" ref="M41" si="77">SUM(M39:M40)</f>
        <v>49.994000000724242</v>
      </c>
      <c r="N41" s="439">
        <f t="shared" ref="N41" si="78">SUM(N39:N40)</f>
        <v>23.894000000192573</v>
      </c>
      <c r="O41" s="439">
        <f t="shared" si="68"/>
        <v>436.89199999930236</v>
      </c>
      <c r="P41" s="439"/>
      <c r="Q41" s="439">
        <f>SUM(Q39:Q40)</f>
        <v>342.71099999570379</v>
      </c>
      <c r="R41" s="439">
        <f t="shared" ref="R41" si="79">SUM(R39:R40)</f>
        <v>50.736999999938291</v>
      </c>
      <c r="S41" s="439">
        <f t="shared" ref="S41" si="80">SUM(S39:S40)</f>
        <v>22.265000000144845</v>
      </c>
      <c r="T41" s="439">
        <f t="shared" si="70"/>
        <v>415.7129999957869</v>
      </c>
      <c r="U41" s="439"/>
      <c r="V41" s="439">
        <f>SUM(V39:V40)</f>
        <v>330.05199999785151</v>
      </c>
      <c r="W41" s="439">
        <f t="shared" ref="W41" si="81">SUM(W39:W40)</f>
        <v>52.19000000035242</v>
      </c>
      <c r="X41" s="439">
        <f t="shared" ref="X41" si="82">SUM(X39:X40)</f>
        <v>21.185000000139595</v>
      </c>
      <c r="Y41" s="439">
        <f t="shared" si="72"/>
        <v>403.42699999834355</v>
      </c>
    </row>
    <row r="45" spans="1:25" ht="13.8" x14ac:dyDescent="0.25">
      <c r="A45" s="385" t="str">
        <f>"Industry 4 : "&amp; name!B7</f>
        <v>Industry 4 : Engineering</v>
      </c>
      <c r="B45" s="514">
        <f>$B$5</f>
        <v>2007</v>
      </c>
      <c r="C45" s="514"/>
      <c r="D45" s="514"/>
      <c r="E45" s="514"/>
      <c r="F45" s="461"/>
      <c r="G45" s="514">
        <f>$G$5</f>
        <v>2012</v>
      </c>
      <c r="H45" s="514"/>
      <c r="I45" s="514"/>
      <c r="J45" s="514"/>
      <c r="K45" s="461"/>
      <c r="L45" s="514">
        <f>$L$5</f>
        <v>2017</v>
      </c>
      <c r="M45" s="514"/>
      <c r="N45" s="514"/>
      <c r="O45" s="514"/>
      <c r="P45" s="459"/>
      <c r="Q45" s="514">
        <f>$Q$5</f>
        <v>2022</v>
      </c>
      <c r="R45" s="514"/>
      <c r="S45" s="514"/>
      <c r="T45" s="514"/>
      <c r="U45" s="461"/>
      <c r="V45" s="514">
        <f>$V$5</f>
        <v>2027</v>
      </c>
      <c r="W45" s="514"/>
      <c r="X45" s="514"/>
      <c r="Y45" s="514"/>
    </row>
    <row r="46" spans="1:25" x14ac:dyDescent="0.25">
      <c r="A46" s="381"/>
      <c r="B46" s="388" t="str">
        <f>$B$6</f>
        <v>FT</v>
      </c>
      <c r="C46" s="388" t="str">
        <f>$C$6</f>
        <v>PT</v>
      </c>
      <c r="D46" s="388" t="str">
        <f>$D$6</f>
        <v>SE</v>
      </c>
      <c r="E46" s="388" t="str">
        <f>$E$6</f>
        <v>Total</v>
      </c>
      <c r="F46" s="388"/>
      <c r="G46" s="388" t="str">
        <f>$B$6</f>
        <v>FT</v>
      </c>
      <c r="H46" s="388" t="str">
        <f>$C$6</f>
        <v>PT</v>
      </c>
      <c r="I46" s="388" t="str">
        <f>$D$6</f>
        <v>SE</v>
      </c>
      <c r="J46" s="388" t="str">
        <f>$E$6</f>
        <v>Total</v>
      </c>
      <c r="K46" s="388"/>
      <c r="L46" s="388" t="str">
        <f>$L$6</f>
        <v>FT</v>
      </c>
      <c r="M46" s="388" t="str">
        <f>$M$6</f>
        <v>PT</v>
      </c>
      <c r="N46" s="388" t="str">
        <f>$N$6</f>
        <v>SE</v>
      </c>
      <c r="O46" s="388" t="str">
        <f>$O$6</f>
        <v>Total</v>
      </c>
      <c r="P46" s="388"/>
      <c r="Q46" s="388" t="str">
        <f>$L$6</f>
        <v>FT</v>
      </c>
      <c r="R46" s="388" t="str">
        <f>$M$6</f>
        <v>PT</v>
      </c>
      <c r="S46" s="388" t="str">
        <f>$N$6</f>
        <v>SE</v>
      </c>
      <c r="T46" s="388" t="str">
        <f>$O$6</f>
        <v>Total</v>
      </c>
      <c r="U46" s="388"/>
      <c r="V46" s="388" t="str">
        <f>$V$6</f>
        <v>FT</v>
      </c>
      <c r="W46" s="388" t="str">
        <f>$W$6</f>
        <v>PT</v>
      </c>
      <c r="X46" s="388" t="str">
        <f>$X$6</f>
        <v>SE</v>
      </c>
      <c r="Y46" s="388" t="str">
        <f>$Y$6</f>
        <v>Total</v>
      </c>
    </row>
    <row r="47" spans="1:25" x14ac:dyDescent="0.25">
      <c r="B47" s="380"/>
      <c r="C47" s="460"/>
      <c r="D47" s="460"/>
      <c r="E47" s="460"/>
      <c r="F47" s="460"/>
      <c r="G47" s="460"/>
      <c r="H47" s="460"/>
      <c r="I47" s="460"/>
      <c r="J47" s="460"/>
      <c r="K47" s="460"/>
      <c r="L47" s="460"/>
      <c r="M47" s="460"/>
      <c r="N47" s="460"/>
      <c r="O47" s="460"/>
      <c r="P47" s="460"/>
      <c r="Q47" s="460"/>
      <c r="R47" s="460"/>
      <c r="S47" s="460"/>
      <c r="T47" s="460"/>
      <c r="U47" s="460"/>
      <c r="V47" s="460"/>
      <c r="W47" s="460"/>
      <c r="X47" s="460"/>
      <c r="Y47" s="460"/>
    </row>
    <row r="48" spans="1:25" x14ac:dyDescent="0.25">
      <c r="A48" s="378" t="str">
        <f>name!A19</f>
        <v>Computer, etc</v>
      </c>
      <c r="C48" s="380"/>
      <c r="D48" s="380"/>
      <c r="E48" s="380"/>
      <c r="F48" s="380"/>
      <c r="G48" s="380"/>
      <c r="H48" s="380"/>
      <c r="I48" s="380"/>
      <c r="J48" s="380"/>
      <c r="K48" s="380"/>
      <c r="L48" s="380"/>
      <c r="M48" s="380"/>
      <c r="N48" s="380"/>
      <c r="O48" s="380"/>
      <c r="P48" s="380"/>
      <c r="Q48" s="380"/>
      <c r="R48" s="380"/>
      <c r="S48" s="380"/>
      <c r="T48" s="380"/>
      <c r="U48" s="380"/>
      <c r="V48" s="380"/>
      <c r="W48" s="380"/>
      <c r="X48" s="380"/>
      <c r="Y48" s="380"/>
    </row>
    <row r="49" spans="1:25" x14ac:dyDescent="0.25">
      <c r="A49" s="382" t="s">
        <v>391</v>
      </c>
      <c r="B49" s="437">
        <v>35.986999999587908</v>
      </c>
      <c r="C49" s="437">
        <v>7.9970000000085601</v>
      </c>
      <c r="D49" s="437">
        <v>2.8790000000274873</v>
      </c>
      <c r="E49" s="437">
        <f>SUM(B49:D49)</f>
        <v>46.862999999623959</v>
      </c>
      <c r="F49" s="437"/>
      <c r="G49" s="437">
        <v>25.997999999741751</v>
      </c>
      <c r="H49" s="437">
        <v>6.9990000000574373</v>
      </c>
      <c r="I49" s="437">
        <v>0.41800000000036475</v>
      </c>
      <c r="J49" s="437">
        <f>SUM(G49:I49)</f>
        <v>33.414999999799548</v>
      </c>
      <c r="K49" s="437"/>
      <c r="L49" s="437">
        <v>25.591999999865486</v>
      </c>
      <c r="M49" s="437">
        <v>6.142000000076238</v>
      </c>
      <c r="N49" s="437">
        <v>0.99700000000796096</v>
      </c>
      <c r="O49" s="437">
        <f>SUM(L49:N49)</f>
        <v>32.730999999949681</v>
      </c>
      <c r="P49" s="437"/>
      <c r="Q49" s="437">
        <v>26.471999999855221</v>
      </c>
      <c r="R49" s="437">
        <v>6.1429999999865128</v>
      </c>
      <c r="S49" s="437">
        <v>1.037000000013848</v>
      </c>
      <c r="T49" s="437">
        <f>SUM(Q49:S49)</f>
        <v>33.651999999855583</v>
      </c>
      <c r="U49" s="437"/>
      <c r="V49" s="437">
        <v>25.802999999893874</v>
      </c>
      <c r="W49" s="437">
        <v>5.8090000000390329</v>
      </c>
      <c r="X49" s="437">
        <v>1.0180000000114369</v>
      </c>
      <c r="Y49" s="437">
        <f>SUM(V49:X49)</f>
        <v>32.629999999944346</v>
      </c>
    </row>
    <row r="50" spans="1:25" x14ac:dyDescent="0.25">
      <c r="A50" s="382" t="s">
        <v>390</v>
      </c>
      <c r="B50" s="438">
        <v>109.96199999991615</v>
      </c>
      <c r="C50" s="438">
        <v>2.997999999997937</v>
      </c>
      <c r="D50" s="438">
        <v>11.511999999955844</v>
      </c>
      <c r="E50" s="438">
        <f t="shared" ref="E50:E51" si="83">SUM(B50:D50)</f>
        <v>124.47199999986994</v>
      </c>
      <c r="F50" s="438"/>
      <c r="G50" s="438">
        <v>90.993999999799172</v>
      </c>
      <c r="H50" s="438">
        <v>3.0009999999997956</v>
      </c>
      <c r="I50" s="438">
        <v>4.6380000000027621</v>
      </c>
      <c r="J50" s="438">
        <f t="shared" ref="J50:J51" si="84">SUM(G50:I50)</f>
        <v>98.632999999801726</v>
      </c>
      <c r="K50" s="438"/>
      <c r="L50" s="438">
        <v>84.294999999792736</v>
      </c>
      <c r="M50" s="438">
        <v>2.9749999999916548</v>
      </c>
      <c r="N50" s="438">
        <v>5.9699999999835089</v>
      </c>
      <c r="O50" s="438">
        <f t="shared" ref="O50:O51" si="85">SUM(L50:N50)</f>
        <v>93.239999999767903</v>
      </c>
      <c r="P50" s="438"/>
      <c r="Q50" s="438">
        <v>83.501999999980683</v>
      </c>
      <c r="R50" s="438">
        <v>3.2400000000038425</v>
      </c>
      <c r="S50" s="438">
        <v>6.0629999999070456</v>
      </c>
      <c r="T50" s="438">
        <f t="shared" ref="T50:T51" si="86">SUM(Q50:S50)</f>
        <v>92.804999999891578</v>
      </c>
      <c r="U50" s="438"/>
      <c r="V50" s="438">
        <v>78.158999999917626</v>
      </c>
      <c r="W50" s="438">
        <v>3.3029999999983692</v>
      </c>
      <c r="X50" s="438">
        <v>5.8099999999047265</v>
      </c>
      <c r="Y50" s="438">
        <f t="shared" ref="Y50:Y51" si="87">SUM(V50:X50)</f>
        <v>87.271999999820721</v>
      </c>
    </row>
    <row r="51" spans="1:25" x14ac:dyDescent="0.25">
      <c r="A51" s="382" t="s">
        <v>389</v>
      </c>
      <c r="B51" s="438">
        <f>SUM(B49:B50)</f>
        <v>145.94899999950405</v>
      </c>
      <c r="C51" s="438">
        <f t="shared" ref="C51" si="88">SUM(C49:C50)</f>
        <v>10.995000000006497</v>
      </c>
      <c r="D51" s="438">
        <f t="shared" ref="D51" si="89">SUM(D49:D50)</f>
        <v>14.390999999983331</v>
      </c>
      <c r="E51" s="438">
        <f t="shared" si="83"/>
        <v>171.33499999949387</v>
      </c>
      <c r="F51" s="438"/>
      <c r="G51" s="438">
        <f>SUM(G49:G50)</f>
        <v>116.99199999954092</v>
      </c>
      <c r="H51" s="438">
        <f t="shared" ref="H51" si="90">SUM(H49:H50)</f>
        <v>10.000000000057232</v>
      </c>
      <c r="I51" s="438">
        <f t="shared" ref="I51" si="91">SUM(I49:I50)</f>
        <v>5.0560000000031273</v>
      </c>
      <c r="J51" s="438">
        <f t="shared" si="84"/>
        <v>132.04799999960127</v>
      </c>
      <c r="K51" s="438"/>
      <c r="L51" s="438">
        <f>SUM(L49:L50)</f>
        <v>109.88699999965823</v>
      </c>
      <c r="M51" s="438">
        <f t="shared" ref="M51" si="92">SUM(M49:M50)</f>
        <v>9.1170000000678932</v>
      </c>
      <c r="N51" s="438">
        <f t="shared" ref="N51" si="93">SUM(N49:N50)</f>
        <v>6.9669999999914696</v>
      </c>
      <c r="O51" s="438">
        <f t="shared" si="85"/>
        <v>125.97099999971759</v>
      </c>
      <c r="P51" s="438"/>
      <c r="Q51" s="438">
        <f>SUM(Q49:Q50)</f>
        <v>109.97399999983591</v>
      </c>
      <c r="R51" s="438">
        <f t="shared" ref="R51" si="94">SUM(R49:R50)</f>
        <v>9.3829999999903553</v>
      </c>
      <c r="S51" s="438">
        <f t="shared" ref="S51" si="95">SUM(S49:S50)</f>
        <v>7.0999999999208931</v>
      </c>
      <c r="T51" s="438">
        <f t="shared" si="86"/>
        <v>126.45699999974717</v>
      </c>
      <c r="U51" s="438"/>
      <c r="V51" s="438">
        <f>SUM(V49:V50)</f>
        <v>103.9619999998115</v>
      </c>
      <c r="W51" s="438">
        <f t="shared" ref="W51" si="96">SUM(W49:W50)</f>
        <v>9.1120000000374013</v>
      </c>
      <c r="X51" s="438">
        <f t="shared" ref="X51" si="97">SUM(X49:X50)</f>
        <v>6.8279999999161634</v>
      </c>
      <c r="Y51" s="438">
        <f t="shared" si="87"/>
        <v>119.90199999976505</v>
      </c>
    </row>
    <row r="52" spans="1:25" x14ac:dyDescent="0.25">
      <c r="B52" s="380"/>
      <c r="C52" s="460"/>
      <c r="D52" s="460"/>
      <c r="E52" s="460"/>
      <c r="F52" s="460"/>
      <c r="G52" s="460"/>
      <c r="H52" s="460"/>
      <c r="I52" s="460"/>
      <c r="J52" s="460"/>
      <c r="K52" s="460"/>
      <c r="L52" s="460"/>
      <c r="M52" s="460"/>
      <c r="N52" s="460"/>
      <c r="O52" s="460"/>
      <c r="P52" s="460"/>
      <c r="Q52" s="460"/>
      <c r="R52" s="460"/>
      <c r="S52" s="460"/>
      <c r="T52" s="460"/>
      <c r="U52" s="460"/>
      <c r="V52" s="460"/>
      <c r="W52" s="460"/>
      <c r="X52" s="460"/>
      <c r="Y52" s="460"/>
    </row>
    <row r="53" spans="1:25" x14ac:dyDescent="0.25">
      <c r="A53" s="378" t="str">
        <f>name!A20</f>
        <v>Electrical equipment</v>
      </c>
      <c r="C53" s="380"/>
      <c r="D53" s="380"/>
      <c r="E53" s="380"/>
      <c r="F53" s="380"/>
      <c r="G53" s="380"/>
      <c r="H53" s="380"/>
      <c r="I53" s="380"/>
      <c r="J53" s="380"/>
      <c r="K53" s="380"/>
      <c r="L53" s="380"/>
      <c r="M53" s="380"/>
      <c r="N53" s="380"/>
      <c r="O53" s="380"/>
      <c r="P53" s="380"/>
      <c r="Q53" s="380"/>
      <c r="R53" s="380"/>
      <c r="S53" s="380"/>
      <c r="T53" s="380"/>
      <c r="U53" s="380"/>
      <c r="V53" s="380"/>
      <c r="W53" s="380"/>
      <c r="X53" s="380"/>
      <c r="Y53" s="380"/>
    </row>
    <row r="54" spans="1:25" x14ac:dyDescent="0.25">
      <c r="A54" s="382" t="s">
        <v>391</v>
      </c>
      <c r="B54" s="437">
        <v>20.775999999715694</v>
      </c>
      <c r="C54" s="437">
        <v>4.9459999999984543</v>
      </c>
      <c r="D54" s="437">
        <v>0.3760000000036981</v>
      </c>
      <c r="E54" s="437">
        <f>SUM(B54:D54)</f>
        <v>26.09799999971785</v>
      </c>
      <c r="F54" s="437"/>
      <c r="G54" s="437">
        <v>19.824999999789917</v>
      </c>
      <c r="H54" s="437">
        <v>4.1739999999871253</v>
      </c>
      <c r="I54" s="437">
        <v>0.50300000000340672</v>
      </c>
      <c r="J54" s="437">
        <f>SUM(G54:I54)</f>
        <v>24.501999999780448</v>
      </c>
      <c r="K54" s="437"/>
      <c r="L54" s="437">
        <v>16.227999999897232</v>
      </c>
      <c r="M54" s="437">
        <v>4.7740000000115472</v>
      </c>
      <c r="N54" s="437">
        <v>2.3890000000179974</v>
      </c>
      <c r="O54" s="437">
        <f>SUM(L54:N54)</f>
        <v>23.390999999926777</v>
      </c>
      <c r="P54" s="437"/>
      <c r="Q54" s="437">
        <v>16.309999999869117</v>
      </c>
      <c r="R54" s="437">
        <v>4.6489999999627694</v>
      </c>
      <c r="S54" s="437">
        <v>2.2680000000190033</v>
      </c>
      <c r="T54" s="437">
        <f>SUM(Q54:S54)</f>
        <v>23.226999999850889</v>
      </c>
      <c r="U54" s="437"/>
      <c r="V54" s="437">
        <v>16.433999999915663</v>
      </c>
      <c r="W54" s="437">
        <v>4.550000000003438</v>
      </c>
      <c r="X54" s="437">
        <v>2.1650000000143859</v>
      </c>
      <c r="Y54" s="437">
        <f>SUM(V54:X54)</f>
        <v>23.148999999933487</v>
      </c>
    </row>
    <row r="55" spans="1:25" x14ac:dyDescent="0.25">
      <c r="A55" s="382" t="s">
        <v>390</v>
      </c>
      <c r="B55" s="438">
        <v>69.238999999840487</v>
      </c>
      <c r="C55" s="438">
        <v>1.0039999999987688</v>
      </c>
      <c r="D55" s="438">
        <v>2.5030000000058092</v>
      </c>
      <c r="E55" s="438">
        <f t="shared" ref="E55:E56" si="98">SUM(B55:D55)</f>
        <v>72.745999999845068</v>
      </c>
      <c r="F55" s="438"/>
      <c r="G55" s="438">
        <v>61.025999999721407</v>
      </c>
      <c r="H55" s="438">
        <v>1.966999999997507</v>
      </c>
      <c r="I55" s="438">
        <v>0.5059999999981154</v>
      </c>
      <c r="J55" s="438">
        <f t="shared" ref="J55:J56" si="99">SUM(G55:I55)</f>
        <v>63.498999999717029</v>
      </c>
      <c r="K55" s="438"/>
      <c r="L55" s="438">
        <v>54.99999999982515</v>
      </c>
      <c r="M55" s="438">
        <v>1.9999999999949518</v>
      </c>
      <c r="N55" s="438">
        <v>1.5919999999959831</v>
      </c>
      <c r="O55" s="438">
        <f t="shared" ref="O55:O56" si="100">SUM(L55:N55)</f>
        <v>58.591999999816089</v>
      </c>
      <c r="P55" s="438"/>
      <c r="Q55" s="438">
        <v>53.352999999794072</v>
      </c>
      <c r="R55" s="438">
        <v>2.151000000004375</v>
      </c>
      <c r="S55" s="438">
        <v>1.5629999999993964</v>
      </c>
      <c r="T55" s="438">
        <f t="shared" ref="T55:T56" si="101">SUM(Q55:S55)</f>
        <v>57.066999999797844</v>
      </c>
      <c r="U55" s="438"/>
      <c r="V55" s="438">
        <v>51.99999999980475</v>
      </c>
      <c r="W55" s="438">
        <v>2.2970000000027144</v>
      </c>
      <c r="X55" s="438">
        <v>1.5380000000019718</v>
      </c>
      <c r="Y55" s="438">
        <f t="shared" ref="Y55:Y56" si="102">SUM(V55:X55)</f>
        <v>55.834999999809433</v>
      </c>
    </row>
    <row r="56" spans="1:25" x14ac:dyDescent="0.25">
      <c r="A56" s="382" t="s">
        <v>389</v>
      </c>
      <c r="B56" s="438">
        <f>SUM(B54:B55)</f>
        <v>90.014999999556181</v>
      </c>
      <c r="C56" s="438">
        <f t="shared" ref="C56" si="103">SUM(C54:C55)</f>
        <v>5.9499999999972228</v>
      </c>
      <c r="D56" s="438">
        <f t="shared" ref="D56" si="104">SUM(D54:D55)</f>
        <v>2.8790000000095075</v>
      </c>
      <c r="E56" s="438">
        <f t="shared" si="98"/>
        <v>98.843999999562911</v>
      </c>
      <c r="F56" s="438"/>
      <c r="G56" s="438">
        <f>SUM(G54:G55)</f>
        <v>80.850999999511316</v>
      </c>
      <c r="H56" s="438">
        <f t="shared" ref="H56" si="105">SUM(H54:H55)</f>
        <v>6.1409999999846328</v>
      </c>
      <c r="I56" s="438">
        <f t="shared" ref="I56" si="106">SUM(I54:I55)</f>
        <v>1.0090000000015222</v>
      </c>
      <c r="J56" s="438">
        <f t="shared" si="99"/>
        <v>88.000999999497466</v>
      </c>
      <c r="K56" s="438"/>
      <c r="L56" s="438">
        <f>SUM(L54:L55)</f>
        <v>71.227999999722385</v>
      </c>
      <c r="M56" s="438">
        <f t="shared" ref="M56" si="107">SUM(M54:M55)</f>
        <v>6.7740000000064988</v>
      </c>
      <c r="N56" s="438">
        <f t="shared" ref="N56" si="108">SUM(N54:N55)</f>
        <v>3.9810000000139807</v>
      </c>
      <c r="O56" s="438">
        <f t="shared" si="100"/>
        <v>81.982999999742859</v>
      </c>
      <c r="P56" s="438"/>
      <c r="Q56" s="438">
        <f>SUM(Q54:Q55)</f>
        <v>69.662999999663185</v>
      </c>
      <c r="R56" s="438">
        <f t="shared" ref="R56" si="109">SUM(R54:R55)</f>
        <v>6.7999999999671443</v>
      </c>
      <c r="S56" s="438">
        <f t="shared" ref="S56" si="110">SUM(S54:S55)</f>
        <v>3.8310000000183999</v>
      </c>
      <c r="T56" s="438">
        <f t="shared" si="101"/>
        <v>80.293999999648733</v>
      </c>
      <c r="U56" s="438"/>
      <c r="V56" s="438">
        <f>SUM(V54:V55)</f>
        <v>68.433999999720413</v>
      </c>
      <c r="W56" s="438">
        <f t="shared" ref="W56" si="111">SUM(W54:W55)</f>
        <v>6.8470000000061528</v>
      </c>
      <c r="X56" s="438">
        <f t="shared" ref="X56" si="112">SUM(X54:X55)</f>
        <v>3.7030000000163579</v>
      </c>
      <c r="Y56" s="438">
        <f t="shared" si="102"/>
        <v>78.98399999974292</v>
      </c>
    </row>
    <row r="57" spans="1:25" x14ac:dyDescent="0.25">
      <c r="B57" s="380"/>
      <c r="C57" s="460"/>
      <c r="D57" s="460"/>
      <c r="E57" s="460"/>
      <c r="F57" s="460"/>
      <c r="G57" s="460"/>
      <c r="H57" s="460"/>
      <c r="I57" s="460"/>
      <c r="J57" s="460"/>
      <c r="K57" s="460"/>
      <c r="L57" s="460"/>
      <c r="M57" s="460"/>
      <c r="N57" s="460"/>
      <c r="O57" s="460"/>
      <c r="P57" s="460"/>
      <c r="Q57" s="460"/>
      <c r="R57" s="460"/>
      <c r="S57" s="460"/>
      <c r="T57" s="460"/>
      <c r="U57" s="460"/>
      <c r="V57" s="460"/>
      <c r="W57" s="460"/>
      <c r="X57" s="460"/>
      <c r="Y57" s="460"/>
    </row>
    <row r="58" spans="1:25" x14ac:dyDescent="0.25">
      <c r="A58" s="378" t="str">
        <f>name!A21</f>
        <v>Machinery n.e.c.</v>
      </c>
      <c r="C58" s="380"/>
      <c r="D58" s="380"/>
      <c r="E58" s="380"/>
      <c r="F58" s="380"/>
      <c r="G58" s="380"/>
      <c r="H58" s="380"/>
      <c r="I58" s="380"/>
      <c r="J58" s="380"/>
      <c r="K58" s="380"/>
      <c r="L58" s="380"/>
      <c r="M58" s="380"/>
      <c r="N58" s="380"/>
      <c r="O58" s="380"/>
      <c r="P58" s="380"/>
      <c r="Q58" s="380"/>
      <c r="R58" s="380"/>
      <c r="S58" s="380"/>
      <c r="T58" s="380"/>
      <c r="U58" s="380"/>
      <c r="V58" s="380"/>
      <c r="W58" s="380"/>
      <c r="X58" s="380"/>
      <c r="Y58" s="380"/>
    </row>
    <row r="59" spans="1:25" x14ac:dyDescent="0.25">
      <c r="A59" s="382" t="s">
        <v>391</v>
      </c>
      <c r="B59" s="437">
        <v>29.730999999632434</v>
      </c>
      <c r="C59" s="437">
        <v>10.250999999993958</v>
      </c>
      <c r="D59" s="437">
        <v>1.2600000000131111</v>
      </c>
      <c r="E59" s="437">
        <f>SUM(B59:D59)</f>
        <v>41.241999999639503</v>
      </c>
      <c r="F59" s="437"/>
      <c r="G59" s="437">
        <v>28.997999999717347</v>
      </c>
      <c r="H59" s="437">
        <v>6.9999999999889262</v>
      </c>
      <c r="I59" s="437">
        <v>0.80700000000581396</v>
      </c>
      <c r="J59" s="437">
        <f>SUM(G59:I59)</f>
        <v>36.804999999712088</v>
      </c>
      <c r="K59" s="437"/>
      <c r="L59" s="437">
        <v>22.121999999841371</v>
      </c>
      <c r="M59" s="437">
        <v>7.0380000000277763</v>
      </c>
      <c r="N59" s="437">
        <v>0.41000000000372916</v>
      </c>
      <c r="O59" s="437">
        <f>SUM(L59:N59)</f>
        <v>29.569999999872877</v>
      </c>
      <c r="P59" s="437"/>
      <c r="Q59" s="437">
        <v>21.766999999803382</v>
      </c>
      <c r="R59" s="437">
        <v>9.5849999999565618</v>
      </c>
      <c r="S59" s="437">
        <v>0.53900000000671577</v>
      </c>
      <c r="T59" s="437">
        <f>SUM(Q59:S59)</f>
        <v>31.89099999976666</v>
      </c>
      <c r="U59" s="437"/>
      <c r="V59" s="437">
        <v>19.348999999877005</v>
      </c>
      <c r="W59" s="437">
        <v>11.749000000024285</v>
      </c>
      <c r="X59" s="437">
        <v>0.6490000000061007</v>
      </c>
      <c r="Y59" s="437">
        <f>SUM(V59:X59)</f>
        <v>31.746999999907391</v>
      </c>
    </row>
    <row r="60" spans="1:25" x14ac:dyDescent="0.25">
      <c r="A60" s="382" t="s">
        <v>390</v>
      </c>
      <c r="B60" s="438">
        <v>175.93599999956155</v>
      </c>
      <c r="C60" s="438">
        <v>3.0020000000026865</v>
      </c>
      <c r="D60" s="438">
        <v>5.4570000000114067</v>
      </c>
      <c r="E60" s="438">
        <f t="shared" ref="E60:E61" si="113">SUM(B60:D60)</f>
        <v>184.39499999957565</v>
      </c>
      <c r="F60" s="438"/>
      <c r="G60" s="438">
        <v>157.98799999931126</v>
      </c>
      <c r="H60" s="438">
        <v>3.9980000000037665</v>
      </c>
      <c r="I60" s="438">
        <v>3.2339999999801541</v>
      </c>
      <c r="J60" s="438">
        <f t="shared" ref="J60:J61" si="114">SUM(G60:I60)</f>
        <v>165.21999999929517</v>
      </c>
      <c r="K60" s="438"/>
      <c r="L60" s="438">
        <v>151.84899999942982</v>
      </c>
      <c r="M60" s="438">
        <v>2.9969999999999937</v>
      </c>
      <c r="N60" s="438">
        <v>4.5639999999735288</v>
      </c>
      <c r="O60" s="438">
        <f t="shared" ref="O60:O61" si="115">SUM(L60:N60)</f>
        <v>159.40999999940334</v>
      </c>
      <c r="P60" s="438"/>
      <c r="Q60" s="438">
        <v>149.69199999943427</v>
      </c>
      <c r="R60" s="438">
        <v>4.8570000000052485</v>
      </c>
      <c r="S60" s="438">
        <v>5.5599999999831198</v>
      </c>
      <c r="T60" s="438">
        <f t="shared" ref="T60:T61" si="116">SUM(Q60:S60)</f>
        <v>160.10899999942265</v>
      </c>
      <c r="U60" s="438"/>
      <c r="V60" s="438">
        <v>133.39999999956893</v>
      </c>
      <c r="W60" s="438">
        <v>6.6389999999978082</v>
      </c>
      <c r="X60" s="438">
        <v>6.2399999999915599</v>
      </c>
      <c r="Y60" s="438">
        <f t="shared" ref="Y60:Y61" si="117">SUM(V60:X60)</f>
        <v>146.27899999955832</v>
      </c>
    </row>
    <row r="61" spans="1:25" x14ac:dyDescent="0.25">
      <c r="A61" s="382" t="s">
        <v>389</v>
      </c>
      <c r="B61" s="438">
        <f>SUM(B59:B60)</f>
        <v>205.66699999919399</v>
      </c>
      <c r="C61" s="438">
        <f t="shared" ref="C61" si="118">SUM(C59:C60)</f>
        <v>13.252999999996645</v>
      </c>
      <c r="D61" s="438">
        <f t="shared" ref="D61" si="119">SUM(D59:D60)</f>
        <v>6.7170000000245178</v>
      </c>
      <c r="E61" s="438">
        <f t="shared" si="113"/>
        <v>225.63699999921513</v>
      </c>
      <c r="F61" s="438"/>
      <c r="G61" s="438">
        <f>SUM(G59:G60)</f>
        <v>186.98599999902859</v>
      </c>
      <c r="H61" s="438">
        <f t="shared" ref="H61" si="120">SUM(H59:H60)</f>
        <v>10.997999999992693</v>
      </c>
      <c r="I61" s="438">
        <f t="shared" ref="I61" si="121">SUM(I59:I60)</f>
        <v>4.040999999985968</v>
      </c>
      <c r="J61" s="438">
        <f t="shared" si="114"/>
        <v>202.02499999900724</v>
      </c>
      <c r="K61" s="438"/>
      <c r="L61" s="438">
        <f>SUM(L59:L60)</f>
        <v>173.97099999927119</v>
      </c>
      <c r="M61" s="438">
        <f t="shared" ref="M61" si="122">SUM(M59:M60)</f>
        <v>10.03500000002777</v>
      </c>
      <c r="N61" s="438">
        <f t="shared" ref="N61" si="123">SUM(N59:N60)</f>
        <v>4.9739999999772575</v>
      </c>
      <c r="O61" s="438">
        <f t="shared" si="115"/>
        <v>188.9799999992762</v>
      </c>
      <c r="P61" s="438"/>
      <c r="Q61" s="438">
        <f>SUM(Q59:Q60)</f>
        <v>171.45899999923765</v>
      </c>
      <c r="R61" s="438">
        <f t="shared" ref="R61" si="124">SUM(R59:R60)</f>
        <v>14.44199999996181</v>
      </c>
      <c r="S61" s="438">
        <f t="shared" ref="S61" si="125">SUM(S59:S60)</f>
        <v>6.0989999999898359</v>
      </c>
      <c r="T61" s="438">
        <f t="shared" si="116"/>
        <v>191.9999999991893</v>
      </c>
      <c r="U61" s="438"/>
      <c r="V61" s="438">
        <f>SUM(V59:V60)</f>
        <v>152.74899999944594</v>
      </c>
      <c r="W61" s="438">
        <f t="shared" ref="W61" si="126">SUM(W59:W60)</f>
        <v>18.388000000022092</v>
      </c>
      <c r="X61" s="438">
        <f t="shared" ref="X61" si="127">SUM(X59:X60)</f>
        <v>6.8889999999976608</v>
      </c>
      <c r="Y61" s="438">
        <f t="shared" si="117"/>
        <v>178.02599999946568</v>
      </c>
    </row>
    <row r="62" spans="1:25" x14ac:dyDescent="0.25">
      <c r="C62" s="453"/>
    </row>
    <row r="63" spans="1:25" x14ac:dyDescent="0.25">
      <c r="A63" s="383" t="s">
        <v>406</v>
      </c>
    </row>
    <row r="64" spans="1:25" x14ac:dyDescent="0.25">
      <c r="A64" s="377" t="s">
        <v>391</v>
      </c>
      <c r="B64" s="437">
        <f>SUM(B49,B54,B59)</f>
        <v>86.493999998936033</v>
      </c>
      <c r="C64" s="437">
        <f t="shared" ref="C64:D65" si="128">SUM(C49,C54,C59)</f>
        <v>23.194000000000973</v>
      </c>
      <c r="D64" s="437">
        <f t="shared" si="128"/>
        <v>4.5150000000442967</v>
      </c>
      <c r="E64" s="437">
        <f>SUM(B64:D64)</f>
        <v>114.2029999989813</v>
      </c>
      <c r="F64" s="437"/>
      <c r="G64" s="437">
        <f>SUM(G49,G54,G59)</f>
        <v>74.820999999249011</v>
      </c>
      <c r="H64" s="437">
        <f t="shared" ref="H64:I64" si="129">SUM(H49,H54,H59)</f>
        <v>18.17300000003349</v>
      </c>
      <c r="I64" s="437">
        <f t="shared" si="129"/>
        <v>1.7280000000095854</v>
      </c>
      <c r="J64" s="437">
        <f>SUM(G64:I64)</f>
        <v>94.72199999929208</v>
      </c>
      <c r="K64" s="437"/>
      <c r="L64" s="437">
        <f>SUM(L49,L54,L59)</f>
        <v>63.941999999604086</v>
      </c>
      <c r="M64" s="437">
        <f t="shared" ref="M64:N64" si="130">SUM(M49,M54,M59)</f>
        <v>17.95400000011556</v>
      </c>
      <c r="N64" s="437">
        <f t="shared" si="130"/>
        <v>3.7960000000296876</v>
      </c>
      <c r="O64" s="437">
        <f>SUM(L64:N64)</f>
        <v>85.691999999749342</v>
      </c>
      <c r="P64" s="437"/>
      <c r="Q64" s="437">
        <f>SUM(Q49,Q54,Q59)</f>
        <v>64.548999999527723</v>
      </c>
      <c r="R64" s="437">
        <f t="shared" ref="R64:S64" si="131">SUM(R49,R54,R59)</f>
        <v>20.376999999905845</v>
      </c>
      <c r="S64" s="437">
        <f t="shared" si="131"/>
        <v>3.8440000000395669</v>
      </c>
      <c r="T64" s="437">
        <f>SUM(Q64:S64)</f>
        <v>88.769999999473143</v>
      </c>
      <c r="U64" s="437"/>
      <c r="V64" s="437">
        <f>SUM(V49,V54,V59)</f>
        <v>61.58599999968655</v>
      </c>
      <c r="W64" s="437">
        <f t="shared" ref="W64:X64" si="132">SUM(W49,W54,W59)</f>
        <v>22.108000000066756</v>
      </c>
      <c r="X64" s="437">
        <f t="shared" si="132"/>
        <v>3.8320000000319236</v>
      </c>
      <c r="Y64" s="437">
        <f>SUM(V64:X64)</f>
        <v>87.525999999785228</v>
      </c>
    </row>
    <row r="65" spans="1:25" x14ac:dyDescent="0.25">
      <c r="A65" s="377" t="s">
        <v>390</v>
      </c>
      <c r="B65" s="437">
        <f>SUM(B50,B55,B60)</f>
        <v>355.13699999931816</v>
      </c>
      <c r="C65" s="437">
        <f t="shared" si="128"/>
        <v>7.003999999999392</v>
      </c>
      <c r="D65" s="437">
        <f t="shared" si="128"/>
        <v>19.471999999973058</v>
      </c>
      <c r="E65" s="437">
        <f t="shared" ref="E65:E66" si="133">SUM(B65:D65)</f>
        <v>381.61299999929059</v>
      </c>
      <c r="F65" s="437"/>
      <c r="G65" s="437">
        <f>SUM(G50,G55,G60)</f>
        <v>310.00799999883179</v>
      </c>
      <c r="H65" s="437">
        <f t="shared" ref="H65:I65" si="134">SUM(H50,H55,H60)</f>
        <v>8.9660000000010687</v>
      </c>
      <c r="I65" s="437">
        <f t="shared" si="134"/>
        <v>8.3779999999810322</v>
      </c>
      <c r="J65" s="437">
        <f t="shared" ref="J65:J66" si="135">SUM(G65:I65)</f>
        <v>327.35199999881394</v>
      </c>
      <c r="K65" s="437"/>
      <c r="L65" s="437">
        <f>SUM(L50,L55,L60)</f>
        <v>291.14399999904771</v>
      </c>
      <c r="M65" s="437">
        <f t="shared" ref="M65:N65" si="136">SUM(M50,M55,M60)</f>
        <v>7.9719999999866005</v>
      </c>
      <c r="N65" s="437">
        <f t="shared" si="136"/>
        <v>12.12599999995302</v>
      </c>
      <c r="O65" s="437">
        <f t="shared" ref="O65:O66" si="137">SUM(L65:N65)</f>
        <v>311.24199999898735</v>
      </c>
      <c r="P65" s="437"/>
      <c r="Q65" s="437">
        <f>SUM(Q50,Q55,Q60)</f>
        <v>286.54699999920899</v>
      </c>
      <c r="R65" s="437">
        <f t="shared" ref="R65:S65" si="138">SUM(R50,R55,R60)</f>
        <v>10.248000000013466</v>
      </c>
      <c r="S65" s="437">
        <f t="shared" si="138"/>
        <v>13.185999999889562</v>
      </c>
      <c r="T65" s="437">
        <f t="shared" ref="T65:T66" si="139">SUM(Q65:S65)</f>
        <v>309.98099999911204</v>
      </c>
      <c r="U65" s="437"/>
      <c r="V65" s="437">
        <f>SUM(V50,V55,V60)</f>
        <v>263.5589999992913</v>
      </c>
      <c r="W65" s="437">
        <f t="shared" ref="W65:X65" si="140">SUM(W50,W55,W60)</f>
        <v>12.238999999998892</v>
      </c>
      <c r="X65" s="437">
        <f t="shared" si="140"/>
        <v>13.587999999898258</v>
      </c>
      <c r="Y65" s="437">
        <f t="shared" ref="Y65:Y66" si="141">SUM(V65:X65)</f>
        <v>289.38599999918847</v>
      </c>
    </row>
    <row r="66" spans="1:25" x14ac:dyDescent="0.25">
      <c r="A66" s="381" t="s">
        <v>389</v>
      </c>
      <c r="B66" s="439">
        <f>SUM(B64:B65)</f>
        <v>441.6309999982542</v>
      </c>
      <c r="C66" s="439">
        <f t="shared" ref="C66" si="142">SUM(C64:C65)</f>
        <v>30.198000000000363</v>
      </c>
      <c r="D66" s="439">
        <f t="shared" ref="D66" si="143">SUM(D64:D65)</f>
        <v>23.987000000017353</v>
      </c>
      <c r="E66" s="439">
        <f t="shared" si="133"/>
        <v>495.81599999827193</v>
      </c>
      <c r="F66" s="439"/>
      <c r="G66" s="439">
        <f>SUM(G64:G65)</f>
        <v>384.8289999980808</v>
      </c>
      <c r="H66" s="439">
        <f t="shared" ref="H66" si="144">SUM(H64:H65)</f>
        <v>27.139000000034557</v>
      </c>
      <c r="I66" s="439">
        <f t="shared" ref="I66" si="145">SUM(I64:I65)</f>
        <v>10.105999999990617</v>
      </c>
      <c r="J66" s="439">
        <f t="shared" si="135"/>
        <v>422.07399999810599</v>
      </c>
      <c r="K66" s="439"/>
      <c r="L66" s="439">
        <f>SUM(L64:L65)</f>
        <v>355.0859999986518</v>
      </c>
      <c r="M66" s="439">
        <f t="shared" ref="M66" si="146">SUM(M64:M65)</f>
        <v>25.92600000010216</v>
      </c>
      <c r="N66" s="439">
        <f t="shared" ref="N66" si="147">SUM(N64:N65)</f>
        <v>15.921999999982708</v>
      </c>
      <c r="O66" s="439">
        <f t="shared" si="137"/>
        <v>396.93399999873662</v>
      </c>
      <c r="P66" s="439"/>
      <c r="Q66" s="439">
        <f>SUM(Q64:Q65)</f>
        <v>351.09599999873672</v>
      </c>
      <c r="R66" s="439">
        <f t="shared" ref="R66" si="148">SUM(R64:R65)</f>
        <v>30.624999999919311</v>
      </c>
      <c r="S66" s="439">
        <f t="shared" ref="S66" si="149">SUM(S64:S65)</f>
        <v>17.029999999929128</v>
      </c>
      <c r="T66" s="439">
        <f t="shared" si="139"/>
        <v>398.75099999858514</v>
      </c>
      <c r="U66" s="439"/>
      <c r="V66" s="439">
        <f>SUM(V64:V65)</f>
        <v>325.14499999897782</v>
      </c>
      <c r="W66" s="439">
        <f t="shared" ref="W66" si="150">SUM(W64:W65)</f>
        <v>34.347000000065648</v>
      </c>
      <c r="X66" s="439">
        <f t="shared" ref="X66" si="151">SUM(X64:X65)</f>
        <v>17.419999999930184</v>
      </c>
      <c r="Y66" s="439">
        <f t="shared" si="141"/>
        <v>376.91199999897367</v>
      </c>
    </row>
    <row r="67" spans="1:25" x14ac:dyDescent="0.25">
      <c r="C67" s="453"/>
    </row>
    <row r="68" spans="1:25" x14ac:dyDescent="0.25">
      <c r="C68" s="453"/>
    </row>
    <row r="69" spans="1:25" x14ac:dyDescent="0.25">
      <c r="A69" s="383"/>
    </row>
    <row r="70" spans="1:25" ht="13.8" x14ac:dyDescent="0.25">
      <c r="A70" s="385" t="str">
        <f>"Industry 5 : "&amp; name!B8</f>
        <v>Industry 5 : Rest of manufacturing</v>
      </c>
      <c r="B70" s="514">
        <f>$B$5</f>
        <v>2007</v>
      </c>
      <c r="C70" s="514"/>
      <c r="D70" s="514"/>
      <c r="E70" s="514"/>
      <c r="F70" s="461"/>
      <c r="G70" s="514">
        <f>$G$5</f>
        <v>2012</v>
      </c>
      <c r="H70" s="514"/>
      <c r="I70" s="514"/>
      <c r="J70" s="514"/>
      <c r="K70" s="461"/>
      <c r="L70" s="514">
        <f>$L$5</f>
        <v>2017</v>
      </c>
      <c r="M70" s="514"/>
      <c r="N70" s="514"/>
      <c r="O70" s="514"/>
      <c r="P70" s="459"/>
      <c r="Q70" s="514">
        <f>$Q$5</f>
        <v>2022</v>
      </c>
      <c r="R70" s="514"/>
      <c r="S70" s="514"/>
      <c r="T70" s="514"/>
      <c r="U70" s="461"/>
      <c r="V70" s="514">
        <f>$V$5</f>
        <v>2027</v>
      </c>
      <c r="W70" s="514"/>
      <c r="X70" s="514"/>
      <c r="Y70" s="514"/>
    </row>
    <row r="71" spans="1:25" x14ac:dyDescent="0.25">
      <c r="A71" s="381"/>
      <c r="B71" s="388" t="str">
        <f>$B$6</f>
        <v>FT</v>
      </c>
      <c r="C71" s="388" t="str">
        <f>$C$6</f>
        <v>PT</v>
      </c>
      <c r="D71" s="388" t="str">
        <f>$D$6</f>
        <v>SE</v>
      </c>
      <c r="E71" s="388" t="str">
        <f>$E$6</f>
        <v>Total</v>
      </c>
      <c r="F71" s="388"/>
      <c r="G71" s="388" t="str">
        <f>$B$6</f>
        <v>FT</v>
      </c>
      <c r="H71" s="388" t="str">
        <f>$C$6</f>
        <v>PT</v>
      </c>
      <c r="I71" s="388" t="str">
        <f>$D$6</f>
        <v>SE</v>
      </c>
      <c r="J71" s="388" t="str">
        <f>$E$6</f>
        <v>Total</v>
      </c>
      <c r="K71" s="388"/>
      <c r="L71" s="388" t="str">
        <f>$L$6</f>
        <v>FT</v>
      </c>
      <c r="M71" s="388" t="str">
        <f>$M$6</f>
        <v>PT</v>
      </c>
      <c r="N71" s="388" t="str">
        <f>$N$6</f>
        <v>SE</v>
      </c>
      <c r="O71" s="388" t="str">
        <f>$O$6</f>
        <v>Total</v>
      </c>
      <c r="P71" s="388"/>
      <c r="Q71" s="388" t="str">
        <f>$L$6</f>
        <v>FT</v>
      </c>
      <c r="R71" s="388" t="str">
        <f>$M$6</f>
        <v>PT</v>
      </c>
      <c r="S71" s="388" t="str">
        <f>$N$6</f>
        <v>SE</v>
      </c>
      <c r="T71" s="388" t="str">
        <f>$O$6</f>
        <v>Total</v>
      </c>
      <c r="U71" s="388"/>
      <c r="V71" s="388" t="str">
        <f>$V$6</f>
        <v>FT</v>
      </c>
      <c r="W71" s="388" t="str">
        <f>$W$6</f>
        <v>PT</v>
      </c>
      <c r="X71" s="388" t="str">
        <f>$X$6</f>
        <v>SE</v>
      </c>
      <c r="Y71" s="388" t="str">
        <f>$Y$6</f>
        <v>Total</v>
      </c>
    </row>
    <row r="72" spans="1:25" x14ac:dyDescent="0.25">
      <c r="B72" s="380"/>
      <c r="C72" s="460"/>
      <c r="D72" s="460"/>
      <c r="E72" s="460"/>
      <c r="F72" s="460"/>
      <c r="G72" s="460"/>
      <c r="H72" s="460"/>
      <c r="I72" s="460"/>
      <c r="J72" s="460"/>
      <c r="K72" s="460"/>
      <c r="L72" s="460"/>
      <c r="M72" s="460"/>
      <c r="N72" s="460"/>
      <c r="O72" s="460"/>
      <c r="P72" s="460"/>
      <c r="Q72" s="460"/>
      <c r="R72" s="460"/>
      <c r="S72" s="460"/>
      <c r="T72" s="460"/>
      <c r="U72" s="460"/>
      <c r="V72" s="460"/>
      <c r="W72" s="460"/>
      <c r="X72" s="460"/>
      <c r="Y72" s="460"/>
    </row>
    <row r="73" spans="1:25" x14ac:dyDescent="0.25">
      <c r="A73" s="378" t="str">
        <f>name!A8</f>
        <v>Textiles</v>
      </c>
      <c r="C73" s="380"/>
      <c r="D73" s="380"/>
      <c r="E73" s="380"/>
      <c r="F73" s="380"/>
      <c r="G73" s="380"/>
      <c r="H73" s="380"/>
      <c r="I73" s="380"/>
      <c r="J73" s="380"/>
      <c r="K73" s="380"/>
      <c r="L73" s="380"/>
      <c r="M73" s="380"/>
      <c r="N73" s="380"/>
      <c r="O73" s="380"/>
      <c r="P73" s="380"/>
      <c r="Q73" s="380"/>
      <c r="R73" s="380"/>
      <c r="S73" s="380"/>
      <c r="T73" s="380"/>
      <c r="U73" s="380"/>
      <c r="V73" s="380"/>
      <c r="W73" s="380"/>
      <c r="X73" s="380"/>
      <c r="Y73" s="380"/>
    </row>
    <row r="74" spans="1:25" x14ac:dyDescent="0.25">
      <c r="A74" s="382" t="s">
        <v>391</v>
      </c>
      <c r="B74" s="437">
        <v>12.18799999980649</v>
      </c>
      <c r="C74" s="437">
        <v>4.9650000000391703</v>
      </c>
      <c r="D74" s="437">
        <v>6.4940000001073903</v>
      </c>
      <c r="E74" s="437">
        <f>SUM(B74:D74)</f>
        <v>23.646999999953053</v>
      </c>
      <c r="F74" s="437"/>
      <c r="G74" s="437">
        <v>9.1369999998850489</v>
      </c>
      <c r="H74" s="437">
        <v>3.7980000000496501</v>
      </c>
      <c r="I74" s="437">
        <v>8.9210000001048044</v>
      </c>
      <c r="J74" s="437">
        <f>SUM(G74:I74)</f>
        <v>21.856000000039504</v>
      </c>
      <c r="K74" s="437"/>
      <c r="L74" s="437">
        <v>12.141999999900216</v>
      </c>
      <c r="M74" s="437">
        <v>5.8370000001367996</v>
      </c>
      <c r="N74" s="437">
        <v>11.394000000145542</v>
      </c>
      <c r="O74" s="437">
        <f>SUM(L74:N74)</f>
        <v>29.373000000182557</v>
      </c>
      <c r="P74" s="437"/>
      <c r="Q74" s="437">
        <v>9.8139999998261889</v>
      </c>
      <c r="R74" s="437">
        <v>4.6160000000358368</v>
      </c>
      <c r="S74" s="437">
        <v>8.3470000000847797</v>
      </c>
      <c r="T74" s="437">
        <f>SUM(Q74:S74)</f>
        <v>22.776999999946806</v>
      </c>
      <c r="U74" s="437"/>
      <c r="V74" s="437">
        <v>9.4039999999191064</v>
      </c>
      <c r="W74" s="437">
        <v>4.2680000000768779</v>
      </c>
      <c r="X74" s="437">
        <v>7.6020000000785313</v>
      </c>
      <c r="Y74" s="437">
        <f>SUM(V74:X74)</f>
        <v>21.274000000074516</v>
      </c>
    </row>
    <row r="75" spans="1:25" x14ac:dyDescent="0.25">
      <c r="A75" s="382" t="s">
        <v>390</v>
      </c>
      <c r="B75" s="438">
        <v>34.324999999914908</v>
      </c>
      <c r="C75" s="438">
        <v>2.1969999999905729</v>
      </c>
      <c r="D75" s="438">
        <v>3.0489999999838719</v>
      </c>
      <c r="E75" s="438">
        <f t="shared" ref="E75:E76" si="152">SUM(B75:D75)</f>
        <v>39.570999999889352</v>
      </c>
      <c r="F75" s="438"/>
      <c r="G75" s="438">
        <v>27.400999999805471</v>
      </c>
      <c r="H75" s="438">
        <v>1.8649999999900309</v>
      </c>
      <c r="I75" s="438">
        <v>6.3149999999873483</v>
      </c>
      <c r="J75" s="438">
        <f t="shared" ref="J75:J76" si="153">SUM(G75:I75)</f>
        <v>35.580999999782847</v>
      </c>
      <c r="K75" s="438"/>
      <c r="L75" s="438">
        <v>27.583999999889045</v>
      </c>
      <c r="M75" s="438">
        <v>1.8939999999879578</v>
      </c>
      <c r="N75" s="438">
        <v>2.526999999979255</v>
      </c>
      <c r="O75" s="438">
        <f t="shared" ref="O75:O76" si="154">SUM(L75:N75)</f>
        <v>32.00499999985626</v>
      </c>
      <c r="P75" s="438"/>
      <c r="Q75" s="438">
        <v>24.017999999854407</v>
      </c>
      <c r="R75" s="438">
        <v>1.7729999999883506</v>
      </c>
      <c r="S75" s="438">
        <v>1.8739999999853747</v>
      </c>
      <c r="T75" s="438">
        <f t="shared" ref="T75:T76" si="155">SUM(Q75:S75)</f>
        <v>27.664999999828133</v>
      </c>
      <c r="U75" s="438"/>
      <c r="V75" s="438">
        <v>22.1249999999328</v>
      </c>
      <c r="W75" s="438">
        <v>1.8149999999865167</v>
      </c>
      <c r="X75" s="438">
        <v>1.7449999999853367</v>
      </c>
      <c r="Y75" s="438">
        <f t="shared" ref="Y75:Y76" si="156">SUM(V75:X75)</f>
        <v>25.684999999904651</v>
      </c>
    </row>
    <row r="76" spans="1:25" x14ac:dyDescent="0.25">
      <c r="A76" s="382" t="s">
        <v>389</v>
      </c>
      <c r="B76" s="438">
        <f>SUM(B74:B75)</f>
        <v>46.512999999721401</v>
      </c>
      <c r="C76" s="438">
        <f t="shared" ref="C76" si="157">SUM(C74:C75)</f>
        <v>7.1620000000297432</v>
      </c>
      <c r="D76" s="438">
        <f t="shared" ref="D76" si="158">SUM(D74:D75)</f>
        <v>9.5430000000912614</v>
      </c>
      <c r="E76" s="438">
        <f t="shared" si="152"/>
        <v>63.217999999842405</v>
      </c>
      <c r="F76" s="438"/>
      <c r="G76" s="438">
        <f>SUM(G74:G75)</f>
        <v>36.53799999969052</v>
      </c>
      <c r="H76" s="438">
        <f t="shared" ref="H76" si="159">SUM(H74:H75)</f>
        <v>5.6630000000396805</v>
      </c>
      <c r="I76" s="438">
        <f t="shared" ref="I76" si="160">SUM(I74:I75)</f>
        <v>15.236000000092153</v>
      </c>
      <c r="J76" s="438">
        <f t="shared" si="153"/>
        <v>57.436999999822355</v>
      </c>
      <c r="K76" s="438"/>
      <c r="L76" s="438">
        <f>SUM(L74:L75)</f>
        <v>39.725999999789259</v>
      </c>
      <c r="M76" s="438">
        <f t="shared" ref="M76" si="161">SUM(M74:M75)</f>
        <v>7.731000000124757</v>
      </c>
      <c r="N76" s="438">
        <f t="shared" ref="N76" si="162">SUM(N74:N75)</f>
        <v>13.921000000124797</v>
      </c>
      <c r="O76" s="438">
        <f t="shared" si="154"/>
        <v>61.378000000038817</v>
      </c>
      <c r="P76" s="438"/>
      <c r="Q76" s="438">
        <f>SUM(Q74:Q75)</f>
        <v>33.831999999680598</v>
      </c>
      <c r="R76" s="438">
        <f t="shared" ref="R76" si="163">SUM(R74:R75)</f>
        <v>6.3890000000241871</v>
      </c>
      <c r="S76" s="438">
        <f t="shared" ref="S76" si="164">SUM(S74:S75)</f>
        <v>10.221000000070154</v>
      </c>
      <c r="T76" s="438">
        <f t="shared" si="155"/>
        <v>50.441999999774943</v>
      </c>
      <c r="U76" s="438"/>
      <c r="V76" s="438">
        <f>SUM(V74:V75)</f>
        <v>31.528999999851905</v>
      </c>
      <c r="W76" s="438">
        <f t="shared" ref="W76" si="165">SUM(W74:W75)</f>
        <v>6.0830000000633948</v>
      </c>
      <c r="X76" s="438">
        <f t="shared" ref="X76" si="166">SUM(X74:X75)</f>
        <v>9.3470000000638684</v>
      </c>
      <c r="Y76" s="438">
        <f t="shared" si="156"/>
        <v>46.95899999997917</v>
      </c>
    </row>
    <row r="77" spans="1:25" x14ac:dyDescent="0.25">
      <c r="B77" s="380"/>
      <c r="C77" s="460"/>
      <c r="D77" s="460"/>
      <c r="E77" s="460"/>
      <c r="F77" s="460"/>
      <c r="G77" s="460"/>
      <c r="H77" s="460"/>
      <c r="I77" s="460"/>
      <c r="J77" s="460"/>
      <c r="K77" s="460"/>
      <c r="L77" s="460"/>
      <c r="M77" s="460"/>
      <c r="N77" s="460"/>
      <c r="O77" s="460"/>
      <c r="P77" s="460"/>
      <c r="Q77" s="460"/>
      <c r="R77" s="460"/>
      <c r="S77" s="460"/>
      <c r="T77" s="460"/>
      <c r="U77" s="460"/>
      <c r="V77" s="460"/>
      <c r="W77" s="460"/>
      <c r="X77" s="460"/>
      <c r="Y77" s="460"/>
    </row>
    <row r="78" spans="1:25" x14ac:dyDescent="0.25">
      <c r="A78" s="378" t="str">
        <f>name!A9</f>
        <v>Wearing apparel; Leather, etc</v>
      </c>
      <c r="C78" s="380"/>
      <c r="D78" s="380"/>
      <c r="E78" s="380"/>
      <c r="F78" s="380"/>
      <c r="G78" s="380"/>
      <c r="H78" s="380"/>
      <c r="I78" s="380"/>
      <c r="J78" s="380"/>
      <c r="K78" s="380"/>
      <c r="L78" s="380"/>
      <c r="M78" s="380"/>
      <c r="N78" s="380"/>
      <c r="O78" s="380"/>
      <c r="P78" s="380"/>
      <c r="Q78" s="380"/>
      <c r="R78" s="380"/>
      <c r="S78" s="380"/>
      <c r="T78" s="380"/>
      <c r="U78" s="380"/>
      <c r="V78" s="380"/>
      <c r="W78" s="380"/>
      <c r="X78" s="380"/>
      <c r="Y78" s="380"/>
    </row>
    <row r="79" spans="1:25" x14ac:dyDescent="0.25">
      <c r="A79" s="382" t="s">
        <v>391</v>
      </c>
      <c r="B79" s="437">
        <v>26.926999999683158</v>
      </c>
      <c r="C79" s="437">
        <v>10.90000000017552</v>
      </c>
      <c r="D79" s="437">
        <v>7.6080000001038668</v>
      </c>
      <c r="E79" s="437">
        <f>SUM(B79:D79)</f>
        <v>45.434999999962542</v>
      </c>
      <c r="F79" s="437"/>
      <c r="G79" s="437">
        <v>20.862999999701707</v>
      </c>
      <c r="H79" s="437">
        <v>7.2020000000502655</v>
      </c>
      <c r="I79" s="437">
        <v>10.284000000181113</v>
      </c>
      <c r="J79" s="437">
        <f>SUM(G79:I79)</f>
        <v>38.348999999933085</v>
      </c>
      <c r="K79" s="437"/>
      <c r="L79" s="437">
        <v>17.023999999937693</v>
      </c>
      <c r="M79" s="437">
        <v>6.3020000001711614</v>
      </c>
      <c r="N79" s="437">
        <v>7.842000000109743</v>
      </c>
      <c r="O79" s="437">
        <f>SUM(L79:N79)</f>
        <v>31.168000000218598</v>
      </c>
      <c r="P79" s="437"/>
      <c r="Q79" s="437">
        <v>13.811999999963428</v>
      </c>
      <c r="R79" s="437">
        <v>4.9930000000377062</v>
      </c>
      <c r="S79" s="437">
        <v>5.7610000000911885</v>
      </c>
      <c r="T79" s="437">
        <f>SUM(Q79:S79)</f>
        <v>24.566000000092323</v>
      </c>
      <c r="U79" s="437"/>
      <c r="V79" s="437">
        <v>13.230999999992072</v>
      </c>
      <c r="W79" s="437">
        <v>4.6100000000999444</v>
      </c>
      <c r="X79" s="437">
        <v>5.2430000000730894</v>
      </c>
      <c r="Y79" s="437">
        <f>SUM(V79:X79)</f>
        <v>23.084000000165105</v>
      </c>
    </row>
    <row r="80" spans="1:25" x14ac:dyDescent="0.25">
      <c r="A80" s="382" t="s">
        <v>390</v>
      </c>
      <c r="B80" s="438">
        <v>18.241999999947534</v>
      </c>
      <c r="C80" s="438">
        <v>4.2119999999540676</v>
      </c>
      <c r="D80" s="438">
        <v>2.9949999999816392</v>
      </c>
      <c r="E80" s="438">
        <f t="shared" ref="E80:E81" si="167">SUM(B80:D80)</f>
        <v>25.448999999883242</v>
      </c>
      <c r="F80" s="438"/>
      <c r="G80" s="438">
        <v>15.151999999860838</v>
      </c>
      <c r="H80" s="438">
        <v>2.5809999999866777</v>
      </c>
      <c r="I80" s="438">
        <v>3.791999999976889</v>
      </c>
      <c r="J80" s="438">
        <f t="shared" ref="J80:J81" si="168">SUM(G80:I80)</f>
        <v>21.524999999824402</v>
      </c>
      <c r="K80" s="438"/>
      <c r="L80" s="438">
        <v>10.755999999976753</v>
      </c>
      <c r="M80" s="438">
        <v>1.4580000000005979</v>
      </c>
      <c r="N80" s="438">
        <v>1.1239999999948542</v>
      </c>
      <c r="O80" s="438">
        <f t="shared" ref="O80:O81" si="169">SUM(L80:N80)</f>
        <v>13.337999999972205</v>
      </c>
      <c r="P80" s="438"/>
      <c r="Q80" s="438">
        <v>9.449999999930089</v>
      </c>
      <c r="R80" s="438">
        <v>1.3689999999959503</v>
      </c>
      <c r="S80" s="438">
        <v>0.83499999999662022</v>
      </c>
      <c r="T80" s="438">
        <f t="shared" ref="T80:T81" si="170">SUM(Q80:S80)</f>
        <v>11.653999999922659</v>
      </c>
      <c r="U80" s="438"/>
      <c r="V80" s="438">
        <v>8.700999999992689</v>
      </c>
      <c r="W80" s="438">
        <v>1.3960000000089416</v>
      </c>
      <c r="X80" s="438">
        <v>0.77499999999815905</v>
      </c>
      <c r="Y80" s="438">
        <f t="shared" ref="Y80:Y81" si="171">SUM(V80:X80)</f>
        <v>10.871999999999788</v>
      </c>
    </row>
    <row r="81" spans="1:25" x14ac:dyDescent="0.25">
      <c r="A81" s="382" t="s">
        <v>389</v>
      </c>
      <c r="B81" s="438">
        <f>SUM(B79:B80)</f>
        <v>45.168999999630692</v>
      </c>
      <c r="C81" s="438">
        <f t="shared" ref="C81" si="172">SUM(C79:C80)</f>
        <v>15.112000000129587</v>
      </c>
      <c r="D81" s="438">
        <f t="shared" ref="D81" si="173">SUM(D79:D80)</f>
        <v>10.603000000085506</v>
      </c>
      <c r="E81" s="438">
        <f t="shared" si="167"/>
        <v>70.883999999845784</v>
      </c>
      <c r="F81" s="438"/>
      <c r="G81" s="438">
        <f>SUM(G79:G80)</f>
        <v>36.014999999562548</v>
      </c>
      <c r="H81" s="438">
        <f t="shared" ref="H81" si="174">SUM(H79:H80)</f>
        <v>9.7830000000369424</v>
      </c>
      <c r="I81" s="438">
        <f t="shared" ref="I81" si="175">SUM(I79:I80)</f>
        <v>14.076000000158002</v>
      </c>
      <c r="J81" s="438">
        <f t="shared" si="168"/>
        <v>59.873999999757494</v>
      </c>
      <c r="K81" s="438"/>
      <c r="L81" s="438">
        <f>SUM(L79:L80)</f>
        <v>27.779999999914445</v>
      </c>
      <c r="M81" s="438">
        <f t="shared" ref="M81" si="176">SUM(M79:M80)</f>
        <v>7.7600000001717593</v>
      </c>
      <c r="N81" s="438">
        <f t="shared" ref="N81" si="177">SUM(N79:N80)</f>
        <v>8.9660000001045965</v>
      </c>
      <c r="O81" s="438">
        <f t="shared" si="169"/>
        <v>44.506000000190795</v>
      </c>
      <c r="P81" s="438"/>
      <c r="Q81" s="438">
        <f>SUM(Q79:Q80)</f>
        <v>23.261999999893519</v>
      </c>
      <c r="R81" s="438">
        <f t="shared" ref="R81" si="178">SUM(R79:R80)</f>
        <v>6.3620000000336567</v>
      </c>
      <c r="S81" s="438">
        <f t="shared" ref="S81" si="179">SUM(S79:S80)</f>
        <v>6.596000000087809</v>
      </c>
      <c r="T81" s="438">
        <f t="shared" si="170"/>
        <v>36.220000000014984</v>
      </c>
      <c r="U81" s="438"/>
      <c r="V81" s="438">
        <f>SUM(V79:V80)</f>
        <v>21.931999999984761</v>
      </c>
      <c r="W81" s="438">
        <f t="shared" ref="W81" si="180">SUM(W79:W80)</f>
        <v>6.0060000001088856</v>
      </c>
      <c r="X81" s="438">
        <f t="shared" ref="X81" si="181">SUM(X79:X80)</f>
        <v>6.0180000000712486</v>
      </c>
      <c r="Y81" s="438">
        <f t="shared" si="171"/>
        <v>33.956000000164892</v>
      </c>
    </row>
    <row r="82" spans="1:25" x14ac:dyDescent="0.25">
      <c r="B82" s="380"/>
      <c r="C82" s="460"/>
      <c r="D82" s="460"/>
      <c r="E82" s="460"/>
      <c r="F82" s="460"/>
      <c r="G82" s="460"/>
      <c r="H82" s="460"/>
      <c r="I82" s="460"/>
      <c r="J82" s="460"/>
      <c r="K82" s="460"/>
      <c r="L82" s="460"/>
      <c r="M82" s="460"/>
      <c r="N82" s="460"/>
      <c r="O82" s="460"/>
      <c r="P82" s="460"/>
      <c r="Q82" s="460"/>
      <c r="R82" s="460"/>
      <c r="S82" s="460"/>
      <c r="T82" s="460"/>
      <c r="U82" s="460"/>
      <c r="V82" s="460"/>
      <c r="W82" s="460"/>
      <c r="X82" s="460"/>
      <c r="Y82" s="460"/>
    </row>
    <row r="83" spans="1:25" x14ac:dyDescent="0.25">
      <c r="A83" s="378" t="str">
        <f>name!A10</f>
        <v xml:space="preserve">Wood and cork </v>
      </c>
      <c r="C83" s="380"/>
      <c r="D83" s="380"/>
      <c r="E83" s="380"/>
      <c r="F83" s="380"/>
      <c r="G83" s="380"/>
      <c r="H83" s="380"/>
      <c r="I83" s="380"/>
      <c r="J83" s="380"/>
      <c r="K83" s="380"/>
      <c r="L83" s="380"/>
      <c r="M83" s="380"/>
      <c r="N83" s="380"/>
      <c r="O83" s="380"/>
      <c r="P83" s="380"/>
      <c r="Q83" s="380"/>
      <c r="R83" s="380"/>
      <c r="S83" s="380"/>
      <c r="T83" s="380"/>
      <c r="U83" s="380"/>
      <c r="V83" s="380"/>
      <c r="W83" s="380"/>
      <c r="X83" s="380"/>
      <c r="Y83" s="380"/>
    </row>
    <row r="84" spans="1:25" x14ac:dyDescent="0.25">
      <c r="A84" s="382" t="s">
        <v>391</v>
      </c>
      <c r="B84" s="437">
        <v>13.031999999892184</v>
      </c>
      <c r="C84" s="437">
        <v>5.1579999999987409</v>
      </c>
      <c r="D84" s="437">
        <v>0.50200000000689327</v>
      </c>
      <c r="E84" s="437">
        <f>SUM(B84:D84)</f>
        <v>18.691999999897821</v>
      </c>
      <c r="F84" s="437"/>
      <c r="G84" s="437">
        <v>8.6269999999470048</v>
      </c>
      <c r="H84" s="437">
        <v>3.5629999999930342</v>
      </c>
      <c r="I84" s="437">
        <v>1.7230000000300516</v>
      </c>
      <c r="J84" s="437">
        <f>SUM(G84:I84)</f>
        <v>13.91299999997009</v>
      </c>
      <c r="K84" s="437"/>
      <c r="L84" s="437">
        <v>9.1889999999183605</v>
      </c>
      <c r="M84" s="437">
        <v>5.9780000000413187</v>
      </c>
      <c r="N84" s="437">
        <v>1.2270000000299073</v>
      </c>
      <c r="O84" s="437">
        <f>SUM(L84:N84)</f>
        <v>16.393999999989585</v>
      </c>
      <c r="P84" s="437"/>
      <c r="Q84" s="437">
        <v>8.9499999999765194</v>
      </c>
      <c r="R84" s="437">
        <v>5.8609999999387439</v>
      </c>
      <c r="S84" s="437">
        <v>1.1950000000180752</v>
      </c>
      <c r="T84" s="437">
        <f>SUM(Q84:S84)</f>
        <v>16.005999999933341</v>
      </c>
      <c r="U84" s="437"/>
      <c r="V84" s="437">
        <v>8.7399999999706228</v>
      </c>
      <c r="W84" s="437">
        <v>5.6340000000072781</v>
      </c>
      <c r="X84" s="437">
        <v>1.144000000021965</v>
      </c>
      <c r="Y84" s="437">
        <f>SUM(V84:X84)</f>
        <v>15.517999999999866</v>
      </c>
    </row>
    <row r="85" spans="1:25" x14ac:dyDescent="0.25">
      <c r="A85" s="382" t="s">
        <v>390</v>
      </c>
      <c r="B85" s="438">
        <v>60.673999999777834</v>
      </c>
      <c r="C85" s="438">
        <v>2.3239999999855727</v>
      </c>
      <c r="D85" s="438">
        <v>5.0930000000258646</v>
      </c>
      <c r="E85" s="438">
        <f t="shared" ref="E85:E86" si="182">SUM(B85:D85)</f>
        <v>68.090999999789275</v>
      </c>
      <c r="F85" s="438"/>
      <c r="G85" s="438">
        <v>53.398999999504802</v>
      </c>
      <c r="H85" s="438">
        <v>1.3359999999861973</v>
      </c>
      <c r="I85" s="438">
        <v>10.408999999962113</v>
      </c>
      <c r="J85" s="438">
        <f t="shared" ref="J85:J86" si="183">SUM(G85:I85)</f>
        <v>65.143999999453115</v>
      </c>
      <c r="K85" s="438"/>
      <c r="L85" s="438">
        <v>59.137999999796541</v>
      </c>
      <c r="M85" s="438">
        <v>1.9009999999998703</v>
      </c>
      <c r="N85" s="438">
        <v>4.9870000000265264</v>
      </c>
      <c r="O85" s="438">
        <f t="shared" ref="O85:O86" si="184">SUM(L85:N85)</f>
        <v>66.025999999822943</v>
      </c>
      <c r="P85" s="438"/>
      <c r="Q85" s="438">
        <v>55.887999999361973</v>
      </c>
      <c r="R85" s="438">
        <v>2.3279999999759378</v>
      </c>
      <c r="S85" s="438">
        <v>5.0700000000873269</v>
      </c>
      <c r="T85" s="438">
        <f t="shared" ref="T85:T86" si="185">SUM(Q85:S85)</f>
        <v>63.285999999425236</v>
      </c>
      <c r="U85" s="438"/>
      <c r="V85" s="438">
        <v>52.251999999599917</v>
      </c>
      <c r="W85" s="438">
        <v>2.6569999999734439</v>
      </c>
      <c r="X85" s="438">
        <v>4.9690000000893964</v>
      </c>
      <c r="Y85" s="438">
        <f t="shared" ref="Y85:Y86" si="186">SUM(V85:X85)</f>
        <v>59.877999999662755</v>
      </c>
    </row>
    <row r="86" spans="1:25" x14ac:dyDescent="0.25">
      <c r="A86" s="382" t="s">
        <v>389</v>
      </c>
      <c r="B86" s="438">
        <f>SUM(B84:B85)</f>
        <v>73.705999999670013</v>
      </c>
      <c r="C86" s="438">
        <f t="shared" ref="C86" si="187">SUM(C84:C85)</f>
        <v>7.4819999999843141</v>
      </c>
      <c r="D86" s="438">
        <f t="shared" ref="D86" si="188">SUM(D84:D85)</f>
        <v>5.5950000000327575</v>
      </c>
      <c r="E86" s="438">
        <f t="shared" si="182"/>
        <v>86.782999999687078</v>
      </c>
      <c r="F86" s="438"/>
      <c r="G86" s="438">
        <f>SUM(G84:G85)</f>
        <v>62.025999999451805</v>
      </c>
      <c r="H86" s="438">
        <f t="shared" ref="H86" si="189">SUM(H84:H85)</f>
        <v>4.8989999999792317</v>
      </c>
      <c r="I86" s="438">
        <f t="shared" ref="I86" si="190">SUM(I84:I85)</f>
        <v>12.131999999992164</v>
      </c>
      <c r="J86" s="438">
        <f t="shared" si="183"/>
        <v>79.056999999423198</v>
      </c>
      <c r="K86" s="438"/>
      <c r="L86" s="438">
        <f>SUM(L84:L85)</f>
        <v>68.3269999997149</v>
      </c>
      <c r="M86" s="438">
        <f t="shared" ref="M86" si="191">SUM(M84:M85)</f>
        <v>7.8790000000411888</v>
      </c>
      <c r="N86" s="438">
        <f t="shared" ref="N86" si="192">SUM(N84:N85)</f>
        <v>6.2140000000564335</v>
      </c>
      <c r="O86" s="438">
        <f t="shared" si="184"/>
        <v>82.419999999812518</v>
      </c>
      <c r="P86" s="438"/>
      <c r="Q86" s="438">
        <f>SUM(Q84:Q85)</f>
        <v>64.837999999338493</v>
      </c>
      <c r="R86" s="438">
        <f t="shared" ref="R86" si="193">SUM(R84:R85)</f>
        <v>8.1889999999146816</v>
      </c>
      <c r="S86" s="438">
        <f t="shared" ref="S86" si="194">SUM(S84:S85)</f>
        <v>6.2650000001054025</v>
      </c>
      <c r="T86" s="438">
        <f t="shared" si="185"/>
        <v>79.29199999935858</v>
      </c>
      <c r="U86" s="438"/>
      <c r="V86" s="438">
        <f>SUM(V84:V85)</f>
        <v>60.991999999570538</v>
      </c>
      <c r="W86" s="438">
        <f t="shared" ref="W86" si="195">SUM(W84:W85)</f>
        <v>8.2909999999807216</v>
      </c>
      <c r="X86" s="438">
        <f t="shared" ref="X86" si="196">SUM(X84:X85)</f>
        <v>6.1130000001113611</v>
      </c>
      <c r="Y86" s="438">
        <f t="shared" si="186"/>
        <v>75.395999999662621</v>
      </c>
    </row>
    <row r="87" spans="1:25" x14ac:dyDescent="0.25">
      <c r="B87" s="380"/>
      <c r="C87" s="460"/>
      <c r="D87" s="460"/>
      <c r="E87" s="460"/>
      <c r="F87" s="460"/>
      <c r="G87" s="460"/>
      <c r="H87" s="460"/>
      <c r="I87" s="460"/>
      <c r="J87" s="460"/>
      <c r="K87" s="460"/>
      <c r="L87" s="460"/>
      <c r="M87" s="460"/>
      <c r="N87" s="460"/>
      <c r="O87" s="460"/>
      <c r="P87" s="460"/>
      <c r="Q87" s="460"/>
      <c r="R87" s="460"/>
      <c r="S87" s="460"/>
      <c r="T87" s="460"/>
      <c r="U87" s="460"/>
      <c r="V87" s="460"/>
      <c r="W87" s="460"/>
      <c r="X87" s="460"/>
      <c r="Y87" s="460"/>
    </row>
    <row r="88" spans="1:25" x14ac:dyDescent="0.25">
      <c r="A88" s="378" t="str">
        <f>name!A11</f>
        <v>Paper, etc</v>
      </c>
      <c r="C88" s="380"/>
      <c r="D88" s="380"/>
      <c r="E88" s="380"/>
      <c r="F88" s="380"/>
      <c r="G88" s="380"/>
      <c r="H88" s="380"/>
      <c r="I88" s="380"/>
      <c r="J88" s="380"/>
      <c r="K88" s="380"/>
      <c r="L88" s="380"/>
      <c r="M88" s="380"/>
      <c r="N88" s="380"/>
      <c r="O88" s="380"/>
      <c r="P88" s="380"/>
      <c r="Q88" s="380"/>
      <c r="R88" s="380"/>
      <c r="S88" s="380"/>
      <c r="T88" s="380"/>
      <c r="U88" s="380"/>
      <c r="V88" s="380"/>
      <c r="W88" s="380"/>
      <c r="X88" s="380"/>
      <c r="Y88" s="380"/>
    </row>
    <row r="89" spans="1:25" x14ac:dyDescent="0.25">
      <c r="A89" s="382" t="s">
        <v>391</v>
      </c>
      <c r="B89" s="437">
        <v>9.9609999998805989</v>
      </c>
      <c r="C89" s="437">
        <v>1.8410000000085267</v>
      </c>
      <c r="D89" s="437">
        <v>0.6730000000083759</v>
      </c>
      <c r="E89" s="437">
        <f>SUM(B89:D89)</f>
        <v>12.474999999897502</v>
      </c>
      <c r="F89" s="437"/>
      <c r="G89" s="437">
        <v>6.4709999999284351</v>
      </c>
      <c r="H89" s="437">
        <v>1.4269999999944207</v>
      </c>
      <c r="I89" s="437">
        <v>2.3190000000237729</v>
      </c>
      <c r="J89" s="437">
        <f>SUM(G89:I89)</f>
        <v>10.21699999994663</v>
      </c>
      <c r="K89" s="437"/>
      <c r="L89" s="437">
        <v>6.8119999999482381</v>
      </c>
      <c r="M89" s="437">
        <v>2.0230000000404456</v>
      </c>
      <c r="N89" s="437">
        <v>1.4480000000104909</v>
      </c>
      <c r="O89" s="437">
        <f>SUM(L89:N89)</f>
        <v>10.282999999999175</v>
      </c>
      <c r="P89" s="437"/>
      <c r="Q89" s="437">
        <v>6.6819999999415973</v>
      </c>
      <c r="R89" s="437">
        <v>1.9860000000088147</v>
      </c>
      <c r="S89" s="437">
        <v>1.419000000020854</v>
      </c>
      <c r="T89" s="437">
        <f>SUM(Q89:S89)</f>
        <v>10.086999999971265</v>
      </c>
      <c r="U89" s="437"/>
      <c r="V89" s="437">
        <v>6.5439999999608141</v>
      </c>
      <c r="W89" s="437">
        <v>1.9140000000271653</v>
      </c>
      <c r="X89" s="437">
        <v>1.3610000000203621</v>
      </c>
      <c r="Y89" s="437">
        <f>SUM(V89:X89)</f>
        <v>9.8190000000083408</v>
      </c>
    </row>
    <row r="90" spans="1:25" x14ac:dyDescent="0.25">
      <c r="A90" s="382" t="s">
        <v>390</v>
      </c>
      <c r="B90" s="438">
        <v>51.284999999931749</v>
      </c>
      <c r="C90" s="438">
        <v>1.6739999999946489</v>
      </c>
      <c r="D90" s="438">
        <v>3.7579999999713509</v>
      </c>
      <c r="E90" s="438">
        <f t="shared" ref="E90:E91" si="197">SUM(B90:D90)</f>
        <v>56.716999999897752</v>
      </c>
      <c r="F90" s="438"/>
      <c r="G90" s="438">
        <v>46.080999999757168</v>
      </c>
      <c r="H90" s="438">
        <v>1.0869999999932416</v>
      </c>
      <c r="I90" s="438">
        <v>7.7859999999522458</v>
      </c>
      <c r="J90" s="438">
        <f t="shared" ref="J90:J91" si="198">SUM(G90:I90)</f>
        <v>54.953999999702653</v>
      </c>
      <c r="K90" s="438"/>
      <c r="L90" s="438">
        <v>50.860999999557045</v>
      </c>
      <c r="M90" s="438">
        <v>1.1039999999987793</v>
      </c>
      <c r="N90" s="438">
        <v>3.2819999999696479</v>
      </c>
      <c r="O90" s="438">
        <f t="shared" ref="O90:O91" si="199">SUM(L90:N90)</f>
        <v>55.246999999525471</v>
      </c>
      <c r="P90" s="438"/>
      <c r="Q90" s="438">
        <v>48.40099999959736</v>
      </c>
      <c r="R90" s="438">
        <v>1.366999999990717</v>
      </c>
      <c r="S90" s="438">
        <v>3.3519999999550398</v>
      </c>
      <c r="T90" s="438">
        <f t="shared" ref="T90:T91" si="200">SUM(Q90:S90)</f>
        <v>53.119999999543118</v>
      </c>
      <c r="U90" s="438"/>
      <c r="V90" s="438">
        <v>45.613999999629897</v>
      </c>
      <c r="W90" s="438">
        <v>1.5729999999885984</v>
      </c>
      <c r="X90" s="438">
        <v>3.303999999959331</v>
      </c>
      <c r="Y90" s="438">
        <f t="shared" ref="Y90:Y91" si="201">SUM(V90:X90)</f>
        <v>50.490999999577824</v>
      </c>
    </row>
    <row r="91" spans="1:25" x14ac:dyDescent="0.25">
      <c r="A91" s="382" t="s">
        <v>389</v>
      </c>
      <c r="B91" s="438">
        <f>SUM(B89:B90)</f>
        <v>61.245999999812348</v>
      </c>
      <c r="C91" s="438">
        <f t="shared" ref="C91" si="202">SUM(C89:C90)</f>
        <v>3.5150000000031758</v>
      </c>
      <c r="D91" s="438">
        <f t="shared" ref="D91" si="203">SUM(D89:D90)</f>
        <v>4.4309999999797265</v>
      </c>
      <c r="E91" s="438">
        <f t="shared" si="197"/>
        <v>69.191999999795257</v>
      </c>
      <c r="F91" s="438"/>
      <c r="G91" s="438">
        <f>SUM(G89:G90)</f>
        <v>52.551999999685606</v>
      </c>
      <c r="H91" s="438">
        <f t="shared" ref="H91" si="204">SUM(H89:H90)</f>
        <v>2.5139999999876625</v>
      </c>
      <c r="I91" s="438">
        <f t="shared" ref="I91" si="205">SUM(I89:I90)</f>
        <v>10.10499999997602</v>
      </c>
      <c r="J91" s="438">
        <f t="shared" si="198"/>
        <v>65.170999999649283</v>
      </c>
      <c r="K91" s="438"/>
      <c r="L91" s="438">
        <f>SUM(L89:L90)</f>
        <v>57.672999999505279</v>
      </c>
      <c r="M91" s="438">
        <f t="shared" ref="M91" si="206">SUM(M89:M90)</f>
        <v>3.1270000000392248</v>
      </c>
      <c r="N91" s="438">
        <f t="shared" ref="N91" si="207">SUM(N89:N90)</f>
        <v>4.729999999980139</v>
      </c>
      <c r="O91" s="438">
        <f t="shared" si="199"/>
        <v>65.529999999524648</v>
      </c>
      <c r="P91" s="438"/>
      <c r="Q91" s="438">
        <f>SUM(Q89:Q90)</f>
        <v>55.082999999538956</v>
      </c>
      <c r="R91" s="438">
        <f t="shared" ref="R91" si="208">SUM(R89:R90)</f>
        <v>3.3529999999995317</v>
      </c>
      <c r="S91" s="438">
        <f t="shared" ref="S91" si="209">SUM(S89:S90)</f>
        <v>4.7709999999758939</v>
      </c>
      <c r="T91" s="438">
        <f t="shared" si="200"/>
        <v>63.20699999951438</v>
      </c>
      <c r="U91" s="438"/>
      <c r="V91" s="438">
        <f>SUM(V89:V90)</f>
        <v>52.157999999590714</v>
      </c>
      <c r="W91" s="438">
        <f t="shared" ref="W91" si="210">SUM(W89:W90)</f>
        <v>3.4870000000157635</v>
      </c>
      <c r="X91" s="438">
        <f t="shared" ref="X91" si="211">SUM(X89:X90)</f>
        <v>4.6649999999796936</v>
      </c>
      <c r="Y91" s="438">
        <f t="shared" si="201"/>
        <v>60.309999999586168</v>
      </c>
    </row>
    <row r="92" spans="1:25" x14ac:dyDescent="0.25">
      <c r="B92" s="380"/>
      <c r="C92" s="460"/>
      <c r="D92" s="460"/>
      <c r="E92" s="460"/>
      <c r="F92" s="460"/>
      <c r="G92" s="460"/>
      <c r="H92" s="460"/>
      <c r="I92" s="460"/>
      <c r="J92" s="460"/>
      <c r="K92" s="460"/>
      <c r="L92" s="460"/>
      <c r="M92" s="460"/>
      <c r="N92" s="460"/>
      <c r="O92" s="460"/>
      <c r="P92" s="460"/>
      <c r="Q92" s="460"/>
      <c r="R92" s="460"/>
      <c r="S92" s="460"/>
      <c r="T92" s="460"/>
      <c r="U92" s="460"/>
      <c r="V92" s="460"/>
      <c r="W92" s="460"/>
      <c r="X92" s="460"/>
      <c r="Y92" s="460"/>
    </row>
    <row r="93" spans="1:25" x14ac:dyDescent="0.25">
      <c r="A93" s="378" t="str">
        <f>name!A12</f>
        <v>Printing and recording</v>
      </c>
      <c r="C93" s="380"/>
      <c r="D93" s="380"/>
      <c r="E93" s="380"/>
      <c r="F93" s="380"/>
      <c r="G93" s="380"/>
      <c r="H93" s="380"/>
      <c r="I93" s="380"/>
      <c r="J93" s="380"/>
      <c r="K93" s="380"/>
      <c r="L93" s="380"/>
      <c r="M93" s="380"/>
      <c r="N93" s="380"/>
      <c r="O93" s="380"/>
      <c r="P93" s="380"/>
      <c r="Q93" s="380"/>
      <c r="R93" s="380"/>
      <c r="S93" s="380"/>
      <c r="T93" s="380"/>
      <c r="U93" s="380"/>
      <c r="V93" s="380"/>
      <c r="W93" s="380"/>
      <c r="X93" s="380"/>
      <c r="Y93" s="380"/>
    </row>
    <row r="94" spans="1:25" x14ac:dyDescent="0.25">
      <c r="A94" s="382" t="s">
        <v>391</v>
      </c>
      <c r="B94" s="437">
        <v>40.71299999960565</v>
      </c>
      <c r="C94" s="437">
        <v>15.267000000028547</v>
      </c>
      <c r="D94" s="437">
        <v>5.1410000000595302</v>
      </c>
      <c r="E94" s="437">
        <f>SUM(B94:D94)</f>
        <v>61.120999999693723</v>
      </c>
      <c r="F94" s="437"/>
      <c r="G94" s="437">
        <v>22.997999999788252</v>
      </c>
      <c r="H94" s="437">
        <v>8.0009999999945389</v>
      </c>
      <c r="I94" s="437">
        <v>2.799000000029598</v>
      </c>
      <c r="J94" s="437">
        <f>SUM(G94:I94)</f>
        <v>33.79799999981239</v>
      </c>
      <c r="K94" s="437"/>
      <c r="L94" s="437">
        <v>24.002999999760824</v>
      </c>
      <c r="M94" s="437">
        <v>9.0010000000756296</v>
      </c>
      <c r="N94" s="437">
        <v>1.9910000000129711</v>
      </c>
      <c r="O94" s="437">
        <f>SUM(L94:N94)</f>
        <v>34.994999999849426</v>
      </c>
      <c r="P94" s="437"/>
      <c r="Q94" s="437">
        <v>23.09699999987706</v>
      </c>
      <c r="R94" s="437">
        <v>8.6510000000102281</v>
      </c>
      <c r="S94" s="437">
        <v>1.9500000000461379</v>
      </c>
      <c r="T94" s="437">
        <f>SUM(Q94:S94)</f>
        <v>33.697999999933423</v>
      </c>
      <c r="U94" s="437"/>
      <c r="V94" s="437">
        <v>21.771999999854451</v>
      </c>
      <c r="W94" s="437">
        <v>8.1460000000733768</v>
      </c>
      <c r="X94" s="437">
        <v>1.8670000000330673</v>
      </c>
      <c r="Y94" s="437">
        <f>SUM(V94:X94)</f>
        <v>31.784999999960895</v>
      </c>
    </row>
    <row r="95" spans="1:25" x14ac:dyDescent="0.25">
      <c r="A95" s="382" t="s">
        <v>390</v>
      </c>
      <c r="B95" s="438">
        <v>101.96199999988531</v>
      </c>
      <c r="C95" s="438">
        <v>6.9989999999795005</v>
      </c>
      <c r="D95" s="438">
        <v>9.2509999998914836</v>
      </c>
      <c r="E95" s="438">
        <f t="shared" ref="E95:E96" si="212">SUM(B95:D95)</f>
        <v>118.2119999997563</v>
      </c>
      <c r="F95" s="438"/>
      <c r="G95" s="438">
        <v>76.992999999779855</v>
      </c>
      <c r="H95" s="438">
        <v>3.9979999999858196</v>
      </c>
      <c r="I95" s="438">
        <v>9.3289999999451396</v>
      </c>
      <c r="J95" s="438">
        <f t="shared" ref="J95:J96" si="213">SUM(G95:I95)</f>
        <v>90.319999999710816</v>
      </c>
      <c r="K95" s="438"/>
      <c r="L95" s="438">
        <v>72.041999999674971</v>
      </c>
      <c r="M95" s="438">
        <v>2.9609999999983505</v>
      </c>
      <c r="N95" s="438">
        <v>6.9639999998981814</v>
      </c>
      <c r="O95" s="438">
        <f t="shared" ref="O95:O96" si="214">SUM(L95:N95)</f>
        <v>81.966999999571499</v>
      </c>
      <c r="P95" s="438"/>
      <c r="Q95" s="438">
        <v>66.687999999778057</v>
      </c>
      <c r="R95" s="438">
        <v>3.628999999981076</v>
      </c>
      <c r="S95" s="438">
        <v>6.534999999844306</v>
      </c>
      <c r="T95" s="438">
        <f t="shared" ref="T95:T96" si="215">SUM(Q95:S95)</f>
        <v>76.851999999603436</v>
      </c>
      <c r="U95" s="438"/>
      <c r="V95" s="438">
        <v>60.586999999755307</v>
      </c>
      <c r="W95" s="438">
        <v>4.0909999999803501</v>
      </c>
      <c r="X95" s="438">
        <v>6.0149999998700183</v>
      </c>
      <c r="Y95" s="438">
        <f t="shared" ref="Y95:Y96" si="216">SUM(V95:X95)</f>
        <v>70.692999999605675</v>
      </c>
    </row>
    <row r="96" spans="1:25" x14ac:dyDescent="0.25">
      <c r="A96" s="382" t="s">
        <v>389</v>
      </c>
      <c r="B96" s="438">
        <f>SUM(B94:B95)</f>
        <v>142.67499999949095</v>
      </c>
      <c r="C96" s="438">
        <f t="shared" ref="C96" si="217">SUM(C94:C95)</f>
        <v>22.266000000008049</v>
      </c>
      <c r="D96" s="438">
        <f t="shared" ref="D96" si="218">SUM(D94:D95)</f>
        <v>14.391999999951015</v>
      </c>
      <c r="E96" s="438">
        <f t="shared" si="212"/>
        <v>179.33299999945004</v>
      </c>
      <c r="F96" s="438"/>
      <c r="G96" s="438">
        <f>SUM(G94:G95)</f>
        <v>99.990999999568103</v>
      </c>
      <c r="H96" s="438">
        <f t="shared" ref="H96" si="219">SUM(H94:H95)</f>
        <v>11.998999999980359</v>
      </c>
      <c r="I96" s="438">
        <f t="shared" ref="I96" si="220">SUM(I94:I95)</f>
        <v>12.127999999974737</v>
      </c>
      <c r="J96" s="438">
        <f t="shared" si="213"/>
        <v>124.11799999952319</v>
      </c>
      <c r="K96" s="438"/>
      <c r="L96" s="438">
        <f>SUM(L94:L95)</f>
        <v>96.044999999435788</v>
      </c>
      <c r="M96" s="438">
        <f t="shared" ref="M96" si="221">SUM(M94:M95)</f>
        <v>11.96200000007398</v>
      </c>
      <c r="N96" s="438">
        <f t="shared" ref="N96" si="222">SUM(N94:N95)</f>
        <v>8.954999999911152</v>
      </c>
      <c r="O96" s="438">
        <f t="shared" si="214"/>
        <v>116.96199999942093</v>
      </c>
      <c r="P96" s="438"/>
      <c r="Q96" s="438">
        <f>SUM(Q94:Q95)</f>
        <v>89.784999999655113</v>
      </c>
      <c r="R96" s="438">
        <f t="shared" ref="R96" si="223">SUM(R94:R95)</f>
        <v>12.279999999991304</v>
      </c>
      <c r="S96" s="438">
        <f t="shared" ref="S96" si="224">SUM(S94:S95)</f>
        <v>8.4849999998904444</v>
      </c>
      <c r="T96" s="438">
        <f t="shared" si="215"/>
        <v>110.54999999953687</v>
      </c>
      <c r="U96" s="438"/>
      <c r="V96" s="438">
        <f>SUM(V94:V95)</f>
        <v>82.35899999960975</v>
      </c>
      <c r="W96" s="438">
        <f t="shared" ref="W96" si="225">SUM(W94:W95)</f>
        <v>12.237000000053726</v>
      </c>
      <c r="X96" s="438">
        <f t="shared" ref="X96" si="226">SUM(X94:X95)</f>
        <v>7.8819999999030852</v>
      </c>
      <c r="Y96" s="438">
        <f t="shared" si="216"/>
        <v>102.47799999956656</v>
      </c>
    </row>
    <row r="97" spans="1:25" x14ac:dyDescent="0.25">
      <c r="A97" s="384"/>
      <c r="B97" s="380"/>
      <c r="C97" s="460"/>
      <c r="D97" s="460"/>
      <c r="E97" s="460"/>
      <c r="F97" s="460"/>
      <c r="G97" s="460"/>
      <c r="H97" s="460"/>
      <c r="I97" s="460"/>
      <c r="J97" s="460"/>
      <c r="K97" s="460"/>
      <c r="L97" s="460"/>
      <c r="M97" s="460"/>
      <c r="N97" s="460"/>
      <c r="O97" s="460"/>
      <c r="P97" s="460"/>
      <c r="Q97" s="460"/>
      <c r="R97" s="460"/>
      <c r="S97" s="460"/>
      <c r="T97" s="460"/>
      <c r="U97" s="460"/>
      <c r="V97" s="460"/>
      <c r="W97" s="460"/>
      <c r="X97" s="460"/>
      <c r="Y97" s="460"/>
    </row>
    <row r="98" spans="1:25" x14ac:dyDescent="0.25">
      <c r="A98" s="378" t="str">
        <f>name!A13</f>
        <v>Coke and petroleum; Chemicals, etc</v>
      </c>
      <c r="C98" s="380"/>
      <c r="D98" s="380"/>
      <c r="E98" s="380"/>
      <c r="F98" s="380"/>
      <c r="G98" s="380"/>
      <c r="H98" s="380"/>
      <c r="I98" s="380"/>
      <c r="J98" s="380"/>
      <c r="K98" s="380"/>
      <c r="L98" s="380"/>
      <c r="M98" s="380"/>
      <c r="N98" s="380"/>
      <c r="O98" s="380"/>
      <c r="P98" s="380"/>
      <c r="Q98" s="380"/>
      <c r="R98" s="380"/>
      <c r="S98" s="380"/>
      <c r="T98" s="380"/>
      <c r="U98" s="380"/>
      <c r="V98" s="380"/>
      <c r="W98" s="380"/>
      <c r="X98" s="380"/>
      <c r="Y98" s="380"/>
    </row>
    <row r="99" spans="1:25" x14ac:dyDescent="0.25">
      <c r="A99" s="382" t="s">
        <v>391</v>
      </c>
      <c r="B99" s="437">
        <v>30.677999999656095</v>
      </c>
      <c r="C99" s="437">
        <v>6.308000000018418</v>
      </c>
      <c r="D99" s="437">
        <v>1.5550000000107445</v>
      </c>
      <c r="E99" s="437">
        <f>SUM(B99:D99)</f>
        <v>38.540999999685255</v>
      </c>
      <c r="F99" s="437"/>
      <c r="G99" s="437">
        <v>22.688999999777092</v>
      </c>
      <c r="H99" s="437">
        <v>5.3090000000287141</v>
      </c>
      <c r="I99" s="437">
        <v>2.3370000000109528</v>
      </c>
      <c r="J99" s="437">
        <f>SUM(G99:I99)</f>
        <v>30.334999999816759</v>
      </c>
      <c r="K99" s="437"/>
      <c r="L99" s="437">
        <v>22.690999999770938</v>
      </c>
      <c r="M99" s="437">
        <v>4.3110000000660662</v>
      </c>
      <c r="N99" s="437">
        <v>1.3040000000085801</v>
      </c>
      <c r="O99" s="437">
        <f>SUM(L99:N99)</f>
        <v>28.305999999845582</v>
      </c>
      <c r="P99" s="437"/>
      <c r="Q99" s="437">
        <v>19.919999999841533</v>
      </c>
      <c r="R99" s="437">
        <v>5.0329999999971085</v>
      </c>
      <c r="S99" s="437">
        <v>1.2269999999980088</v>
      </c>
      <c r="T99" s="437">
        <f>SUM(Q99:S99)</f>
        <v>26.179999999836649</v>
      </c>
      <c r="U99" s="437"/>
      <c r="V99" s="437">
        <v>18.347999999875345</v>
      </c>
      <c r="W99" s="437">
        <v>6.1090000000511449</v>
      </c>
      <c r="X99" s="437">
        <v>1.1820000000077149</v>
      </c>
      <c r="Y99" s="437">
        <f>SUM(V99:X99)</f>
        <v>25.638999999934203</v>
      </c>
    </row>
    <row r="100" spans="1:25" x14ac:dyDescent="0.25">
      <c r="A100" s="382" t="s">
        <v>390</v>
      </c>
      <c r="B100" s="438">
        <v>96.536999999815336</v>
      </c>
      <c r="C100" s="438">
        <v>1.4259999999963242</v>
      </c>
      <c r="D100" s="438">
        <v>2.2819999999850999</v>
      </c>
      <c r="E100" s="438">
        <f t="shared" ref="E100:E101" si="227">SUM(B100:D100)</f>
        <v>100.24499999979676</v>
      </c>
      <c r="F100" s="438"/>
      <c r="G100" s="438">
        <v>77.569999999757272</v>
      </c>
      <c r="H100" s="438">
        <v>2.4259999999994815</v>
      </c>
      <c r="I100" s="438">
        <v>1.7079999999899773</v>
      </c>
      <c r="J100" s="438">
        <f t="shared" ref="J100:J101" si="228">SUM(G100:I100)</f>
        <v>81.703999999746728</v>
      </c>
      <c r="K100" s="438"/>
      <c r="L100" s="438">
        <v>73.518999999768596</v>
      </c>
      <c r="M100" s="438">
        <v>2.4829999999968742</v>
      </c>
      <c r="N100" s="438">
        <v>1.6799999999779833</v>
      </c>
      <c r="O100" s="438">
        <f t="shared" ref="O100:O101" si="229">SUM(L100:N100)</f>
        <v>77.681999999743454</v>
      </c>
      <c r="P100" s="438"/>
      <c r="Q100" s="438">
        <v>66.76299999986766</v>
      </c>
      <c r="R100" s="438">
        <v>2.9119999999875286</v>
      </c>
      <c r="S100" s="438">
        <v>1.1429999999858194</v>
      </c>
      <c r="T100" s="438">
        <f t="shared" ref="T100:T101" si="230">SUM(Q100:S100)</f>
        <v>70.817999999841007</v>
      </c>
      <c r="U100" s="438"/>
      <c r="V100" s="438">
        <v>63.422999999951614</v>
      </c>
      <c r="W100" s="438">
        <v>3.4989999999904047</v>
      </c>
      <c r="X100" s="438">
        <v>0.55899999999359706</v>
      </c>
      <c r="Y100" s="438">
        <f t="shared" ref="Y100:Y101" si="231">SUM(V100:X100)</f>
        <v>67.480999999935619</v>
      </c>
    </row>
    <row r="101" spans="1:25" x14ac:dyDescent="0.25">
      <c r="A101" s="382" t="s">
        <v>389</v>
      </c>
      <c r="B101" s="438">
        <f>SUM(B99:B100)</f>
        <v>127.21499999947143</v>
      </c>
      <c r="C101" s="438">
        <f t="shared" ref="C101" si="232">SUM(C99:C100)</f>
        <v>7.734000000014742</v>
      </c>
      <c r="D101" s="438">
        <f t="shared" ref="D101" si="233">SUM(D99:D100)</f>
        <v>3.8369999999958444</v>
      </c>
      <c r="E101" s="438">
        <f t="shared" si="227"/>
        <v>138.78599999948202</v>
      </c>
      <c r="F101" s="438"/>
      <c r="G101" s="438">
        <f>SUM(G99:G100)</f>
        <v>100.25899999953437</v>
      </c>
      <c r="H101" s="438">
        <f t="shared" ref="H101" si="234">SUM(H99:H100)</f>
        <v>7.7350000000281955</v>
      </c>
      <c r="I101" s="438">
        <f t="shared" ref="I101" si="235">SUM(I99:I100)</f>
        <v>4.0450000000009299</v>
      </c>
      <c r="J101" s="438">
        <f t="shared" si="228"/>
        <v>112.03899999956349</v>
      </c>
      <c r="K101" s="438"/>
      <c r="L101" s="438">
        <f>SUM(L99:L100)</f>
        <v>96.209999999539534</v>
      </c>
      <c r="M101" s="438">
        <f t="shared" ref="M101" si="236">SUM(M99:M100)</f>
        <v>6.7940000000629404</v>
      </c>
      <c r="N101" s="438">
        <f t="shared" ref="N101" si="237">SUM(N99:N100)</f>
        <v>2.9839999999865636</v>
      </c>
      <c r="O101" s="438">
        <f t="shared" si="229"/>
        <v>105.98799999958904</v>
      </c>
      <c r="P101" s="438"/>
      <c r="Q101" s="438">
        <f>SUM(Q99:Q100)</f>
        <v>86.682999999709196</v>
      </c>
      <c r="R101" s="438">
        <f t="shared" ref="R101" si="238">SUM(R99:R100)</f>
        <v>7.9449999999846366</v>
      </c>
      <c r="S101" s="438">
        <f t="shared" ref="S101" si="239">SUM(S99:S100)</f>
        <v>2.3699999999838282</v>
      </c>
      <c r="T101" s="438">
        <f t="shared" si="230"/>
        <v>96.99799999967766</v>
      </c>
      <c r="U101" s="438"/>
      <c r="V101" s="438">
        <f>SUM(V99:V100)</f>
        <v>81.770999999826955</v>
      </c>
      <c r="W101" s="438">
        <f t="shared" ref="W101" si="240">SUM(W99:W100)</f>
        <v>9.6080000000415495</v>
      </c>
      <c r="X101" s="438">
        <f t="shared" ref="X101" si="241">SUM(X99:X100)</f>
        <v>1.7410000000013119</v>
      </c>
      <c r="Y101" s="438">
        <f t="shared" si="231"/>
        <v>93.119999999869819</v>
      </c>
    </row>
    <row r="102" spans="1:25" x14ac:dyDescent="0.25">
      <c r="B102" s="380"/>
      <c r="C102" s="460"/>
      <c r="D102" s="460"/>
      <c r="E102" s="460"/>
      <c r="F102" s="460"/>
      <c r="G102" s="460"/>
      <c r="H102" s="460"/>
      <c r="I102" s="460"/>
      <c r="J102" s="460"/>
      <c r="K102" s="460"/>
      <c r="L102" s="460"/>
      <c r="M102" s="460"/>
      <c r="N102" s="460"/>
      <c r="O102" s="460"/>
      <c r="P102" s="460"/>
      <c r="Q102" s="460"/>
      <c r="R102" s="460"/>
      <c r="S102" s="460"/>
      <c r="T102" s="460"/>
      <c r="U102" s="460"/>
      <c r="V102" s="460"/>
      <c r="W102" s="460"/>
      <c r="X102" s="460"/>
      <c r="Y102" s="460"/>
    </row>
    <row r="103" spans="1:25" x14ac:dyDescent="0.25">
      <c r="A103" s="378" t="str">
        <f>name!A14</f>
        <v>Pharmaceuticals</v>
      </c>
      <c r="C103" s="380"/>
      <c r="D103" s="380"/>
      <c r="E103" s="380"/>
      <c r="F103" s="380"/>
      <c r="G103" s="380"/>
      <c r="H103" s="380"/>
      <c r="I103" s="380"/>
      <c r="J103" s="380"/>
      <c r="K103" s="380"/>
      <c r="L103" s="380"/>
      <c r="M103" s="380"/>
      <c r="N103" s="380"/>
      <c r="O103" s="380"/>
      <c r="P103" s="380"/>
      <c r="Q103" s="380"/>
      <c r="R103" s="380"/>
      <c r="S103" s="380"/>
      <c r="T103" s="380"/>
      <c r="U103" s="380"/>
      <c r="V103" s="380"/>
      <c r="W103" s="380"/>
      <c r="X103" s="380"/>
      <c r="Y103" s="380"/>
    </row>
    <row r="104" spans="1:25" x14ac:dyDescent="0.25">
      <c r="A104" s="382" t="s">
        <v>391</v>
      </c>
      <c r="B104" s="437">
        <v>15.993999999940767</v>
      </c>
      <c r="C104" s="437">
        <v>3.9999999999872236</v>
      </c>
      <c r="D104" s="437">
        <v>0.29799999999893062</v>
      </c>
      <c r="E104" s="437">
        <f>SUM(B104:D104)</f>
        <v>20.291999999926919</v>
      </c>
      <c r="F104" s="437"/>
      <c r="G104" s="437">
        <v>14.999999999912038</v>
      </c>
      <c r="H104" s="437">
        <v>3.9999999999929208</v>
      </c>
      <c r="I104" s="437">
        <v>1.0100000000105209</v>
      </c>
      <c r="J104" s="437">
        <f>SUM(G104:I104)</f>
        <v>20.009999999915479</v>
      </c>
      <c r="K104" s="437"/>
      <c r="L104" s="437">
        <v>15.000999999877994</v>
      </c>
      <c r="M104" s="437">
        <v>1.9990000000083985</v>
      </c>
      <c r="N104" s="437">
        <v>1.988000000023642</v>
      </c>
      <c r="O104" s="437">
        <f>SUM(L104:N104)</f>
        <v>18.987999999910034</v>
      </c>
      <c r="P104" s="437"/>
      <c r="Q104" s="437">
        <v>15.881000000044168</v>
      </c>
      <c r="R104" s="437">
        <v>2.749999999997383</v>
      </c>
      <c r="S104" s="437">
        <v>2.2380000000060254</v>
      </c>
      <c r="T104" s="437">
        <f>SUM(Q104:S104)</f>
        <v>20.869000000047574</v>
      </c>
      <c r="U104" s="437"/>
      <c r="V104" s="437">
        <v>17.135999999983678</v>
      </c>
      <c r="W104" s="437">
        <v>3.6600000000143145</v>
      </c>
      <c r="X104" s="437">
        <v>2.5630000000137256</v>
      </c>
      <c r="Y104" s="437">
        <f>SUM(V104:X104)</f>
        <v>23.359000000011719</v>
      </c>
    </row>
    <row r="105" spans="1:25" x14ac:dyDescent="0.25">
      <c r="A105" s="382" t="s">
        <v>390</v>
      </c>
      <c r="B105" s="438">
        <v>29.529999999959479</v>
      </c>
      <c r="C105" s="438">
        <v>0.45899999999925434</v>
      </c>
      <c r="D105" s="438">
        <v>0.6629999999967221</v>
      </c>
      <c r="E105" s="438">
        <f t="shared" ref="E105:E106" si="242">SUM(B105:D105)</f>
        <v>30.651999999955454</v>
      </c>
      <c r="F105" s="438"/>
      <c r="G105" s="438">
        <v>24.998999999984115</v>
      </c>
      <c r="H105" s="438">
        <v>1.0009999999977164</v>
      </c>
      <c r="I105" s="438">
        <v>1.0100000000035969</v>
      </c>
      <c r="J105" s="438">
        <f t="shared" ref="J105:J106" si="243">SUM(G105:I105)</f>
        <v>27.009999999985428</v>
      </c>
      <c r="K105" s="438"/>
      <c r="L105" s="438">
        <v>22.559999999977055</v>
      </c>
      <c r="M105" s="438">
        <v>0.44100000000080364</v>
      </c>
      <c r="N105" s="438">
        <v>2.9850000000063113</v>
      </c>
      <c r="O105" s="438">
        <f t="shared" ref="O105:O106" si="244">SUM(L105:N105)</f>
        <v>25.98599999998417</v>
      </c>
      <c r="P105" s="438"/>
      <c r="Q105" s="438">
        <v>18.79200000004057</v>
      </c>
      <c r="R105" s="438">
        <v>0.6349999999989111</v>
      </c>
      <c r="S105" s="438">
        <v>3.279999999972171</v>
      </c>
      <c r="T105" s="438">
        <f t="shared" ref="T105:T106" si="245">SUM(Q105:S105)</f>
        <v>22.707000000011654</v>
      </c>
      <c r="U105" s="438"/>
      <c r="V105" s="438">
        <v>14.670000000034758</v>
      </c>
      <c r="W105" s="438">
        <v>0.86999999999912814</v>
      </c>
      <c r="X105" s="438">
        <v>3.6719999999630564</v>
      </c>
      <c r="Y105" s="438">
        <f t="shared" ref="Y105:Y106" si="246">SUM(V105:X105)</f>
        <v>19.211999999996944</v>
      </c>
    </row>
    <row r="106" spans="1:25" x14ac:dyDescent="0.25">
      <c r="A106" s="382" t="s">
        <v>389</v>
      </c>
      <c r="B106" s="438">
        <f>SUM(B104:B105)</f>
        <v>45.523999999900248</v>
      </c>
      <c r="C106" s="438">
        <f t="shared" ref="C106" si="247">SUM(C104:C105)</f>
        <v>4.458999999986478</v>
      </c>
      <c r="D106" s="438">
        <f t="shared" ref="D106" si="248">SUM(D104:D105)</f>
        <v>0.96099999999565267</v>
      </c>
      <c r="E106" s="438">
        <f t="shared" si="242"/>
        <v>50.943999999882379</v>
      </c>
      <c r="F106" s="438"/>
      <c r="G106" s="438">
        <f>SUM(G104:G105)</f>
        <v>39.998999999896157</v>
      </c>
      <c r="H106" s="438">
        <f t="shared" ref="H106" si="249">SUM(H104:H105)</f>
        <v>5.0009999999906372</v>
      </c>
      <c r="I106" s="438">
        <f t="shared" ref="I106" si="250">SUM(I104:I105)</f>
        <v>2.0200000000141181</v>
      </c>
      <c r="J106" s="438">
        <f t="shared" si="243"/>
        <v>47.019999999900918</v>
      </c>
      <c r="K106" s="438"/>
      <c r="L106" s="438">
        <f>SUM(L104:L105)</f>
        <v>37.560999999855049</v>
      </c>
      <c r="M106" s="438">
        <f t="shared" ref="M106" si="251">SUM(M104:M105)</f>
        <v>2.4400000000092019</v>
      </c>
      <c r="N106" s="438">
        <f t="shared" ref="N106" si="252">SUM(N104:N105)</f>
        <v>4.9730000000299537</v>
      </c>
      <c r="O106" s="438">
        <f t="shared" si="244"/>
        <v>44.973999999894204</v>
      </c>
      <c r="P106" s="438"/>
      <c r="Q106" s="438">
        <f>SUM(Q104:Q105)</f>
        <v>34.673000000084741</v>
      </c>
      <c r="R106" s="438">
        <f t="shared" ref="R106" si="253">SUM(R104:R105)</f>
        <v>3.3849999999962943</v>
      </c>
      <c r="S106" s="438">
        <f t="shared" ref="S106" si="254">SUM(S104:S105)</f>
        <v>5.5179999999781959</v>
      </c>
      <c r="T106" s="438">
        <f t="shared" si="245"/>
        <v>43.576000000059231</v>
      </c>
      <c r="U106" s="438"/>
      <c r="V106" s="438">
        <f>SUM(V104:V105)</f>
        <v>31.806000000018436</v>
      </c>
      <c r="W106" s="438">
        <f t="shared" ref="W106" si="255">SUM(W104:W105)</f>
        <v>4.5300000000134428</v>
      </c>
      <c r="X106" s="438">
        <f t="shared" ref="X106" si="256">SUM(X104:X105)</f>
        <v>6.2349999999767824</v>
      </c>
      <c r="Y106" s="438">
        <f t="shared" si="246"/>
        <v>42.571000000008667</v>
      </c>
    </row>
    <row r="107" spans="1:25" x14ac:dyDescent="0.25">
      <c r="B107" s="380"/>
      <c r="C107" s="460"/>
      <c r="D107" s="460"/>
      <c r="E107" s="460"/>
      <c r="F107" s="460"/>
      <c r="G107" s="460"/>
      <c r="H107" s="460"/>
      <c r="I107" s="460"/>
      <c r="J107" s="460"/>
      <c r="K107" s="460"/>
      <c r="L107" s="460"/>
      <c r="M107" s="460"/>
      <c r="N107" s="460"/>
      <c r="O107" s="460"/>
      <c r="P107" s="460"/>
      <c r="Q107" s="460"/>
      <c r="R107" s="460"/>
      <c r="S107" s="460"/>
      <c r="T107" s="460"/>
      <c r="U107" s="460"/>
      <c r="V107" s="460"/>
      <c r="W107" s="460"/>
      <c r="X107" s="460"/>
      <c r="Y107" s="460"/>
    </row>
    <row r="108" spans="1:25" x14ac:dyDescent="0.25">
      <c r="A108" s="378" t="str">
        <f>name!A15</f>
        <v>Rubber and plastic</v>
      </c>
      <c r="C108" s="380"/>
      <c r="D108" s="380"/>
      <c r="E108" s="380"/>
      <c r="F108" s="380"/>
      <c r="G108" s="380"/>
      <c r="H108" s="380"/>
      <c r="I108" s="380"/>
      <c r="J108" s="380"/>
      <c r="K108" s="380"/>
      <c r="L108" s="380"/>
      <c r="M108" s="380"/>
      <c r="N108" s="380"/>
      <c r="O108" s="380"/>
      <c r="P108" s="380"/>
      <c r="Q108" s="380"/>
      <c r="R108" s="380"/>
      <c r="S108" s="380"/>
      <c r="T108" s="380"/>
      <c r="U108" s="380"/>
      <c r="V108" s="380"/>
      <c r="W108" s="380"/>
      <c r="X108" s="380"/>
      <c r="Y108" s="380"/>
    </row>
    <row r="109" spans="1:25" x14ac:dyDescent="0.25">
      <c r="A109" s="382" t="s">
        <v>391</v>
      </c>
      <c r="B109" s="437">
        <v>30.991999999505211</v>
      </c>
      <c r="C109" s="437">
        <v>10.379999999996512</v>
      </c>
      <c r="D109" s="437">
        <v>3.3090000000226172</v>
      </c>
      <c r="E109" s="437">
        <f>SUM(B109:D109)</f>
        <v>44.680999999524339</v>
      </c>
      <c r="F109" s="437"/>
      <c r="G109" s="437">
        <v>23.845999999683116</v>
      </c>
      <c r="H109" s="437">
        <v>8.3290000000228499</v>
      </c>
      <c r="I109" s="437">
        <v>5.1490000000773453</v>
      </c>
      <c r="J109" s="437">
        <f>SUM(G109:I109)</f>
        <v>37.323999999783311</v>
      </c>
      <c r="K109" s="437"/>
      <c r="L109" s="437">
        <v>24.904999999737807</v>
      </c>
      <c r="M109" s="437">
        <v>7.6370000000833116</v>
      </c>
      <c r="N109" s="437">
        <v>5.0330000000565178</v>
      </c>
      <c r="O109" s="437">
        <f>SUM(L109:N109)</f>
        <v>37.574999999877633</v>
      </c>
      <c r="P109" s="437"/>
      <c r="Q109" s="437">
        <v>23.788999999692415</v>
      </c>
      <c r="R109" s="437">
        <v>6.2459999999884541</v>
      </c>
      <c r="S109" s="437">
        <v>4.2310000000502939</v>
      </c>
      <c r="T109" s="437">
        <f>SUM(Q109:S109)</f>
        <v>34.265999999731164</v>
      </c>
      <c r="U109" s="437"/>
      <c r="V109" s="437">
        <v>23.520999999765348</v>
      </c>
      <c r="W109" s="437">
        <v>5.0960000000458772</v>
      </c>
      <c r="X109" s="437">
        <v>3.5910000000467077</v>
      </c>
      <c r="Y109" s="437">
        <f>SUM(V109:X109)</f>
        <v>32.207999999857932</v>
      </c>
    </row>
    <row r="110" spans="1:25" x14ac:dyDescent="0.25">
      <c r="A110" s="382" t="s">
        <v>390</v>
      </c>
      <c r="B110" s="438">
        <v>142.95899999955896</v>
      </c>
      <c r="C110" s="438">
        <v>4.1789999999798235</v>
      </c>
      <c r="D110" s="438">
        <v>9.067000000010303</v>
      </c>
      <c r="E110" s="438">
        <f t="shared" ref="E110:E111" si="257">SUM(B110:D110)</f>
        <v>156.20499999954907</v>
      </c>
      <c r="F110" s="438"/>
      <c r="G110" s="438">
        <v>119.33799999931479</v>
      </c>
      <c r="H110" s="438">
        <v>6.6949999999809044</v>
      </c>
      <c r="I110" s="438">
        <v>6.1730000000382157</v>
      </c>
      <c r="J110" s="438">
        <f t="shared" ref="J110:J111" si="258">SUM(G110:I110)</f>
        <v>132.20599999933393</v>
      </c>
      <c r="K110" s="438"/>
      <c r="L110" s="438">
        <v>119.91099999940063</v>
      </c>
      <c r="M110" s="438">
        <v>3.4569999999992134</v>
      </c>
      <c r="N110" s="438">
        <v>6.0210000000503268</v>
      </c>
      <c r="O110" s="438">
        <f t="shared" ref="O110:O111" si="259">SUM(L110:N110)</f>
        <v>129.38899999945016</v>
      </c>
      <c r="P110" s="438"/>
      <c r="Q110" s="438">
        <v>104.37599999926714</v>
      </c>
      <c r="R110" s="438">
        <v>3.342999999972792</v>
      </c>
      <c r="S110" s="438">
        <v>5.0820000000159178</v>
      </c>
      <c r="T110" s="438">
        <f t="shared" ref="T110:T111" si="260">SUM(Q110:S110)</f>
        <v>112.80099999925585</v>
      </c>
      <c r="U110" s="438"/>
      <c r="V110" s="438">
        <v>92.969999999564621</v>
      </c>
      <c r="W110" s="438">
        <v>3.3089999999758954</v>
      </c>
      <c r="X110" s="438">
        <v>4.329000000016352</v>
      </c>
      <c r="Y110" s="438">
        <f t="shared" ref="Y110:Y111" si="261">SUM(V110:X110)</f>
        <v>100.60799999955687</v>
      </c>
    </row>
    <row r="111" spans="1:25" x14ac:dyDescent="0.25">
      <c r="A111" s="382" t="s">
        <v>389</v>
      </c>
      <c r="B111" s="438">
        <f>SUM(B109:B110)</f>
        <v>173.95099999906415</v>
      </c>
      <c r="C111" s="438">
        <f t="shared" ref="C111" si="262">SUM(C109:C110)</f>
        <v>14.558999999976336</v>
      </c>
      <c r="D111" s="438">
        <f t="shared" ref="D111" si="263">SUM(D109:D110)</f>
        <v>12.376000000032921</v>
      </c>
      <c r="E111" s="438">
        <f t="shared" si="257"/>
        <v>200.88599999907339</v>
      </c>
      <c r="F111" s="438"/>
      <c r="G111" s="438">
        <f>SUM(G109:G110)</f>
        <v>143.1839999989979</v>
      </c>
      <c r="H111" s="438">
        <f t="shared" ref="H111" si="264">SUM(H109:H110)</f>
        <v>15.024000000003754</v>
      </c>
      <c r="I111" s="438">
        <f t="shared" ref="I111" si="265">SUM(I109:I110)</f>
        <v>11.322000000115562</v>
      </c>
      <c r="J111" s="438">
        <f t="shared" si="258"/>
        <v>169.52999999911722</v>
      </c>
      <c r="K111" s="438"/>
      <c r="L111" s="438">
        <f>SUM(L109:L110)</f>
        <v>144.81599999913843</v>
      </c>
      <c r="M111" s="438">
        <f t="shared" ref="M111" si="266">SUM(M109:M110)</f>
        <v>11.094000000082525</v>
      </c>
      <c r="N111" s="438">
        <f t="shared" ref="N111" si="267">SUM(N109:N110)</f>
        <v>11.054000000106845</v>
      </c>
      <c r="O111" s="438">
        <f t="shared" si="259"/>
        <v>166.9639999993278</v>
      </c>
      <c r="P111" s="438"/>
      <c r="Q111" s="438">
        <f>SUM(Q109:Q110)</f>
        <v>128.16499999895956</v>
      </c>
      <c r="R111" s="438">
        <f t="shared" ref="R111" si="268">SUM(R109:R110)</f>
        <v>9.5889999999612456</v>
      </c>
      <c r="S111" s="438">
        <f t="shared" ref="S111" si="269">SUM(S109:S110)</f>
        <v>9.3130000000662108</v>
      </c>
      <c r="T111" s="438">
        <f t="shared" si="260"/>
        <v>147.066999998987</v>
      </c>
      <c r="U111" s="438"/>
      <c r="V111" s="438">
        <f>SUM(V109:V110)</f>
        <v>116.49099999932997</v>
      </c>
      <c r="W111" s="438">
        <f t="shared" ref="W111" si="270">SUM(W109:W110)</f>
        <v>8.4050000000217722</v>
      </c>
      <c r="X111" s="438">
        <f t="shared" ref="X111" si="271">SUM(X109:X110)</f>
        <v>7.9200000000630597</v>
      </c>
      <c r="Y111" s="438">
        <f t="shared" si="261"/>
        <v>132.8159999994148</v>
      </c>
    </row>
    <row r="112" spans="1:25" x14ac:dyDescent="0.25">
      <c r="B112" s="380"/>
      <c r="C112" s="460"/>
      <c r="D112" s="460"/>
      <c r="E112" s="460"/>
      <c r="F112" s="460"/>
      <c r="G112" s="460"/>
      <c r="H112" s="460"/>
      <c r="I112" s="460"/>
      <c r="J112" s="460"/>
      <c r="K112" s="460"/>
      <c r="L112" s="460"/>
      <c r="M112" s="460"/>
      <c r="N112" s="460"/>
      <c r="O112" s="460"/>
      <c r="P112" s="460"/>
      <c r="Q112" s="460"/>
      <c r="R112" s="460"/>
      <c r="S112" s="460"/>
      <c r="T112" s="460"/>
      <c r="U112" s="460"/>
      <c r="V112" s="460"/>
      <c r="W112" s="460"/>
      <c r="X112" s="460"/>
      <c r="Y112" s="460"/>
    </row>
    <row r="113" spans="1:25" x14ac:dyDescent="0.25">
      <c r="A113" s="378" t="str">
        <f>name!A16</f>
        <v>Other non-metallic</v>
      </c>
      <c r="C113" s="380"/>
      <c r="D113" s="380"/>
      <c r="E113" s="380"/>
      <c r="F113" s="380"/>
      <c r="G113" s="380"/>
      <c r="H113" s="380"/>
      <c r="I113" s="380"/>
      <c r="J113" s="380"/>
      <c r="K113" s="380"/>
      <c r="L113" s="380"/>
      <c r="M113" s="380"/>
      <c r="N113" s="380"/>
      <c r="O113" s="380"/>
      <c r="P113" s="380"/>
      <c r="Q113" s="380"/>
      <c r="R113" s="380"/>
      <c r="S113" s="380"/>
      <c r="T113" s="380"/>
      <c r="U113" s="380"/>
      <c r="V113" s="380"/>
      <c r="W113" s="380"/>
      <c r="X113" s="380"/>
      <c r="Y113" s="380"/>
    </row>
    <row r="114" spans="1:25" x14ac:dyDescent="0.25">
      <c r="A114" s="382" t="s">
        <v>391</v>
      </c>
      <c r="B114" s="437">
        <v>15.992999999803173</v>
      </c>
      <c r="C114" s="437">
        <v>4.6130000000285136</v>
      </c>
      <c r="D114" s="437">
        <v>1.4910000000268895</v>
      </c>
      <c r="E114" s="437">
        <f>SUM(B114:D114)</f>
        <v>22.096999999858578</v>
      </c>
      <c r="F114" s="437"/>
      <c r="G114" s="437">
        <v>10.043999999905552</v>
      </c>
      <c r="H114" s="437">
        <v>2.9530000000120369</v>
      </c>
      <c r="I114" s="437">
        <v>1.9270000000306771</v>
      </c>
      <c r="J114" s="437">
        <f>SUM(G114:I114)</f>
        <v>14.923999999948265</v>
      </c>
      <c r="K114" s="437"/>
      <c r="L114" s="437">
        <v>10.473999999889784</v>
      </c>
      <c r="M114" s="437">
        <v>3.1940000000841553</v>
      </c>
      <c r="N114" s="437">
        <v>1.9290000000366565</v>
      </c>
      <c r="O114" s="437">
        <f>SUM(L114:N114)</f>
        <v>15.597000000010597</v>
      </c>
      <c r="P114" s="437"/>
      <c r="Q114" s="437">
        <v>9.974999999879719</v>
      </c>
      <c r="R114" s="437">
        <v>2.6120000000059687</v>
      </c>
      <c r="S114" s="437">
        <v>1.6240000000290644</v>
      </c>
      <c r="T114" s="437">
        <f>SUM(Q114:S114)</f>
        <v>14.210999999914751</v>
      </c>
      <c r="U114" s="437"/>
      <c r="V114" s="437">
        <v>9.8299999998990639</v>
      </c>
      <c r="W114" s="437">
        <v>2.1310000000376368</v>
      </c>
      <c r="X114" s="437">
        <v>1.3760000000223609</v>
      </c>
      <c r="Y114" s="437">
        <f>SUM(V114:X114)</f>
        <v>13.33699999995906</v>
      </c>
    </row>
    <row r="115" spans="1:25" x14ac:dyDescent="0.25">
      <c r="A115" s="382" t="s">
        <v>390</v>
      </c>
      <c r="B115" s="438">
        <v>83.9399999997528</v>
      </c>
      <c r="C115" s="438">
        <v>1.8390000000024156</v>
      </c>
      <c r="D115" s="438">
        <v>5.3240000000084517</v>
      </c>
      <c r="E115" s="438">
        <f t="shared" ref="E115:E116" si="272">SUM(B115:D115)</f>
        <v>91.102999999763668</v>
      </c>
      <c r="F115" s="438"/>
      <c r="G115" s="438">
        <v>54.511999999610296</v>
      </c>
      <c r="H115" s="438">
        <v>2.2690000000062991</v>
      </c>
      <c r="I115" s="438">
        <v>2.9229999999993468</v>
      </c>
      <c r="J115" s="438">
        <f t="shared" ref="J115:J116" si="273">SUM(G115:I115)</f>
        <v>59.703999999615945</v>
      </c>
      <c r="K115" s="438"/>
      <c r="L115" s="438">
        <v>55.865999999811244</v>
      </c>
      <c r="M115" s="438">
        <v>1.5630000000016042</v>
      </c>
      <c r="N115" s="438">
        <v>2.9350000000099206</v>
      </c>
      <c r="O115" s="438">
        <f t="shared" ref="O115:O116" si="274">SUM(L115:N115)</f>
        <v>60.363999999822767</v>
      </c>
      <c r="P115" s="438"/>
      <c r="Q115" s="438">
        <v>48.589999999689944</v>
      </c>
      <c r="R115" s="438">
        <v>1.5079999999977822</v>
      </c>
      <c r="S115" s="438">
        <v>2.4770000000209942</v>
      </c>
      <c r="T115" s="438">
        <f t="shared" ref="T115:T116" si="275">SUM(Q115:S115)</f>
        <v>52.574999999708723</v>
      </c>
      <c r="U115" s="438"/>
      <c r="V115" s="438">
        <v>43.236999999866406</v>
      </c>
      <c r="W115" s="438">
        <v>1.4909999999926256</v>
      </c>
      <c r="X115" s="438">
        <v>2.106000000018236</v>
      </c>
      <c r="Y115" s="438">
        <f t="shared" ref="Y115:Y116" si="276">SUM(V115:X115)</f>
        <v>46.833999999877264</v>
      </c>
    </row>
    <row r="116" spans="1:25" x14ac:dyDescent="0.25">
      <c r="A116" s="382" t="s">
        <v>389</v>
      </c>
      <c r="B116" s="438">
        <f>SUM(B114:B115)</f>
        <v>99.932999999555975</v>
      </c>
      <c r="C116" s="438">
        <f t="shared" ref="C116" si="277">SUM(C114:C115)</f>
        <v>6.452000000030929</v>
      </c>
      <c r="D116" s="438">
        <f t="shared" ref="D116" si="278">SUM(D114:D115)</f>
        <v>6.815000000035341</v>
      </c>
      <c r="E116" s="438">
        <f t="shared" si="272"/>
        <v>113.19999999962225</v>
      </c>
      <c r="F116" s="438"/>
      <c r="G116" s="438">
        <f>SUM(G114:G115)</f>
        <v>64.555999999515848</v>
      </c>
      <c r="H116" s="438">
        <f t="shared" ref="H116" si="279">SUM(H114:H115)</f>
        <v>5.222000000018336</v>
      </c>
      <c r="I116" s="438">
        <f t="shared" ref="I116" si="280">SUM(I114:I115)</f>
        <v>4.8500000000300236</v>
      </c>
      <c r="J116" s="438">
        <f t="shared" si="273"/>
        <v>74.62799999956421</v>
      </c>
      <c r="K116" s="438"/>
      <c r="L116" s="438">
        <f>SUM(L114:L115)</f>
        <v>66.339999999701035</v>
      </c>
      <c r="M116" s="438">
        <f t="shared" ref="M116" si="281">SUM(M114:M115)</f>
        <v>4.7570000000857595</v>
      </c>
      <c r="N116" s="438">
        <f t="shared" ref="N116" si="282">SUM(N114:N115)</f>
        <v>4.8640000000465768</v>
      </c>
      <c r="O116" s="438">
        <f t="shared" si="274"/>
        <v>75.960999999833362</v>
      </c>
      <c r="P116" s="438"/>
      <c r="Q116" s="438">
        <f>SUM(Q114:Q115)</f>
        <v>58.564999999569665</v>
      </c>
      <c r="R116" s="438">
        <f t="shared" ref="R116" si="283">SUM(R114:R115)</f>
        <v>4.1200000000037509</v>
      </c>
      <c r="S116" s="438">
        <f t="shared" ref="S116" si="284">SUM(S114:S115)</f>
        <v>4.1010000000500586</v>
      </c>
      <c r="T116" s="438">
        <f t="shared" si="275"/>
        <v>66.785999999623471</v>
      </c>
      <c r="U116" s="438"/>
      <c r="V116" s="438">
        <f>SUM(V114:V115)</f>
        <v>53.066999999765471</v>
      </c>
      <c r="W116" s="438">
        <f t="shared" ref="W116" si="285">SUM(W114:W115)</f>
        <v>3.6220000000302623</v>
      </c>
      <c r="X116" s="438">
        <f t="shared" ref="X116" si="286">SUM(X114:X115)</f>
        <v>3.4820000000405971</v>
      </c>
      <c r="Y116" s="438">
        <f t="shared" si="276"/>
        <v>60.170999999836333</v>
      </c>
    </row>
    <row r="117" spans="1:25" x14ac:dyDescent="0.25">
      <c r="B117" s="380"/>
      <c r="C117" s="460"/>
      <c r="D117" s="460"/>
      <c r="E117" s="460"/>
      <c r="F117" s="460"/>
      <c r="G117" s="460"/>
      <c r="H117" s="460"/>
      <c r="I117" s="460"/>
      <c r="J117" s="460"/>
      <c r="K117" s="460"/>
      <c r="L117" s="460"/>
      <c r="M117" s="460"/>
      <c r="N117" s="460"/>
      <c r="O117" s="460"/>
      <c r="P117" s="460"/>
      <c r="Q117" s="460"/>
      <c r="R117" s="460"/>
      <c r="S117" s="460"/>
      <c r="T117" s="460"/>
      <c r="U117" s="460"/>
      <c r="V117" s="460"/>
      <c r="W117" s="460"/>
      <c r="X117" s="460"/>
      <c r="Y117" s="460"/>
    </row>
    <row r="118" spans="1:25" x14ac:dyDescent="0.25">
      <c r="A118" s="378" t="str">
        <f>name!A17</f>
        <v>Basic metals</v>
      </c>
      <c r="C118" s="380"/>
      <c r="D118" s="380"/>
      <c r="E118" s="380"/>
      <c r="F118" s="380"/>
      <c r="G118" s="380"/>
      <c r="H118" s="380"/>
      <c r="I118" s="380"/>
      <c r="J118" s="380"/>
      <c r="K118" s="380"/>
      <c r="L118" s="380"/>
      <c r="M118" s="380"/>
      <c r="N118" s="380"/>
      <c r="O118" s="380"/>
      <c r="P118" s="380"/>
      <c r="Q118" s="380"/>
      <c r="R118" s="380"/>
      <c r="S118" s="380"/>
      <c r="T118" s="380"/>
      <c r="U118" s="380"/>
      <c r="V118" s="380"/>
      <c r="W118" s="380"/>
      <c r="X118" s="380"/>
      <c r="Y118" s="380"/>
    </row>
    <row r="119" spans="1:25" x14ac:dyDescent="0.25">
      <c r="A119" s="382" t="s">
        <v>391</v>
      </c>
      <c r="B119" s="437">
        <v>6.8059999999208065</v>
      </c>
      <c r="C119" s="437">
        <v>1.6339999999983925</v>
      </c>
      <c r="D119" s="437">
        <v>0.50700000000453316</v>
      </c>
      <c r="E119" s="437">
        <f>SUM(B119:D119)</f>
        <v>8.9469999999237313</v>
      </c>
      <c r="F119" s="437"/>
      <c r="G119" s="437">
        <v>5.33799999995703</v>
      </c>
      <c r="H119" s="437">
        <v>1.2529999999919113</v>
      </c>
      <c r="I119" s="437">
        <v>0.38900000000143736</v>
      </c>
      <c r="J119" s="437">
        <f>SUM(G119:I119)</f>
        <v>6.9799999999503788</v>
      </c>
      <c r="K119" s="437"/>
      <c r="L119" s="437">
        <v>5.5439999999486202</v>
      </c>
      <c r="M119" s="437">
        <v>1.5400000000128706</v>
      </c>
      <c r="N119" s="437">
        <v>0.27899999999632097</v>
      </c>
      <c r="O119" s="437">
        <f>SUM(L119:N119)</f>
        <v>7.362999999957812</v>
      </c>
      <c r="P119" s="437"/>
      <c r="Q119" s="437">
        <v>5.3789999999534466</v>
      </c>
      <c r="R119" s="437">
        <v>1.5609999999815278</v>
      </c>
      <c r="S119" s="437">
        <v>0.25699999999728002</v>
      </c>
      <c r="T119" s="437">
        <f>SUM(Q119:S119)</f>
        <v>7.1969999999322543</v>
      </c>
      <c r="U119" s="437"/>
      <c r="V119" s="437">
        <v>5.3939999999564145</v>
      </c>
      <c r="W119" s="437">
        <v>1.6370000000012501</v>
      </c>
      <c r="X119" s="437">
        <v>0.24299999999760721</v>
      </c>
      <c r="Y119" s="437">
        <f>SUM(V119:X119)</f>
        <v>7.2739999999552722</v>
      </c>
    </row>
    <row r="120" spans="1:25" x14ac:dyDescent="0.25">
      <c r="A120" s="382" t="s">
        <v>390</v>
      </c>
      <c r="B120" s="438">
        <v>71.116999999801592</v>
      </c>
      <c r="C120" s="438">
        <v>1.1639999999973552</v>
      </c>
      <c r="D120" s="438">
        <v>7.3300000000201457</v>
      </c>
      <c r="E120" s="438">
        <f t="shared" ref="E120:E121" si="287">SUM(B120:D120)</f>
        <v>79.6109999998191</v>
      </c>
      <c r="F120" s="438"/>
      <c r="G120" s="438">
        <v>60.248999999515554</v>
      </c>
      <c r="H120" s="438">
        <v>1.1429999999982139</v>
      </c>
      <c r="I120" s="438">
        <v>2.3930000000142093</v>
      </c>
      <c r="J120" s="438">
        <f t="shared" ref="J120:J121" si="288">SUM(G120:I120)</f>
        <v>63.784999999527983</v>
      </c>
      <c r="K120" s="438"/>
      <c r="L120" s="438">
        <v>57.277999999836481</v>
      </c>
      <c r="M120" s="438">
        <v>1.687999999996773</v>
      </c>
      <c r="N120" s="438">
        <v>2.3020000000163403</v>
      </c>
      <c r="O120" s="438">
        <f t="shared" ref="O120:O121" si="289">SUM(L120:N120)</f>
        <v>61.2679999998496</v>
      </c>
      <c r="P120" s="438"/>
      <c r="Q120" s="438">
        <v>50.286999999703184</v>
      </c>
      <c r="R120" s="438">
        <v>1.5689999999948754</v>
      </c>
      <c r="S120" s="438">
        <v>2.4770000000077785</v>
      </c>
      <c r="T120" s="438">
        <f t="shared" ref="T120:T121" si="290">SUM(Q120:S120)</f>
        <v>54.332999999705834</v>
      </c>
      <c r="U120" s="438"/>
      <c r="V120" s="438">
        <v>45.105999999743787</v>
      </c>
      <c r="W120" s="438">
        <v>1.5039999999945719</v>
      </c>
      <c r="X120" s="438">
        <v>2.7480000000048341</v>
      </c>
      <c r="Y120" s="438">
        <f t="shared" ref="Y120:Y121" si="291">SUM(V120:X120)</f>
        <v>49.357999999743193</v>
      </c>
    </row>
    <row r="121" spans="1:25" x14ac:dyDescent="0.25">
      <c r="A121" s="382" t="s">
        <v>389</v>
      </c>
      <c r="B121" s="438">
        <f>SUM(B119:B120)</f>
        <v>77.922999999722393</v>
      </c>
      <c r="C121" s="438">
        <f t="shared" ref="C121" si="292">SUM(C119:C120)</f>
        <v>2.7979999999957474</v>
      </c>
      <c r="D121" s="438">
        <f t="shared" ref="D121" si="293">SUM(D119:D120)</f>
        <v>7.8370000000246787</v>
      </c>
      <c r="E121" s="438">
        <f t="shared" si="287"/>
        <v>88.557999999742819</v>
      </c>
      <c r="F121" s="438"/>
      <c r="G121" s="438">
        <f>SUM(G119:G120)</f>
        <v>65.586999999472582</v>
      </c>
      <c r="H121" s="438">
        <f t="shared" ref="H121" si="294">SUM(H119:H120)</f>
        <v>2.3959999999901251</v>
      </c>
      <c r="I121" s="438">
        <f t="shared" ref="I121" si="295">SUM(I119:I120)</f>
        <v>2.7820000000156466</v>
      </c>
      <c r="J121" s="438">
        <f t="shared" si="288"/>
        <v>70.764999999478349</v>
      </c>
      <c r="K121" s="438"/>
      <c r="L121" s="438">
        <f>SUM(L119:L120)</f>
        <v>62.821999999785099</v>
      </c>
      <c r="M121" s="438">
        <f t="shared" ref="M121" si="296">SUM(M119:M120)</f>
        <v>3.2280000000096436</v>
      </c>
      <c r="N121" s="438">
        <f t="shared" ref="N121" si="297">SUM(N119:N120)</f>
        <v>2.5810000000126614</v>
      </c>
      <c r="O121" s="438">
        <f t="shared" si="289"/>
        <v>68.630999999807415</v>
      </c>
      <c r="P121" s="438"/>
      <c r="Q121" s="438">
        <f>SUM(Q119:Q120)</f>
        <v>55.665999999656634</v>
      </c>
      <c r="R121" s="438">
        <f t="shared" ref="R121" si="298">SUM(R119:R120)</f>
        <v>3.1299999999764032</v>
      </c>
      <c r="S121" s="438">
        <f t="shared" ref="S121" si="299">SUM(S119:S120)</f>
        <v>2.7340000000050586</v>
      </c>
      <c r="T121" s="438">
        <f t="shared" si="290"/>
        <v>61.5299999996381</v>
      </c>
      <c r="U121" s="438"/>
      <c r="V121" s="438">
        <f>SUM(V119:V120)</f>
        <v>50.499999999700201</v>
      </c>
      <c r="W121" s="438">
        <f t="shared" ref="W121" si="300">SUM(W119:W120)</f>
        <v>3.140999999995822</v>
      </c>
      <c r="X121" s="438">
        <f t="shared" ref="X121" si="301">SUM(X119:X120)</f>
        <v>2.9910000000024413</v>
      </c>
      <c r="Y121" s="438">
        <f t="shared" si="291"/>
        <v>56.631999999698465</v>
      </c>
    </row>
    <row r="122" spans="1:25" x14ac:dyDescent="0.25">
      <c r="B122" s="380"/>
      <c r="C122" s="460"/>
      <c r="D122" s="460"/>
      <c r="E122" s="460"/>
      <c r="F122" s="460"/>
      <c r="G122" s="460"/>
      <c r="H122" s="460"/>
      <c r="I122" s="460"/>
      <c r="J122" s="460"/>
      <c r="K122" s="460"/>
      <c r="L122" s="460"/>
      <c r="M122" s="460"/>
      <c r="N122" s="460"/>
      <c r="O122" s="460"/>
      <c r="P122" s="460"/>
      <c r="Q122" s="460"/>
      <c r="R122" s="460"/>
      <c r="S122" s="460"/>
      <c r="T122" s="460"/>
      <c r="U122" s="460"/>
      <c r="V122" s="460"/>
      <c r="W122" s="460"/>
      <c r="X122" s="460"/>
      <c r="Y122" s="460"/>
    </row>
    <row r="123" spans="1:25" x14ac:dyDescent="0.25">
      <c r="A123" s="378" t="str">
        <f>name!A18</f>
        <v>Metal products</v>
      </c>
      <c r="C123" s="380"/>
      <c r="D123" s="380"/>
      <c r="E123" s="380"/>
      <c r="F123" s="380"/>
      <c r="G123" s="380"/>
      <c r="H123" s="380"/>
      <c r="I123" s="380"/>
      <c r="J123" s="380"/>
      <c r="K123" s="380"/>
      <c r="L123" s="380"/>
      <c r="M123" s="380"/>
      <c r="N123" s="380"/>
      <c r="O123" s="380"/>
      <c r="P123" s="380"/>
      <c r="Q123" s="380"/>
      <c r="R123" s="380"/>
      <c r="S123" s="380"/>
      <c r="T123" s="380"/>
      <c r="U123" s="380"/>
      <c r="V123" s="380"/>
      <c r="W123" s="380"/>
      <c r="X123" s="380"/>
      <c r="Y123" s="380"/>
    </row>
    <row r="124" spans="1:25" x14ac:dyDescent="0.25">
      <c r="A124" s="382" t="s">
        <v>391</v>
      </c>
      <c r="B124" s="437">
        <v>39.637999999455822</v>
      </c>
      <c r="C124" s="437">
        <v>20.078999999961976</v>
      </c>
      <c r="D124" s="437">
        <v>3.330000000015624</v>
      </c>
      <c r="E124" s="437">
        <f>SUM(B124:D124)</f>
        <v>63.046999999433417</v>
      </c>
      <c r="F124" s="437"/>
      <c r="G124" s="437">
        <v>31.661999999605968</v>
      </c>
      <c r="H124" s="437">
        <v>14.744999999957008</v>
      </c>
      <c r="I124" s="437">
        <v>2.826000000015005</v>
      </c>
      <c r="J124" s="437">
        <f>SUM(G124:I124)</f>
        <v>49.232999999577984</v>
      </c>
      <c r="K124" s="437"/>
      <c r="L124" s="437">
        <v>35.781999999687343</v>
      </c>
      <c r="M124" s="437">
        <v>17.135000000077014</v>
      </c>
      <c r="N124" s="437">
        <v>2.078000000024665</v>
      </c>
      <c r="O124" s="437">
        <f>SUM(L124:N124)</f>
        <v>54.994999999789023</v>
      </c>
      <c r="P124" s="437"/>
      <c r="Q124" s="437">
        <v>34.581999999664106</v>
      </c>
      <c r="R124" s="437">
        <v>17.352999999885817</v>
      </c>
      <c r="S124" s="437">
        <v>1.9120000000291051</v>
      </c>
      <c r="T124" s="437">
        <f>SUM(Q124:S124)</f>
        <v>53.846999999579026</v>
      </c>
      <c r="U124" s="437"/>
      <c r="V124" s="437">
        <v>34.641999999720632</v>
      </c>
      <c r="W124" s="437">
        <v>18.193000000075418</v>
      </c>
      <c r="X124" s="437">
        <v>1.8150000000240243</v>
      </c>
      <c r="Y124" s="437">
        <f>SUM(V124:X124)</f>
        <v>54.649999999820075</v>
      </c>
    </row>
    <row r="125" spans="1:25" x14ac:dyDescent="0.25">
      <c r="A125" s="382" t="s">
        <v>390</v>
      </c>
      <c r="B125" s="438">
        <v>255.55899999918088</v>
      </c>
      <c r="C125" s="438">
        <v>7.8599999999814143</v>
      </c>
      <c r="D125" s="438">
        <v>27.209000000139451</v>
      </c>
      <c r="E125" s="438">
        <f t="shared" ref="E125:E126" si="302">SUM(B125:D125)</f>
        <v>290.62799999930172</v>
      </c>
      <c r="F125" s="438"/>
      <c r="G125" s="438">
        <v>240.72699999844758</v>
      </c>
      <c r="H125" s="438">
        <v>6.8579999999824048</v>
      </c>
      <c r="I125" s="438">
        <v>11.573999999898644</v>
      </c>
      <c r="J125" s="438">
        <f t="shared" ref="J125:J126" si="303">SUM(G125:I125)</f>
        <v>259.15899999832862</v>
      </c>
      <c r="K125" s="438"/>
      <c r="L125" s="438">
        <v>255.73199999901996</v>
      </c>
      <c r="M125" s="438">
        <v>10.313000000003523</v>
      </c>
      <c r="N125" s="438">
        <v>12.259999999924799</v>
      </c>
      <c r="O125" s="438">
        <f t="shared" ref="O125:O126" si="304">SUM(L125:N125)</f>
        <v>278.30499999894829</v>
      </c>
      <c r="P125" s="438"/>
      <c r="Q125" s="438">
        <v>224.09099999876454</v>
      </c>
      <c r="R125" s="438">
        <v>9.5769999999678621</v>
      </c>
      <c r="S125" s="438">
        <v>13.206999999996452</v>
      </c>
      <c r="T125" s="438">
        <f t="shared" ref="T125:T126" si="305">SUM(Q125:S125)</f>
        <v>246.87499999872884</v>
      </c>
      <c r="U125" s="438"/>
      <c r="V125" s="438">
        <v>200.3529999990956</v>
      </c>
      <c r="W125" s="438">
        <v>9.1719999999691648</v>
      </c>
      <c r="X125" s="438">
        <v>14.635000000020678</v>
      </c>
      <c r="Y125" s="438">
        <f t="shared" ref="Y125:Y126" si="306">SUM(V125:X125)</f>
        <v>224.15999999908544</v>
      </c>
    </row>
    <row r="126" spans="1:25" x14ac:dyDescent="0.25">
      <c r="A126" s="382" t="s">
        <v>389</v>
      </c>
      <c r="B126" s="438">
        <f>SUM(B124:B125)</f>
        <v>295.19699999863673</v>
      </c>
      <c r="C126" s="438">
        <f t="shared" ref="C126" si="307">SUM(C124:C125)</f>
        <v>27.938999999943391</v>
      </c>
      <c r="D126" s="438">
        <f t="shared" ref="D126" si="308">SUM(D124:D125)</f>
        <v>30.539000000155074</v>
      </c>
      <c r="E126" s="438">
        <f t="shared" si="302"/>
        <v>353.67499999873519</v>
      </c>
      <c r="F126" s="438"/>
      <c r="G126" s="438">
        <f>SUM(G124:G125)</f>
        <v>272.38899999805358</v>
      </c>
      <c r="H126" s="438">
        <f t="shared" ref="H126" si="309">SUM(H124:H125)</f>
        <v>21.602999999939414</v>
      </c>
      <c r="I126" s="438">
        <f t="shared" ref="I126" si="310">SUM(I124:I125)</f>
        <v>14.39999999991365</v>
      </c>
      <c r="J126" s="438">
        <f t="shared" si="303"/>
        <v>308.39199999790662</v>
      </c>
      <c r="K126" s="438"/>
      <c r="L126" s="438">
        <f>SUM(L124:L125)</f>
        <v>291.51399999870728</v>
      </c>
      <c r="M126" s="438">
        <f t="shared" ref="M126" si="311">SUM(M124:M125)</f>
        <v>27.448000000080537</v>
      </c>
      <c r="N126" s="438">
        <f t="shared" ref="N126" si="312">SUM(N124:N125)</f>
        <v>14.337999999949464</v>
      </c>
      <c r="O126" s="438">
        <f t="shared" si="304"/>
        <v>333.29999999873729</v>
      </c>
      <c r="P126" s="438"/>
      <c r="Q126" s="438">
        <f>SUM(Q124:Q125)</f>
        <v>258.67299999842862</v>
      </c>
      <c r="R126" s="438">
        <f t="shared" ref="R126" si="313">SUM(R124:R125)</f>
        <v>26.929999999853678</v>
      </c>
      <c r="S126" s="438">
        <f t="shared" ref="S126" si="314">SUM(S124:S125)</f>
        <v>15.119000000025556</v>
      </c>
      <c r="T126" s="438">
        <f t="shared" si="305"/>
        <v>300.72199999830787</v>
      </c>
      <c r="U126" s="438"/>
      <c r="V126" s="438">
        <f>SUM(V124:V125)</f>
        <v>234.99499999881624</v>
      </c>
      <c r="W126" s="438">
        <f t="shared" ref="W126" si="315">SUM(W124:W125)</f>
        <v>27.365000000044581</v>
      </c>
      <c r="X126" s="438">
        <f t="shared" ref="X126" si="316">SUM(X124:X125)</f>
        <v>16.450000000044703</v>
      </c>
      <c r="Y126" s="438">
        <f t="shared" si="306"/>
        <v>278.80999999890554</v>
      </c>
    </row>
    <row r="127" spans="1:25" x14ac:dyDescent="0.25">
      <c r="B127" s="380"/>
      <c r="C127" s="460"/>
      <c r="D127" s="460"/>
      <c r="E127" s="460"/>
      <c r="F127" s="460"/>
      <c r="G127" s="460"/>
      <c r="H127" s="460"/>
      <c r="I127" s="460"/>
      <c r="J127" s="460"/>
      <c r="K127" s="460"/>
      <c r="L127" s="460"/>
      <c r="M127" s="460"/>
      <c r="N127" s="460"/>
      <c r="O127" s="460"/>
      <c r="P127" s="460"/>
      <c r="Q127" s="460"/>
      <c r="R127" s="460"/>
      <c r="S127" s="460"/>
      <c r="T127" s="460"/>
      <c r="U127" s="460"/>
      <c r="V127" s="460"/>
      <c r="W127" s="460"/>
      <c r="X127" s="460"/>
      <c r="Y127" s="460"/>
    </row>
    <row r="128" spans="1:25" x14ac:dyDescent="0.25">
      <c r="A128" s="378" t="str">
        <f>name!A22</f>
        <v>Motor vehicles, etc</v>
      </c>
      <c r="C128" s="380"/>
      <c r="D128" s="380"/>
      <c r="E128" s="380"/>
      <c r="F128" s="380"/>
      <c r="G128" s="380"/>
      <c r="H128" s="380"/>
      <c r="I128" s="380"/>
      <c r="J128" s="380"/>
      <c r="K128" s="380"/>
      <c r="L128" s="380"/>
      <c r="M128" s="380"/>
      <c r="N128" s="380"/>
      <c r="O128" s="380"/>
      <c r="P128" s="380"/>
      <c r="Q128" s="380"/>
      <c r="R128" s="380"/>
      <c r="S128" s="380"/>
      <c r="T128" s="380"/>
      <c r="U128" s="380"/>
      <c r="V128" s="380"/>
      <c r="W128" s="380"/>
      <c r="X128" s="380"/>
      <c r="Y128" s="380"/>
    </row>
    <row r="129" spans="1:25" x14ac:dyDescent="0.25">
      <c r="A129" s="382" t="s">
        <v>391</v>
      </c>
      <c r="B129" s="437">
        <v>15.994999999765374</v>
      </c>
      <c r="C129" s="437">
        <v>4.9980000000020679</v>
      </c>
      <c r="D129" s="437">
        <v>0.40100000000340102</v>
      </c>
      <c r="E129" s="437">
        <f>SUM(B129:D129)</f>
        <v>21.393999999770841</v>
      </c>
      <c r="F129" s="437"/>
      <c r="G129" s="437">
        <v>14.998999999796947</v>
      </c>
      <c r="H129" s="437">
        <v>1.9999999999931539</v>
      </c>
      <c r="I129" s="437">
        <v>0.89900000000960045</v>
      </c>
      <c r="J129" s="437">
        <f>SUM(G129:I129)</f>
        <v>17.897999999799701</v>
      </c>
      <c r="K129" s="437"/>
      <c r="L129" s="437">
        <v>19.001999999837668</v>
      </c>
      <c r="M129" s="437">
        <v>2.9990000000266512</v>
      </c>
      <c r="N129" s="437">
        <v>0.4100000000045676</v>
      </c>
      <c r="O129" s="437">
        <f>SUM(L129:N129)</f>
        <v>22.410999999868888</v>
      </c>
      <c r="P129" s="437"/>
      <c r="Q129" s="437">
        <v>21.347999999764301</v>
      </c>
      <c r="R129" s="437">
        <v>4.7149999999798737</v>
      </c>
      <c r="S129" s="437">
        <v>9.0000000001190975E-2</v>
      </c>
      <c r="T129" s="437">
        <f>SUM(Q129:S129)</f>
        <v>26.152999999745365</v>
      </c>
      <c r="U129" s="437"/>
      <c r="V129" s="437">
        <v>24.583999999812121</v>
      </c>
      <c r="W129" s="437">
        <v>6.798000000032153</v>
      </c>
      <c r="X129" s="437">
        <v>2.3000000000242611E-2</v>
      </c>
      <c r="Y129" s="437">
        <f>SUM(V129:X129)</f>
        <v>31.404999999844517</v>
      </c>
    </row>
    <row r="130" spans="1:25" x14ac:dyDescent="0.25">
      <c r="A130" s="382" t="s">
        <v>390</v>
      </c>
      <c r="B130" s="438">
        <v>146.94699999957177</v>
      </c>
      <c r="C130" s="438">
        <v>1.0009999999930861</v>
      </c>
      <c r="D130" s="438">
        <v>5.352999999998846</v>
      </c>
      <c r="E130" s="438">
        <f t="shared" ref="E130:E131" si="317">SUM(B130:D130)</f>
        <v>153.30099999956371</v>
      </c>
      <c r="F130" s="438"/>
      <c r="G130" s="438">
        <v>109.9929999993121</v>
      </c>
      <c r="H130" s="438">
        <v>0.99899999999873468</v>
      </c>
      <c r="I130" s="438">
        <v>7.1869999999579424</v>
      </c>
      <c r="J130" s="438">
        <f t="shared" ref="J130:J131" si="318">SUM(G130:I130)</f>
        <v>118.17899999926878</v>
      </c>
      <c r="K130" s="438"/>
      <c r="L130" s="438">
        <v>153.00599999922977</v>
      </c>
      <c r="M130" s="438">
        <v>0.99899999999810118</v>
      </c>
      <c r="N130" s="438">
        <v>4.5629999999704731</v>
      </c>
      <c r="O130" s="438">
        <f t="shared" ref="O130:O131" si="319">SUM(L130:N130)</f>
        <v>158.56799999919835</v>
      </c>
      <c r="P130" s="438"/>
      <c r="Q130" s="438">
        <v>139.70999999923515</v>
      </c>
      <c r="R130" s="438">
        <v>1.4139999999972326</v>
      </c>
      <c r="S130" s="438">
        <v>4.9939999999631111</v>
      </c>
      <c r="T130" s="438">
        <f t="shared" ref="T130:T131" si="320">SUM(Q130:S130)</f>
        <v>146.11799999919549</v>
      </c>
      <c r="U130" s="438"/>
      <c r="V130" s="438">
        <v>128.22599999940007</v>
      </c>
      <c r="W130" s="438">
        <v>1.9209999999883816</v>
      </c>
      <c r="X130" s="438">
        <v>5.6119999999668453</v>
      </c>
      <c r="Y130" s="438">
        <f t="shared" ref="Y130:Y131" si="321">SUM(V130:X130)</f>
        <v>135.7589999993553</v>
      </c>
    </row>
    <row r="131" spans="1:25" x14ac:dyDescent="0.25">
      <c r="A131" s="382" t="s">
        <v>389</v>
      </c>
      <c r="B131" s="438">
        <f>SUM(B129:B130)</f>
        <v>162.94199999933716</v>
      </c>
      <c r="C131" s="438">
        <f t="shared" ref="C131" si="322">SUM(C129:C130)</f>
        <v>5.9989999999951538</v>
      </c>
      <c r="D131" s="438">
        <f t="shared" ref="D131" si="323">SUM(D129:D130)</f>
        <v>5.7540000000022467</v>
      </c>
      <c r="E131" s="438">
        <f t="shared" si="317"/>
        <v>174.69499999933456</v>
      </c>
      <c r="F131" s="438"/>
      <c r="G131" s="438">
        <f>SUM(G129:G130)</f>
        <v>124.99199999910905</v>
      </c>
      <c r="H131" s="438">
        <f t="shared" ref="H131" si="324">SUM(H129:H130)</f>
        <v>2.9989999999918888</v>
      </c>
      <c r="I131" s="438">
        <f t="shared" ref="I131" si="325">SUM(I129:I130)</f>
        <v>8.0859999999675427</v>
      </c>
      <c r="J131" s="438">
        <f t="shared" si="318"/>
        <v>136.07699999906851</v>
      </c>
      <c r="K131" s="438"/>
      <c r="L131" s="438">
        <f>SUM(L129:L130)</f>
        <v>172.00799999906744</v>
      </c>
      <c r="M131" s="438">
        <f t="shared" ref="M131" si="326">SUM(M129:M130)</f>
        <v>3.9980000000247524</v>
      </c>
      <c r="N131" s="438">
        <f t="shared" ref="N131" si="327">SUM(N129:N130)</f>
        <v>4.9729999999750412</v>
      </c>
      <c r="O131" s="438">
        <f t="shared" si="319"/>
        <v>180.97899999906721</v>
      </c>
      <c r="P131" s="438"/>
      <c r="Q131" s="438">
        <f>SUM(Q129:Q130)</f>
        <v>161.05799999899946</v>
      </c>
      <c r="R131" s="438">
        <f t="shared" ref="R131" si="328">SUM(R129:R130)</f>
        <v>6.1289999999771059</v>
      </c>
      <c r="S131" s="438">
        <f t="shared" ref="S131" si="329">SUM(S129:S130)</f>
        <v>5.083999999964302</v>
      </c>
      <c r="T131" s="438">
        <f t="shared" si="320"/>
        <v>172.27099999894088</v>
      </c>
      <c r="U131" s="438"/>
      <c r="V131" s="438">
        <f>SUM(V129:V130)</f>
        <v>152.80999999921221</v>
      </c>
      <c r="W131" s="438">
        <f t="shared" ref="W131" si="330">SUM(W129:W130)</f>
        <v>8.7190000000205341</v>
      </c>
      <c r="X131" s="438">
        <f t="shared" ref="X131" si="331">SUM(X129:X130)</f>
        <v>5.6349999999670883</v>
      </c>
      <c r="Y131" s="438">
        <f t="shared" si="321"/>
        <v>167.16399999919983</v>
      </c>
    </row>
    <row r="132" spans="1:25" x14ac:dyDescent="0.25">
      <c r="B132" s="380"/>
      <c r="C132" s="460"/>
      <c r="D132" s="460"/>
      <c r="E132" s="460"/>
      <c r="F132" s="460"/>
      <c r="G132" s="460"/>
      <c r="H132" s="460"/>
      <c r="I132" s="460"/>
      <c r="J132" s="460"/>
      <c r="K132" s="460"/>
      <c r="L132" s="460"/>
      <c r="M132" s="460"/>
      <c r="N132" s="460"/>
      <c r="O132" s="460"/>
      <c r="P132" s="460"/>
      <c r="Q132" s="460"/>
      <c r="R132" s="460"/>
      <c r="S132" s="460"/>
      <c r="T132" s="460"/>
      <c r="U132" s="460"/>
      <c r="V132" s="460"/>
      <c r="W132" s="460"/>
      <c r="X132" s="460"/>
      <c r="Y132" s="460"/>
    </row>
    <row r="133" spans="1:25" x14ac:dyDescent="0.25">
      <c r="A133" s="378" t="str">
        <f>name!A23</f>
        <v>Other transport equipment</v>
      </c>
      <c r="C133" s="380"/>
      <c r="D133" s="380"/>
      <c r="E133" s="380"/>
      <c r="F133" s="380"/>
      <c r="G133" s="380"/>
      <c r="H133" s="380"/>
      <c r="I133" s="380"/>
      <c r="J133" s="380"/>
      <c r="K133" s="380"/>
      <c r="L133" s="380"/>
      <c r="M133" s="380"/>
      <c r="N133" s="380"/>
      <c r="O133" s="380"/>
      <c r="P133" s="380"/>
      <c r="Q133" s="380"/>
      <c r="R133" s="380"/>
      <c r="S133" s="380"/>
      <c r="T133" s="380"/>
      <c r="U133" s="380"/>
      <c r="V133" s="380"/>
      <c r="W133" s="380"/>
      <c r="X133" s="380"/>
      <c r="Y133" s="380"/>
    </row>
    <row r="134" spans="1:25" x14ac:dyDescent="0.25">
      <c r="A134" s="382" t="s">
        <v>391</v>
      </c>
      <c r="B134" s="437">
        <v>10.994999999904779</v>
      </c>
      <c r="C134" s="437">
        <v>2.9999999999938511</v>
      </c>
      <c r="D134" s="437">
        <v>0.95900000000594843</v>
      </c>
      <c r="E134" s="437">
        <f>SUM(B134:D134)</f>
        <v>14.95399999990458</v>
      </c>
      <c r="F134" s="437"/>
      <c r="G134" s="437">
        <v>13.864999999919821</v>
      </c>
      <c r="H134" s="437">
        <v>2.1349999999983225</v>
      </c>
      <c r="I134" s="437">
        <v>1.0130000000017916</v>
      </c>
      <c r="J134" s="437">
        <f>SUM(G134:I134)</f>
        <v>17.012999999919934</v>
      </c>
      <c r="K134" s="437"/>
      <c r="L134" s="437">
        <v>14.165999999878695</v>
      </c>
      <c r="M134" s="437">
        <v>2.8310000000328501</v>
      </c>
      <c r="N134" s="437">
        <v>0.9960000000023852</v>
      </c>
      <c r="O134" s="437">
        <f>SUM(L134:N134)</f>
        <v>17.992999999913931</v>
      </c>
      <c r="P134" s="437"/>
      <c r="Q134" s="437">
        <v>15.691999999889495</v>
      </c>
      <c r="R134" s="437">
        <v>3.0009999999901931</v>
      </c>
      <c r="S134" s="437">
        <v>1.0650000000137818</v>
      </c>
      <c r="T134" s="437">
        <f>SUM(Q134:S134)</f>
        <v>19.757999999893471</v>
      </c>
      <c r="U134" s="437"/>
      <c r="V134" s="437">
        <v>16.665999999870873</v>
      </c>
      <c r="W134" s="437">
        <v>3.0600000000267857</v>
      </c>
      <c r="X134" s="437">
        <v>1.0970000000100242</v>
      </c>
      <c r="Y134" s="437">
        <f>SUM(V134:X134)</f>
        <v>20.822999999907683</v>
      </c>
    </row>
    <row r="135" spans="1:25" x14ac:dyDescent="0.25">
      <c r="A135" s="382" t="s">
        <v>390</v>
      </c>
      <c r="B135" s="438">
        <v>103.96199999981894</v>
      </c>
      <c r="C135" s="438">
        <v>1.0009999999981536</v>
      </c>
      <c r="D135" s="438">
        <v>8.6340000001055976</v>
      </c>
      <c r="E135" s="438">
        <f t="shared" ref="E135:E136" si="332">SUM(B135:D135)</f>
        <v>113.5969999999227</v>
      </c>
      <c r="F135" s="438"/>
      <c r="G135" s="438">
        <v>115.99199999944949</v>
      </c>
      <c r="H135" s="438">
        <v>0.99999999999928824</v>
      </c>
      <c r="I135" s="438">
        <v>4.043999999986867</v>
      </c>
      <c r="J135" s="438">
        <f t="shared" ref="J135:J136" si="333">SUM(G135:I135)</f>
        <v>121.03599999943565</v>
      </c>
      <c r="K135" s="438"/>
      <c r="L135" s="438">
        <v>123.00399999963609</v>
      </c>
      <c r="M135" s="438">
        <v>3.0010000000077572</v>
      </c>
      <c r="N135" s="438">
        <v>6.9649999999899723</v>
      </c>
      <c r="O135" s="438">
        <f t="shared" ref="O135:O136" si="334">SUM(L135:N135)</f>
        <v>132.96999999963384</v>
      </c>
      <c r="P135" s="438"/>
      <c r="Q135" s="438">
        <v>129.16999999959776</v>
      </c>
      <c r="R135" s="438">
        <v>3.2660000000102078</v>
      </c>
      <c r="S135" s="438">
        <v>7.470000000078608</v>
      </c>
      <c r="T135" s="438">
        <f t="shared" ref="T135:T136" si="335">SUM(Q135:S135)</f>
        <v>139.90599999968657</v>
      </c>
      <c r="U135" s="438"/>
      <c r="V135" s="438">
        <v>130.58999999956077</v>
      </c>
      <c r="W135" s="438">
        <v>3.4130000000090921</v>
      </c>
      <c r="X135" s="438">
        <v>7.7060000000733542</v>
      </c>
      <c r="Y135" s="438">
        <f t="shared" ref="Y135:Y136" si="336">SUM(V135:X135)</f>
        <v>141.70899999964323</v>
      </c>
    </row>
    <row r="136" spans="1:25" x14ac:dyDescent="0.25">
      <c r="A136" s="382" t="s">
        <v>389</v>
      </c>
      <c r="B136" s="438">
        <f>SUM(B134:B135)</f>
        <v>114.95699999972372</v>
      </c>
      <c r="C136" s="438">
        <f t="shared" ref="C136" si="337">SUM(C134:C135)</f>
        <v>4.000999999992005</v>
      </c>
      <c r="D136" s="438">
        <f t="shared" ref="D136" si="338">SUM(D134:D135)</f>
        <v>9.5930000001115463</v>
      </c>
      <c r="E136" s="438">
        <f t="shared" si="332"/>
        <v>128.55099999982727</v>
      </c>
      <c r="F136" s="438"/>
      <c r="G136" s="438">
        <f>SUM(G134:G135)</f>
        <v>129.85699999936932</v>
      </c>
      <c r="H136" s="438">
        <f t="shared" ref="H136" si="339">SUM(H134:H135)</f>
        <v>3.1349999999976106</v>
      </c>
      <c r="I136" s="438">
        <f t="shared" ref="I136" si="340">SUM(I134:I135)</f>
        <v>5.0569999999886583</v>
      </c>
      <c r="J136" s="438">
        <f t="shared" si="333"/>
        <v>138.04899999935557</v>
      </c>
      <c r="K136" s="438"/>
      <c r="L136" s="438">
        <f>SUM(L134:L135)</f>
        <v>137.1699999995148</v>
      </c>
      <c r="M136" s="438">
        <f t="shared" ref="M136" si="341">SUM(M134:M135)</f>
        <v>5.8320000000406074</v>
      </c>
      <c r="N136" s="438">
        <f t="shared" ref="N136" si="342">SUM(N134:N135)</f>
        <v>7.9609999999923575</v>
      </c>
      <c r="O136" s="438">
        <f t="shared" si="334"/>
        <v>150.96299999954778</v>
      </c>
      <c r="P136" s="438"/>
      <c r="Q136" s="438">
        <f>SUM(Q134:Q135)</f>
        <v>144.86199999948727</v>
      </c>
      <c r="R136" s="438">
        <f t="shared" ref="R136" si="343">SUM(R134:R135)</f>
        <v>6.2670000000004009</v>
      </c>
      <c r="S136" s="438">
        <f t="shared" ref="S136" si="344">SUM(S134:S135)</f>
        <v>8.5350000000923902</v>
      </c>
      <c r="T136" s="438">
        <f t="shared" si="335"/>
        <v>159.66399999958006</v>
      </c>
      <c r="U136" s="438"/>
      <c r="V136" s="438">
        <f>SUM(V134:V135)</f>
        <v>147.25599999943165</v>
      </c>
      <c r="W136" s="438">
        <f t="shared" ref="W136" si="345">SUM(W134:W135)</f>
        <v>6.4730000000358778</v>
      </c>
      <c r="X136" s="438">
        <f t="shared" ref="X136" si="346">SUM(X134:X135)</f>
        <v>8.8030000000833777</v>
      </c>
      <c r="Y136" s="438">
        <f t="shared" si="336"/>
        <v>162.53199999955092</v>
      </c>
    </row>
    <row r="137" spans="1:25" x14ac:dyDescent="0.25">
      <c r="B137" s="380"/>
      <c r="C137" s="460"/>
      <c r="D137" s="460"/>
      <c r="E137" s="460"/>
      <c r="F137" s="460"/>
      <c r="G137" s="460"/>
      <c r="H137" s="460"/>
      <c r="I137" s="460"/>
      <c r="J137" s="460"/>
      <c r="K137" s="460"/>
      <c r="L137" s="460"/>
      <c r="M137" s="460"/>
      <c r="N137" s="460"/>
      <c r="O137" s="460"/>
      <c r="P137" s="460"/>
      <c r="Q137" s="460"/>
      <c r="R137" s="460"/>
      <c r="S137" s="460"/>
      <c r="T137" s="460"/>
      <c r="U137" s="460"/>
      <c r="V137" s="460"/>
      <c r="W137" s="460"/>
      <c r="X137" s="460"/>
      <c r="Y137" s="460"/>
    </row>
    <row r="138" spans="1:25" x14ac:dyDescent="0.25">
      <c r="A138" s="378" t="str">
        <f>name!A24</f>
        <v>Furniture</v>
      </c>
      <c r="C138" s="380"/>
      <c r="D138" s="380"/>
      <c r="E138" s="380"/>
      <c r="F138" s="380"/>
      <c r="G138" s="380"/>
      <c r="H138" s="380"/>
      <c r="I138" s="380"/>
      <c r="J138" s="380"/>
      <c r="K138" s="380"/>
      <c r="L138" s="380"/>
      <c r="M138" s="380"/>
      <c r="N138" s="380"/>
      <c r="O138" s="380"/>
      <c r="P138" s="380"/>
      <c r="Q138" s="380"/>
      <c r="R138" s="380"/>
      <c r="S138" s="380"/>
      <c r="T138" s="380"/>
      <c r="U138" s="380"/>
      <c r="V138" s="380"/>
      <c r="W138" s="380"/>
      <c r="X138" s="380"/>
      <c r="Y138" s="380"/>
    </row>
    <row r="139" spans="1:25" x14ac:dyDescent="0.25">
      <c r="A139" s="382" t="s">
        <v>391</v>
      </c>
      <c r="B139" s="437">
        <v>11.618999999825325</v>
      </c>
      <c r="C139" s="437">
        <v>4.7020000000141602</v>
      </c>
      <c r="D139" s="437">
        <v>2.2310000000400008</v>
      </c>
      <c r="E139" s="437">
        <f>SUM(B139:D139)</f>
        <v>18.551999999879488</v>
      </c>
      <c r="F139" s="437"/>
      <c r="G139" s="437">
        <v>9.8629999998816071</v>
      </c>
      <c r="H139" s="437">
        <v>5.0310000000042869</v>
      </c>
      <c r="I139" s="437">
        <v>2.5530000000485917</v>
      </c>
      <c r="J139" s="437">
        <f>SUM(G139:I139)</f>
        <v>17.446999999934487</v>
      </c>
      <c r="K139" s="437"/>
      <c r="L139" s="437">
        <v>10.647999999895587</v>
      </c>
      <c r="M139" s="437">
        <v>3.9110000000367893</v>
      </c>
      <c r="N139" s="437">
        <v>2.7840000000565297</v>
      </c>
      <c r="O139" s="437">
        <f>SUM(L139:N139)</f>
        <v>17.342999999988905</v>
      </c>
      <c r="P139" s="437"/>
      <c r="Q139" s="437">
        <v>10.91199999989038</v>
      </c>
      <c r="R139" s="437">
        <v>3.879999999999145</v>
      </c>
      <c r="S139" s="437">
        <v>2.7720000000429015</v>
      </c>
      <c r="T139" s="437">
        <f>SUM(Q139:S139)</f>
        <v>17.563999999932427</v>
      </c>
      <c r="U139" s="437"/>
      <c r="V139" s="437">
        <v>11.09799999990544</v>
      </c>
      <c r="W139" s="437">
        <v>3.8280000000381436</v>
      </c>
      <c r="X139" s="437">
        <v>2.7800000000473908</v>
      </c>
      <c r="Y139" s="437">
        <f>SUM(V139:X139)</f>
        <v>17.705999999990972</v>
      </c>
    </row>
    <row r="140" spans="1:25" x14ac:dyDescent="0.25">
      <c r="A140" s="382" t="s">
        <v>390</v>
      </c>
      <c r="B140" s="438">
        <v>61.203999999889817</v>
      </c>
      <c r="C140" s="438">
        <v>1.8929999999927227</v>
      </c>
      <c r="D140" s="438">
        <v>10.381000000016986</v>
      </c>
      <c r="E140" s="438">
        <f t="shared" ref="E140:E141" si="347">SUM(B140:D140)</f>
        <v>73.477999999899524</v>
      </c>
      <c r="F140" s="438"/>
      <c r="G140" s="438">
        <v>58.342999999614058</v>
      </c>
      <c r="H140" s="438">
        <v>2.4599999999790167</v>
      </c>
      <c r="I140" s="438">
        <v>11.708999999991194</v>
      </c>
      <c r="J140" s="438">
        <f t="shared" ref="J140:J141" si="348">SUM(G140:I140)</f>
        <v>72.511999999584276</v>
      </c>
      <c r="K140" s="438"/>
      <c r="L140" s="438">
        <v>59.799999999678349</v>
      </c>
      <c r="M140" s="438">
        <v>3.0909999999966065</v>
      </c>
      <c r="N140" s="438">
        <v>14.941000000065468</v>
      </c>
      <c r="O140" s="438">
        <f t="shared" ref="O140:O141" si="349">SUM(L140:N140)</f>
        <v>77.831999999740418</v>
      </c>
      <c r="P140" s="438"/>
      <c r="Q140" s="438">
        <v>58.499999999576715</v>
      </c>
      <c r="R140" s="438">
        <v>3.3759999999853827</v>
      </c>
      <c r="S140" s="438">
        <v>14.649000000095967</v>
      </c>
      <c r="T140" s="438">
        <f t="shared" ref="T140:T141" si="350">SUM(Q140:S140)</f>
        <v>76.524999999658064</v>
      </c>
      <c r="U140" s="438"/>
      <c r="V140" s="438">
        <v>56.345999999636042</v>
      </c>
      <c r="W140" s="438">
        <v>3.5949999999879969</v>
      </c>
      <c r="X140" s="438">
        <v>14.067000000068427</v>
      </c>
      <c r="Y140" s="438">
        <f t="shared" ref="Y140:Y141" si="351">SUM(V140:X140)</f>
        <v>74.007999999692473</v>
      </c>
    </row>
    <row r="141" spans="1:25" x14ac:dyDescent="0.25">
      <c r="A141" s="382" t="s">
        <v>389</v>
      </c>
      <c r="B141" s="438">
        <f>SUM(B139:B140)</f>
        <v>72.822999999715137</v>
      </c>
      <c r="C141" s="438">
        <f t="shared" ref="C141" si="352">SUM(C139:C140)</f>
        <v>6.5950000000068831</v>
      </c>
      <c r="D141" s="438">
        <f t="shared" ref="D141" si="353">SUM(D139:D140)</f>
        <v>12.612000000056987</v>
      </c>
      <c r="E141" s="438">
        <f t="shared" si="347"/>
        <v>92.029999999778994</v>
      </c>
      <c r="F141" s="438"/>
      <c r="G141" s="438">
        <f>SUM(G139:G140)</f>
        <v>68.20599999949566</v>
      </c>
      <c r="H141" s="438">
        <f t="shared" ref="H141" si="354">SUM(H139:H140)</f>
        <v>7.4909999999833037</v>
      </c>
      <c r="I141" s="438">
        <f t="shared" ref="I141" si="355">SUM(I139:I140)</f>
        <v>14.262000000039786</v>
      </c>
      <c r="J141" s="438">
        <f t="shared" si="348"/>
        <v>89.958999999518753</v>
      </c>
      <c r="K141" s="438"/>
      <c r="L141" s="438">
        <f>SUM(L139:L140)</f>
        <v>70.447999999573938</v>
      </c>
      <c r="M141" s="438">
        <f t="shared" ref="M141" si="356">SUM(M139:M140)</f>
        <v>7.0020000000333962</v>
      </c>
      <c r="N141" s="438">
        <f t="shared" ref="N141" si="357">SUM(N139:N140)</f>
        <v>17.725000000121998</v>
      </c>
      <c r="O141" s="438">
        <f t="shared" si="349"/>
        <v>95.174999999729323</v>
      </c>
      <c r="P141" s="438"/>
      <c r="Q141" s="438">
        <f>SUM(Q139:Q140)</f>
        <v>69.411999999467099</v>
      </c>
      <c r="R141" s="438">
        <f t="shared" ref="R141" si="358">SUM(R139:R140)</f>
        <v>7.2559999999845282</v>
      </c>
      <c r="S141" s="438">
        <f t="shared" ref="S141" si="359">SUM(S139:S140)</f>
        <v>17.421000000138868</v>
      </c>
      <c r="T141" s="438">
        <f t="shared" si="350"/>
        <v>94.088999999590499</v>
      </c>
      <c r="U141" s="438"/>
      <c r="V141" s="438">
        <f>SUM(V139:V140)</f>
        <v>67.443999999541489</v>
      </c>
      <c r="W141" s="438">
        <f t="shared" ref="W141" si="360">SUM(W139:W140)</f>
        <v>7.4230000000261409</v>
      </c>
      <c r="X141" s="438">
        <f t="shared" ref="X141" si="361">SUM(X139:X140)</f>
        <v>16.84700000011582</v>
      </c>
      <c r="Y141" s="438">
        <f t="shared" si="351"/>
        <v>91.713999999683438</v>
      </c>
    </row>
    <row r="142" spans="1:25" x14ac:dyDescent="0.25">
      <c r="B142" s="380"/>
      <c r="C142" s="460"/>
      <c r="D142" s="460"/>
      <c r="E142" s="460"/>
      <c r="F142" s="460"/>
      <c r="G142" s="460"/>
      <c r="H142" s="460"/>
      <c r="I142" s="460"/>
      <c r="J142" s="460"/>
      <c r="K142" s="460"/>
      <c r="L142" s="460"/>
      <c r="M142" s="460"/>
      <c r="N142" s="460"/>
      <c r="O142" s="460"/>
      <c r="P142" s="460"/>
      <c r="Q142" s="460"/>
      <c r="R142" s="460"/>
      <c r="S142" s="460"/>
      <c r="T142" s="460"/>
      <c r="U142" s="460"/>
      <c r="V142" s="460"/>
      <c r="W142" s="460"/>
      <c r="X142" s="460"/>
      <c r="Y142" s="460"/>
    </row>
    <row r="143" spans="1:25" x14ac:dyDescent="0.25">
      <c r="A143" s="378" t="str">
        <f>name!A25</f>
        <v>Other manufacturing</v>
      </c>
      <c r="C143" s="380"/>
      <c r="D143" s="380"/>
      <c r="E143" s="380"/>
      <c r="F143" s="380"/>
      <c r="G143" s="380"/>
      <c r="H143" s="380"/>
      <c r="I143" s="380"/>
      <c r="J143" s="380"/>
      <c r="K143" s="380"/>
      <c r="L143" s="380"/>
      <c r="M143" s="380"/>
      <c r="N143" s="380"/>
      <c r="O143" s="380"/>
      <c r="P143" s="380"/>
      <c r="Q143" s="380"/>
      <c r="R143" s="380"/>
      <c r="S143" s="380"/>
      <c r="T143" s="380"/>
      <c r="U143" s="380"/>
      <c r="V143" s="380"/>
      <c r="W143" s="380"/>
      <c r="X143" s="380"/>
      <c r="Y143" s="380"/>
    </row>
    <row r="144" spans="1:25" x14ac:dyDescent="0.25">
      <c r="A144" s="382" t="s">
        <v>391</v>
      </c>
      <c r="B144" s="437">
        <v>31.486999999609115</v>
      </c>
      <c r="C144" s="437">
        <v>9.9200000000218225</v>
      </c>
      <c r="D144" s="437">
        <v>4.491000000076518</v>
      </c>
      <c r="E144" s="437">
        <f>SUM(B144:D144)</f>
        <v>45.897999999707459</v>
      </c>
      <c r="F144" s="437"/>
      <c r="G144" s="437">
        <v>26.735999999753645</v>
      </c>
      <c r="H144" s="437">
        <v>7.2060000000138356</v>
      </c>
      <c r="I144" s="437">
        <v>4.3650000000695979</v>
      </c>
      <c r="J144" s="437">
        <f>SUM(G144:I144)</f>
        <v>38.306999999837082</v>
      </c>
      <c r="K144" s="437"/>
      <c r="L144" s="437">
        <v>26.422999999775577</v>
      </c>
      <c r="M144" s="437">
        <v>5.4690000000727252</v>
      </c>
      <c r="N144" s="437">
        <v>5.4460000000825106</v>
      </c>
      <c r="O144" s="437">
        <f>SUM(L144:N144)</f>
        <v>37.337999999930815</v>
      </c>
      <c r="P144" s="437"/>
      <c r="Q144" s="437">
        <v>26.389999999795336</v>
      </c>
      <c r="R144" s="437">
        <v>5.4169999999940197</v>
      </c>
      <c r="S144" s="437">
        <v>5.3230000000786521</v>
      </c>
      <c r="T144" s="437">
        <f>SUM(Q144:S144)</f>
        <v>37.129999999868005</v>
      </c>
      <c r="U144" s="437"/>
      <c r="V144" s="437">
        <v>26.251999999827571</v>
      </c>
      <c r="W144" s="437">
        <v>5.3460000000483756</v>
      </c>
      <c r="X144" s="437">
        <v>5.2420000000752296</v>
      </c>
      <c r="Y144" s="437">
        <f>SUM(V144:X144)</f>
        <v>36.839999999951175</v>
      </c>
    </row>
    <row r="145" spans="1:25" x14ac:dyDescent="0.25">
      <c r="A145" s="382" t="s">
        <v>390</v>
      </c>
      <c r="B145" s="438">
        <v>55.98499999986398</v>
      </c>
      <c r="C145" s="438">
        <v>4.1239999999833614</v>
      </c>
      <c r="D145" s="438">
        <v>9.1509999999941378</v>
      </c>
      <c r="E145" s="438">
        <f t="shared" ref="E145:E146" si="362">SUM(B145:D145)</f>
        <v>69.259999999841483</v>
      </c>
      <c r="F145" s="438"/>
      <c r="G145" s="438">
        <v>53.72599999971451</v>
      </c>
      <c r="H145" s="438">
        <v>3.4179999999744917</v>
      </c>
      <c r="I145" s="438">
        <v>9.9520000000050572</v>
      </c>
      <c r="J145" s="438">
        <f t="shared" ref="J145:J146" si="363">SUM(G145:I145)</f>
        <v>67.095999999694058</v>
      </c>
      <c r="K145" s="438"/>
      <c r="L145" s="438">
        <v>51.183999999838399</v>
      </c>
      <c r="M145" s="438">
        <v>3.7710000000022967</v>
      </c>
      <c r="N145" s="438">
        <v>11.17200000004547</v>
      </c>
      <c r="O145" s="438">
        <f t="shared" ref="O145:O146" si="364">SUM(L145:N145)</f>
        <v>66.126999999886166</v>
      </c>
      <c r="P145" s="438"/>
      <c r="Q145" s="438">
        <v>49.41099999966174</v>
      </c>
      <c r="R145" s="438">
        <v>4.0749999999834765</v>
      </c>
      <c r="S145" s="438">
        <v>10.84100000002508</v>
      </c>
      <c r="T145" s="438">
        <f t="shared" ref="T145:T146" si="365">SUM(Q145:S145)</f>
        <v>64.326999999670292</v>
      </c>
      <c r="U145" s="438"/>
      <c r="V145" s="438">
        <v>46.914999999748858</v>
      </c>
      <c r="W145" s="438">
        <v>4.29999999998783</v>
      </c>
      <c r="X145" s="438">
        <v>10.298000000017353</v>
      </c>
      <c r="Y145" s="438">
        <f t="shared" ref="Y145:Y146" si="366">SUM(V145:X145)</f>
        <v>61.512999999754044</v>
      </c>
    </row>
    <row r="146" spans="1:25" x14ac:dyDescent="0.25">
      <c r="A146" s="382" t="s">
        <v>389</v>
      </c>
      <c r="B146" s="438">
        <f>SUM(B144:B145)</f>
        <v>87.471999999473098</v>
      </c>
      <c r="C146" s="438">
        <f t="shared" ref="C146" si="367">SUM(C144:C145)</f>
        <v>14.044000000005184</v>
      </c>
      <c r="D146" s="438">
        <f t="shared" ref="D146" si="368">SUM(D144:D145)</f>
        <v>13.642000000070656</v>
      </c>
      <c r="E146" s="438">
        <f t="shared" si="362"/>
        <v>115.15799999954893</v>
      </c>
      <c r="F146" s="438"/>
      <c r="G146" s="438">
        <f>SUM(G144:G145)</f>
        <v>80.461999999468162</v>
      </c>
      <c r="H146" s="438">
        <f t="shared" ref="H146" si="369">SUM(H144:H145)</f>
        <v>10.623999999988328</v>
      </c>
      <c r="I146" s="438">
        <f t="shared" ref="I146" si="370">SUM(I144:I145)</f>
        <v>14.317000000074655</v>
      </c>
      <c r="J146" s="438">
        <f t="shared" si="363"/>
        <v>105.40299999953115</v>
      </c>
      <c r="K146" s="438"/>
      <c r="L146" s="438">
        <f>SUM(L144:L145)</f>
        <v>77.606999999613976</v>
      </c>
      <c r="M146" s="438">
        <f t="shared" ref="M146" si="371">SUM(M144:M145)</f>
        <v>9.2400000000750211</v>
      </c>
      <c r="N146" s="438">
        <f t="shared" ref="N146" si="372">SUM(N144:N145)</f>
        <v>16.618000000127982</v>
      </c>
      <c r="O146" s="438">
        <f t="shared" si="364"/>
        <v>103.46499999981697</v>
      </c>
      <c r="P146" s="438"/>
      <c r="Q146" s="438">
        <f>SUM(Q144:Q145)</f>
        <v>75.800999999457076</v>
      </c>
      <c r="R146" s="438">
        <f t="shared" ref="R146" si="373">SUM(R144:R145)</f>
        <v>9.4919999999774962</v>
      </c>
      <c r="S146" s="438">
        <f t="shared" ref="S146" si="374">SUM(S144:S145)</f>
        <v>16.164000000103734</v>
      </c>
      <c r="T146" s="438">
        <f t="shared" si="365"/>
        <v>101.45699999953831</v>
      </c>
      <c r="U146" s="438"/>
      <c r="V146" s="438">
        <f>SUM(V144:V145)</f>
        <v>73.166999999576433</v>
      </c>
      <c r="W146" s="438">
        <f t="shared" ref="W146" si="375">SUM(W144:W145)</f>
        <v>9.6460000000362065</v>
      </c>
      <c r="X146" s="438">
        <f t="shared" ref="X146" si="376">SUM(X144:X145)</f>
        <v>15.540000000092583</v>
      </c>
      <c r="Y146" s="438">
        <f t="shared" si="366"/>
        <v>98.352999999705219</v>
      </c>
    </row>
    <row r="147" spans="1:25" x14ac:dyDescent="0.25">
      <c r="B147" s="380"/>
      <c r="C147" s="460"/>
      <c r="D147" s="460"/>
      <c r="E147" s="460"/>
      <c r="F147" s="460"/>
      <c r="G147" s="460"/>
      <c r="H147" s="460"/>
      <c r="I147" s="460"/>
      <c r="J147" s="460"/>
      <c r="K147" s="460"/>
      <c r="L147" s="460"/>
      <c r="M147" s="460"/>
      <c r="N147" s="460"/>
      <c r="O147" s="460"/>
      <c r="P147" s="460"/>
      <c r="Q147" s="460"/>
      <c r="R147" s="460"/>
      <c r="S147" s="460"/>
      <c r="T147" s="460"/>
      <c r="U147" s="460"/>
      <c r="V147" s="460"/>
      <c r="W147" s="460"/>
      <c r="X147" s="460"/>
      <c r="Y147" s="460"/>
    </row>
    <row r="148" spans="1:25" x14ac:dyDescent="0.25">
      <c r="A148" s="378" t="str">
        <f>name!A26</f>
        <v>Repair and installation</v>
      </c>
      <c r="C148" s="380"/>
      <c r="D148" s="380"/>
      <c r="E148" s="380"/>
      <c r="F148" s="380"/>
      <c r="G148" s="380"/>
      <c r="H148" s="380"/>
      <c r="I148" s="380"/>
      <c r="J148" s="380"/>
      <c r="K148" s="380"/>
      <c r="L148" s="380"/>
      <c r="M148" s="380"/>
      <c r="N148" s="380"/>
      <c r="O148" s="380"/>
      <c r="P148" s="380"/>
      <c r="Q148" s="380"/>
      <c r="R148" s="380"/>
      <c r="S148" s="380"/>
      <c r="T148" s="380"/>
      <c r="U148" s="380"/>
      <c r="V148" s="380"/>
      <c r="W148" s="380"/>
      <c r="X148" s="380"/>
      <c r="Y148" s="380"/>
    </row>
    <row r="149" spans="1:25" x14ac:dyDescent="0.25">
      <c r="A149" s="382" t="s">
        <v>391</v>
      </c>
      <c r="B149" s="437">
        <v>10.570999999875678</v>
      </c>
      <c r="C149" s="437">
        <v>4.6789999999913832</v>
      </c>
      <c r="D149" s="437">
        <v>2.5770000000200421</v>
      </c>
      <c r="E149" s="437">
        <f>SUM(B149:D149)</f>
        <v>17.826999999887104</v>
      </c>
      <c r="F149" s="437"/>
      <c r="G149" s="437">
        <v>11.40399999988292</v>
      </c>
      <c r="H149" s="437">
        <v>6.0979999999826884</v>
      </c>
      <c r="I149" s="437">
        <v>3.1030000000228846</v>
      </c>
      <c r="J149" s="437">
        <f>SUM(G149:I149)</f>
        <v>20.604999999888495</v>
      </c>
      <c r="K149" s="437"/>
      <c r="L149" s="437">
        <v>11.214999999941048</v>
      </c>
      <c r="M149" s="437">
        <v>6.3350000001057181</v>
      </c>
      <c r="N149" s="437">
        <v>3.8900000000283201</v>
      </c>
      <c r="O149" s="437">
        <f>SUM(L149:N149)</f>
        <v>21.440000000075084</v>
      </c>
      <c r="P149" s="437"/>
      <c r="Q149" s="437">
        <v>11.133999999930442</v>
      </c>
      <c r="R149" s="437">
        <v>6.2629999999795025</v>
      </c>
      <c r="S149" s="437">
        <v>3.7960000000563308</v>
      </c>
      <c r="T149" s="437">
        <f>SUM(Q149:S149)</f>
        <v>21.192999999966275</v>
      </c>
      <c r="U149" s="437"/>
      <c r="V149" s="437">
        <v>10.990999999950704</v>
      </c>
      <c r="W149" s="437">
        <v>6.1650000000492371</v>
      </c>
      <c r="X149" s="437">
        <v>3.7350000000415826</v>
      </c>
      <c r="Y149" s="437">
        <f>SUM(V149:X149)</f>
        <v>20.891000000041526</v>
      </c>
    </row>
    <row r="150" spans="1:25" x14ac:dyDescent="0.25">
      <c r="A150" s="382" t="s">
        <v>390</v>
      </c>
      <c r="B150" s="438">
        <v>87.763999999792105</v>
      </c>
      <c r="C150" s="438">
        <v>1.9559999999991062</v>
      </c>
      <c r="D150" s="438">
        <v>15.47899999998662</v>
      </c>
      <c r="E150" s="438">
        <f t="shared" ref="E150:E151" si="377">SUM(B150:D150)</f>
        <v>105.19899999977784</v>
      </c>
      <c r="F150" s="438"/>
      <c r="G150" s="438">
        <v>93.609999999568203</v>
      </c>
      <c r="H150" s="438">
        <v>3.0869999999920941</v>
      </c>
      <c r="I150" s="438">
        <v>19.867999999892344</v>
      </c>
      <c r="J150" s="438">
        <f t="shared" ref="J150:J151" si="378">SUM(G150:I150)</f>
        <v>116.56499999945264</v>
      </c>
      <c r="K150" s="438"/>
      <c r="L150" s="438">
        <v>92.020999999690716</v>
      </c>
      <c r="M150" s="438">
        <v>4.1380000000020525</v>
      </c>
      <c r="N150" s="438">
        <v>23.453999999900113</v>
      </c>
      <c r="O150" s="438">
        <f t="shared" ref="O150:O151" si="379">SUM(L150:N150)</f>
        <v>119.61299999959289</v>
      </c>
      <c r="P150" s="438"/>
      <c r="Q150" s="438">
        <v>88.535999999770738</v>
      </c>
      <c r="R150" s="438">
        <v>4.5019999999978202</v>
      </c>
      <c r="S150" s="438">
        <v>22.73299999988749</v>
      </c>
      <c r="T150" s="438">
        <f t="shared" ref="T150:T151" si="380">SUM(Q150:S150)</f>
        <v>115.77099999965606</v>
      </c>
      <c r="U150" s="438"/>
      <c r="V150" s="438">
        <v>83.870999999774142</v>
      </c>
      <c r="W150" s="438">
        <v>4.7839999999936085</v>
      </c>
      <c r="X150" s="438">
        <v>21.591999999927896</v>
      </c>
      <c r="Y150" s="438">
        <f t="shared" ref="Y150:Y151" si="381">SUM(V150:X150)</f>
        <v>110.24699999969565</v>
      </c>
    </row>
    <row r="151" spans="1:25" x14ac:dyDescent="0.25">
      <c r="A151" s="382" t="s">
        <v>389</v>
      </c>
      <c r="B151" s="438">
        <f>SUM(B149:B150)</f>
        <v>98.334999999667787</v>
      </c>
      <c r="C151" s="438">
        <f t="shared" ref="C151" si="382">SUM(C149:C150)</f>
        <v>6.6349999999904892</v>
      </c>
      <c r="D151" s="438">
        <f t="shared" ref="D151" si="383">SUM(D149:D150)</f>
        <v>18.056000000006662</v>
      </c>
      <c r="E151" s="438">
        <f t="shared" si="377"/>
        <v>123.02599999966493</v>
      </c>
      <c r="F151" s="438"/>
      <c r="G151" s="438">
        <f>SUM(G149:G150)</f>
        <v>105.01399999945113</v>
      </c>
      <c r="H151" s="438">
        <f t="shared" ref="H151" si="384">SUM(H149:H150)</f>
        <v>9.1849999999747816</v>
      </c>
      <c r="I151" s="438">
        <f t="shared" ref="I151" si="385">SUM(I149:I150)</f>
        <v>22.970999999915229</v>
      </c>
      <c r="J151" s="438">
        <f t="shared" si="378"/>
        <v>137.16999999934114</v>
      </c>
      <c r="K151" s="438"/>
      <c r="L151" s="438">
        <f>SUM(L149:L150)</f>
        <v>103.23599999963176</v>
      </c>
      <c r="M151" s="438">
        <f t="shared" ref="M151" si="386">SUM(M149:M150)</f>
        <v>10.473000000107771</v>
      </c>
      <c r="N151" s="438">
        <f t="shared" ref="N151" si="387">SUM(N149:N150)</f>
        <v>27.343999999928432</v>
      </c>
      <c r="O151" s="438">
        <f t="shared" si="379"/>
        <v>141.05299999966797</v>
      </c>
      <c r="P151" s="438"/>
      <c r="Q151" s="438">
        <f>SUM(Q149:Q150)</f>
        <v>99.669999999701176</v>
      </c>
      <c r="R151" s="438">
        <f t="shared" ref="R151" si="388">SUM(R149:R150)</f>
        <v>10.764999999977324</v>
      </c>
      <c r="S151" s="438">
        <f t="shared" ref="S151" si="389">SUM(S149:S150)</f>
        <v>26.528999999943821</v>
      </c>
      <c r="T151" s="438">
        <f t="shared" si="380"/>
        <v>136.96399999962233</v>
      </c>
      <c r="U151" s="438"/>
      <c r="V151" s="438">
        <f>SUM(V149:V150)</f>
        <v>94.861999999724844</v>
      </c>
      <c r="W151" s="438">
        <f t="shared" ref="W151" si="390">SUM(W149:W150)</f>
        <v>10.949000000042846</v>
      </c>
      <c r="X151" s="438">
        <f t="shared" ref="X151" si="391">SUM(X149:X150)</f>
        <v>25.32699999996948</v>
      </c>
      <c r="Y151" s="438">
        <f t="shared" si="381"/>
        <v>131.13799999973716</v>
      </c>
    </row>
    <row r="152" spans="1:25" x14ac:dyDescent="0.25">
      <c r="C152" s="453"/>
    </row>
    <row r="153" spans="1:25" x14ac:dyDescent="0.25">
      <c r="A153" s="383" t="s">
        <v>405</v>
      </c>
    </row>
    <row r="154" spans="1:25" x14ac:dyDescent="0.25">
      <c r="A154" s="377" t="s">
        <v>391</v>
      </c>
      <c r="B154" s="437">
        <f>SUM(B74,B79,B84,B89,B94,B99,B104,B109,B114,B119,B124,B129,B134,B139,B144,B149)</f>
        <v>323.58899999613021</v>
      </c>
      <c r="C154" s="437">
        <f t="shared" ref="C154:D155" si="392">SUM(C74,C79,C84,C89,C94,C99,C104,C109,C114,C119,C124,C129,C134,C139,C144,C149)</f>
        <v>112.44400000026485</v>
      </c>
      <c r="D154" s="437">
        <f t="shared" si="392"/>
        <v>41.5670000005113</v>
      </c>
      <c r="E154" s="437">
        <f>SUM(B154:D154)</f>
        <v>477.59999999690638</v>
      </c>
      <c r="F154" s="437"/>
      <c r="G154" s="437">
        <f>SUM(G74,G79,G84,G89,G94,G99,G104,G109,G114,G119,G124,G129,G134,G139,G144,G149)</f>
        <v>253.5419999973262</v>
      </c>
      <c r="H154" s="437">
        <f t="shared" ref="H154:I154" si="393">SUM(H74,H79,H84,H89,H94,H99,H104,H109,H114,H119,H124,H129,H134,H139,H144,H149)</f>
        <v>83.050000000079649</v>
      </c>
      <c r="I154" s="437">
        <f t="shared" si="393"/>
        <v>51.617000000667744</v>
      </c>
      <c r="J154" s="437">
        <f>SUM(G154:I154)</f>
        <v>388.20899999807364</v>
      </c>
      <c r="K154" s="437"/>
      <c r="L154" s="437">
        <f>SUM(L74,L79,L84,L89,L94,L99,L104,L109,L114,L119,L124,L129,L134,L139,L144,L149)</f>
        <v>265.02099999770633</v>
      </c>
      <c r="M154" s="437">
        <f t="shared" ref="M154:N154" si="394">SUM(M74,M79,M84,M89,M94,M99,M104,M109,M114,M119,M124,M129,M134,M139,M144,M149)</f>
        <v>86.502000001071906</v>
      </c>
      <c r="N154" s="437">
        <f t="shared" si="394"/>
        <v>50.039000000629358</v>
      </c>
      <c r="O154" s="437">
        <f>SUM(L154:N154)</f>
        <v>401.56199999940759</v>
      </c>
      <c r="P154" s="437"/>
      <c r="Q154" s="437">
        <f>SUM(Q74,Q79,Q84,Q89,Q94,Q99,Q104,Q109,Q114,Q119,Q124,Q129,Q134,Q139,Q144,Q149)</f>
        <v>257.35699999793013</v>
      </c>
      <c r="R154" s="437">
        <f t="shared" ref="R154:S154" si="395">SUM(R74,R79,R84,R89,R94,R99,R104,R109,R114,R119,R124,R129,R134,R139,R144,R149)</f>
        <v>84.937999999830325</v>
      </c>
      <c r="S154" s="437">
        <f t="shared" si="395"/>
        <v>43.207000000563667</v>
      </c>
      <c r="T154" s="437">
        <f>SUM(Q154:S154)</f>
        <v>385.5019999983241</v>
      </c>
      <c r="U154" s="437"/>
      <c r="V154" s="437">
        <f>SUM(V74,V79,V84,V89,V94,V99,V104,V109,V114,V119,V124,V129,V134,V139,V144,V149)</f>
        <v>258.15299999826431</v>
      </c>
      <c r="W154" s="437">
        <f t="shared" ref="W154:X154" si="396">SUM(W74,W79,W84,W89,W94,W99,W104,W109,W114,W119,W124,W129,W134,W139,W144,W149)</f>
        <v>86.595000000704971</v>
      </c>
      <c r="X154" s="437">
        <f t="shared" si="396"/>
        <v>40.864000000513627</v>
      </c>
      <c r="Y154" s="437">
        <f>SUM(V154:X154)</f>
        <v>385.61199999948286</v>
      </c>
    </row>
    <row r="155" spans="1:25" x14ac:dyDescent="0.25">
      <c r="A155" s="377" t="s">
        <v>390</v>
      </c>
      <c r="B155" s="437">
        <f>SUM(B75,B80,B85,B90,B95,B100,B105,B110,B115,B120,B125,B130,B135,B140,B145,B150)</f>
        <v>1401.9919999964632</v>
      </c>
      <c r="C155" s="437">
        <f t="shared" si="392"/>
        <v>44.307999999827373</v>
      </c>
      <c r="D155" s="437">
        <f t="shared" si="392"/>
        <v>125.01900000011656</v>
      </c>
      <c r="E155" s="437">
        <f t="shared" ref="E155:E156" si="397">SUM(B155:D155)</f>
        <v>1571.3189999964072</v>
      </c>
      <c r="F155" s="437"/>
      <c r="G155" s="437">
        <f>SUM(G75,G80,G85,G90,G95,G100,G105,G110,G115,G120,G125,G130,G135,G140,G145,G150)</f>
        <v>1228.084999992996</v>
      </c>
      <c r="H155" s="437">
        <f t="shared" ref="H155:I155" si="398">SUM(H75,H80,H85,H90,H95,H100,H105,H110,H115,H120,H125,H130,H135,H140,H145,H150)</f>
        <v>42.222999999850614</v>
      </c>
      <c r="I155" s="437">
        <f t="shared" si="398"/>
        <v>116.17199999960114</v>
      </c>
      <c r="J155" s="437">
        <f t="shared" ref="J155:J156" si="399">SUM(G155:I155)</f>
        <v>1386.4799999924478</v>
      </c>
      <c r="K155" s="437"/>
      <c r="L155" s="437">
        <f>SUM(L75,L80,L85,L90,L95,L100,L105,L110,L115,L120,L125,L130,L135,L140,L145,L150)</f>
        <v>1284.2619999947817</v>
      </c>
      <c r="M155" s="437">
        <f t="shared" ref="M155:N155" si="400">SUM(M75,M80,M85,M90,M95,M100,M105,M110,M115,M120,M125,M130,M135,M140,M145,M150)</f>
        <v>44.262999999991159</v>
      </c>
      <c r="N155" s="437">
        <f t="shared" si="400"/>
        <v>108.16199999982564</v>
      </c>
      <c r="O155" s="437">
        <f t="shared" ref="O155:O156" si="401">SUM(L155:N155)</f>
        <v>1436.6869999945984</v>
      </c>
      <c r="P155" s="437"/>
      <c r="Q155" s="437">
        <f>SUM(Q75,Q80,Q85,Q90,Q95,Q100,Q105,Q110,Q115,Q120,Q125,Q130,Q135,Q140,Q145,Q150)</f>
        <v>1182.6709999936968</v>
      </c>
      <c r="R155" s="437">
        <f t="shared" ref="R155:S155" si="402">SUM(R75,R80,R85,R90,R95,R100,R105,R110,R115,R120,R125,R130,R135,R140,R145,R150)</f>
        <v>46.642999999825904</v>
      </c>
      <c r="S155" s="437">
        <f t="shared" si="402"/>
        <v>106.01899999991804</v>
      </c>
      <c r="T155" s="437">
        <f t="shared" ref="T155:T156" si="403">SUM(Q155:S155)</f>
        <v>1335.3329999934408</v>
      </c>
      <c r="U155" s="437"/>
      <c r="V155" s="437">
        <f>SUM(V75,V80,V85,V90,V95,V100,V105,V110,V115,V120,V125,V130,V135,V140,V145,V150)</f>
        <v>1094.9859999952873</v>
      </c>
      <c r="W155" s="437">
        <f t="shared" ref="W155" si="404">SUM(W75,W80,W85,W90,W95,W100,W105,W110,W115,W120,W125,W130,W135,W140,W145,W150)</f>
        <v>49.389999999826557</v>
      </c>
      <c r="X155" s="437">
        <f>SUM(X75,X80,X85,X90,X95,X100,X105,X110,X115,X120,X125,X130,X135,X140,X145,X150)</f>
        <v>104.13199999997286</v>
      </c>
      <c r="Y155" s="437">
        <f t="shared" ref="Y155:Y156" si="405">SUM(V155:X155)</f>
        <v>1248.5079999950867</v>
      </c>
    </row>
    <row r="156" spans="1:25" x14ac:dyDescent="0.25">
      <c r="A156" s="381" t="s">
        <v>389</v>
      </c>
      <c r="B156" s="439">
        <f>SUM(B154:B155)</f>
        <v>1725.5809999925934</v>
      </c>
      <c r="C156" s="439">
        <f t="shared" ref="C156" si="406">SUM(C154:C155)</f>
        <v>156.75200000009221</v>
      </c>
      <c r="D156" s="439">
        <f t="shared" ref="D156" si="407">SUM(D154:D155)</f>
        <v>166.58600000062785</v>
      </c>
      <c r="E156" s="439">
        <f t="shared" si="397"/>
        <v>2048.9189999933137</v>
      </c>
      <c r="F156" s="439"/>
      <c r="G156" s="439">
        <f>SUM(G154:G155)</f>
        <v>1481.6269999903222</v>
      </c>
      <c r="H156" s="439">
        <f t="shared" ref="H156" si="408">SUM(H154:H155)</f>
        <v>125.27299999993026</v>
      </c>
      <c r="I156" s="439">
        <f t="shared" ref="I156" si="409">SUM(I154:I155)</f>
        <v>167.78900000026889</v>
      </c>
      <c r="J156" s="439">
        <f t="shared" si="399"/>
        <v>1774.6889999905216</v>
      </c>
      <c r="K156" s="439"/>
      <c r="L156" s="439">
        <f>SUM(L154:L155)</f>
        <v>1549.2829999924879</v>
      </c>
      <c r="M156" s="439">
        <f t="shared" ref="M156" si="410">SUM(M154:M155)</f>
        <v>130.76500000106307</v>
      </c>
      <c r="N156" s="439">
        <f t="shared" ref="N156" si="411">SUM(N154:N155)</f>
        <v>158.201000000455</v>
      </c>
      <c r="O156" s="439">
        <f t="shared" si="401"/>
        <v>1838.248999994006</v>
      </c>
      <c r="P156" s="439"/>
      <c r="Q156" s="439">
        <f>SUM(Q154:Q155)</f>
        <v>1440.027999991627</v>
      </c>
      <c r="R156" s="439">
        <f t="shared" ref="R156" si="412">SUM(R154:R155)</f>
        <v>131.58099999965623</v>
      </c>
      <c r="S156" s="439">
        <f t="shared" ref="S156" si="413">SUM(S154:S155)</f>
        <v>149.22600000048169</v>
      </c>
      <c r="T156" s="439">
        <f t="shared" si="403"/>
        <v>1720.834999991765</v>
      </c>
      <c r="U156" s="439"/>
      <c r="V156" s="439">
        <f>SUM(V154:V155)</f>
        <v>1353.1389999935516</v>
      </c>
      <c r="W156" s="439">
        <f t="shared" ref="W156" si="414">SUM(W154:W155)</f>
        <v>135.98500000053153</v>
      </c>
      <c r="X156" s="439">
        <f t="shared" ref="X156" si="415">SUM(X154:X155)</f>
        <v>144.9960000004865</v>
      </c>
      <c r="Y156" s="439">
        <f t="shared" si="405"/>
        <v>1634.1199999945695</v>
      </c>
    </row>
    <row r="157" spans="1:25" x14ac:dyDescent="0.25">
      <c r="C157" s="453"/>
    </row>
    <row r="158" spans="1:25" x14ac:dyDescent="0.25">
      <c r="C158" s="453"/>
    </row>
    <row r="159" spans="1:25" x14ac:dyDescent="0.25">
      <c r="C159" s="453"/>
    </row>
    <row r="160" spans="1:25" ht="13.8" x14ac:dyDescent="0.25">
      <c r="A160" s="385" t="str">
        <f>"Industry 6 : "&amp; name!B9</f>
        <v>Industry 6 : Electricity and gas</v>
      </c>
      <c r="B160" s="514">
        <f>$B$5</f>
        <v>2007</v>
      </c>
      <c r="C160" s="514"/>
      <c r="D160" s="514"/>
      <c r="E160" s="514"/>
      <c r="F160" s="461"/>
      <c r="G160" s="514">
        <f>$G$5</f>
        <v>2012</v>
      </c>
      <c r="H160" s="514"/>
      <c r="I160" s="514"/>
      <c r="J160" s="514"/>
      <c r="K160" s="461"/>
      <c r="L160" s="514">
        <f>$L$5</f>
        <v>2017</v>
      </c>
      <c r="M160" s="514"/>
      <c r="N160" s="514"/>
      <c r="O160" s="514"/>
      <c r="P160" s="459"/>
      <c r="Q160" s="514">
        <f>$Q$5</f>
        <v>2022</v>
      </c>
      <c r="R160" s="514"/>
      <c r="S160" s="514"/>
      <c r="T160" s="514"/>
      <c r="U160" s="461"/>
      <c r="V160" s="514">
        <f>$V$5</f>
        <v>2027</v>
      </c>
      <c r="W160" s="514"/>
      <c r="X160" s="514"/>
      <c r="Y160" s="514"/>
    </row>
    <row r="161" spans="1:25" x14ac:dyDescent="0.25">
      <c r="A161" s="381"/>
      <c r="B161" s="388" t="str">
        <f>$B$6</f>
        <v>FT</v>
      </c>
      <c r="C161" s="388" t="str">
        <f>$C$6</f>
        <v>PT</v>
      </c>
      <c r="D161" s="388" t="str">
        <f>$D$6</f>
        <v>SE</v>
      </c>
      <c r="E161" s="388" t="str">
        <f>$E$6</f>
        <v>Total</v>
      </c>
      <c r="F161" s="388"/>
      <c r="G161" s="388" t="str">
        <f>$B$6</f>
        <v>FT</v>
      </c>
      <c r="H161" s="388" t="str">
        <f>$C$6</f>
        <v>PT</v>
      </c>
      <c r="I161" s="388" t="str">
        <f>$D$6</f>
        <v>SE</v>
      </c>
      <c r="J161" s="388" t="str">
        <f>$E$6</f>
        <v>Total</v>
      </c>
      <c r="K161" s="388"/>
      <c r="L161" s="388" t="str">
        <f>$L$6</f>
        <v>FT</v>
      </c>
      <c r="M161" s="388" t="str">
        <f>$M$6</f>
        <v>PT</v>
      </c>
      <c r="N161" s="388" t="str">
        <f>$N$6</f>
        <v>SE</v>
      </c>
      <c r="O161" s="388" t="str">
        <f>$O$6</f>
        <v>Total</v>
      </c>
      <c r="P161" s="388"/>
      <c r="Q161" s="388" t="str">
        <f>$L$6</f>
        <v>FT</v>
      </c>
      <c r="R161" s="388" t="str">
        <f>$M$6</f>
        <v>PT</v>
      </c>
      <c r="S161" s="388" t="str">
        <f>$N$6</f>
        <v>SE</v>
      </c>
      <c r="T161" s="388" t="str">
        <f>$O$6</f>
        <v>Total</v>
      </c>
      <c r="U161" s="388"/>
      <c r="V161" s="388" t="str">
        <f>$V$6</f>
        <v>FT</v>
      </c>
      <c r="W161" s="388" t="str">
        <f>$W$6</f>
        <v>PT</v>
      </c>
      <c r="X161" s="388" t="str">
        <f>$X$6</f>
        <v>SE</v>
      </c>
      <c r="Y161" s="388" t="str">
        <f>$Y$6</f>
        <v>Total</v>
      </c>
    </row>
    <row r="162" spans="1:25" x14ac:dyDescent="0.25">
      <c r="B162" s="380"/>
      <c r="C162" s="460"/>
      <c r="D162" s="460"/>
      <c r="E162" s="460"/>
      <c r="F162" s="460"/>
      <c r="G162" s="460"/>
      <c r="H162" s="460"/>
      <c r="I162" s="460"/>
      <c r="J162" s="460"/>
      <c r="K162" s="460"/>
      <c r="L162" s="460"/>
      <c r="M162" s="460"/>
      <c r="N162" s="460"/>
      <c r="O162" s="460"/>
      <c r="P162" s="460"/>
      <c r="Q162" s="460"/>
      <c r="R162" s="460"/>
      <c r="S162" s="460"/>
      <c r="T162" s="460"/>
      <c r="U162" s="460"/>
      <c r="V162" s="460"/>
      <c r="W162" s="460"/>
      <c r="X162" s="460"/>
      <c r="Y162" s="460"/>
    </row>
    <row r="163" spans="1:25" x14ac:dyDescent="0.25">
      <c r="A163" s="378" t="str">
        <f>name!A27</f>
        <v>Electricity, gas, etc</v>
      </c>
      <c r="C163" s="380"/>
      <c r="D163" s="380"/>
      <c r="E163" s="380"/>
      <c r="F163" s="380"/>
      <c r="G163" s="380"/>
      <c r="H163" s="380"/>
      <c r="I163" s="380"/>
      <c r="J163" s="380"/>
      <c r="K163" s="380"/>
      <c r="L163" s="380"/>
      <c r="M163" s="380"/>
      <c r="N163" s="380"/>
      <c r="O163" s="380"/>
      <c r="P163" s="380"/>
      <c r="Q163" s="380"/>
      <c r="R163" s="380"/>
      <c r="S163" s="380"/>
      <c r="T163" s="380"/>
      <c r="U163" s="380"/>
      <c r="V163" s="380"/>
      <c r="W163" s="380"/>
      <c r="X163" s="380"/>
      <c r="Y163" s="380"/>
    </row>
    <row r="164" spans="1:25" x14ac:dyDescent="0.25">
      <c r="A164" s="382" t="s">
        <v>391</v>
      </c>
      <c r="B164" s="437">
        <v>19.60299999982627</v>
      </c>
      <c r="C164" s="437">
        <v>4.1200000000196031</v>
      </c>
      <c r="D164" s="437">
        <v>0.36000000000212157</v>
      </c>
      <c r="E164" s="437">
        <f>SUM(B164:D164)</f>
        <v>24.082999999847996</v>
      </c>
      <c r="F164" s="437"/>
      <c r="G164" s="437">
        <v>26.033999999784545</v>
      </c>
      <c r="H164" s="437">
        <v>7.9930000000527555</v>
      </c>
      <c r="I164" s="437">
        <v>0.40400000000692143</v>
      </c>
      <c r="J164" s="437">
        <f>SUM(G164:I164)</f>
        <v>34.430999999844225</v>
      </c>
      <c r="K164" s="437"/>
      <c r="L164" s="437">
        <v>30.271999999827013</v>
      </c>
      <c r="M164" s="437">
        <v>8.0560000001127907</v>
      </c>
      <c r="N164" s="437">
        <v>0.98500000000930887</v>
      </c>
      <c r="O164" s="437">
        <f>SUM(L164:N164)</f>
        <v>39.312999999949113</v>
      </c>
      <c r="P164" s="437"/>
      <c r="Q164" s="437">
        <v>26.919999999580359</v>
      </c>
      <c r="R164" s="437">
        <v>7.9319999999931641</v>
      </c>
      <c r="S164" s="437">
        <v>1.0120000000072782</v>
      </c>
      <c r="T164" s="437">
        <f>SUM(Q164:S164)</f>
        <v>35.863999999580798</v>
      </c>
      <c r="U164" s="437"/>
      <c r="V164" s="437">
        <v>23.25099999979512</v>
      </c>
      <c r="W164" s="437">
        <v>7.7710000000571409</v>
      </c>
      <c r="X164" s="437">
        <v>1.066000000007522</v>
      </c>
      <c r="Y164" s="437">
        <f>SUM(V164:X164)</f>
        <v>32.087999999859782</v>
      </c>
    </row>
    <row r="165" spans="1:25" x14ac:dyDescent="0.25">
      <c r="A165" s="382" t="s">
        <v>390</v>
      </c>
      <c r="B165" s="437">
        <v>58.29399999988923</v>
      </c>
      <c r="C165" s="437">
        <v>1.004999999996681</v>
      </c>
      <c r="D165" s="437">
        <v>1.6109999999752991</v>
      </c>
      <c r="E165" s="437">
        <f t="shared" ref="E165:E166" si="416">SUM(B165:D165)</f>
        <v>60.909999999861213</v>
      </c>
      <c r="F165" s="437"/>
      <c r="G165" s="437">
        <v>81.033999999769705</v>
      </c>
      <c r="H165" s="437">
        <v>2.0049999999980042</v>
      </c>
      <c r="I165" s="437">
        <v>4.5179999999604581</v>
      </c>
      <c r="J165" s="437">
        <f t="shared" ref="J165:J166" si="417">SUM(G165:I165)</f>
        <v>87.556999999728163</v>
      </c>
      <c r="K165" s="437"/>
      <c r="L165" s="437">
        <v>93.773999999613125</v>
      </c>
      <c r="M165" s="437">
        <v>2.0189999999962009</v>
      </c>
      <c r="N165" s="437">
        <v>8.8929999999390237</v>
      </c>
      <c r="O165" s="437">
        <f t="shared" ref="O165:O166" si="418">SUM(L165:N165)</f>
        <v>104.68599999954834</v>
      </c>
      <c r="P165" s="437"/>
      <c r="Q165" s="437">
        <v>97.815000000069176</v>
      </c>
      <c r="R165" s="437">
        <v>1.7579999999940408</v>
      </c>
      <c r="S165" s="437">
        <v>9.0090000000124526</v>
      </c>
      <c r="T165" s="437">
        <f t="shared" ref="T165:T166" si="419">SUM(Q165:S165)</f>
        <v>108.58200000007567</v>
      </c>
      <c r="U165" s="437"/>
      <c r="V165" s="437">
        <v>102.28199999972782</v>
      </c>
      <c r="W165" s="437">
        <v>1.4499999999926432</v>
      </c>
      <c r="X165" s="437">
        <v>9.3529999999699989</v>
      </c>
      <c r="Y165" s="437">
        <f t="shared" ref="Y165:Y166" si="420">SUM(V165:X165)</f>
        <v>113.08499999969045</v>
      </c>
    </row>
    <row r="166" spans="1:25" x14ac:dyDescent="0.25">
      <c r="A166" s="381" t="s">
        <v>389</v>
      </c>
      <c r="B166" s="439">
        <f>SUM(B164:B165)</f>
        <v>77.896999999715504</v>
      </c>
      <c r="C166" s="439">
        <f t="shared" ref="C166" si="421">SUM(C164:C165)</f>
        <v>5.1250000000162839</v>
      </c>
      <c r="D166" s="439">
        <f t="shared" ref="D166" si="422">SUM(D164:D165)</f>
        <v>1.9709999999774206</v>
      </c>
      <c r="E166" s="439">
        <f t="shared" si="416"/>
        <v>84.992999999709212</v>
      </c>
      <c r="F166" s="439"/>
      <c r="G166" s="439">
        <f>SUM(G164:G165)</f>
        <v>107.06799999955425</v>
      </c>
      <c r="H166" s="439">
        <f t="shared" ref="H166" si="423">SUM(H164:H165)</f>
        <v>9.9980000000507587</v>
      </c>
      <c r="I166" s="439">
        <f t="shared" ref="I166" si="424">SUM(I164:I165)</f>
        <v>4.9219999999673796</v>
      </c>
      <c r="J166" s="439">
        <f t="shared" si="417"/>
        <v>121.98799999957238</v>
      </c>
      <c r="K166" s="439"/>
      <c r="L166" s="439">
        <f>SUM(L164:L165)</f>
        <v>124.04599999944014</v>
      </c>
      <c r="M166" s="439">
        <f t="shared" ref="M166" si="425">SUM(M164:M165)</f>
        <v>10.075000000108991</v>
      </c>
      <c r="N166" s="439">
        <f t="shared" ref="N166" si="426">SUM(N164:N165)</f>
        <v>9.877999999948333</v>
      </c>
      <c r="O166" s="439">
        <f t="shared" si="418"/>
        <v>143.99899999949747</v>
      </c>
      <c r="P166" s="439"/>
      <c r="Q166" s="439">
        <f>SUM(Q164:Q165)</f>
        <v>124.73499999964953</v>
      </c>
      <c r="R166" s="439">
        <f t="shared" ref="R166" si="427">SUM(R164:R165)</f>
        <v>9.6899999999872044</v>
      </c>
      <c r="S166" s="439">
        <f t="shared" ref="S166" si="428">SUM(S164:S165)</f>
        <v>10.021000000019731</v>
      </c>
      <c r="T166" s="439">
        <f t="shared" si="419"/>
        <v>144.44599999965646</v>
      </c>
      <c r="U166" s="439"/>
      <c r="V166" s="439">
        <f>SUM(V164:V165)</f>
        <v>125.53299999952293</v>
      </c>
      <c r="W166" s="439">
        <f t="shared" ref="W166" si="429">SUM(W164:W165)</f>
        <v>9.2210000000497843</v>
      </c>
      <c r="X166" s="439">
        <f t="shared" ref="X166" si="430">SUM(X164:X165)</f>
        <v>10.418999999977521</v>
      </c>
      <c r="Y166" s="439">
        <f t="shared" si="420"/>
        <v>145.17299999955026</v>
      </c>
    </row>
    <row r="167" spans="1:25" x14ac:dyDescent="0.25">
      <c r="C167" s="453"/>
    </row>
    <row r="168" spans="1:25" x14ac:dyDescent="0.25">
      <c r="C168" s="453"/>
    </row>
    <row r="169" spans="1:25" x14ac:dyDescent="0.25">
      <c r="C169" s="453"/>
    </row>
    <row r="170" spans="1:25" ht="13.8" x14ac:dyDescent="0.25">
      <c r="A170" s="385" t="str">
        <f>"Industry 7 : "&amp; name!B10</f>
        <v>Industry 7 : Water and sewerage</v>
      </c>
      <c r="B170" s="514">
        <f>$B$5</f>
        <v>2007</v>
      </c>
      <c r="C170" s="514"/>
      <c r="D170" s="514"/>
      <c r="E170" s="514"/>
      <c r="F170" s="461"/>
      <c r="G170" s="514">
        <f>$G$5</f>
        <v>2012</v>
      </c>
      <c r="H170" s="514"/>
      <c r="I170" s="514"/>
      <c r="J170" s="514"/>
      <c r="K170" s="461"/>
      <c r="L170" s="514">
        <f>$L$5</f>
        <v>2017</v>
      </c>
      <c r="M170" s="514"/>
      <c r="N170" s="514"/>
      <c r="O170" s="514"/>
      <c r="P170" s="459"/>
      <c r="Q170" s="514">
        <f>$Q$5</f>
        <v>2022</v>
      </c>
      <c r="R170" s="514"/>
      <c r="S170" s="514"/>
      <c r="T170" s="514"/>
      <c r="U170" s="461"/>
      <c r="V170" s="514">
        <f>$V$5</f>
        <v>2027</v>
      </c>
      <c r="W170" s="514"/>
      <c r="X170" s="514"/>
      <c r="Y170" s="514"/>
    </row>
    <row r="171" spans="1:25" x14ac:dyDescent="0.25">
      <c r="A171" s="381"/>
      <c r="B171" s="388" t="str">
        <f>$B$6</f>
        <v>FT</v>
      </c>
      <c r="C171" s="388" t="str">
        <f>$C$6</f>
        <v>PT</v>
      </c>
      <c r="D171" s="388" t="str">
        <f>$D$6</f>
        <v>SE</v>
      </c>
      <c r="E171" s="388" t="str">
        <f>$E$6</f>
        <v>Total</v>
      </c>
      <c r="F171" s="388"/>
      <c r="G171" s="388" t="str">
        <f>$B$6</f>
        <v>FT</v>
      </c>
      <c r="H171" s="388" t="str">
        <f>$C$6</f>
        <v>PT</v>
      </c>
      <c r="I171" s="388" t="str">
        <f>$D$6</f>
        <v>SE</v>
      </c>
      <c r="J171" s="388" t="str">
        <f>$E$6</f>
        <v>Total</v>
      </c>
      <c r="K171" s="388"/>
      <c r="L171" s="388" t="str">
        <f>$L$6</f>
        <v>FT</v>
      </c>
      <c r="M171" s="388" t="str">
        <f>$M$6</f>
        <v>PT</v>
      </c>
      <c r="N171" s="388" t="str">
        <f>$N$6</f>
        <v>SE</v>
      </c>
      <c r="O171" s="388" t="str">
        <f>$O$6</f>
        <v>Total</v>
      </c>
      <c r="P171" s="388"/>
      <c r="Q171" s="388" t="str">
        <f>$L$6</f>
        <v>FT</v>
      </c>
      <c r="R171" s="388" t="str">
        <f>$M$6</f>
        <v>PT</v>
      </c>
      <c r="S171" s="388" t="str">
        <f>$N$6</f>
        <v>SE</v>
      </c>
      <c r="T171" s="388" t="str">
        <f>$O$6</f>
        <v>Total</v>
      </c>
      <c r="U171" s="388"/>
      <c r="V171" s="388" t="str">
        <f>$V$6</f>
        <v>FT</v>
      </c>
      <c r="W171" s="388" t="str">
        <f>$W$6</f>
        <v>PT</v>
      </c>
      <c r="X171" s="388" t="str">
        <f>$X$6</f>
        <v>SE</v>
      </c>
      <c r="Y171" s="388" t="str">
        <f>$Y$6</f>
        <v>Total</v>
      </c>
    </row>
    <row r="172" spans="1:25" x14ac:dyDescent="0.25">
      <c r="B172" s="380"/>
      <c r="C172" s="460"/>
      <c r="D172" s="460"/>
      <c r="E172" s="460"/>
      <c r="F172" s="460"/>
      <c r="G172" s="460"/>
      <c r="H172" s="460"/>
      <c r="I172" s="460"/>
      <c r="J172" s="460"/>
      <c r="K172" s="460"/>
      <c r="L172" s="460"/>
      <c r="M172" s="460"/>
      <c r="N172" s="460"/>
      <c r="O172" s="460"/>
      <c r="P172" s="460"/>
      <c r="Q172" s="460"/>
      <c r="R172" s="460"/>
      <c r="S172" s="460"/>
      <c r="T172" s="460"/>
      <c r="U172" s="460"/>
      <c r="V172" s="460"/>
      <c r="W172" s="460"/>
      <c r="X172" s="460"/>
      <c r="Y172" s="460"/>
    </row>
    <row r="173" spans="1:25" x14ac:dyDescent="0.25">
      <c r="A173" s="378" t="str">
        <f>name!A28</f>
        <v>Water</v>
      </c>
      <c r="C173" s="380"/>
      <c r="D173" s="380"/>
      <c r="E173" s="380"/>
      <c r="F173" s="380"/>
      <c r="G173" s="380"/>
      <c r="H173" s="380"/>
      <c r="I173" s="380"/>
      <c r="J173" s="380"/>
      <c r="K173" s="380"/>
      <c r="L173" s="380"/>
      <c r="M173" s="380"/>
      <c r="N173" s="380"/>
      <c r="O173" s="380"/>
      <c r="P173" s="380"/>
      <c r="Q173" s="380"/>
      <c r="R173" s="380"/>
      <c r="S173" s="380"/>
      <c r="T173" s="380"/>
      <c r="U173" s="380"/>
      <c r="V173" s="380"/>
      <c r="W173" s="380"/>
      <c r="X173" s="380"/>
      <c r="Y173" s="380"/>
    </row>
    <row r="174" spans="1:25" x14ac:dyDescent="0.25">
      <c r="A174" s="382" t="s">
        <v>391</v>
      </c>
      <c r="B174" s="437">
        <v>5.2249999999707013</v>
      </c>
      <c r="C174" s="437">
        <v>1.7070000000033094</v>
      </c>
      <c r="D174" s="437">
        <v>0.34299999999582609</v>
      </c>
      <c r="E174" s="437">
        <f>SUM(B174:D174)</f>
        <v>7.2749999999698369</v>
      </c>
      <c r="F174" s="437"/>
      <c r="G174" s="437">
        <v>6.7449999999356534</v>
      </c>
      <c r="H174" s="437">
        <v>2.9680000000052851</v>
      </c>
      <c r="I174" s="437">
        <v>0.36100000000228999</v>
      </c>
      <c r="J174" s="437">
        <f>SUM(G174:I174)</f>
        <v>10.073999999943229</v>
      </c>
      <c r="K174" s="437"/>
      <c r="L174" s="437">
        <v>7.2129999999512773</v>
      </c>
      <c r="M174" s="437">
        <v>3.0840000000236829</v>
      </c>
      <c r="N174" s="437">
        <v>0.29400000000475773</v>
      </c>
      <c r="O174" s="437">
        <f>SUM(L174:N174)</f>
        <v>10.590999999979719</v>
      </c>
      <c r="P174" s="437"/>
      <c r="Q174" s="437">
        <v>7.4059999999373964</v>
      </c>
      <c r="R174" s="437">
        <v>3.2039999999946334</v>
      </c>
      <c r="S174" s="437">
        <v>0.31500000000333933</v>
      </c>
      <c r="T174" s="437">
        <f>SUM(Q174:S174)</f>
        <v>10.924999999935368</v>
      </c>
      <c r="U174" s="437"/>
      <c r="V174" s="437">
        <v>10.37499999994415</v>
      </c>
      <c r="W174" s="437">
        <v>3.3350000000183679</v>
      </c>
      <c r="X174" s="437">
        <v>0.33300000000373969</v>
      </c>
      <c r="Y174" s="437">
        <f>SUM(V174:X174)</f>
        <v>14.042999999966257</v>
      </c>
    </row>
    <row r="175" spans="1:25" x14ac:dyDescent="0.25">
      <c r="A175" s="382" t="s">
        <v>390</v>
      </c>
      <c r="B175" s="438">
        <v>21.640999999948662</v>
      </c>
      <c r="C175" s="438">
        <v>1.0279999999992397</v>
      </c>
      <c r="D175" s="438">
        <v>0.74400000000724176</v>
      </c>
      <c r="E175" s="438">
        <f t="shared" ref="E175:E176" si="431">SUM(B175:D175)</f>
        <v>23.41299999995514</v>
      </c>
      <c r="F175" s="438"/>
      <c r="G175" s="438">
        <v>23.137999999920204</v>
      </c>
      <c r="H175" s="438">
        <v>1.2460000000008207</v>
      </c>
      <c r="I175" s="438">
        <v>2.3929999999867673</v>
      </c>
      <c r="J175" s="438">
        <f t="shared" ref="J175:J176" si="432">SUM(G175:I175)</f>
        <v>26.77699999990779</v>
      </c>
      <c r="K175" s="438"/>
      <c r="L175" s="438">
        <v>24.347999999891261</v>
      </c>
      <c r="M175" s="438">
        <v>1.5030000000013621</v>
      </c>
      <c r="N175" s="438">
        <v>0.65099999999784786</v>
      </c>
      <c r="O175" s="438">
        <f t="shared" ref="O175:O176" si="433">SUM(L175:N175)</f>
        <v>26.501999999890469</v>
      </c>
      <c r="P175" s="438"/>
      <c r="Q175" s="438">
        <v>24.828999999957869</v>
      </c>
      <c r="R175" s="438">
        <v>1.8619999999975543</v>
      </c>
      <c r="S175" s="438">
        <v>0.68100000000001737</v>
      </c>
      <c r="T175" s="438">
        <f t="shared" ref="T175:T176" si="434">SUM(Q175:S175)</f>
        <v>27.371999999955442</v>
      </c>
      <c r="U175" s="438"/>
      <c r="V175" s="438">
        <v>25.339999999936087</v>
      </c>
      <c r="W175" s="438">
        <v>2.2239999999918094</v>
      </c>
      <c r="X175" s="438">
        <v>0.70300000000010665</v>
      </c>
      <c r="Y175" s="438">
        <f t="shared" ref="Y175:Y176" si="435">SUM(V175:X175)</f>
        <v>28.266999999928</v>
      </c>
    </row>
    <row r="176" spans="1:25" x14ac:dyDescent="0.25">
      <c r="A176" s="382" t="s">
        <v>389</v>
      </c>
      <c r="B176" s="438">
        <f>SUM(B174:B175)</f>
        <v>26.865999999919364</v>
      </c>
      <c r="C176" s="438">
        <f t="shared" ref="C176" si="436">SUM(C174:C175)</f>
        <v>2.7350000000025494</v>
      </c>
      <c r="D176" s="438">
        <f t="shared" ref="D176" si="437">SUM(D174:D175)</f>
        <v>1.087000000003068</v>
      </c>
      <c r="E176" s="438">
        <f t="shared" si="431"/>
        <v>30.687999999924983</v>
      </c>
      <c r="F176" s="438"/>
      <c r="G176" s="438">
        <f>SUM(G174:G175)</f>
        <v>29.882999999855858</v>
      </c>
      <c r="H176" s="438">
        <f t="shared" ref="H176" si="438">SUM(H174:H175)</f>
        <v>4.2140000000061058</v>
      </c>
      <c r="I176" s="438">
        <f t="shared" ref="I176" si="439">SUM(I174:I175)</f>
        <v>2.7539999999890572</v>
      </c>
      <c r="J176" s="438">
        <f t="shared" si="432"/>
        <v>36.85099999985102</v>
      </c>
      <c r="K176" s="438"/>
      <c r="L176" s="438">
        <f>SUM(L174:L175)</f>
        <v>31.560999999842537</v>
      </c>
      <c r="M176" s="438">
        <f t="shared" ref="M176" si="440">SUM(M174:M175)</f>
        <v>4.5870000000250446</v>
      </c>
      <c r="N176" s="438">
        <f t="shared" ref="N176" si="441">SUM(N174:N175)</f>
        <v>0.94500000000260553</v>
      </c>
      <c r="O176" s="438">
        <f t="shared" si="433"/>
        <v>37.092999999870187</v>
      </c>
      <c r="P176" s="438"/>
      <c r="Q176" s="438">
        <f>SUM(Q174:Q175)</f>
        <v>32.234999999895265</v>
      </c>
      <c r="R176" s="438">
        <f t="shared" ref="R176" si="442">SUM(R174:R175)</f>
        <v>5.0659999999921874</v>
      </c>
      <c r="S176" s="438">
        <f t="shared" ref="S176" si="443">SUM(S174:S175)</f>
        <v>0.99600000000335664</v>
      </c>
      <c r="T176" s="438">
        <f t="shared" si="434"/>
        <v>38.296999999890808</v>
      </c>
      <c r="U176" s="438"/>
      <c r="V176" s="438">
        <f>SUM(V174:V175)</f>
        <v>35.714999999880234</v>
      </c>
      <c r="W176" s="438">
        <f t="shared" ref="W176" si="444">SUM(W174:W175)</f>
        <v>5.5590000000101778</v>
      </c>
      <c r="X176" s="438">
        <f t="shared" ref="X176" si="445">SUM(X174:X175)</f>
        <v>1.0360000000038463</v>
      </c>
      <c r="Y176" s="438">
        <f t="shared" si="435"/>
        <v>42.309999999894259</v>
      </c>
    </row>
    <row r="177" spans="1:25" x14ac:dyDescent="0.25">
      <c r="B177" s="380"/>
      <c r="C177" s="460"/>
      <c r="D177" s="460"/>
      <c r="E177" s="460"/>
      <c r="F177" s="460"/>
      <c r="G177" s="460"/>
      <c r="H177" s="460"/>
      <c r="I177" s="460"/>
      <c r="J177" s="460"/>
      <c r="K177" s="460"/>
      <c r="L177" s="460"/>
      <c r="M177" s="460"/>
      <c r="N177" s="460"/>
      <c r="O177" s="460"/>
      <c r="P177" s="460"/>
      <c r="Q177" s="460"/>
      <c r="R177" s="460"/>
      <c r="S177" s="460"/>
      <c r="T177" s="460"/>
      <c r="U177" s="460"/>
      <c r="V177" s="460"/>
      <c r="W177" s="460"/>
      <c r="X177" s="460"/>
      <c r="Y177" s="460"/>
    </row>
    <row r="178" spans="1:25" x14ac:dyDescent="0.25">
      <c r="A178" s="378" t="str">
        <f>name!A29</f>
        <v>Sewerage</v>
      </c>
      <c r="C178" s="380"/>
      <c r="D178" s="380"/>
      <c r="E178" s="380"/>
      <c r="F178" s="380"/>
      <c r="G178" s="380"/>
      <c r="H178" s="380"/>
      <c r="I178" s="380"/>
      <c r="J178" s="380"/>
      <c r="K178" s="380"/>
      <c r="L178" s="380"/>
      <c r="M178" s="380"/>
      <c r="N178" s="380"/>
      <c r="O178" s="380"/>
      <c r="P178" s="380"/>
      <c r="Q178" s="380"/>
      <c r="R178" s="380"/>
      <c r="S178" s="380"/>
      <c r="T178" s="380"/>
      <c r="U178" s="380"/>
      <c r="V178" s="380"/>
      <c r="W178" s="380"/>
      <c r="X178" s="380"/>
      <c r="Y178" s="380"/>
    </row>
    <row r="179" spans="1:25" x14ac:dyDescent="0.25">
      <c r="A179" s="382" t="s">
        <v>391</v>
      </c>
      <c r="B179" s="437">
        <v>1.6419999999922221</v>
      </c>
      <c r="C179" s="437">
        <v>0.37800000000142314</v>
      </c>
      <c r="D179" s="437">
        <v>0.24599999999710845</v>
      </c>
      <c r="E179" s="437">
        <f>SUM(B179:D179)</f>
        <v>2.2659999999907536</v>
      </c>
      <c r="F179" s="437"/>
      <c r="G179" s="437">
        <v>3.7559999999780489</v>
      </c>
      <c r="H179" s="437">
        <v>1.1289999999954348</v>
      </c>
      <c r="I179" s="437">
        <v>0.33500000000207752</v>
      </c>
      <c r="J179" s="437">
        <f>SUM(G179:I179)</f>
        <v>5.2199999999755615</v>
      </c>
      <c r="K179" s="437"/>
      <c r="L179" s="437">
        <v>5.4599999999710889</v>
      </c>
      <c r="M179" s="437">
        <v>1.3300000000041083</v>
      </c>
      <c r="N179" s="437">
        <v>0.20900000000319682</v>
      </c>
      <c r="O179" s="437">
        <f>SUM(L179:N179)</f>
        <v>6.9989999999783947</v>
      </c>
      <c r="P179" s="437"/>
      <c r="Q179" s="437">
        <v>5.5899999999720054</v>
      </c>
      <c r="R179" s="437">
        <v>1.3929999999996467</v>
      </c>
      <c r="S179" s="437">
        <v>0.2190000000016728</v>
      </c>
      <c r="T179" s="437">
        <f>SUM(Q179:S179)</f>
        <v>7.2019999999733244</v>
      </c>
      <c r="U179" s="437"/>
      <c r="V179" s="437">
        <v>3.98499999999125</v>
      </c>
      <c r="W179" s="437">
        <v>1.4570000000074654</v>
      </c>
      <c r="X179" s="437">
        <v>0.22900000000212928</v>
      </c>
      <c r="Y179" s="437">
        <f>SUM(V179:X179)</f>
        <v>5.6710000000008449</v>
      </c>
    </row>
    <row r="180" spans="1:25" x14ac:dyDescent="0.25">
      <c r="A180" s="382" t="s">
        <v>390</v>
      </c>
      <c r="B180" s="438">
        <v>11.791999999964917</v>
      </c>
      <c r="C180" s="438">
        <v>1.0019999999963265</v>
      </c>
      <c r="D180" s="438">
        <v>0.25300000000013345</v>
      </c>
      <c r="E180" s="438">
        <f t="shared" ref="E180:E181" si="446">SUM(B180:D180)</f>
        <v>13.046999999961377</v>
      </c>
      <c r="F180" s="438"/>
      <c r="G180" s="438">
        <v>17.212999999883138</v>
      </c>
      <c r="H180" s="438">
        <v>0.50599999999649459</v>
      </c>
      <c r="I180" s="438">
        <v>1.5040000000020954</v>
      </c>
      <c r="J180" s="438">
        <f t="shared" ref="J180:J181" si="447">SUM(G180:I180)</f>
        <v>19.222999999881726</v>
      </c>
      <c r="K180" s="438"/>
      <c r="L180" s="438">
        <v>13.887999999967359</v>
      </c>
      <c r="M180" s="438">
        <v>0.68300000000599814</v>
      </c>
      <c r="N180" s="438">
        <v>0.21400000000047939</v>
      </c>
      <c r="O180" s="438">
        <f t="shared" ref="O180:O181" si="448">SUM(L180:N180)</f>
        <v>14.784999999973838</v>
      </c>
      <c r="P180" s="438"/>
      <c r="Q180" s="438">
        <v>14.162999999879814</v>
      </c>
      <c r="R180" s="438">
        <v>0.86000000000232235</v>
      </c>
      <c r="S180" s="438">
        <v>0.21800000000056982</v>
      </c>
      <c r="T180" s="438">
        <f t="shared" ref="T180:T181" si="449">SUM(Q180:S180)</f>
        <v>15.240999999882707</v>
      </c>
      <c r="U180" s="438"/>
      <c r="V180" s="438">
        <v>14.464999999915905</v>
      </c>
      <c r="W180" s="438">
        <v>1.0430000000150796</v>
      </c>
      <c r="X180" s="438">
        <v>0.22400000000079873</v>
      </c>
      <c r="Y180" s="438">
        <f t="shared" ref="Y180:Y181" si="450">SUM(V180:X180)</f>
        <v>15.731999999931784</v>
      </c>
    </row>
    <row r="181" spans="1:25" x14ac:dyDescent="0.25">
      <c r="A181" s="382" t="s">
        <v>389</v>
      </c>
      <c r="B181" s="438">
        <f>SUM(B179:B180)</f>
        <v>13.433999999957139</v>
      </c>
      <c r="C181" s="438">
        <f t="shared" ref="C181" si="451">SUM(C179:C180)</f>
        <v>1.3799999999977497</v>
      </c>
      <c r="D181" s="438">
        <f t="shared" ref="D181" si="452">SUM(D179:D180)</f>
        <v>0.49899999999724187</v>
      </c>
      <c r="E181" s="438">
        <f t="shared" si="446"/>
        <v>15.312999999952131</v>
      </c>
      <c r="F181" s="438"/>
      <c r="G181" s="438">
        <f>SUM(G179:G180)</f>
        <v>20.968999999861186</v>
      </c>
      <c r="H181" s="438">
        <f t="shared" ref="H181" si="453">SUM(H179:H180)</f>
        <v>1.6349999999919294</v>
      </c>
      <c r="I181" s="438">
        <f t="shared" ref="I181" si="454">SUM(I179:I180)</f>
        <v>1.8390000000041731</v>
      </c>
      <c r="J181" s="438">
        <f t="shared" si="447"/>
        <v>24.442999999857289</v>
      </c>
      <c r="K181" s="438"/>
      <c r="L181" s="438">
        <f>SUM(L179:L180)</f>
        <v>19.347999999938448</v>
      </c>
      <c r="M181" s="438">
        <f t="shared" ref="M181" si="455">SUM(M179:M180)</f>
        <v>2.0130000000101065</v>
      </c>
      <c r="N181" s="438">
        <f t="shared" ref="N181" si="456">SUM(N179:N180)</f>
        <v>0.42300000000367621</v>
      </c>
      <c r="O181" s="438">
        <f t="shared" si="448"/>
        <v>21.783999999952229</v>
      </c>
      <c r="P181" s="438"/>
      <c r="Q181" s="438">
        <f>SUM(Q179:Q180)</f>
        <v>19.75299999985182</v>
      </c>
      <c r="R181" s="438">
        <f t="shared" ref="R181" si="457">SUM(R179:R180)</f>
        <v>2.2530000000019692</v>
      </c>
      <c r="S181" s="438">
        <f t="shared" ref="S181" si="458">SUM(S179:S180)</f>
        <v>0.43700000000224259</v>
      </c>
      <c r="T181" s="438">
        <f t="shared" si="449"/>
        <v>22.442999999856031</v>
      </c>
      <c r="U181" s="438"/>
      <c r="V181" s="438">
        <f>SUM(V179:V180)</f>
        <v>18.449999999907156</v>
      </c>
      <c r="W181" s="438">
        <f t="shared" ref="W181" si="459">SUM(W179:W180)</f>
        <v>2.5000000000225451</v>
      </c>
      <c r="X181" s="438">
        <f t="shared" ref="X181" si="460">SUM(X179:X180)</f>
        <v>0.453000000002928</v>
      </c>
      <c r="Y181" s="438">
        <f t="shared" si="450"/>
        <v>21.402999999932629</v>
      </c>
    </row>
    <row r="182" spans="1:25" x14ac:dyDescent="0.25">
      <c r="B182" s="380"/>
      <c r="C182" s="460"/>
      <c r="D182" s="460"/>
      <c r="E182" s="460"/>
      <c r="F182" s="460"/>
      <c r="G182" s="460"/>
      <c r="H182" s="460"/>
      <c r="I182" s="460"/>
      <c r="J182" s="460"/>
      <c r="K182" s="460"/>
      <c r="L182" s="460"/>
      <c r="M182" s="460"/>
      <c r="N182" s="460"/>
      <c r="O182" s="460"/>
      <c r="P182" s="460"/>
      <c r="Q182" s="460"/>
      <c r="R182" s="460"/>
      <c r="S182" s="460"/>
      <c r="T182" s="460"/>
      <c r="U182" s="460"/>
      <c r="V182" s="460"/>
      <c r="W182" s="460"/>
      <c r="X182" s="460"/>
      <c r="Y182" s="460"/>
    </row>
    <row r="183" spans="1:25" x14ac:dyDescent="0.25">
      <c r="A183" s="378" t="str">
        <f>name!A30</f>
        <v>Waste management</v>
      </c>
      <c r="C183" s="380"/>
      <c r="D183" s="380"/>
      <c r="E183" s="380"/>
      <c r="F183" s="380"/>
      <c r="G183" s="380"/>
      <c r="H183" s="380"/>
      <c r="I183" s="380"/>
      <c r="J183" s="380"/>
      <c r="K183" s="380"/>
      <c r="L183" s="380"/>
      <c r="M183" s="380"/>
      <c r="N183" s="380"/>
      <c r="O183" s="380"/>
      <c r="P183" s="380"/>
      <c r="Q183" s="380"/>
      <c r="R183" s="380"/>
      <c r="S183" s="380"/>
      <c r="T183" s="380"/>
      <c r="U183" s="380"/>
      <c r="V183" s="380"/>
      <c r="W183" s="380"/>
      <c r="X183" s="380"/>
      <c r="Y183" s="380"/>
    </row>
    <row r="184" spans="1:25" x14ac:dyDescent="0.25">
      <c r="A184" s="382" t="s">
        <v>391</v>
      </c>
      <c r="B184" s="437">
        <v>11.122999999902254</v>
      </c>
      <c r="C184" s="437">
        <v>5.0810000000030895</v>
      </c>
      <c r="D184" s="437">
        <v>1.0900000000038015</v>
      </c>
      <c r="E184" s="437">
        <f>SUM(B184:D184)</f>
        <v>17.293999999909143</v>
      </c>
      <c r="F184" s="437"/>
      <c r="G184" s="437">
        <v>16.999999999863867</v>
      </c>
      <c r="H184" s="437">
        <v>11.397999999968674</v>
      </c>
      <c r="I184" s="437">
        <v>0.91700000001286142</v>
      </c>
      <c r="J184" s="437">
        <f>SUM(G184:I184)</f>
        <v>29.314999999845405</v>
      </c>
      <c r="K184" s="437"/>
      <c r="L184" s="437">
        <v>24.331999999825022</v>
      </c>
      <c r="M184" s="437">
        <v>12.580999999932541</v>
      </c>
      <c r="N184" s="437">
        <v>0.92900000001518135</v>
      </c>
      <c r="O184" s="437">
        <f>SUM(L184:N184)</f>
        <v>37.841999999772739</v>
      </c>
      <c r="P184" s="437"/>
      <c r="Q184" s="437">
        <v>25.105999999851282</v>
      </c>
      <c r="R184" s="437">
        <v>13.056999999910158</v>
      </c>
      <c r="S184" s="437">
        <v>0.99800000001211153</v>
      </c>
      <c r="T184" s="437">
        <f>SUM(Q184:S184)</f>
        <v>39.160999999773551</v>
      </c>
      <c r="U184" s="437"/>
      <c r="V184" s="437">
        <v>24.872999999901737</v>
      </c>
      <c r="W184" s="437">
        <v>13.574999999963676</v>
      </c>
      <c r="X184" s="437">
        <v>1.0750000000103577</v>
      </c>
      <c r="Y184" s="437">
        <f>SUM(V184:X184)</f>
        <v>39.522999999875772</v>
      </c>
    </row>
    <row r="185" spans="1:25" x14ac:dyDescent="0.25">
      <c r="A185" s="382" t="s">
        <v>390</v>
      </c>
      <c r="B185" s="438">
        <v>89.356999999759722</v>
      </c>
      <c r="C185" s="438">
        <v>3.0399999999851444</v>
      </c>
      <c r="D185" s="438">
        <v>3.2980000000200649</v>
      </c>
      <c r="E185" s="438">
        <f t="shared" ref="E185:E186" si="461">SUM(B185:D185)</f>
        <v>95.694999999764931</v>
      </c>
      <c r="F185" s="438"/>
      <c r="G185" s="438">
        <v>92.798999999230787</v>
      </c>
      <c r="H185" s="438">
        <v>4.1259999999753481</v>
      </c>
      <c r="I185" s="438">
        <v>6.4469999999948335</v>
      </c>
      <c r="J185" s="438">
        <f t="shared" ref="J185:J186" si="462">SUM(G185:I185)</f>
        <v>103.37199999920097</v>
      </c>
      <c r="K185" s="438"/>
      <c r="L185" s="438">
        <v>100.9079999996643</v>
      </c>
      <c r="M185" s="438">
        <v>5.7150000000121919</v>
      </c>
      <c r="N185" s="438">
        <v>4.6580000000080011</v>
      </c>
      <c r="O185" s="438">
        <f t="shared" ref="O185:O186" si="463">SUM(L185:N185)</f>
        <v>111.2809999996845</v>
      </c>
      <c r="P185" s="438"/>
      <c r="Q185" s="438">
        <v>102.6569999991865</v>
      </c>
      <c r="R185" s="438">
        <v>7.1389999999662379</v>
      </c>
      <c r="S185" s="438">
        <v>4.8480000000679633</v>
      </c>
      <c r="T185" s="438">
        <f t="shared" ref="T185:T186" si="464">SUM(Q185:S185)</f>
        <v>114.64399999922071</v>
      </c>
      <c r="U185" s="438"/>
      <c r="V185" s="438">
        <v>104.64399999937336</v>
      </c>
      <c r="W185" s="438">
        <v>8.5899999999550669</v>
      </c>
      <c r="X185" s="438">
        <v>5.0650000000571813</v>
      </c>
      <c r="Y185" s="438">
        <f t="shared" ref="Y185:Y186" si="465">SUM(V185:X185)</f>
        <v>118.29899999938561</v>
      </c>
    </row>
    <row r="186" spans="1:25" x14ac:dyDescent="0.25">
      <c r="A186" s="382" t="s">
        <v>389</v>
      </c>
      <c r="B186" s="438">
        <f>SUM(B184:B185)</f>
        <v>100.47999999966197</v>
      </c>
      <c r="C186" s="438">
        <f t="shared" ref="C186" si="466">SUM(C184:C185)</f>
        <v>8.1209999999882339</v>
      </c>
      <c r="D186" s="438">
        <f t="shared" ref="D186" si="467">SUM(D184:D185)</f>
        <v>4.3880000000238661</v>
      </c>
      <c r="E186" s="438">
        <f t="shared" si="461"/>
        <v>112.98899999967406</v>
      </c>
      <c r="F186" s="438"/>
      <c r="G186" s="438">
        <f>SUM(G184:G185)</f>
        <v>109.79899999909466</v>
      </c>
      <c r="H186" s="438">
        <f t="shared" ref="H186" si="468">SUM(H184:H185)</f>
        <v>15.523999999944021</v>
      </c>
      <c r="I186" s="438">
        <f t="shared" ref="I186" si="469">SUM(I184:I185)</f>
        <v>7.3640000000076951</v>
      </c>
      <c r="J186" s="438">
        <f t="shared" si="462"/>
        <v>132.68699999904638</v>
      </c>
      <c r="K186" s="438"/>
      <c r="L186" s="438">
        <f>SUM(L184:L185)</f>
        <v>125.23999999948933</v>
      </c>
      <c r="M186" s="438">
        <f t="shared" ref="M186" si="470">SUM(M184:M185)</f>
        <v>18.295999999944733</v>
      </c>
      <c r="N186" s="438">
        <f t="shared" ref="N186" si="471">SUM(N184:N185)</f>
        <v>5.5870000000231821</v>
      </c>
      <c r="O186" s="438">
        <f t="shared" si="463"/>
        <v>149.12299999945725</v>
      </c>
      <c r="P186" s="438"/>
      <c r="Q186" s="438">
        <f>SUM(Q184:Q185)</f>
        <v>127.76299999903777</v>
      </c>
      <c r="R186" s="438">
        <f t="shared" ref="R186" si="472">SUM(R184:R185)</f>
        <v>20.195999999876395</v>
      </c>
      <c r="S186" s="438">
        <f t="shared" ref="S186" si="473">SUM(S184:S185)</f>
        <v>5.8460000000800747</v>
      </c>
      <c r="T186" s="438">
        <f t="shared" si="464"/>
        <v>153.80499999899425</v>
      </c>
      <c r="U186" s="438"/>
      <c r="V186" s="438">
        <f>SUM(V184:V185)</f>
        <v>129.5169999992751</v>
      </c>
      <c r="W186" s="438">
        <f t="shared" ref="W186" si="474">SUM(W184:W185)</f>
        <v>22.164999999918741</v>
      </c>
      <c r="X186" s="438">
        <f t="shared" ref="X186" si="475">SUM(X184:X185)</f>
        <v>6.1400000000675394</v>
      </c>
      <c r="Y186" s="438">
        <f t="shared" si="465"/>
        <v>157.82199999926138</v>
      </c>
    </row>
    <row r="188" spans="1:25" x14ac:dyDescent="0.25">
      <c r="A188" s="383" t="s">
        <v>404</v>
      </c>
      <c r="C188" s="453"/>
    </row>
    <row r="189" spans="1:25" x14ac:dyDescent="0.25">
      <c r="A189" s="377" t="s">
        <v>391</v>
      </c>
      <c r="B189" s="437">
        <f>SUM(B174,B179,B184)</f>
        <v>17.989999999865177</v>
      </c>
      <c r="C189" s="437">
        <f t="shared" ref="C189:D189" si="476">SUM(C174,C179,C184)</f>
        <v>7.1660000000078217</v>
      </c>
      <c r="D189" s="437">
        <f t="shared" si="476"/>
        <v>1.678999999996736</v>
      </c>
      <c r="E189" s="437">
        <f>SUM(B189:D189)</f>
        <v>26.834999999869734</v>
      </c>
      <c r="F189" s="437"/>
      <c r="G189" s="437">
        <f>SUM(G174,G179,G184)</f>
        <v>27.500999999777569</v>
      </c>
      <c r="H189" s="437">
        <f t="shared" ref="H189:I189" si="477">SUM(H174,H179,H184)</f>
        <v>15.494999999969394</v>
      </c>
      <c r="I189" s="437">
        <f t="shared" si="477"/>
        <v>1.6130000000172289</v>
      </c>
      <c r="J189" s="437">
        <f>SUM(G189:I189)</f>
        <v>44.608999999764194</v>
      </c>
      <c r="K189" s="437"/>
      <c r="L189" s="437">
        <f>SUM(L174,L179,L184)</f>
        <v>37.00499999974739</v>
      </c>
      <c r="M189" s="437">
        <f t="shared" ref="M189:N189" si="478">SUM(M174,M179,M184)</f>
        <v>16.994999999960331</v>
      </c>
      <c r="N189" s="437">
        <f t="shared" si="478"/>
        <v>1.4320000000231359</v>
      </c>
      <c r="O189" s="437">
        <f>SUM(L189:N189)</f>
        <v>55.431999999730863</v>
      </c>
      <c r="P189" s="437"/>
      <c r="Q189" s="437">
        <f>SUM(Q174,Q179,Q184)</f>
        <v>38.101999999760679</v>
      </c>
      <c r="R189" s="437">
        <f t="shared" ref="R189:S189" si="479">SUM(R174,R179,R184)</f>
        <v>17.653999999904435</v>
      </c>
      <c r="S189" s="437">
        <f t="shared" si="479"/>
        <v>1.5320000000171237</v>
      </c>
      <c r="T189" s="437">
        <f>SUM(Q189:S189)</f>
        <v>57.287999999682235</v>
      </c>
      <c r="U189" s="437"/>
      <c r="V189" s="437">
        <f>SUM(V174,V179,V184)</f>
        <v>39.232999999837133</v>
      </c>
      <c r="W189" s="437">
        <f t="shared" ref="W189:X189" si="480">SUM(W174,W179,W184)</f>
        <v>18.36699999998951</v>
      </c>
      <c r="X189" s="437">
        <f t="shared" si="480"/>
        <v>1.6370000000162266</v>
      </c>
      <c r="Y189" s="437">
        <f>SUM(V189:X189)</f>
        <v>59.236999999842872</v>
      </c>
    </row>
    <row r="190" spans="1:25" x14ac:dyDescent="0.25">
      <c r="A190" s="377" t="s">
        <v>390</v>
      </c>
      <c r="B190" s="437">
        <f>SUM(B175,B180,B185)</f>
        <v>122.7899999996733</v>
      </c>
      <c r="C190" s="437">
        <f t="shared" ref="C190:D190" si="481">SUM(C175,C180,C185)</f>
        <v>5.0699999999807108</v>
      </c>
      <c r="D190" s="437">
        <f t="shared" si="481"/>
        <v>4.2950000000274402</v>
      </c>
      <c r="E190" s="437">
        <f t="shared" ref="E190:E191" si="482">SUM(B190:D190)</f>
        <v>132.15499999968145</v>
      </c>
      <c r="F190" s="437"/>
      <c r="G190" s="437">
        <f>SUM(G175,G180,G185)</f>
        <v>133.14999999903412</v>
      </c>
      <c r="H190" s="437">
        <f t="shared" ref="H190:I190" si="483">SUM(H175,H180,H185)</f>
        <v>5.8779999999726638</v>
      </c>
      <c r="I190" s="437">
        <f t="shared" si="483"/>
        <v>10.343999999983696</v>
      </c>
      <c r="J190" s="437">
        <f t="shared" ref="J190:J191" si="484">SUM(G190:I190)</f>
        <v>149.3719999989905</v>
      </c>
      <c r="K190" s="437"/>
      <c r="L190" s="437">
        <f>SUM(L175,L180,L185)</f>
        <v>139.14399999952292</v>
      </c>
      <c r="M190" s="437">
        <f t="shared" ref="M190:N190" si="485">SUM(M175,M180,M185)</f>
        <v>7.9010000000195522</v>
      </c>
      <c r="N190" s="437">
        <f t="shared" si="485"/>
        <v>5.523000000006328</v>
      </c>
      <c r="O190" s="437">
        <f t="shared" ref="O190:O191" si="486">SUM(L190:N190)</f>
        <v>152.56799999954882</v>
      </c>
      <c r="P190" s="437"/>
      <c r="Q190" s="437">
        <f>SUM(Q175,Q180,Q185)</f>
        <v>141.64899999902417</v>
      </c>
      <c r="R190" s="437">
        <f t="shared" ref="R190:S190" si="487">SUM(R175,R180,R185)</f>
        <v>9.8609999999661149</v>
      </c>
      <c r="S190" s="437">
        <f t="shared" si="487"/>
        <v>5.7470000000685504</v>
      </c>
      <c r="T190" s="437">
        <f t="shared" ref="T190:T191" si="488">SUM(Q190:S190)</f>
        <v>157.25699999905882</v>
      </c>
      <c r="U190" s="437"/>
      <c r="V190" s="437">
        <f>SUM(V175,V180,V185)</f>
        <v>144.44899999922535</v>
      </c>
      <c r="W190" s="437">
        <f t="shared" ref="W190:X190" si="489">SUM(W175,W180,W185)</f>
        <v>11.856999999961957</v>
      </c>
      <c r="X190" s="437">
        <f t="shared" si="489"/>
        <v>5.9920000000580869</v>
      </c>
      <c r="Y190" s="437">
        <f t="shared" ref="Y190:Y191" si="490">SUM(V190:X190)</f>
        <v>162.29799999924538</v>
      </c>
    </row>
    <row r="191" spans="1:25" x14ac:dyDescent="0.25">
      <c r="A191" s="381" t="s">
        <v>389</v>
      </c>
      <c r="B191" s="439">
        <f>SUM(B189:B190)</f>
        <v>140.77999999953846</v>
      </c>
      <c r="C191" s="439">
        <f t="shared" ref="C191" si="491">SUM(C189:C190)</f>
        <v>12.235999999988532</v>
      </c>
      <c r="D191" s="439">
        <f t="shared" ref="D191" si="492">SUM(D189:D190)</f>
        <v>5.9740000000241764</v>
      </c>
      <c r="E191" s="439">
        <f t="shared" si="482"/>
        <v>158.98999999955117</v>
      </c>
      <c r="F191" s="439"/>
      <c r="G191" s="439">
        <f>SUM(G189:G190)</f>
        <v>160.6509999988117</v>
      </c>
      <c r="H191" s="439">
        <f t="shared" ref="H191" si="493">SUM(H189:H190)</f>
        <v>21.37299999994206</v>
      </c>
      <c r="I191" s="439">
        <f t="shared" ref="I191" si="494">SUM(I189:I190)</f>
        <v>11.957000000000924</v>
      </c>
      <c r="J191" s="439">
        <f t="shared" si="484"/>
        <v>193.9809999987547</v>
      </c>
      <c r="K191" s="439"/>
      <c r="L191" s="439">
        <f>SUM(L189:L190)</f>
        <v>176.1489999992703</v>
      </c>
      <c r="M191" s="439">
        <f t="shared" ref="M191" si="495">SUM(M189:M190)</f>
        <v>24.895999999979885</v>
      </c>
      <c r="N191" s="439">
        <f t="shared" ref="N191" si="496">SUM(N189:N190)</f>
        <v>6.9550000000294636</v>
      </c>
      <c r="O191" s="439">
        <f t="shared" si="486"/>
        <v>207.99999999927965</v>
      </c>
      <c r="P191" s="439"/>
      <c r="Q191" s="439">
        <f>SUM(Q189:Q190)</f>
        <v>179.75099999878483</v>
      </c>
      <c r="R191" s="439">
        <f t="shared" ref="R191" si="497">SUM(R189:R190)</f>
        <v>27.51499999987055</v>
      </c>
      <c r="S191" s="439">
        <f t="shared" ref="S191" si="498">SUM(S189:S190)</f>
        <v>7.2790000000856736</v>
      </c>
      <c r="T191" s="439">
        <f t="shared" si="488"/>
        <v>214.54499999874105</v>
      </c>
      <c r="U191" s="439"/>
      <c r="V191" s="439">
        <f>SUM(V189:V190)</f>
        <v>183.6819999990625</v>
      </c>
      <c r="W191" s="439">
        <f t="shared" ref="W191" si="499">SUM(W189:W190)</f>
        <v>30.223999999951467</v>
      </c>
      <c r="X191" s="439">
        <f t="shared" ref="X191" si="500">SUM(X189:X190)</f>
        <v>7.6290000000743134</v>
      </c>
      <c r="Y191" s="439">
        <f t="shared" si="490"/>
        <v>221.53499999908828</v>
      </c>
    </row>
    <row r="195" spans="1:25" ht="13.8" x14ac:dyDescent="0.25">
      <c r="A195" s="385" t="str">
        <f>"Industry 8 : "&amp; name!B11</f>
        <v>Industry 8 : Construction</v>
      </c>
      <c r="B195" s="514">
        <f>$B$5</f>
        <v>2007</v>
      </c>
      <c r="C195" s="514"/>
      <c r="D195" s="514"/>
      <c r="E195" s="514"/>
      <c r="F195" s="461"/>
      <c r="G195" s="514">
        <f>$G$5</f>
        <v>2012</v>
      </c>
      <c r="H195" s="514"/>
      <c r="I195" s="514"/>
      <c r="J195" s="514"/>
      <c r="K195" s="461"/>
      <c r="L195" s="514">
        <f>$L$5</f>
        <v>2017</v>
      </c>
      <c r="M195" s="514"/>
      <c r="N195" s="514"/>
      <c r="O195" s="514"/>
      <c r="P195" s="459"/>
      <c r="Q195" s="514">
        <f>$Q$5</f>
        <v>2022</v>
      </c>
      <c r="R195" s="514"/>
      <c r="S195" s="514"/>
      <c r="T195" s="514"/>
      <c r="U195" s="461"/>
      <c r="V195" s="514">
        <f>$V$5</f>
        <v>2027</v>
      </c>
      <c r="W195" s="514"/>
      <c r="X195" s="514"/>
      <c r="Y195" s="514"/>
    </row>
    <row r="196" spans="1:25" x14ac:dyDescent="0.25">
      <c r="A196" s="381"/>
      <c r="B196" s="388" t="str">
        <f>$B$6</f>
        <v>FT</v>
      </c>
      <c r="C196" s="388" t="str">
        <f>$C$6</f>
        <v>PT</v>
      </c>
      <c r="D196" s="388" t="str">
        <f>$D$6</f>
        <v>SE</v>
      </c>
      <c r="E196" s="388" t="str">
        <f>$E$6</f>
        <v>Total</v>
      </c>
      <c r="F196" s="388"/>
      <c r="G196" s="388" t="str">
        <f>$B$6</f>
        <v>FT</v>
      </c>
      <c r="H196" s="388" t="str">
        <f>$C$6</f>
        <v>PT</v>
      </c>
      <c r="I196" s="388" t="str">
        <f>$D$6</f>
        <v>SE</v>
      </c>
      <c r="J196" s="388" t="str">
        <f>$E$6</f>
        <v>Total</v>
      </c>
      <c r="K196" s="388"/>
      <c r="L196" s="388" t="str">
        <f>$L$6</f>
        <v>FT</v>
      </c>
      <c r="M196" s="388" t="str">
        <f>$M$6</f>
        <v>PT</v>
      </c>
      <c r="N196" s="388" t="str">
        <f>$N$6</f>
        <v>SE</v>
      </c>
      <c r="O196" s="388" t="str">
        <f>$O$6</f>
        <v>Total</v>
      </c>
      <c r="P196" s="388"/>
      <c r="Q196" s="388" t="str">
        <f>$L$6</f>
        <v>FT</v>
      </c>
      <c r="R196" s="388" t="str">
        <f>$M$6</f>
        <v>PT</v>
      </c>
      <c r="S196" s="388" t="str">
        <f>$N$6</f>
        <v>SE</v>
      </c>
      <c r="T196" s="388" t="str">
        <f>$O$6</f>
        <v>Total</v>
      </c>
      <c r="U196" s="388"/>
      <c r="V196" s="388" t="str">
        <f>$V$6</f>
        <v>FT</v>
      </c>
      <c r="W196" s="388" t="str">
        <f>$W$6</f>
        <v>PT</v>
      </c>
      <c r="X196" s="388" t="str">
        <f>$X$6</f>
        <v>SE</v>
      </c>
      <c r="Y196" s="388" t="str">
        <f>$Y$6</f>
        <v>Total</v>
      </c>
    </row>
    <row r="197" spans="1:25" x14ac:dyDescent="0.25">
      <c r="B197" s="380"/>
      <c r="C197" s="460"/>
      <c r="D197" s="460"/>
      <c r="E197" s="460"/>
      <c r="F197" s="460"/>
      <c r="G197" s="460"/>
      <c r="H197" s="460"/>
      <c r="I197" s="460"/>
      <c r="J197" s="460"/>
      <c r="K197" s="460"/>
      <c r="L197" s="460"/>
      <c r="M197" s="460"/>
      <c r="N197" s="460"/>
      <c r="O197" s="460"/>
      <c r="P197" s="460"/>
      <c r="Q197" s="460"/>
      <c r="R197" s="460"/>
      <c r="S197" s="460"/>
      <c r="T197" s="460"/>
      <c r="U197" s="460"/>
      <c r="V197" s="460"/>
      <c r="W197" s="460"/>
      <c r="X197" s="460"/>
      <c r="Y197" s="460"/>
    </row>
    <row r="198" spans="1:25" x14ac:dyDescent="0.25">
      <c r="A198" s="378" t="str">
        <f>name!A31</f>
        <v>Construction</v>
      </c>
      <c r="C198" s="380"/>
      <c r="D198" s="380"/>
      <c r="E198" s="380"/>
      <c r="F198" s="380"/>
      <c r="G198" s="380"/>
      <c r="H198" s="380"/>
      <c r="I198" s="380"/>
      <c r="J198" s="380"/>
      <c r="K198" s="380"/>
      <c r="L198" s="380"/>
      <c r="M198" s="380"/>
      <c r="N198" s="380"/>
      <c r="O198" s="380"/>
      <c r="P198" s="380"/>
      <c r="Q198" s="380"/>
      <c r="R198" s="380"/>
      <c r="S198" s="380"/>
      <c r="T198" s="380"/>
      <c r="U198" s="380"/>
      <c r="V198" s="380"/>
      <c r="W198" s="380"/>
      <c r="X198" s="380"/>
      <c r="Y198" s="380"/>
    </row>
    <row r="199" spans="1:25" x14ac:dyDescent="0.25">
      <c r="A199" s="382" t="s">
        <v>391</v>
      </c>
      <c r="B199" s="437">
        <v>65.556999999402123</v>
      </c>
      <c r="C199" s="437">
        <v>34.184999999972391</v>
      </c>
      <c r="D199" s="437">
        <v>10.393000000090776</v>
      </c>
      <c r="E199" s="437">
        <f>SUM(B199:D199)</f>
        <v>110.13499999946529</v>
      </c>
      <c r="F199" s="437"/>
      <c r="G199" s="437">
        <v>58.76099999951817</v>
      </c>
      <c r="H199" s="437">
        <v>31.348999999906596</v>
      </c>
      <c r="I199" s="437">
        <v>10.965000000091504</v>
      </c>
      <c r="J199" s="437">
        <f>SUM(G199:I199)</f>
        <v>101.07499999951627</v>
      </c>
      <c r="K199" s="437"/>
      <c r="L199" s="437">
        <v>76.73699999933288</v>
      </c>
      <c r="M199" s="437">
        <v>36.395000000329745</v>
      </c>
      <c r="N199" s="437">
        <v>18.737000000314421</v>
      </c>
      <c r="O199" s="437">
        <f>SUM(L199:N199)</f>
        <v>131.86899999997704</v>
      </c>
      <c r="P199" s="437"/>
      <c r="Q199" s="437">
        <v>77.826999999770635</v>
      </c>
      <c r="R199" s="437">
        <v>38.488999999901637</v>
      </c>
      <c r="S199" s="437">
        <v>18.643000000030924</v>
      </c>
      <c r="T199" s="437">
        <f>SUM(Q199:S199)</f>
        <v>134.9589999997032</v>
      </c>
      <c r="U199" s="437"/>
      <c r="V199" s="437">
        <v>78.975999999696342</v>
      </c>
      <c r="W199" s="437">
        <v>40.500000000297284</v>
      </c>
      <c r="X199" s="437">
        <v>18.672000000207053</v>
      </c>
      <c r="Y199" s="437">
        <f>SUM(V199:X199)</f>
        <v>138.14800000020068</v>
      </c>
    </row>
    <row r="200" spans="1:25" x14ac:dyDescent="0.25">
      <c r="A200" s="382" t="s">
        <v>390</v>
      </c>
      <c r="B200" s="438">
        <v>280.0689999986663</v>
      </c>
      <c r="C200" s="438">
        <v>16.779999999937619</v>
      </c>
      <c r="D200" s="438">
        <v>194.77100000399204</v>
      </c>
      <c r="E200" s="438">
        <f t="shared" ref="E200:E201" si="501">SUM(B200:D200)</f>
        <v>491.62000000259593</v>
      </c>
      <c r="F200" s="438"/>
      <c r="G200" s="438">
        <v>266.80899999761584</v>
      </c>
      <c r="H200" s="438">
        <v>14.458999999935834</v>
      </c>
      <c r="I200" s="438">
        <v>213.21699999716998</v>
      </c>
      <c r="J200" s="438">
        <f t="shared" ref="J200:J201" si="502">SUM(G200:I200)</f>
        <v>494.48499999472165</v>
      </c>
      <c r="K200" s="438"/>
      <c r="L200" s="438">
        <v>317.27599999960927</v>
      </c>
      <c r="M200" s="438">
        <v>17.712000000032294</v>
      </c>
      <c r="N200" s="438">
        <v>238.14200000193497</v>
      </c>
      <c r="O200" s="438">
        <f t="shared" ref="O200:O201" si="503">SUM(L200:N200)</f>
        <v>573.13000000157649</v>
      </c>
      <c r="P200" s="438"/>
      <c r="Q200" s="438">
        <v>326.95499999796601</v>
      </c>
      <c r="R200" s="438">
        <v>17.41599999997549</v>
      </c>
      <c r="S200" s="438">
        <v>232.30200000946795</v>
      </c>
      <c r="T200" s="438">
        <f t="shared" ref="T200:T201" si="504">SUM(Q200:S200)</f>
        <v>576.67300000740943</v>
      </c>
      <c r="U200" s="438"/>
      <c r="V200" s="438">
        <v>336.58799999900288</v>
      </c>
      <c r="W200" s="438">
        <v>17.193999999981944</v>
      </c>
      <c r="X200" s="438">
        <v>228.91500001035439</v>
      </c>
      <c r="Y200" s="438">
        <f t="shared" ref="Y200:Y201" si="505">SUM(V200:X200)</f>
        <v>582.69700000933926</v>
      </c>
    </row>
    <row r="201" spans="1:25" x14ac:dyDescent="0.25">
      <c r="A201" s="377" t="s">
        <v>389</v>
      </c>
      <c r="B201" s="438">
        <f>SUM(B199:B200)</f>
        <v>345.62599999806844</v>
      </c>
      <c r="C201" s="438">
        <f t="shared" ref="C201" si="506">SUM(C199:C200)</f>
        <v>50.964999999910006</v>
      </c>
      <c r="D201" s="438">
        <f t="shared" ref="D201" si="507">SUM(D199:D200)</f>
        <v>205.16400000408282</v>
      </c>
      <c r="E201" s="438">
        <f t="shared" si="501"/>
        <v>601.75500000206125</v>
      </c>
      <c r="F201" s="438"/>
      <c r="G201" s="438">
        <f>SUM(G199:G200)</f>
        <v>325.569999997134</v>
      </c>
      <c r="H201" s="438">
        <f t="shared" ref="H201" si="508">SUM(H199:H200)</f>
        <v>45.80799999984243</v>
      </c>
      <c r="I201" s="438">
        <f t="shared" ref="I201" si="509">SUM(I199:I200)</f>
        <v>224.18199999726147</v>
      </c>
      <c r="J201" s="438">
        <f t="shared" si="502"/>
        <v>595.55999999423784</v>
      </c>
      <c r="K201" s="438"/>
      <c r="L201" s="438">
        <f>SUM(L199:L200)</f>
        <v>394.01299999894218</v>
      </c>
      <c r="M201" s="438">
        <f t="shared" ref="M201" si="510">SUM(M199:M200)</f>
        <v>54.107000000362035</v>
      </c>
      <c r="N201" s="438">
        <f t="shared" ref="N201" si="511">SUM(N199:N200)</f>
        <v>256.87900000224937</v>
      </c>
      <c r="O201" s="438">
        <f t="shared" si="503"/>
        <v>704.99900000155367</v>
      </c>
      <c r="P201" s="438"/>
      <c r="Q201" s="438">
        <f>SUM(Q199:Q200)</f>
        <v>404.78199999773665</v>
      </c>
      <c r="R201" s="438">
        <f t="shared" ref="R201" si="512">SUM(R199:R200)</f>
        <v>55.904999999877127</v>
      </c>
      <c r="S201" s="438">
        <f t="shared" ref="S201" si="513">SUM(S199:S200)</f>
        <v>250.94500000949887</v>
      </c>
      <c r="T201" s="438">
        <f t="shared" si="504"/>
        <v>711.63200000711265</v>
      </c>
      <c r="U201" s="438"/>
      <c r="V201" s="438">
        <f>SUM(V199:V200)</f>
        <v>415.56399999869922</v>
      </c>
      <c r="W201" s="438">
        <f t="shared" ref="W201" si="514">SUM(W199:W200)</f>
        <v>57.694000000279232</v>
      </c>
      <c r="X201" s="438">
        <f t="shared" ref="X201" si="515">SUM(X199:X200)</f>
        <v>247.58700001056144</v>
      </c>
      <c r="Y201" s="438">
        <f t="shared" si="505"/>
        <v>720.84500000953994</v>
      </c>
    </row>
    <row r="202" spans="1:25" x14ac:dyDescent="0.25">
      <c r="B202" s="380"/>
      <c r="C202" s="460"/>
      <c r="D202" s="460"/>
      <c r="E202" s="460"/>
      <c r="F202" s="460"/>
      <c r="G202" s="460"/>
      <c r="H202" s="460"/>
      <c r="I202" s="460"/>
      <c r="J202" s="460"/>
      <c r="K202" s="460"/>
      <c r="L202" s="460"/>
      <c r="M202" s="460"/>
      <c r="N202" s="460"/>
      <c r="O202" s="460"/>
      <c r="P202" s="460"/>
      <c r="Q202" s="460"/>
      <c r="R202" s="460"/>
      <c r="S202" s="460"/>
      <c r="T202" s="460"/>
      <c r="U202" s="460"/>
      <c r="V202" s="460"/>
      <c r="W202" s="460"/>
      <c r="X202" s="460"/>
      <c r="Y202" s="460"/>
    </row>
    <row r="203" spans="1:25" x14ac:dyDescent="0.25">
      <c r="A203" s="378" t="str">
        <f>name!A32</f>
        <v>Civil engineering</v>
      </c>
      <c r="C203" s="380"/>
      <c r="D203" s="380"/>
      <c r="E203" s="380"/>
      <c r="F203" s="380"/>
      <c r="G203" s="380"/>
      <c r="H203" s="380"/>
      <c r="I203" s="380"/>
      <c r="J203" s="380"/>
      <c r="K203" s="380"/>
      <c r="L203" s="380"/>
      <c r="M203" s="380"/>
      <c r="N203" s="380"/>
      <c r="O203" s="380"/>
      <c r="P203" s="380"/>
      <c r="Q203" s="380"/>
      <c r="R203" s="380"/>
      <c r="S203" s="380"/>
      <c r="T203" s="380"/>
      <c r="U203" s="380"/>
      <c r="V203" s="380"/>
      <c r="W203" s="380"/>
      <c r="X203" s="380"/>
      <c r="Y203" s="380"/>
    </row>
    <row r="204" spans="1:25" x14ac:dyDescent="0.25">
      <c r="A204" s="382" t="s">
        <v>391</v>
      </c>
      <c r="B204" s="437">
        <v>19.82299999981042</v>
      </c>
      <c r="C204" s="437">
        <v>9.721999999981163</v>
      </c>
      <c r="D204" s="437">
        <v>4.1530000000354681</v>
      </c>
      <c r="E204" s="437">
        <f>SUM(B204:D204)</f>
        <v>33.697999999827054</v>
      </c>
      <c r="F204" s="437"/>
      <c r="G204" s="437">
        <v>14.336999999884721</v>
      </c>
      <c r="H204" s="437">
        <v>9.5979999999606598</v>
      </c>
      <c r="I204" s="437">
        <v>2.0140000000194176</v>
      </c>
      <c r="J204" s="437">
        <f>SUM(G204:I204)</f>
        <v>25.9489999998648</v>
      </c>
      <c r="K204" s="437"/>
      <c r="L204" s="437">
        <v>16.731999999862243</v>
      </c>
      <c r="M204" s="437">
        <v>10.313000000071892</v>
      </c>
      <c r="N204" s="437">
        <v>4.8220000000700436</v>
      </c>
      <c r="O204" s="437">
        <f>SUM(L204:N204)</f>
        <v>31.867000000004179</v>
      </c>
      <c r="P204" s="437"/>
      <c r="Q204" s="437">
        <v>16.932999999951218</v>
      </c>
      <c r="R204" s="437">
        <v>10.895999999981647</v>
      </c>
      <c r="S204" s="437">
        <v>4.7940000000134591</v>
      </c>
      <c r="T204" s="437">
        <f>SUM(Q204:S204)</f>
        <v>32.622999999946323</v>
      </c>
      <c r="U204" s="437"/>
      <c r="V204" s="437">
        <v>17.15699999993091</v>
      </c>
      <c r="W204" s="437">
        <v>11.454000000083987</v>
      </c>
      <c r="X204" s="437">
        <v>4.7980000000424745</v>
      </c>
      <c r="Y204" s="437">
        <f>SUM(V204:X204)</f>
        <v>33.409000000057375</v>
      </c>
    </row>
    <row r="205" spans="1:25" x14ac:dyDescent="0.25">
      <c r="A205" s="382" t="s">
        <v>390</v>
      </c>
      <c r="B205" s="438">
        <v>214.84399999917747</v>
      </c>
      <c r="C205" s="438">
        <v>5.4169999999862535</v>
      </c>
      <c r="D205" s="438">
        <v>151.59700000332151</v>
      </c>
      <c r="E205" s="438">
        <f t="shared" ref="E205:E206" si="516">SUM(B205:D205)</f>
        <v>371.85800000248526</v>
      </c>
      <c r="F205" s="438"/>
      <c r="G205" s="438">
        <v>164.71599999879439</v>
      </c>
      <c r="H205" s="438">
        <v>5.4119999999843849</v>
      </c>
      <c r="I205" s="438">
        <v>134.7789999986376</v>
      </c>
      <c r="J205" s="438">
        <f t="shared" ref="J205:J206" si="517">SUM(G205:I205)</f>
        <v>304.90699999741639</v>
      </c>
      <c r="K205" s="438"/>
      <c r="L205" s="438">
        <v>178.56699999961441</v>
      </c>
      <c r="M205" s="438">
        <v>5.5089999999950559</v>
      </c>
      <c r="N205" s="438">
        <v>130.40700000078053</v>
      </c>
      <c r="O205" s="438">
        <f t="shared" ref="O205:O206" si="518">SUM(L205:N205)</f>
        <v>314.48300000039001</v>
      </c>
      <c r="P205" s="438"/>
      <c r="Q205" s="438">
        <v>183.80899999868012</v>
      </c>
      <c r="R205" s="438">
        <v>5.4109999999802394</v>
      </c>
      <c r="S205" s="438">
        <v>127.16400000478805</v>
      </c>
      <c r="T205" s="438">
        <f t="shared" ref="T205:T206" si="519">SUM(Q205:S205)</f>
        <v>316.38400000344842</v>
      </c>
      <c r="U205" s="438"/>
      <c r="V205" s="438">
        <v>189.05299999918824</v>
      </c>
      <c r="W205" s="438">
        <v>5.335999999973799</v>
      </c>
      <c r="X205" s="438">
        <v>125.27400000517854</v>
      </c>
      <c r="Y205" s="438">
        <f t="shared" ref="Y205:Y206" si="520">SUM(V205:X205)</f>
        <v>319.66300000434057</v>
      </c>
    </row>
    <row r="206" spans="1:25" x14ac:dyDescent="0.25">
      <c r="A206" s="382" t="s">
        <v>389</v>
      </c>
      <c r="B206" s="438">
        <f>SUM(B204:B205)</f>
        <v>234.66699999898788</v>
      </c>
      <c r="C206" s="438">
        <f t="shared" ref="C206" si="521">SUM(C204:C205)</f>
        <v>15.138999999967417</v>
      </c>
      <c r="D206" s="438">
        <f t="shared" ref="D206" si="522">SUM(D204:D205)</f>
        <v>155.75000000335697</v>
      </c>
      <c r="E206" s="438">
        <f t="shared" si="516"/>
        <v>405.55600000231226</v>
      </c>
      <c r="F206" s="438"/>
      <c r="G206" s="438">
        <f>SUM(G204:G205)</f>
        <v>179.0529999986791</v>
      </c>
      <c r="H206" s="438">
        <f t="shared" ref="H206" si="523">SUM(H204:H205)</f>
        <v>15.009999999945045</v>
      </c>
      <c r="I206" s="438">
        <f t="shared" ref="I206" si="524">SUM(I204:I205)</f>
        <v>136.79299999865702</v>
      </c>
      <c r="J206" s="438">
        <f t="shared" si="517"/>
        <v>330.85599999728117</v>
      </c>
      <c r="K206" s="438"/>
      <c r="L206" s="438">
        <f>SUM(L204:L205)</f>
        <v>195.29899999947665</v>
      </c>
      <c r="M206" s="438">
        <f t="shared" ref="M206" si="525">SUM(M204:M205)</f>
        <v>15.822000000066947</v>
      </c>
      <c r="N206" s="438">
        <f t="shared" ref="N206" si="526">SUM(N204:N205)</f>
        <v>135.22900000085056</v>
      </c>
      <c r="O206" s="438">
        <f t="shared" si="518"/>
        <v>346.35000000039418</v>
      </c>
      <c r="P206" s="438"/>
      <c r="Q206" s="438">
        <f>SUM(Q204:Q205)</f>
        <v>200.74199999863134</v>
      </c>
      <c r="R206" s="438">
        <f t="shared" ref="R206" si="527">SUM(R204:R205)</f>
        <v>16.306999999961889</v>
      </c>
      <c r="S206" s="438">
        <f t="shared" ref="S206" si="528">SUM(S204:S205)</f>
        <v>131.95800000480151</v>
      </c>
      <c r="T206" s="438">
        <f t="shared" si="519"/>
        <v>349.00700000339475</v>
      </c>
      <c r="U206" s="438"/>
      <c r="V206" s="438">
        <f>SUM(V204:V205)</f>
        <v>206.20999999911916</v>
      </c>
      <c r="W206" s="438">
        <f t="shared" ref="W206" si="529">SUM(W204:W205)</f>
        <v>16.790000000057788</v>
      </c>
      <c r="X206" s="438">
        <f t="shared" ref="X206" si="530">SUM(X204:X205)</f>
        <v>130.07200000522101</v>
      </c>
      <c r="Y206" s="438">
        <f t="shared" si="520"/>
        <v>353.07200000439798</v>
      </c>
    </row>
    <row r="207" spans="1:25" x14ac:dyDescent="0.25">
      <c r="B207" s="380"/>
      <c r="C207" s="460"/>
      <c r="D207" s="460"/>
      <c r="E207" s="460"/>
      <c r="F207" s="460"/>
      <c r="G207" s="460"/>
      <c r="H207" s="460"/>
      <c r="I207" s="460"/>
      <c r="J207" s="460"/>
      <c r="K207" s="460"/>
      <c r="L207" s="460"/>
      <c r="M207" s="460"/>
      <c r="N207" s="460"/>
      <c r="O207" s="460"/>
      <c r="P207" s="460"/>
      <c r="Q207" s="460"/>
      <c r="R207" s="460"/>
      <c r="S207" s="460"/>
      <c r="T207" s="460"/>
      <c r="U207" s="460"/>
      <c r="V207" s="460"/>
      <c r="W207" s="460"/>
      <c r="X207" s="460"/>
      <c r="Y207" s="460"/>
    </row>
    <row r="208" spans="1:25" x14ac:dyDescent="0.25">
      <c r="A208" s="378" t="str">
        <f>name!A33</f>
        <v>Specialised construction</v>
      </c>
      <c r="C208" s="380"/>
      <c r="D208" s="380"/>
      <c r="E208" s="380"/>
      <c r="F208" s="380"/>
      <c r="G208" s="380"/>
      <c r="H208" s="380"/>
      <c r="I208" s="380"/>
      <c r="J208" s="380"/>
      <c r="K208" s="380"/>
      <c r="L208" s="380"/>
      <c r="M208" s="380"/>
      <c r="N208" s="380"/>
      <c r="O208" s="380"/>
      <c r="P208" s="380"/>
      <c r="Q208" s="380"/>
      <c r="R208" s="380"/>
      <c r="S208" s="380"/>
      <c r="T208" s="380"/>
      <c r="U208" s="380"/>
      <c r="V208" s="380"/>
      <c r="W208" s="380"/>
      <c r="X208" s="380"/>
      <c r="Y208" s="380"/>
    </row>
    <row r="209" spans="1:25" x14ac:dyDescent="0.25">
      <c r="A209" s="382" t="s">
        <v>391</v>
      </c>
      <c r="B209" s="437">
        <v>79.508999999240572</v>
      </c>
      <c r="C209" s="437">
        <v>57.420999999879534</v>
      </c>
      <c r="D209" s="437">
        <v>16.294000000131014</v>
      </c>
      <c r="E209" s="437">
        <f>SUM(B209:D209)</f>
        <v>153.22399999925111</v>
      </c>
      <c r="F209" s="437"/>
      <c r="G209" s="437">
        <v>62.34199999946</v>
      </c>
      <c r="H209" s="437">
        <v>58.589999999884206</v>
      </c>
      <c r="I209" s="437">
        <v>14.990000000132705</v>
      </c>
      <c r="J209" s="437">
        <f>SUM(G209:I209)</f>
        <v>135.92199999947692</v>
      </c>
      <c r="K209" s="437"/>
      <c r="L209" s="437">
        <v>75.68999999929413</v>
      </c>
      <c r="M209" s="437">
        <v>64.391000000415545</v>
      </c>
      <c r="N209" s="437">
        <v>22.477000000330786</v>
      </c>
      <c r="O209" s="437">
        <f>SUM(L209:N209)</f>
        <v>162.55800000004044</v>
      </c>
      <c r="P209" s="437"/>
      <c r="Q209" s="437">
        <v>76.718999999714256</v>
      </c>
      <c r="R209" s="437">
        <v>68.119999999769007</v>
      </c>
      <c r="S209" s="437">
        <v>22.362000000051633</v>
      </c>
      <c r="T209" s="437">
        <f>SUM(Q209:S209)</f>
        <v>167.2009999995349</v>
      </c>
      <c r="U209" s="437"/>
      <c r="V209" s="437">
        <v>77.821999999561285</v>
      </c>
      <c r="W209" s="437">
        <v>71.705000000381645</v>
      </c>
      <c r="X209" s="437">
        <v>22.39200000020951</v>
      </c>
      <c r="Y209" s="437">
        <f>SUM(V209:X209)</f>
        <v>171.91900000015244</v>
      </c>
    </row>
    <row r="210" spans="1:25" x14ac:dyDescent="0.25">
      <c r="A210" s="382" t="s">
        <v>390</v>
      </c>
      <c r="B210" s="438">
        <v>653.86299999733956</v>
      </c>
      <c r="C210" s="438">
        <v>22.81099999993133</v>
      </c>
      <c r="D210" s="438">
        <v>463.79400001010873</v>
      </c>
      <c r="E210" s="438">
        <f t="shared" ref="E210:E211" si="531">SUM(B210:D210)</f>
        <v>1140.4680000073797</v>
      </c>
      <c r="F210" s="438"/>
      <c r="G210" s="438">
        <v>532.37399999574257</v>
      </c>
      <c r="H210" s="438">
        <v>23.154999999907144</v>
      </c>
      <c r="I210" s="438">
        <v>438.22799999490928</v>
      </c>
      <c r="J210" s="438">
        <f t="shared" ref="J210:J211" si="532">SUM(G210:I210)</f>
        <v>993.75699999055894</v>
      </c>
      <c r="K210" s="438"/>
      <c r="L210" s="438">
        <v>586.9989999992049</v>
      </c>
      <c r="M210" s="438">
        <v>25.728000000040357</v>
      </c>
      <c r="N210" s="438">
        <v>459.41400000349688</v>
      </c>
      <c r="O210" s="438">
        <f t="shared" ref="O210:O211" si="533">SUM(L210:N210)</f>
        <v>1072.1410000027422</v>
      </c>
      <c r="P210" s="438"/>
      <c r="Q210" s="438">
        <v>605.13899999591172</v>
      </c>
      <c r="R210" s="438">
        <v>25.307999999929091</v>
      </c>
      <c r="S210" s="438">
        <v>448.34700001734763</v>
      </c>
      <c r="T210" s="438">
        <f t="shared" ref="T210:T211" si="534">SUM(Q210:S210)</f>
        <v>1078.7940000131885</v>
      </c>
      <c r="U210" s="438"/>
      <c r="V210" s="438">
        <v>623.19999999775416</v>
      </c>
      <c r="W210" s="438">
        <v>24.990999999940996</v>
      </c>
      <c r="X210" s="438">
        <v>441.99900001895287</v>
      </c>
      <c r="Y210" s="438">
        <f t="shared" ref="Y210:Y211" si="535">SUM(V210:X210)</f>
        <v>1090.1900000166479</v>
      </c>
    </row>
    <row r="211" spans="1:25" x14ac:dyDescent="0.25">
      <c r="A211" s="382" t="s">
        <v>389</v>
      </c>
      <c r="B211" s="438">
        <f>SUM(B209:B210)</f>
        <v>733.37199999658014</v>
      </c>
      <c r="C211" s="438">
        <f t="shared" ref="C211" si="536">SUM(C209:C210)</f>
        <v>80.231999999810867</v>
      </c>
      <c r="D211" s="438">
        <f t="shared" ref="D211" si="537">SUM(D209:D210)</f>
        <v>480.08800001023974</v>
      </c>
      <c r="E211" s="438">
        <f t="shared" si="531"/>
        <v>1293.6920000066307</v>
      </c>
      <c r="F211" s="438"/>
      <c r="G211" s="438">
        <f>SUM(G209:G210)</f>
        <v>594.71599999520254</v>
      </c>
      <c r="H211" s="438">
        <f t="shared" ref="H211" si="538">SUM(H209:H210)</f>
        <v>81.744999999791347</v>
      </c>
      <c r="I211" s="438">
        <f t="shared" ref="I211" si="539">SUM(I209:I210)</f>
        <v>453.21799999504196</v>
      </c>
      <c r="J211" s="438">
        <f t="shared" si="532"/>
        <v>1129.6789999900359</v>
      </c>
      <c r="K211" s="438"/>
      <c r="L211" s="438">
        <f>SUM(L209:L210)</f>
        <v>662.68899999849907</v>
      </c>
      <c r="M211" s="438">
        <f t="shared" ref="M211" si="540">SUM(M209:M210)</f>
        <v>90.119000000455898</v>
      </c>
      <c r="N211" s="438">
        <f t="shared" ref="N211" si="541">SUM(N209:N210)</f>
        <v>481.89100000382768</v>
      </c>
      <c r="O211" s="438">
        <f t="shared" si="533"/>
        <v>1234.6990000027827</v>
      </c>
      <c r="P211" s="438"/>
      <c r="Q211" s="438">
        <f>SUM(Q209:Q210)</f>
        <v>681.85799999562596</v>
      </c>
      <c r="R211" s="438">
        <f t="shared" ref="R211" si="542">SUM(R209:R210)</f>
        <v>93.427999999698102</v>
      </c>
      <c r="S211" s="438">
        <f t="shared" ref="S211" si="543">SUM(S209:S210)</f>
        <v>470.70900001739926</v>
      </c>
      <c r="T211" s="438">
        <f t="shared" si="534"/>
        <v>1245.9950000127233</v>
      </c>
      <c r="U211" s="438"/>
      <c r="V211" s="438">
        <f>SUM(V209:V210)</f>
        <v>701.02199999731545</v>
      </c>
      <c r="W211" s="438">
        <f t="shared" ref="W211" si="544">SUM(W209:W210)</f>
        <v>96.696000000322641</v>
      </c>
      <c r="X211" s="438">
        <f t="shared" ref="X211" si="545">SUM(X209:X210)</f>
        <v>464.39100001916239</v>
      </c>
      <c r="Y211" s="438">
        <f t="shared" si="535"/>
        <v>1262.1090000168006</v>
      </c>
    </row>
    <row r="212" spans="1:25" x14ac:dyDescent="0.25">
      <c r="C212" s="453"/>
    </row>
    <row r="213" spans="1:25" x14ac:dyDescent="0.25">
      <c r="A213" s="383" t="s">
        <v>403</v>
      </c>
      <c r="C213" s="453"/>
    </row>
    <row r="214" spans="1:25" x14ac:dyDescent="0.25">
      <c r="A214" s="377" t="s">
        <v>391</v>
      </c>
      <c r="B214" s="437">
        <f>SUM(B199,B204,B209)</f>
        <v>164.88899999845313</v>
      </c>
      <c r="C214" s="437">
        <f t="shared" ref="C214:D214" si="546">SUM(C199,C204,C209)</f>
        <v>101.32799999983308</v>
      </c>
      <c r="D214" s="437">
        <f t="shared" si="546"/>
        <v>30.840000000257259</v>
      </c>
      <c r="E214" s="437">
        <f>SUM(B214:D214)</f>
        <v>297.05699999854346</v>
      </c>
      <c r="F214" s="437"/>
      <c r="G214" s="437">
        <f>SUM(G199,G204,G209)</f>
        <v>135.4399999988629</v>
      </c>
      <c r="H214" s="437">
        <f t="shared" ref="H214:I214" si="547">SUM(H199,H204,H209)</f>
        <v>99.536999999751458</v>
      </c>
      <c r="I214" s="437">
        <f t="shared" si="547"/>
        <v>27.969000000243625</v>
      </c>
      <c r="J214" s="437">
        <f>SUM(G214:I214)</f>
        <v>262.94599999885799</v>
      </c>
      <c r="K214" s="437"/>
      <c r="L214" s="437">
        <f>SUM(L199,L204,L209)</f>
        <v>169.15899999848926</v>
      </c>
      <c r="M214" s="437">
        <f t="shared" ref="M214:N214" si="548">SUM(M199,M204,M209)</f>
        <v>111.09900000081718</v>
      </c>
      <c r="N214" s="437">
        <f t="shared" si="548"/>
        <v>46.036000000715248</v>
      </c>
      <c r="O214" s="437">
        <f>SUM(L214:N214)</f>
        <v>326.2940000000217</v>
      </c>
      <c r="P214" s="437"/>
      <c r="Q214" s="437">
        <f>SUM(Q199,Q204,Q209)</f>
        <v>171.4789999994361</v>
      </c>
      <c r="R214" s="437">
        <f t="shared" ref="R214:S214" si="549">SUM(R199,R204,R209)</f>
        <v>117.50499999965228</v>
      </c>
      <c r="S214" s="437">
        <f t="shared" si="549"/>
        <v>45.799000000096015</v>
      </c>
      <c r="T214" s="437">
        <f>SUM(Q214:S214)</f>
        <v>334.78299999918443</v>
      </c>
      <c r="U214" s="437"/>
      <c r="V214" s="437">
        <f>SUM(V199,V204,V209)</f>
        <v>173.95499999918854</v>
      </c>
      <c r="W214" s="437">
        <f t="shared" ref="W214:X214" si="550">SUM(W199,W204,W209)</f>
        <v>123.65900000076292</v>
      </c>
      <c r="X214" s="437">
        <f t="shared" si="550"/>
        <v>45.862000000459034</v>
      </c>
      <c r="Y214" s="437">
        <f>SUM(V214:X214)</f>
        <v>343.47600000041052</v>
      </c>
    </row>
    <row r="215" spans="1:25" x14ac:dyDescent="0.25">
      <c r="A215" s="377" t="s">
        <v>390</v>
      </c>
      <c r="B215" s="437">
        <f>SUM(B200,B205,B210)</f>
        <v>1148.7759999951834</v>
      </c>
      <c r="C215" s="437">
        <f t="shared" ref="C215:D215" si="551">SUM(C200,C205,C210)</f>
        <v>45.007999999855201</v>
      </c>
      <c r="D215" s="437">
        <f t="shared" si="551"/>
        <v>810.16200001742232</v>
      </c>
      <c r="E215" s="437">
        <f t="shared" ref="E215:E216" si="552">SUM(B215:D215)</f>
        <v>2003.9460000124609</v>
      </c>
      <c r="F215" s="437"/>
      <c r="G215" s="437">
        <f>SUM(G200,G205,G210)</f>
        <v>963.89899999215277</v>
      </c>
      <c r="H215" s="437">
        <f t="shared" ref="H215:I215" si="553">SUM(H200,H205,H210)</f>
        <v>43.025999999827363</v>
      </c>
      <c r="I215" s="437">
        <f t="shared" si="553"/>
        <v>786.22399999071683</v>
      </c>
      <c r="J215" s="437">
        <f t="shared" ref="J215:J216" si="554">SUM(G215:I215)</f>
        <v>1793.148999982697</v>
      </c>
      <c r="K215" s="437"/>
      <c r="L215" s="437">
        <f>SUM(L200,L205,L210)</f>
        <v>1082.8419999984285</v>
      </c>
      <c r="M215" s="437">
        <f t="shared" ref="M215:N215" si="555">SUM(M200,M205,M210)</f>
        <v>48.949000000067706</v>
      </c>
      <c r="N215" s="437">
        <f t="shared" si="555"/>
        <v>827.96300000621238</v>
      </c>
      <c r="O215" s="437">
        <f t="shared" ref="O215:O216" si="556">SUM(L215:N215)</f>
        <v>1959.7540000047084</v>
      </c>
      <c r="P215" s="437"/>
      <c r="Q215" s="437">
        <f>SUM(Q200,Q205,Q210)</f>
        <v>1115.9029999925579</v>
      </c>
      <c r="R215" s="437">
        <f t="shared" ref="R215:S215" si="557">SUM(R200,R205,R210)</f>
        <v>48.134999999884826</v>
      </c>
      <c r="S215" s="437">
        <f t="shared" si="557"/>
        <v>807.81300003160368</v>
      </c>
      <c r="T215" s="437">
        <f t="shared" ref="T215:T216" si="558">SUM(Q215:S215)</f>
        <v>1971.8510000240462</v>
      </c>
      <c r="U215" s="437"/>
      <c r="V215" s="437">
        <f>SUM(V200,V205,V210)</f>
        <v>1148.8409999959454</v>
      </c>
      <c r="W215" s="437">
        <f t="shared" ref="W215:X215" si="559">SUM(W200,W205,W210)</f>
        <v>47.520999999896738</v>
      </c>
      <c r="X215" s="437">
        <f t="shared" si="559"/>
        <v>796.18800003448587</v>
      </c>
      <c r="Y215" s="437">
        <f t="shared" ref="Y215:Y216" si="560">SUM(V215:X215)</f>
        <v>1992.550000030328</v>
      </c>
    </row>
    <row r="216" spans="1:25" x14ac:dyDescent="0.25">
      <c r="A216" s="381" t="s">
        <v>389</v>
      </c>
      <c r="B216" s="439">
        <f>SUM(B214:B215)</f>
        <v>1313.6649999936365</v>
      </c>
      <c r="C216" s="439">
        <f t="shared" ref="C216" si="561">SUM(C214:C215)</f>
        <v>146.33599999968828</v>
      </c>
      <c r="D216" s="439">
        <f t="shared" ref="D216" si="562">SUM(D214:D215)</f>
        <v>841.00200001767962</v>
      </c>
      <c r="E216" s="439">
        <f t="shared" si="552"/>
        <v>2301.0030000110046</v>
      </c>
      <c r="F216" s="439"/>
      <c r="G216" s="439">
        <f>SUM(G214:G215)</f>
        <v>1099.3389999910157</v>
      </c>
      <c r="H216" s="439">
        <f t="shared" ref="H216" si="563">SUM(H214:H215)</f>
        <v>142.56299999957884</v>
      </c>
      <c r="I216" s="439">
        <f t="shared" ref="I216" si="564">SUM(I214:I215)</f>
        <v>814.19299999096052</v>
      </c>
      <c r="J216" s="439">
        <f t="shared" si="554"/>
        <v>2056.0949999815548</v>
      </c>
      <c r="K216" s="439"/>
      <c r="L216" s="439">
        <f>SUM(L214:L215)</f>
        <v>1252.0009999969177</v>
      </c>
      <c r="M216" s="439">
        <f t="shared" ref="M216" si="565">SUM(M214:M215)</f>
        <v>160.04800000088488</v>
      </c>
      <c r="N216" s="439">
        <f t="shared" ref="N216" si="566">SUM(N214:N215)</f>
        <v>873.99900000692764</v>
      </c>
      <c r="O216" s="439">
        <f t="shared" si="556"/>
        <v>2286.0480000047301</v>
      </c>
      <c r="P216" s="439"/>
      <c r="Q216" s="439">
        <f>SUM(Q214:Q215)</f>
        <v>1287.381999991994</v>
      </c>
      <c r="R216" s="439">
        <f t="shared" ref="R216" si="567">SUM(R214:R215)</f>
        <v>165.63999999953711</v>
      </c>
      <c r="S216" s="439">
        <f t="shared" ref="S216" si="568">SUM(S214:S215)</f>
        <v>853.61200003169972</v>
      </c>
      <c r="T216" s="439">
        <f t="shared" si="558"/>
        <v>2306.6340000232308</v>
      </c>
      <c r="U216" s="439"/>
      <c r="V216" s="439">
        <f>SUM(V214:V215)</f>
        <v>1322.795999995134</v>
      </c>
      <c r="W216" s="439">
        <f t="shared" ref="W216" si="569">SUM(W214:W215)</f>
        <v>171.18000000065965</v>
      </c>
      <c r="X216" s="439">
        <f t="shared" ref="X216" si="570">SUM(X214:X215)</f>
        <v>842.0500000349449</v>
      </c>
      <c r="Y216" s="439">
        <f t="shared" si="560"/>
        <v>2336.0260000307385</v>
      </c>
    </row>
    <row r="217" spans="1:25" x14ac:dyDescent="0.25">
      <c r="C217" s="453"/>
    </row>
    <row r="218" spans="1:25" x14ac:dyDescent="0.25">
      <c r="C218" s="453"/>
    </row>
    <row r="219" spans="1:25" x14ac:dyDescent="0.25">
      <c r="C219" s="453"/>
    </row>
    <row r="220" spans="1:25" ht="13.8" x14ac:dyDescent="0.25">
      <c r="A220" s="385" t="str">
        <f>"Industry 9 : "&amp; name!B12</f>
        <v>Industry 9 : Wholesale and retail trade</v>
      </c>
      <c r="B220" s="514">
        <f>$B$5</f>
        <v>2007</v>
      </c>
      <c r="C220" s="514"/>
      <c r="D220" s="514"/>
      <c r="E220" s="514"/>
      <c r="F220" s="461"/>
      <c r="G220" s="514">
        <f>$G$5</f>
        <v>2012</v>
      </c>
      <c r="H220" s="514"/>
      <c r="I220" s="514"/>
      <c r="J220" s="514"/>
      <c r="K220" s="461"/>
      <c r="L220" s="514">
        <f>$L$5</f>
        <v>2017</v>
      </c>
      <c r="M220" s="514"/>
      <c r="N220" s="514"/>
      <c r="O220" s="514"/>
      <c r="P220" s="459"/>
      <c r="Q220" s="514">
        <f>$Q$5</f>
        <v>2022</v>
      </c>
      <c r="R220" s="514"/>
      <c r="S220" s="514"/>
      <c r="T220" s="514"/>
      <c r="U220" s="461"/>
      <c r="V220" s="514">
        <f>$V$5</f>
        <v>2027</v>
      </c>
      <c r="W220" s="514"/>
      <c r="X220" s="514"/>
      <c r="Y220" s="514"/>
    </row>
    <row r="221" spans="1:25" x14ac:dyDescent="0.25">
      <c r="A221" s="381"/>
      <c r="B221" s="388" t="str">
        <f>$B$6</f>
        <v>FT</v>
      </c>
      <c r="C221" s="388" t="str">
        <f>$C$6</f>
        <v>PT</v>
      </c>
      <c r="D221" s="388" t="str">
        <f>$D$6</f>
        <v>SE</v>
      </c>
      <c r="E221" s="388" t="str">
        <f>$E$6</f>
        <v>Total</v>
      </c>
      <c r="F221" s="388"/>
      <c r="G221" s="388" t="str">
        <f>$B$6</f>
        <v>FT</v>
      </c>
      <c r="H221" s="388" t="str">
        <f>$C$6</f>
        <v>PT</v>
      </c>
      <c r="I221" s="388" t="str">
        <f>$D$6</f>
        <v>SE</v>
      </c>
      <c r="J221" s="388" t="str">
        <f>$E$6</f>
        <v>Total</v>
      </c>
      <c r="K221" s="388"/>
      <c r="L221" s="388" t="str">
        <f>$L$6</f>
        <v>FT</v>
      </c>
      <c r="M221" s="388" t="str">
        <f>$M$6</f>
        <v>PT</v>
      </c>
      <c r="N221" s="388" t="str">
        <f>$N$6</f>
        <v>SE</v>
      </c>
      <c r="O221" s="388" t="str">
        <f>$O$6</f>
        <v>Total</v>
      </c>
      <c r="P221" s="388"/>
      <c r="Q221" s="388" t="str">
        <f>$L$6</f>
        <v>FT</v>
      </c>
      <c r="R221" s="388" t="str">
        <f>$M$6</f>
        <v>PT</v>
      </c>
      <c r="S221" s="388" t="str">
        <f>$N$6</f>
        <v>SE</v>
      </c>
      <c r="T221" s="388" t="str">
        <f>$O$6</f>
        <v>Total</v>
      </c>
      <c r="U221" s="388"/>
      <c r="V221" s="388" t="str">
        <f>$V$6</f>
        <v>FT</v>
      </c>
      <c r="W221" s="388" t="str">
        <f>$W$6</f>
        <v>PT</v>
      </c>
      <c r="X221" s="388" t="str">
        <f>$X$6</f>
        <v>SE</v>
      </c>
      <c r="Y221" s="388" t="str">
        <f>$Y$6</f>
        <v>Total</v>
      </c>
    </row>
    <row r="222" spans="1:25" x14ac:dyDescent="0.25">
      <c r="B222" s="380"/>
      <c r="C222" s="460"/>
      <c r="D222" s="460"/>
      <c r="E222" s="460"/>
      <c r="F222" s="460"/>
      <c r="G222" s="460"/>
      <c r="H222" s="460"/>
      <c r="I222" s="460"/>
      <c r="J222" s="460"/>
      <c r="K222" s="460"/>
      <c r="L222" s="460"/>
      <c r="M222" s="460"/>
      <c r="N222" s="460"/>
      <c r="O222" s="460"/>
      <c r="P222" s="460"/>
      <c r="Q222" s="460"/>
      <c r="R222" s="460"/>
      <c r="S222" s="460"/>
      <c r="T222" s="460"/>
      <c r="U222" s="460"/>
      <c r="V222" s="460"/>
      <c r="W222" s="460"/>
      <c r="X222" s="460"/>
      <c r="Y222" s="460"/>
    </row>
    <row r="223" spans="1:25" x14ac:dyDescent="0.25">
      <c r="A223" s="378" t="str">
        <f>name!A34</f>
        <v>Motor vehicle trade</v>
      </c>
      <c r="C223" s="380"/>
      <c r="D223" s="380"/>
      <c r="E223" s="380"/>
      <c r="F223" s="380"/>
      <c r="G223" s="380"/>
      <c r="H223" s="380"/>
      <c r="I223" s="380"/>
      <c r="J223" s="380"/>
      <c r="K223" s="380"/>
      <c r="L223" s="380"/>
      <c r="M223" s="380"/>
      <c r="N223" s="380"/>
      <c r="O223" s="380"/>
      <c r="P223" s="380"/>
      <c r="Q223" s="380"/>
      <c r="R223" s="380"/>
      <c r="S223" s="380"/>
      <c r="T223" s="380"/>
      <c r="U223" s="380"/>
      <c r="V223" s="380"/>
      <c r="W223" s="380"/>
      <c r="X223" s="380"/>
      <c r="Y223" s="380"/>
    </row>
    <row r="224" spans="1:25" x14ac:dyDescent="0.25">
      <c r="A224" s="382" t="s">
        <v>391</v>
      </c>
      <c r="B224" s="437">
        <v>73.984999999245574</v>
      </c>
      <c r="C224" s="437">
        <v>54.989000000551954</v>
      </c>
      <c r="D224" s="437">
        <v>4.938000000042571</v>
      </c>
      <c r="E224" s="437">
        <f>SUM(B224:D224)</f>
        <v>133.91199999984008</v>
      </c>
      <c r="F224" s="437"/>
      <c r="G224" s="437">
        <v>58.107999999526278</v>
      </c>
      <c r="H224" s="437">
        <v>37.070000000562864</v>
      </c>
      <c r="I224" s="437">
        <v>6.0000000000515552</v>
      </c>
      <c r="J224" s="437">
        <f>SUM(G224:I224)</f>
        <v>101.1780000001407</v>
      </c>
      <c r="K224" s="437"/>
      <c r="L224" s="437">
        <v>71.452999999737813</v>
      </c>
      <c r="M224" s="437">
        <v>35.72500000097525</v>
      </c>
      <c r="N224" s="437">
        <v>7.0170000000854529</v>
      </c>
      <c r="O224" s="437">
        <f>SUM(L224:N224)</f>
        <v>114.19500000079853</v>
      </c>
      <c r="P224" s="437"/>
      <c r="Q224" s="437">
        <v>77.335999998687697</v>
      </c>
      <c r="R224" s="437">
        <v>34.052000000018353</v>
      </c>
      <c r="S224" s="437">
        <v>6.4660000000411353</v>
      </c>
      <c r="T224" s="437">
        <f>SUM(Q224:S224)</f>
        <v>117.85399999874718</v>
      </c>
      <c r="U224" s="437"/>
      <c r="V224" s="437">
        <v>83.919999999342053</v>
      </c>
      <c r="W224" s="437">
        <v>32.721000000456634</v>
      </c>
      <c r="X224" s="437">
        <v>5.9820000000445868</v>
      </c>
      <c r="Y224" s="437">
        <f>SUM(V224:X224)</f>
        <v>122.62299999984327</v>
      </c>
    </row>
    <row r="225" spans="1:25" x14ac:dyDescent="0.25">
      <c r="A225" s="382" t="s">
        <v>390</v>
      </c>
      <c r="B225" s="438">
        <v>350.92199999890482</v>
      </c>
      <c r="C225" s="438">
        <v>42.989999999604613</v>
      </c>
      <c r="D225" s="438">
        <v>73.063000000177666</v>
      </c>
      <c r="E225" s="438">
        <f t="shared" ref="E225:E226" si="571">SUM(B225:D225)</f>
        <v>466.97499999868711</v>
      </c>
      <c r="F225" s="438"/>
      <c r="G225" s="438">
        <v>341.71299999775385</v>
      </c>
      <c r="H225" s="438">
        <v>31.972999999737922</v>
      </c>
      <c r="I225" s="438">
        <v>81.017999999356505</v>
      </c>
      <c r="J225" s="438">
        <f t="shared" ref="J225:J226" si="572">SUM(G225:I225)</f>
        <v>454.70399999684827</v>
      </c>
      <c r="K225" s="438"/>
      <c r="L225" s="438">
        <v>382.63499999944611</v>
      </c>
      <c r="M225" s="438">
        <v>52.086999999842213</v>
      </c>
      <c r="N225" s="438">
        <v>83.207999999749006</v>
      </c>
      <c r="O225" s="438">
        <f t="shared" ref="O225:O226" si="573">SUM(L225:N225)</f>
        <v>517.92999999903736</v>
      </c>
      <c r="P225" s="438"/>
      <c r="Q225" s="438">
        <v>378.47999999682258</v>
      </c>
      <c r="R225" s="438">
        <v>61.049999999442491</v>
      </c>
      <c r="S225" s="438">
        <v>71.667999999907153</v>
      </c>
      <c r="T225" s="438">
        <f t="shared" ref="T225:T226" si="574">SUM(Q225:S225)</f>
        <v>511.19799999617226</v>
      </c>
      <c r="U225" s="438"/>
      <c r="V225" s="438">
        <v>378.01299999803172</v>
      </c>
      <c r="W225" s="438">
        <v>70.533999999508467</v>
      </c>
      <c r="X225" s="438">
        <v>60.908000000053107</v>
      </c>
      <c r="Y225" s="438">
        <f t="shared" ref="Y225:Y226" si="575">SUM(V225:X225)</f>
        <v>509.45499999759329</v>
      </c>
    </row>
    <row r="226" spans="1:25" x14ac:dyDescent="0.25">
      <c r="A226" s="382" t="s">
        <v>389</v>
      </c>
      <c r="B226" s="438">
        <f>SUM(B224:B225)</f>
        <v>424.90699999815041</v>
      </c>
      <c r="C226" s="438">
        <f t="shared" ref="C226" si="576">SUM(C224:C225)</f>
        <v>97.97900000015656</v>
      </c>
      <c r="D226" s="438">
        <f t="shared" ref="D226" si="577">SUM(D224:D225)</f>
        <v>78.001000000220245</v>
      </c>
      <c r="E226" s="438">
        <f t="shared" si="571"/>
        <v>600.88699999852724</v>
      </c>
      <c r="F226" s="438"/>
      <c r="G226" s="438">
        <f>SUM(G224:G225)</f>
        <v>399.82099999728013</v>
      </c>
      <c r="H226" s="438">
        <f t="shared" ref="H226" si="578">SUM(H224:H225)</f>
        <v>69.043000000300793</v>
      </c>
      <c r="I226" s="438">
        <f t="shared" ref="I226" si="579">SUM(I224:I225)</f>
        <v>87.017999999408062</v>
      </c>
      <c r="J226" s="438">
        <f t="shared" si="572"/>
        <v>555.88199999698895</v>
      </c>
      <c r="K226" s="438"/>
      <c r="L226" s="438">
        <f>SUM(L224:L225)</f>
        <v>454.08799999918392</v>
      </c>
      <c r="M226" s="438">
        <f t="shared" ref="M226" si="580">SUM(M224:M225)</f>
        <v>87.812000000817463</v>
      </c>
      <c r="N226" s="438">
        <f t="shared" ref="N226" si="581">SUM(N224:N225)</f>
        <v>90.224999999834466</v>
      </c>
      <c r="O226" s="438">
        <f t="shared" si="573"/>
        <v>632.12499999983584</v>
      </c>
      <c r="P226" s="438"/>
      <c r="Q226" s="438">
        <f>SUM(Q224:Q225)</f>
        <v>455.81599999551031</v>
      </c>
      <c r="R226" s="438">
        <f t="shared" ref="R226" si="582">SUM(R224:R225)</f>
        <v>95.101999999460844</v>
      </c>
      <c r="S226" s="438">
        <f t="shared" ref="S226" si="583">SUM(S224:S225)</f>
        <v>78.133999999948287</v>
      </c>
      <c r="T226" s="438">
        <f t="shared" si="574"/>
        <v>629.05199999491947</v>
      </c>
      <c r="U226" s="438"/>
      <c r="V226" s="438">
        <f>SUM(V224:V225)</f>
        <v>461.93299999737377</v>
      </c>
      <c r="W226" s="438">
        <f t="shared" ref="W226" si="584">SUM(W224:W225)</f>
        <v>103.25499999996509</v>
      </c>
      <c r="X226" s="438">
        <f t="shared" ref="X226" si="585">SUM(X224:X225)</f>
        <v>66.8900000000977</v>
      </c>
      <c r="Y226" s="438">
        <f t="shared" si="575"/>
        <v>632.07799999743656</v>
      </c>
    </row>
    <row r="227" spans="1:25" x14ac:dyDescent="0.25">
      <c r="B227" s="380"/>
      <c r="C227" s="460"/>
      <c r="D227" s="460"/>
      <c r="E227" s="460"/>
      <c r="F227" s="460"/>
      <c r="G227" s="460"/>
      <c r="H227" s="460"/>
      <c r="I227" s="460"/>
      <c r="J227" s="460"/>
      <c r="K227" s="460"/>
      <c r="L227" s="460"/>
      <c r="M227" s="460"/>
      <c r="N227" s="460"/>
      <c r="O227" s="460"/>
      <c r="P227" s="460"/>
      <c r="Q227" s="460"/>
      <c r="R227" s="460"/>
      <c r="S227" s="460"/>
      <c r="T227" s="460"/>
      <c r="U227" s="460"/>
      <c r="V227" s="460"/>
      <c r="W227" s="460"/>
      <c r="X227" s="460"/>
      <c r="Y227" s="460"/>
    </row>
    <row r="228" spans="1:25" x14ac:dyDescent="0.25">
      <c r="A228" s="378" t="str">
        <f>name!A35</f>
        <v>Wholesale trade</v>
      </c>
      <c r="C228" s="380"/>
      <c r="D228" s="380"/>
      <c r="E228" s="380"/>
      <c r="F228" s="380"/>
      <c r="G228" s="380"/>
      <c r="H228" s="380"/>
      <c r="I228" s="380"/>
      <c r="J228" s="380"/>
      <c r="K228" s="380"/>
      <c r="L228" s="380"/>
      <c r="M228" s="380"/>
      <c r="N228" s="380"/>
      <c r="O228" s="380"/>
      <c r="P228" s="380"/>
      <c r="Q228" s="380"/>
      <c r="R228" s="380"/>
      <c r="S228" s="380"/>
      <c r="T228" s="380"/>
      <c r="U228" s="380"/>
      <c r="V228" s="380"/>
      <c r="W228" s="380"/>
      <c r="X228" s="380"/>
      <c r="Y228" s="380"/>
    </row>
    <row r="229" spans="1:25" x14ac:dyDescent="0.25">
      <c r="A229" s="382" t="s">
        <v>391</v>
      </c>
      <c r="B229" s="437">
        <v>272.63799999632613</v>
      </c>
      <c r="C229" s="437">
        <v>119.28100000068574</v>
      </c>
      <c r="D229" s="437">
        <v>13.194000000129156</v>
      </c>
      <c r="E229" s="437">
        <f>SUM(B229:D229)</f>
        <v>405.112999997141</v>
      </c>
      <c r="F229" s="437"/>
      <c r="G229" s="437">
        <v>252.63199999645849</v>
      </c>
      <c r="H229" s="437">
        <v>105.26200000065317</v>
      </c>
      <c r="I229" s="437">
        <v>24.00700000022654</v>
      </c>
      <c r="J229" s="437">
        <f>SUM(G229:I229)</f>
        <v>381.9009999973382</v>
      </c>
      <c r="K229" s="437"/>
      <c r="L229" s="437">
        <v>291.19399999786395</v>
      </c>
      <c r="M229" s="437">
        <v>101.06800000236417</v>
      </c>
      <c r="N229" s="437">
        <v>21.052000000255859</v>
      </c>
      <c r="O229" s="437">
        <f>SUM(L229:N229)</f>
        <v>413.31400000048399</v>
      </c>
      <c r="P229" s="437"/>
      <c r="Q229" s="437">
        <v>303.95599999227801</v>
      </c>
      <c r="R229" s="437">
        <v>94.59399999974552</v>
      </c>
      <c r="S229" s="437">
        <v>19.230000000175874</v>
      </c>
      <c r="T229" s="437">
        <f>SUM(Q229:S229)</f>
        <v>417.77999999219941</v>
      </c>
      <c r="U229" s="437"/>
      <c r="V229" s="437">
        <v>317.83699999556632</v>
      </c>
      <c r="W229" s="437">
        <v>88.958000001156392</v>
      </c>
      <c r="X229" s="437">
        <v>17.601000000195629</v>
      </c>
      <c r="Y229" s="437">
        <f>SUM(V229:X229)</f>
        <v>424.39599999691836</v>
      </c>
    </row>
    <row r="230" spans="1:25" x14ac:dyDescent="0.25">
      <c r="A230" s="382" t="s">
        <v>390</v>
      </c>
      <c r="B230" s="438">
        <v>735.83999999753917</v>
      </c>
      <c r="C230" s="438">
        <v>51.985999999630799</v>
      </c>
      <c r="D230" s="438">
        <v>54.806999999606411</v>
      </c>
      <c r="E230" s="438">
        <f t="shared" ref="E230:E231" si="586">SUM(B230:D230)</f>
        <v>842.63299999677645</v>
      </c>
      <c r="F230" s="438"/>
      <c r="G230" s="438">
        <v>707.78899999491648</v>
      </c>
      <c r="H230" s="438">
        <v>51.984999999516923</v>
      </c>
      <c r="I230" s="438">
        <v>48.010999999731908</v>
      </c>
      <c r="J230" s="438">
        <f t="shared" ref="J230:J231" si="587">SUM(G230:I230)</f>
        <v>807.78499999416533</v>
      </c>
      <c r="K230" s="438"/>
      <c r="L230" s="438">
        <v>725.48899999921207</v>
      </c>
      <c r="M230" s="438">
        <v>48.030999999978725</v>
      </c>
      <c r="N230" s="438">
        <v>39.097999999948215</v>
      </c>
      <c r="O230" s="438">
        <f t="shared" ref="O230:O231" si="588">SUM(L230:N230)</f>
        <v>812.61799999913899</v>
      </c>
      <c r="P230" s="438"/>
      <c r="Q230" s="438">
        <v>699.08999999520438</v>
      </c>
      <c r="R230" s="438">
        <v>59.901999999625055</v>
      </c>
      <c r="S230" s="438">
        <v>30.595999999569116</v>
      </c>
      <c r="T230" s="438">
        <f t="shared" ref="T230:T231" si="589">SUM(Q230:S230)</f>
        <v>789.58799999439861</v>
      </c>
      <c r="U230" s="438"/>
      <c r="V230" s="438">
        <v>677.87299999811125</v>
      </c>
      <c r="W230" s="438">
        <v>71.553999999668434</v>
      </c>
      <c r="X230" s="438">
        <v>22.666999999745915</v>
      </c>
      <c r="Y230" s="438">
        <f t="shared" ref="Y230:Y231" si="590">SUM(V230:X230)</f>
        <v>772.09399999752566</v>
      </c>
    </row>
    <row r="231" spans="1:25" x14ac:dyDescent="0.25">
      <c r="A231" s="382" t="s">
        <v>389</v>
      </c>
      <c r="B231" s="438">
        <f>SUM(B229:B230)</f>
        <v>1008.4779999938653</v>
      </c>
      <c r="C231" s="438">
        <f t="shared" ref="C231" si="591">SUM(C229:C230)</f>
        <v>171.26700000031653</v>
      </c>
      <c r="D231" s="438">
        <f t="shared" ref="D231" si="592">SUM(D229:D230)</f>
        <v>68.000999999735569</v>
      </c>
      <c r="E231" s="438">
        <f t="shared" si="586"/>
        <v>1247.7459999939174</v>
      </c>
      <c r="F231" s="438"/>
      <c r="G231" s="438">
        <f>SUM(G229:G230)</f>
        <v>960.42099999137497</v>
      </c>
      <c r="H231" s="438">
        <f t="shared" ref="H231" si="593">SUM(H229:H230)</f>
        <v>157.24700000017009</v>
      </c>
      <c r="I231" s="438">
        <f t="shared" ref="I231" si="594">SUM(I229:I230)</f>
        <v>72.017999999958448</v>
      </c>
      <c r="J231" s="438">
        <f t="shared" si="587"/>
        <v>1189.6859999915034</v>
      </c>
      <c r="K231" s="438"/>
      <c r="L231" s="438">
        <f>SUM(L229:L230)</f>
        <v>1016.682999997076</v>
      </c>
      <c r="M231" s="438">
        <f t="shared" ref="M231" si="595">SUM(M229:M230)</f>
        <v>149.0990000023429</v>
      </c>
      <c r="N231" s="438">
        <f t="shared" ref="N231" si="596">SUM(N229:N230)</f>
        <v>60.150000000204074</v>
      </c>
      <c r="O231" s="438">
        <f t="shared" si="588"/>
        <v>1225.931999999623</v>
      </c>
      <c r="P231" s="438"/>
      <c r="Q231" s="438">
        <f>SUM(Q229:Q230)</f>
        <v>1003.0459999874824</v>
      </c>
      <c r="R231" s="438">
        <f t="shared" ref="R231" si="597">SUM(R229:R230)</f>
        <v>154.49599999937058</v>
      </c>
      <c r="S231" s="438">
        <f t="shared" ref="S231" si="598">SUM(S229:S230)</f>
        <v>49.825999999744994</v>
      </c>
      <c r="T231" s="438">
        <f t="shared" si="589"/>
        <v>1207.3679999865979</v>
      </c>
      <c r="U231" s="438"/>
      <c r="V231" s="438">
        <f>SUM(V229:V230)</f>
        <v>995.70999999367757</v>
      </c>
      <c r="W231" s="438">
        <f t="shared" ref="W231" si="599">SUM(W229:W230)</f>
        <v>160.51200000082483</v>
      </c>
      <c r="X231" s="438">
        <f t="shared" ref="X231" si="600">SUM(X229:X230)</f>
        <v>40.267999999941544</v>
      </c>
      <c r="Y231" s="438">
        <f t="shared" si="590"/>
        <v>1196.4899999944439</v>
      </c>
    </row>
    <row r="232" spans="1:25" x14ac:dyDescent="0.25">
      <c r="B232" s="380"/>
      <c r="C232" s="460"/>
      <c r="D232" s="460"/>
      <c r="E232" s="460"/>
      <c r="F232" s="460"/>
      <c r="G232" s="460"/>
      <c r="H232" s="460"/>
      <c r="I232" s="460"/>
      <c r="J232" s="460"/>
      <c r="K232" s="460"/>
      <c r="L232" s="460"/>
      <c r="M232" s="460"/>
      <c r="N232" s="460"/>
      <c r="O232" s="460"/>
      <c r="P232" s="460"/>
      <c r="Q232" s="460"/>
      <c r="R232" s="460"/>
      <c r="S232" s="460"/>
      <c r="T232" s="460"/>
      <c r="U232" s="460"/>
      <c r="V232" s="460"/>
      <c r="W232" s="460"/>
      <c r="X232" s="460"/>
      <c r="Y232" s="460"/>
    </row>
    <row r="233" spans="1:25" x14ac:dyDescent="0.25">
      <c r="A233" s="378" t="str">
        <f>name!A36</f>
        <v>Retail trade</v>
      </c>
      <c r="C233" s="380"/>
      <c r="D233" s="380"/>
      <c r="E233" s="380"/>
      <c r="F233" s="380"/>
      <c r="G233" s="380"/>
      <c r="H233" s="380"/>
      <c r="I233" s="380"/>
      <c r="J233" s="380"/>
      <c r="K233" s="380"/>
      <c r="L233" s="380"/>
      <c r="M233" s="380"/>
      <c r="N233" s="380"/>
      <c r="O233" s="380"/>
      <c r="P233" s="380"/>
      <c r="Q233" s="380"/>
      <c r="R233" s="380"/>
      <c r="S233" s="380"/>
      <c r="T233" s="380"/>
      <c r="U233" s="380"/>
      <c r="V233" s="380"/>
      <c r="W233" s="380"/>
      <c r="X233" s="380"/>
      <c r="Y233" s="380"/>
    </row>
    <row r="234" spans="1:25" x14ac:dyDescent="0.25">
      <c r="A234" s="382" t="s">
        <v>391</v>
      </c>
      <c r="B234" s="437">
        <v>626.8639999917425</v>
      </c>
      <c r="C234" s="437">
        <v>1120.7580000327105</v>
      </c>
      <c r="D234" s="437">
        <v>109.56000000131522</v>
      </c>
      <c r="E234" s="437">
        <f>SUM(B234:D234)</f>
        <v>1857.1820000257683</v>
      </c>
      <c r="F234" s="437"/>
      <c r="G234" s="437">
        <v>590.16699999270725</v>
      </c>
      <c r="H234" s="437">
        <v>1132.3200000393499</v>
      </c>
      <c r="I234" s="437">
        <v>105.02500000150661</v>
      </c>
      <c r="J234" s="437">
        <f>SUM(G234:I234)</f>
        <v>1827.5120000335637</v>
      </c>
      <c r="K234" s="437"/>
      <c r="L234" s="437">
        <v>605.88599999807582</v>
      </c>
      <c r="M234" s="437">
        <v>1109.7940000571703</v>
      </c>
      <c r="N234" s="437">
        <v>117.29400000188751</v>
      </c>
      <c r="O234" s="437">
        <f>SUM(L234:N234)</f>
        <v>1832.9740000571337</v>
      </c>
      <c r="P234" s="437"/>
      <c r="Q234" s="437">
        <v>648.86299998514778</v>
      </c>
      <c r="R234" s="437">
        <v>1050.4760000110321</v>
      </c>
      <c r="S234" s="437">
        <v>107.04100000151571</v>
      </c>
      <c r="T234" s="437">
        <f>SUM(Q234:S234)</f>
        <v>1806.3799999976954</v>
      </c>
      <c r="U234" s="437"/>
      <c r="V234" s="437">
        <v>695.48999999254193</v>
      </c>
      <c r="W234" s="437">
        <v>997.88100002518354</v>
      </c>
      <c r="X234" s="437">
        <v>97.497000001275282</v>
      </c>
      <c r="Y234" s="437">
        <f>SUM(V234:X234)</f>
        <v>1790.8680000190006</v>
      </c>
    </row>
    <row r="235" spans="1:25" x14ac:dyDescent="0.25">
      <c r="A235" s="382" t="s">
        <v>390</v>
      </c>
      <c r="B235" s="438">
        <v>656.85499999749618</v>
      </c>
      <c r="C235" s="438">
        <v>510.88799999169964</v>
      </c>
      <c r="D235" s="438">
        <v>139.43799999870501</v>
      </c>
      <c r="E235" s="438">
        <f t="shared" ref="E235:E236" si="601">SUM(B235:D235)</f>
        <v>1307.1809999879008</v>
      </c>
      <c r="F235" s="438"/>
      <c r="G235" s="438">
        <v>652.22799999484266</v>
      </c>
      <c r="H235" s="438">
        <v>476.43599999254366</v>
      </c>
      <c r="I235" s="438">
        <v>139.03299999845316</v>
      </c>
      <c r="J235" s="438">
        <f t="shared" ref="J235:J236" si="602">SUM(G235:I235)</f>
        <v>1267.6969999858395</v>
      </c>
      <c r="K235" s="438"/>
      <c r="L235" s="438">
        <v>677.87499999950739</v>
      </c>
      <c r="M235" s="438">
        <v>479.91099999764623</v>
      </c>
      <c r="N235" s="438">
        <v>131.32899999908977</v>
      </c>
      <c r="O235" s="438">
        <f t="shared" ref="O235:O236" si="603">SUM(L235:N235)</f>
        <v>1289.1149999962433</v>
      </c>
      <c r="P235" s="438"/>
      <c r="Q235" s="438">
        <v>662.64699999656739</v>
      </c>
      <c r="R235" s="438">
        <v>583.50799999369372</v>
      </c>
      <c r="S235" s="438">
        <v>107.70999999852756</v>
      </c>
      <c r="T235" s="438">
        <f t="shared" ref="T235:T236" si="604">SUM(Q235:S235)</f>
        <v>1353.8649999887887</v>
      </c>
      <c r="U235" s="438"/>
      <c r="V235" s="438">
        <v>651.52099999872212</v>
      </c>
      <c r="W235" s="438">
        <v>689.98099999400119</v>
      </c>
      <c r="X235" s="438">
        <v>84.891999999137141</v>
      </c>
      <c r="Y235" s="438">
        <f t="shared" ref="Y235:Y236" si="605">SUM(V235:X235)</f>
        <v>1426.3939999918605</v>
      </c>
    </row>
    <row r="236" spans="1:25" x14ac:dyDescent="0.25">
      <c r="A236" s="382" t="s">
        <v>389</v>
      </c>
      <c r="B236" s="438">
        <f>SUM(B234:B235)</f>
        <v>1283.7189999892387</v>
      </c>
      <c r="C236" s="438">
        <f t="shared" ref="C236" si="606">SUM(C234:C235)</f>
        <v>1631.6460000244101</v>
      </c>
      <c r="D236" s="438">
        <f t="shared" ref="D236" si="607">SUM(D234:D235)</f>
        <v>248.99800000002023</v>
      </c>
      <c r="E236" s="438">
        <f t="shared" si="601"/>
        <v>3164.3630000136686</v>
      </c>
      <c r="F236" s="438"/>
      <c r="G236" s="438">
        <f>SUM(G234:G235)</f>
        <v>1242.3949999875499</v>
      </c>
      <c r="H236" s="438">
        <f t="shared" ref="H236" si="608">SUM(H234:H235)</f>
        <v>1608.7560000318936</v>
      </c>
      <c r="I236" s="438">
        <f t="shared" ref="I236" si="609">SUM(I234:I235)</f>
        <v>244.05799999995978</v>
      </c>
      <c r="J236" s="438">
        <f t="shared" si="602"/>
        <v>3095.2090000194034</v>
      </c>
      <c r="K236" s="438"/>
      <c r="L236" s="438">
        <f>SUM(L234:L235)</f>
        <v>1283.7609999975832</v>
      </c>
      <c r="M236" s="438">
        <f t="shared" ref="M236" si="610">SUM(M234:M235)</f>
        <v>1589.7050000548165</v>
      </c>
      <c r="N236" s="438">
        <f t="shared" ref="N236" si="611">SUM(N234:N235)</f>
        <v>248.6230000009773</v>
      </c>
      <c r="O236" s="438">
        <f t="shared" si="603"/>
        <v>3122.0890000533773</v>
      </c>
      <c r="P236" s="438"/>
      <c r="Q236" s="438">
        <f>SUM(Q234:Q235)</f>
        <v>1311.5099999817153</v>
      </c>
      <c r="R236" s="438">
        <f t="shared" ref="R236" si="612">SUM(R234:R235)</f>
        <v>1633.9840000047257</v>
      </c>
      <c r="S236" s="438">
        <f t="shared" ref="S236" si="613">SUM(S234:S235)</f>
        <v>214.75100000004329</v>
      </c>
      <c r="T236" s="438">
        <f t="shared" si="604"/>
        <v>3160.2449999864843</v>
      </c>
      <c r="U236" s="438"/>
      <c r="V236" s="438">
        <f>SUM(V234:V235)</f>
        <v>1347.010999991264</v>
      </c>
      <c r="W236" s="438">
        <f t="shared" ref="W236" si="614">SUM(W234:W235)</f>
        <v>1687.8620000191847</v>
      </c>
      <c r="X236" s="438">
        <f t="shared" ref="X236" si="615">SUM(X234:X235)</f>
        <v>182.38900000041241</v>
      </c>
      <c r="Y236" s="438">
        <f t="shared" si="605"/>
        <v>3217.2620000108614</v>
      </c>
    </row>
    <row r="237" spans="1:25" x14ac:dyDescent="0.25">
      <c r="C237" s="453"/>
    </row>
    <row r="238" spans="1:25" x14ac:dyDescent="0.25">
      <c r="A238" s="383" t="s">
        <v>402</v>
      </c>
      <c r="C238" s="453"/>
    </row>
    <row r="239" spans="1:25" x14ac:dyDescent="0.25">
      <c r="A239" s="377" t="s">
        <v>391</v>
      </c>
      <c r="B239" s="437">
        <f>SUM(B224,B229,B234)</f>
        <v>973.48699998731422</v>
      </c>
      <c r="C239" s="437">
        <f t="shared" ref="C239:D239" si="616">SUM(C224,C229,C234)</f>
        <v>1295.028000033948</v>
      </c>
      <c r="D239" s="437">
        <f t="shared" si="616"/>
        <v>127.69200000148695</v>
      </c>
      <c r="E239" s="437">
        <f>SUM(B239:D239)</f>
        <v>2396.2070000227495</v>
      </c>
      <c r="F239" s="437"/>
      <c r="G239" s="437">
        <f>SUM(G224,G229,G234)</f>
        <v>900.90699998869195</v>
      </c>
      <c r="H239" s="437">
        <f t="shared" ref="H239:I239" si="617">SUM(H224,H229,H234)</f>
        <v>1274.652000040566</v>
      </c>
      <c r="I239" s="437">
        <f t="shared" si="617"/>
        <v>135.0320000017847</v>
      </c>
      <c r="J239" s="437">
        <f>SUM(G239:I239)</f>
        <v>2310.5910000310423</v>
      </c>
      <c r="K239" s="437"/>
      <c r="L239" s="437">
        <f>SUM(L224,L229,L234)</f>
        <v>968.53299999567753</v>
      </c>
      <c r="M239" s="437">
        <f t="shared" ref="M239:N239" si="618">SUM(M224,M229,M234)</f>
        <v>1246.5870000605096</v>
      </c>
      <c r="N239" s="437">
        <f t="shared" si="618"/>
        <v>145.36300000222883</v>
      </c>
      <c r="O239" s="437">
        <f>SUM(L239:N239)</f>
        <v>2360.4830000584161</v>
      </c>
      <c r="P239" s="437"/>
      <c r="Q239" s="437">
        <f>SUM(Q224,Q229,Q234)</f>
        <v>1030.1549999761135</v>
      </c>
      <c r="R239" s="437">
        <f t="shared" ref="R239:S239" si="619">SUM(R224,R229,R234)</f>
        <v>1179.122000010796</v>
      </c>
      <c r="S239" s="437">
        <f t="shared" si="619"/>
        <v>132.73700000173272</v>
      </c>
      <c r="T239" s="437">
        <f>SUM(Q239:S239)</f>
        <v>2342.0139999886424</v>
      </c>
      <c r="U239" s="437"/>
      <c r="V239" s="437">
        <f>SUM(V224,V229,V234)</f>
        <v>1097.2469999874502</v>
      </c>
      <c r="W239" s="437">
        <f t="shared" ref="W239:X239" si="620">SUM(W224,W229,W234)</f>
        <v>1119.5600000267966</v>
      </c>
      <c r="X239" s="437">
        <f t="shared" si="620"/>
        <v>121.0800000015155</v>
      </c>
      <c r="Y239" s="437">
        <f>SUM(V239:X239)</f>
        <v>2337.8870000157626</v>
      </c>
    </row>
    <row r="240" spans="1:25" x14ac:dyDescent="0.25">
      <c r="A240" s="377" t="s">
        <v>390</v>
      </c>
      <c r="B240" s="437">
        <f>SUM(B225,B230,B235)</f>
        <v>1743.6169999939402</v>
      </c>
      <c r="C240" s="437">
        <f t="shared" ref="C240:D240" si="621">SUM(C225,C230,C235)</f>
        <v>605.8639999909351</v>
      </c>
      <c r="D240" s="437">
        <f t="shared" si="621"/>
        <v>267.30799999848909</v>
      </c>
      <c r="E240" s="437">
        <f t="shared" ref="E240:E241" si="622">SUM(B240:D240)</f>
        <v>2616.7889999833642</v>
      </c>
      <c r="F240" s="437"/>
      <c r="G240" s="437">
        <f>SUM(G225,G230,G235)</f>
        <v>1701.7299999875131</v>
      </c>
      <c r="H240" s="437">
        <f t="shared" ref="H240:I240" si="623">SUM(H225,H230,H235)</f>
        <v>560.39399999179852</v>
      </c>
      <c r="I240" s="437">
        <f t="shared" si="623"/>
        <v>268.06199999754153</v>
      </c>
      <c r="J240" s="437">
        <f t="shared" ref="J240:J241" si="624">SUM(G240:I240)</f>
        <v>2530.1859999768531</v>
      </c>
      <c r="K240" s="437"/>
      <c r="L240" s="437">
        <f>SUM(L225,L230,L235)</f>
        <v>1785.9989999981658</v>
      </c>
      <c r="M240" s="437">
        <f t="shared" ref="M240:N240" si="625">SUM(M225,M230,M235)</f>
        <v>580.02899999746717</v>
      </c>
      <c r="N240" s="437">
        <f t="shared" si="625"/>
        <v>253.63499999878701</v>
      </c>
      <c r="O240" s="437">
        <f t="shared" ref="O240:O241" si="626">SUM(L240:N240)</f>
        <v>2619.6629999944198</v>
      </c>
      <c r="P240" s="437"/>
      <c r="Q240" s="437">
        <f>SUM(Q225,Q230,Q235)</f>
        <v>1740.2169999885946</v>
      </c>
      <c r="R240" s="437">
        <f t="shared" ref="R240:S240" si="627">SUM(R225,R230,R235)</f>
        <v>704.45999999276125</v>
      </c>
      <c r="S240" s="437">
        <f t="shared" si="627"/>
        <v>209.97399999800382</v>
      </c>
      <c r="T240" s="437">
        <f t="shared" ref="T240:T241" si="628">SUM(Q240:S240)</f>
        <v>2654.6509999793598</v>
      </c>
      <c r="U240" s="437"/>
      <c r="V240" s="437">
        <f>SUM(V225,V230,V235)</f>
        <v>1707.4069999948651</v>
      </c>
      <c r="W240" s="437">
        <f t="shared" ref="W240:X240" si="629">SUM(W225,W230,W235)</f>
        <v>832.06899999317807</v>
      </c>
      <c r="X240" s="437">
        <f t="shared" si="629"/>
        <v>168.46699999893616</v>
      </c>
      <c r="Y240" s="437">
        <f t="shared" ref="Y240:Y241" si="630">SUM(V240:X240)</f>
        <v>2707.9429999869794</v>
      </c>
    </row>
    <row r="241" spans="1:25" x14ac:dyDescent="0.25">
      <c r="A241" s="381" t="s">
        <v>389</v>
      </c>
      <c r="B241" s="439">
        <f>SUM(B239:B240)</f>
        <v>2717.1039999812547</v>
      </c>
      <c r="C241" s="439">
        <f t="shared" ref="C241" si="631">SUM(C239:C240)</f>
        <v>1900.8920000248831</v>
      </c>
      <c r="D241" s="439">
        <f t="shared" ref="D241" si="632">SUM(D239:D240)</f>
        <v>394.99999999997601</v>
      </c>
      <c r="E241" s="439">
        <f t="shared" si="622"/>
        <v>5012.9960000061146</v>
      </c>
      <c r="F241" s="439"/>
      <c r="G241" s="439">
        <f>SUM(G239:G240)</f>
        <v>2602.6369999762051</v>
      </c>
      <c r="H241" s="439">
        <f t="shared" ref="H241" si="633">SUM(H239:H240)</f>
        <v>1835.0460000323646</v>
      </c>
      <c r="I241" s="439">
        <f t="shared" ref="I241" si="634">SUM(I239:I240)</f>
        <v>403.09399999932623</v>
      </c>
      <c r="J241" s="439">
        <f t="shared" si="624"/>
        <v>4840.7770000078963</v>
      </c>
      <c r="K241" s="439"/>
      <c r="L241" s="439">
        <f>SUM(L239:L240)</f>
        <v>2754.5319999938433</v>
      </c>
      <c r="M241" s="439">
        <f t="shared" ref="M241" si="635">SUM(M239:M240)</f>
        <v>1826.6160000579766</v>
      </c>
      <c r="N241" s="439">
        <f t="shared" ref="N241" si="636">SUM(N239:N240)</f>
        <v>398.99800000101584</v>
      </c>
      <c r="O241" s="439">
        <f t="shared" si="626"/>
        <v>4980.1460000528359</v>
      </c>
      <c r="P241" s="439"/>
      <c r="Q241" s="439">
        <f>SUM(Q239:Q240)</f>
        <v>2770.3719999647083</v>
      </c>
      <c r="R241" s="439">
        <f t="shared" ref="R241" si="637">SUM(R239:R240)</f>
        <v>1883.5820000035574</v>
      </c>
      <c r="S241" s="439">
        <f t="shared" ref="S241" si="638">SUM(S239:S240)</f>
        <v>342.71099999973654</v>
      </c>
      <c r="T241" s="439">
        <f t="shared" si="628"/>
        <v>4996.6649999680021</v>
      </c>
      <c r="U241" s="439"/>
      <c r="V241" s="439">
        <f>SUM(V239:V240)</f>
        <v>2804.6539999823153</v>
      </c>
      <c r="W241" s="439">
        <f t="shared" ref="W241" si="639">SUM(W239:W240)</f>
        <v>1951.6290000199747</v>
      </c>
      <c r="X241" s="439">
        <f t="shared" ref="X241" si="640">SUM(X239:X240)</f>
        <v>289.54700000045165</v>
      </c>
      <c r="Y241" s="439">
        <f t="shared" si="630"/>
        <v>5045.8300000027411</v>
      </c>
    </row>
    <row r="242" spans="1:25" x14ac:dyDescent="0.25">
      <c r="A242" s="386"/>
      <c r="B242" s="461"/>
      <c r="C242" s="461"/>
      <c r="D242" s="461"/>
      <c r="E242" s="461"/>
      <c r="F242" s="461"/>
      <c r="G242" s="461"/>
      <c r="H242" s="461"/>
      <c r="I242" s="461"/>
      <c r="J242" s="461"/>
      <c r="K242" s="461"/>
      <c r="L242" s="461"/>
      <c r="M242" s="461"/>
      <c r="N242" s="461"/>
      <c r="O242" s="461"/>
      <c r="P242" s="461"/>
      <c r="Q242" s="461"/>
      <c r="R242" s="461"/>
      <c r="S242" s="461"/>
      <c r="T242" s="461"/>
      <c r="U242" s="461"/>
      <c r="V242" s="461"/>
      <c r="W242" s="461"/>
      <c r="X242" s="461"/>
      <c r="Y242" s="461"/>
    </row>
    <row r="243" spans="1:25" x14ac:dyDescent="0.25">
      <c r="A243" s="377"/>
      <c r="B243" s="380"/>
      <c r="C243" s="380"/>
      <c r="D243" s="380"/>
      <c r="E243" s="380"/>
      <c r="F243" s="380"/>
      <c r="G243" s="380"/>
      <c r="H243" s="380"/>
      <c r="I243" s="380"/>
      <c r="J243" s="380"/>
      <c r="K243" s="380"/>
      <c r="L243" s="380"/>
      <c r="M243" s="380"/>
      <c r="N243" s="380"/>
      <c r="O243" s="380"/>
      <c r="P243" s="380"/>
      <c r="Q243" s="380"/>
      <c r="R243" s="380"/>
      <c r="S243" s="380"/>
      <c r="T243" s="380"/>
      <c r="U243" s="380"/>
      <c r="V243" s="380"/>
      <c r="W243" s="380"/>
      <c r="X243" s="380"/>
      <c r="Y243" s="380"/>
    </row>
    <row r="244" spans="1:25" x14ac:dyDescent="0.25">
      <c r="A244" s="378"/>
      <c r="B244" s="380"/>
      <c r="C244" s="455"/>
      <c r="D244" s="380"/>
      <c r="E244" s="380"/>
      <c r="F244" s="380"/>
      <c r="G244" s="380"/>
      <c r="H244" s="380"/>
      <c r="I244" s="380"/>
      <c r="J244" s="380"/>
      <c r="K244" s="380"/>
      <c r="L244" s="380"/>
      <c r="M244" s="380"/>
      <c r="N244" s="380"/>
      <c r="O244" s="380"/>
      <c r="P244" s="380"/>
      <c r="Q244" s="380"/>
      <c r="R244" s="380"/>
      <c r="S244" s="380"/>
      <c r="T244" s="380"/>
      <c r="U244" s="380"/>
      <c r="V244" s="380"/>
      <c r="W244" s="380"/>
      <c r="X244" s="380"/>
      <c r="Y244" s="380"/>
    </row>
    <row r="245" spans="1:25" ht="13.8" x14ac:dyDescent="0.25">
      <c r="A245" s="385" t="str">
        <f>"Industry 10 : "&amp; name!B13</f>
        <v>Industry 10 : Transport and storage</v>
      </c>
      <c r="B245" s="514">
        <f>$B$5</f>
        <v>2007</v>
      </c>
      <c r="C245" s="514"/>
      <c r="D245" s="514"/>
      <c r="E245" s="514"/>
      <c r="F245" s="461"/>
      <c r="G245" s="514">
        <f>$G$5</f>
        <v>2012</v>
      </c>
      <c r="H245" s="514"/>
      <c r="I245" s="514"/>
      <c r="J245" s="514"/>
      <c r="K245" s="461"/>
      <c r="L245" s="514">
        <f>$L$5</f>
        <v>2017</v>
      </c>
      <c r="M245" s="514"/>
      <c r="N245" s="514"/>
      <c r="O245" s="514"/>
      <c r="P245" s="459"/>
      <c r="Q245" s="514">
        <f>$Q$5</f>
        <v>2022</v>
      </c>
      <c r="R245" s="514"/>
      <c r="S245" s="514"/>
      <c r="T245" s="514"/>
      <c r="U245" s="461"/>
      <c r="V245" s="514">
        <f>$V$5</f>
        <v>2027</v>
      </c>
      <c r="W245" s="514"/>
      <c r="X245" s="514"/>
      <c r="Y245" s="514"/>
    </row>
    <row r="246" spans="1:25" x14ac:dyDescent="0.25">
      <c r="A246" s="381"/>
      <c r="B246" s="388" t="str">
        <f>$B$6</f>
        <v>FT</v>
      </c>
      <c r="C246" s="388" t="str">
        <f>$C$6</f>
        <v>PT</v>
      </c>
      <c r="D246" s="388" t="str">
        <f>$D$6</f>
        <v>SE</v>
      </c>
      <c r="E246" s="388" t="str">
        <f>$E$6</f>
        <v>Total</v>
      </c>
      <c r="F246" s="388"/>
      <c r="G246" s="388" t="str">
        <f>$B$6</f>
        <v>FT</v>
      </c>
      <c r="H246" s="388" t="str">
        <f>$C$6</f>
        <v>PT</v>
      </c>
      <c r="I246" s="388" t="str">
        <f>$D$6</f>
        <v>SE</v>
      </c>
      <c r="J246" s="388" t="str">
        <f>$E$6</f>
        <v>Total</v>
      </c>
      <c r="K246" s="388"/>
      <c r="L246" s="388" t="str">
        <f>$L$6</f>
        <v>FT</v>
      </c>
      <c r="M246" s="388" t="str">
        <f>$M$6</f>
        <v>PT</v>
      </c>
      <c r="N246" s="388" t="str">
        <f>$N$6</f>
        <v>SE</v>
      </c>
      <c r="O246" s="388" t="str">
        <f>$O$6</f>
        <v>Total</v>
      </c>
      <c r="P246" s="388"/>
      <c r="Q246" s="388" t="str">
        <f>$L$6</f>
        <v>FT</v>
      </c>
      <c r="R246" s="388" t="str">
        <f>$M$6</f>
        <v>PT</v>
      </c>
      <c r="S246" s="388" t="str">
        <f>$N$6</f>
        <v>SE</v>
      </c>
      <c r="T246" s="388" t="str">
        <f>$O$6</f>
        <v>Total</v>
      </c>
      <c r="U246" s="388"/>
      <c r="V246" s="388" t="str">
        <f>$V$6</f>
        <v>FT</v>
      </c>
      <c r="W246" s="388" t="str">
        <f>$W$6</f>
        <v>PT</v>
      </c>
      <c r="X246" s="388" t="str">
        <f>$X$6</f>
        <v>SE</v>
      </c>
      <c r="Y246" s="388" t="str">
        <f>$Y$6</f>
        <v>Total</v>
      </c>
    </row>
    <row r="247" spans="1:25" x14ac:dyDescent="0.25">
      <c r="B247" s="380"/>
      <c r="C247" s="460"/>
      <c r="D247" s="460"/>
      <c r="E247" s="460"/>
      <c r="F247" s="460"/>
      <c r="G247" s="460"/>
      <c r="H247" s="460"/>
      <c r="I247" s="460"/>
      <c r="J247" s="460"/>
      <c r="K247" s="460"/>
      <c r="L247" s="460"/>
      <c r="M247" s="460"/>
      <c r="N247" s="460"/>
      <c r="O247" s="460"/>
      <c r="P247" s="460"/>
      <c r="Q247" s="460"/>
      <c r="R247" s="460"/>
      <c r="S247" s="460"/>
      <c r="T247" s="460"/>
      <c r="U247" s="460"/>
      <c r="V247" s="460"/>
      <c r="W247" s="460"/>
      <c r="X247" s="460"/>
      <c r="Y247" s="460"/>
    </row>
    <row r="248" spans="1:25" x14ac:dyDescent="0.25">
      <c r="A248" s="378" t="str">
        <f>name!A37</f>
        <v>Land transport, etc</v>
      </c>
      <c r="C248" s="380"/>
      <c r="D248" s="380"/>
      <c r="E248" s="380"/>
      <c r="F248" s="380"/>
      <c r="G248" s="380"/>
      <c r="H248" s="380"/>
      <c r="I248" s="380"/>
      <c r="J248" s="380"/>
      <c r="K248" s="380"/>
      <c r="L248" s="380"/>
      <c r="M248" s="380"/>
      <c r="N248" s="380"/>
      <c r="O248" s="380"/>
      <c r="P248" s="380"/>
      <c r="Q248" s="380"/>
      <c r="R248" s="380"/>
      <c r="S248" s="380"/>
      <c r="T248" s="380"/>
      <c r="U248" s="380"/>
      <c r="V248" s="380"/>
      <c r="W248" s="380"/>
      <c r="X248" s="380"/>
      <c r="Y248" s="380"/>
    </row>
    <row r="249" spans="1:25" x14ac:dyDescent="0.25">
      <c r="A249" s="382" t="s">
        <v>391</v>
      </c>
      <c r="B249" s="437">
        <v>58.043999999433076</v>
      </c>
      <c r="C249" s="437">
        <v>41.029999999978159</v>
      </c>
      <c r="D249" s="437">
        <v>10.954000000035252</v>
      </c>
      <c r="E249" s="437">
        <f>SUM(B249:D249)</f>
        <v>110.02799999944648</v>
      </c>
      <c r="F249" s="437"/>
      <c r="G249" s="437">
        <v>46.506999999554139</v>
      </c>
      <c r="H249" s="437">
        <v>35.385999999918077</v>
      </c>
      <c r="I249" s="437">
        <v>14.014000000073544</v>
      </c>
      <c r="J249" s="437">
        <f>SUM(G249:I249)</f>
        <v>95.906999999545747</v>
      </c>
      <c r="K249" s="437"/>
      <c r="L249" s="437">
        <v>69.956999999561333</v>
      </c>
      <c r="M249" s="437">
        <v>39.97400000044658</v>
      </c>
      <c r="N249" s="437">
        <v>12.909000000237308</v>
      </c>
      <c r="O249" s="437">
        <f>SUM(L249:N249)</f>
        <v>122.84000000024523</v>
      </c>
      <c r="P249" s="437"/>
      <c r="Q249" s="437">
        <v>92.565999998704598</v>
      </c>
      <c r="R249" s="437">
        <v>49.194999999339259</v>
      </c>
      <c r="S249" s="437">
        <v>11.81599999997608</v>
      </c>
      <c r="T249" s="437">
        <f>SUM(Q249:S249)</f>
        <v>153.57699999801994</v>
      </c>
      <c r="U249" s="437"/>
      <c r="V249" s="437">
        <v>115.63599999895361</v>
      </c>
      <c r="W249" s="437">
        <v>59.016000000070328</v>
      </c>
      <c r="X249" s="437">
        <v>11.284000000101996</v>
      </c>
      <c r="Y249" s="437">
        <f>SUM(V249:X249)</f>
        <v>185.93599999912593</v>
      </c>
    </row>
    <row r="250" spans="1:25" x14ac:dyDescent="0.25">
      <c r="A250" s="382" t="s">
        <v>390</v>
      </c>
      <c r="B250" s="438">
        <v>420.32399999748407</v>
      </c>
      <c r="C250" s="438">
        <v>45.034999999674859</v>
      </c>
      <c r="D250" s="438">
        <v>154.34400000087732</v>
      </c>
      <c r="E250" s="438">
        <f t="shared" ref="E250:E251" si="641">SUM(B250:D250)</f>
        <v>619.70299999803626</v>
      </c>
      <c r="F250" s="438"/>
      <c r="G250" s="438">
        <v>374.42399999542221</v>
      </c>
      <c r="H250" s="438">
        <v>36.040999999610655</v>
      </c>
      <c r="I250" s="438">
        <v>197.21900001179625</v>
      </c>
      <c r="J250" s="438">
        <f t="shared" ref="J250:J251" si="642">SUM(G250:I250)</f>
        <v>607.68400000682914</v>
      </c>
      <c r="K250" s="438"/>
      <c r="L250" s="438">
        <v>466.70699999861114</v>
      </c>
      <c r="M250" s="438">
        <v>46.971000000176474</v>
      </c>
      <c r="N250" s="438">
        <v>207.55800001812975</v>
      </c>
      <c r="O250" s="438">
        <f t="shared" ref="O250:O251" si="643">SUM(L250:N250)</f>
        <v>721.23600001691739</v>
      </c>
      <c r="P250" s="438"/>
      <c r="Q250" s="438">
        <v>388.99299999695546</v>
      </c>
      <c r="R250" s="438">
        <v>61.473999999455771</v>
      </c>
      <c r="S250" s="438">
        <v>198.84900000233625</v>
      </c>
      <c r="T250" s="438">
        <f t="shared" ref="T250:T251" si="644">SUM(Q250:S250)</f>
        <v>649.31599999874743</v>
      </c>
      <c r="U250" s="438"/>
      <c r="V250" s="438">
        <v>335.03099999842362</v>
      </c>
      <c r="W250" s="438">
        <v>76.34999999977947</v>
      </c>
      <c r="X250" s="438">
        <v>198.36299999939342</v>
      </c>
      <c r="Y250" s="438">
        <f t="shared" ref="Y250:Y251" si="645">SUM(V250:X250)</f>
        <v>609.74399999759657</v>
      </c>
    </row>
    <row r="251" spans="1:25" x14ac:dyDescent="0.25">
      <c r="A251" s="382" t="s">
        <v>389</v>
      </c>
      <c r="B251" s="438">
        <f>SUM(B249:B250)</f>
        <v>478.36799999691715</v>
      </c>
      <c r="C251" s="438">
        <f t="shared" ref="C251" si="646">SUM(C249:C250)</f>
        <v>86.064999999653025</v>
      </c>
      <c r="D251" s="438">
        <f t="shared" ref="D251" si="647">SUM(D249:D250)</f>
        <v>165.29800000091257</v>
      </c>
      <c r="E251" s="438">
        <f t="shared" si="641"/>
        <v>729.73099999748274</v>
      </c>
      <c r="F251" s="438"/>
      <c r="G251" s="438">
        <f>SUM(G249:G250)</f>
        <v>420.93099999497633</v>
      </c>
      <c r="H251" s="438">
        <f t="shared" ref="H251" si="648">SUM(H249:H250)</f>
        <v>71.426999999528732</v>
      </c>
      <c r="I251" s="438">
        <f t="shared" ref="I251" si="649">SUM(I249:I250)</f>
        <v>211.23300001186979</v>
      </c>
      <c r="J251" s="438">
        <f t="shared" si="642"/>
        <v>703.59100000637488</v>
      </c>
      <c r="K251" s="438"/>
      <c r="L251" s="438">
        <f>SUM(L249:L250)</f>
        <v>536.66399999817247</v>
      </c>
      <c r="M251" s="438">
        <f t="shared" ref="M251" si="650">SUM(M249:M250)</f>
        <v>86.945000000623054</v>
      </c>
      <c r="N251" s="438">
        <f t="shared" ref="N251" si="651">SUM(N249:N250)</f>
        <v>220.46700001836706</v>
      </c>
      <c r="O251" s="438">
        <f t="shared" si="643"/>
        <v>844.07600001716264</v>
      </c>
      <c r="P251" s="438"/>
      <c r="Q251" s="438">
        <f>SUM(Q249:Q250)</f>
        <v>481.55899999566009</v>
      </c>
      <c r="R251" s="438">
        <f t="shared" ref="R251" si="652">SUM(R249:R250)</f>
        <v>110.66899999879503</v>
      </c>
      <c r="S251" s="438">
        <f t="shared" ref="S251" si="653">SUM(S249:S250)</f>
        <v>210.66500000231233</v>
      </c>
      <c r="T251" s="438">
        <f t="shared" si="644"/>
        <v>802.89299999676746</v>
      </c>
      <c r="U251" s="438"/>
      <c r="V251" s="438">
        <f>SUM(V249:V250)</f>
        <v>450.66699999737722</v>
      </c>
      <c r="W251" s="438">
        <f t="shared" ref="W251" si="654">SUM(W249:W250)</f>
        <v>135.36599999984981</v>
      </c>
      <c r="X251" s="438">
        <f t="shared" ref="X251" si="655">SUM(X249:X250)</f>
        <v>209.64699999949542</v>
      </c>
      <c r="Y251" s="438">
        <f t="shared" si="645"/>
        <v>795.67999999672247</v>
      </c>
    </row>
    <row r="252" spans="1:25" x14ac:dyDescent="0.25">
      <c r="B252" s="380"/>
      <c r="C252" s="460"/>
      <c r="D252" s="460"/>
      <c r="E252" s="460"/>
      <c r="F252" s="460"/>
      <c r="G252" s="460"/>
      <c r="H252" s="460"/>
      <c r="I252" s="460"/>
      <c r="J252" s="460"/>
      <c r="K252" s="460"/>
      <c r="L252" s="460"/>
      <c r="M252" s="460"/>
      <c r="N252" s="460"/>
      <c r="O252" s="460"/>
      <c r="P252" s="460"/>
      <c r="Q252" s="460"/>
      <c r="R252" s="460"/>
      <c r="S252" s="460"/>
      <c r="T252" s="460"/>
      <c r="U252" s="460"/>
      <c r="V252" s="460"/>
      <c r="W252" s="460"/>
      <c r="X252" s="460"/>
      <c r="Y252" s="460"/>
    </row>
    <row r="253" spans="1:25" x14ac:dyDescent="0.25">
      <c r="A253" s="378" t="str">
        <f>name!A38</f>
        <v>Water transport</v>
      </c>
      <c r="C253" s="380"/>
      <c r="D253" s="380"/>
      <c r="E253" s="380"/>
      <c r="F253" s="380"/>
      <c r="G253" s="380"/>
      <c r="H253" s="380"/>
      <c r="I253" s="380"/>
      <c r="J253" s="380"/>
      <c r="K253" s="380"/>
      <c r="L253" s="380"/>
      <c r="M253" s="380"/>
      <c r="N253" s="380"/>
      <c r="O253" s="380"/>
      <c r="P253" s="380"/>
      <c r="Q253" s="380"/>
      <c r="R253" s="380"/>
      <c r="S253" s="380"/>
      <c r="T253" s="380"/>
      <c r="U253" s="380"/>
      <c r="V253" s="380"/>
      <c r="W253" s="380"/>
      <c r="X253" s="380"/>
      <c r="Y253" s="380"/>
    </row>
    <row r="254" spans="1:25" x14ac:dyDescent="0.25">
      <c r="A254" s="382" t="s">
        <v>391</v>
      </c>
      <c r="B254" s="437">
        <v>5.2989999999526045</v>
      </c>
      <c r="C254" s="437">
        <v>1.0610000000008954</v>
      </c>
      <c r="D254" s="437">
        <v>0.22500000000112355</v>
      </c>
      <c r="E254" s="437">
        <f>SUM(B254:D254)</f>
        <v>6.5849999999546229</v>
      </c>
      <c r="F254" s="437"/>
      <c r="G254" s="437">
        <v>3.3369999999752329</v>
      </c>
      <c r="H254" s="437">
        <v>1.6660000000143713</v>
      </c>
      <c r="I254" s="437">
        <v>0.99500000001057043</v>
      </c>
      <c r="J254" s="437">
        <f>SUM(G254:I254)</f>
        <v>5.9980000000001743</v>
      </c>
      <c r="K254" s="437"/>
      <c r="L254" s="437">
        <v>4.329999999973702</v>
      </c>
      <c r="M254" s="437">
        <v>1.082000000009824</v>
      </c>
      <c r="N254" s="437">
        <v>0.36400000000353971</v>
      </c>
      <c r="O254" s="437">
        <f>SUM(L254:N254)</f>
        <v>5.7759999999870661</v>
      </c>
      <c r="P254" s="437"/>
      <c r="Q254" s="437">
        <v>3.616999999956092</v>
      </c>
      <c r="R254" s="437">
        <v>1.0259999999886646</v>
      </c>
      <c r="S254" s="437">
        <v>0.27899999999928782</v>
      </c>
      <c r="T254" s="437">
        <f>SUM(Q254:S254)</f>
        <v>4.9219999999440445</v>
      </c>
      <c r="U254" s="437"/>
      <c r="V254" s="437">
        <v>3.3649999999726474</v>
      </c>
      <c r="W254" s="437">
        <v>1.0490000000022113</v>
      </c>
      <c r="X254" s="437">
        <v>0.24000000000116997</v>
      </c>
      <c r="Y254" s="437">
        <f>SUM(V254:X254)</f>
        <v>4.6539999999760289</v>
      </c>
    </row>
    <row r="255" spans="1:25" x14ac:dyDescent="0.25">
      <c r="A255" s="382" t="s">
        <v>390</v>
      </c>
      <c r="B255" s="438">
        <v>10.596999999978287</v>
      </c>
      <c r="C255" s="438">
        <v>1.0599999999947631</v>
      </c>
      <c r="D255" s="438">
        <v>0.22500000000029383</v>
      </c>
      <c r="E255" s="438">
        <f t="shared" ref="E255:E256" si="656">SUM(B255:D255)</f>
        <v>11.881999999973345</v>
      </c>
      <c r="F255" s="438"/>
      <c r="G255" s="438">
        <v>8.8959999999632196</v>
      </c>
      <c r="H255" s="438">
        <v>1.1129999999993865</v>
      </c>
      <c r="I255" s="438">
        <v>2.9879999999961102</v>
      </c>
      <c r="J255" s="438">
        <f t="shared" ref="J255:J256" si="657">SUM(G255:I255)</f>
        <v>12.996999999958717</v>
      </c>
      <c r="K255" s="438"/>
      <c r="L255" s="438">
        <v>6.6310000000029587</v>
      </c>
      <c r="M255" s="438">
        <v>0.945999999999796</v>
      </c>
      <c r="N255" s="438">
        <v>1.6229999999982549</v>
      </c>
      <c r="O255" s="438">
        <f t="shared" ref="O255:O256" si="658">SUM(L255:N255)</f>
        <v>9.20000000000101</v>
      </c>
      <c r="P255" s="438"/>
      <c r="Q255" s="438">
        <v>4.9029999999923088</v>
      </c>
      <c r="R255" s="438">
        <v>0.87699999999952216</v>
      </c>
      <c r="S255" s="438">
        <v>1.2449999999800891</v>
      </c>
      <c r="T255" s="438">
        <f t="shared" ref="T255:T256" si="659">SUM(Q255:S255)</f>
        <v>7.0249999999719197</v>
      </c>
      <c r="U255" s="438"/>
      <c r="V255" s="438">
        <v>4.0670000000021309</v>
      </c>
      <c r="W255" s="438">
        <v>0.88199999999853118</v>
      </c>
      <c r="X255" s="438">
        <v>1.0749999999861746</v>
      </c>
      <c r="Y255" s="438">
        <f t="shared" ref="Y255:Y256" si="660">SUM(V255:X255)</f>
        <v>6.0239999999868372</v>
      </c>
    </row>
    <row r="256" spans="1:25" x14ac:dyDescent="0.25">
      <c r="A256" s="382" t="s">
        <v>389</v>
      </c>
      <c r="B256" s="438">
        <f>SUM(B254:B255)</f>
        <v>15.895999999930892</v>
      </c>
      <c r="C256" s="438">
        <f t="shared" ref="C256" si="661">SUM(C254:C255)</f>
        <v>2.1209999999956586</v>
      </c>
      <c r="D256" s="438">
        <f t="shared" ref="D256" si="662">SUM(D254:D255)</f>
        <v>0.45000000000141738</v>
      </c>
      <c r="E256" s="438">
        <f t="shared" si="656"/>
        <v>18.466999999927967</v>
      </c>
      <c r="F256" s="438"/>
      <c r="G256" s="438">
        <f>SUM(G254:G255)</f>
        <v>12.232999999938453</v>
      </c>
      <c r="H256" s="438">
        <f t="shared" ref="H256" si="663">SUM(H254:H255)</f>
        <v>2.7790000000137578</v>
      </c>
      <c r="I256" s="438">
        <f t="shared" ref="I256" si="664">SUM(I254:I255)</f>
        <v>3.9830000000066805</v>
      </c>
      <c r="J256" s="438">
        <f t="shared" si="657"/>
        <v>18.994999999958893</v>
      </c>
      <c r="K256" s="438"/>
      <c r="L256" s="438">
        <f>SUM(L254:L255)</f>
        <v>10.960999999976661</v>
      </c>
      <c r="M256" s="438">
        <f t="shared" ref="M256" si="665">SUM(M254:M255)</f>
        <v>2.0280000000096199</v>
      </c>
      <c r="N256" s="438">
        <f t="shared" ref="N256" si="666">SUM(N254:N255)</f>
        <v>1.9870000000017947</v>
      </c>
      <c r="O256" s="438">
        <f t="shared" si="658"/>
        <v>14.975999999988074</v>
      </c>
      <c r="P256" s="438"/>
      <c r="Q256" s="438">
        <f>SUM(Q254:Q255)</f>
        <v>8.5199999999484</v>
      </c>
      <c r="R256" s="438">
        <f t="shared" ref="R256" si="667">SUM(R254:R255)</f>
        <v>1.9029999999881868</v>
      </c>
      <c r="S256" s="438">
        <f t="shared" ref="S256" si="668">SUM(S254:S255)</f>
        <v>1.523999999979377</v>
      </c>
      <c r="T256" s="438">
        <f t="shared" si="659"/>
        <v>11.946999999915963</v>
      </c>
      <c r="U256" s="438"/>
      <c r="V256" s="438">
        <f>SUM(V254:V255)</f>
        <v>7.4319999999747779</v>
      </c>
      <c r="W256" s="438">
        <f t="shared" ref="W256" si="669">SUM(W254:W255)</f>
        <v>1.9310000000007426</v>
      </c>
      <c r="X256" s="438">
        <f t="shared" ref="X256" si="670">SUM(X254:X255)</f>
        <v>1.3149999999873445</v>
      </c>
      <c r="Y256" s="438">
        <f t="shared" si="660"/>
        <v>10.677999999962866</v>
      </c>
    </row>
    <row r="257" spans="1:25" x14ac:dyDescent="0.25">
      <c r="B257" s="380"/>
      <c r="C257" s="460"/>
      <c r="D257" s="460"/>
      <c r="E257" s="460"/>
      <c r="F257" s="460"/>
      <c r="G257" s="460"/>
      <c r="H257" s="460"/>
      <c r="I257" s="460"/>
      <c r="J257" s="460"/>
      <c r="K257" s="460"/>
      <c r="L257" s="460"/>
      <c r="M257" s="460"/>
      <c r="N257" s="460"/>
      <c r="O257" s="460"/>
      <c r="P257" s="460"/>
      <c r="Q257" s="460"/>
      <c r="R257" s="460"/>
      <c r="S257" s="460"/>
      <c r="T257" s="460"/>
      <c r="U257" s="460"/>
      <c r="V257" s="460"/>
      <c r="W257" s="460"/>
      <c r="X257" s="460"/>
      <c r="Y257" s="460"/>
    </row>
    <row r="258" spans="1:25" x14ac:dyDescent="0.25">
      <c r="A258" s="378" t="str">
        <f>name!A39</f>
        <v>Air transport</v>
      </c>
      <c r="C258" s="380"/>
      <c r="D258" s="380"/>
      <c r="E258" s="380"/>
      <c r="F258" s="380"/>
      <c r="G258" s="380"/>
      <c r="H258" s="380"/>
      <c r="I258" s="380"/>
      <c r="J258" s="380"/>
      <c r="K258" s="380"/>
      <c r="L258" s="380"/>
      <c r="M258" s="380"/>
      <c r="N258" s="380"/>
      <c r="O258" s="380"/>
      <c r="P258" s="380"/>
      <c r="Q258" s="380"/>
      <c r="R258" s="380"/>
      <c r="S258" s="380"/>
      <c r="T258" s="380"/>
      <c r="U258" s="380"/>
      <c r="V258" s="380"/>
      <c r="W258" s="380"/>
      <c r="X258" s="380"/>
      <c r="Y258" s="380"/>
    </row>
    <row r="259" spans="1:25" x14ac:dyDescent="0.25">
      <c r="A259" s="382" t="s">
        <v>391</v>
      </c>
      <c r="B259" s="437">
        <v>29.022999999767386</v>
      </c>
      <c r="C259" s="437">
        <v>14.012000000118427</v>
      </c>
      <c r="D259" s="437">
        <v>0.22500000000086925</v>
      </c>
      <c r="E259" s="437">
        <f>SUM(B259:D259)</f>
        <v>43.259999999886681</v>
      </c>
      <c r="F259" s="437"/>
      <c r="G259" s="437">
        <v>22.015999999772156</v>
      </c>
      <c r="H259" s="437">
        <v>14.010999999943289</v>
      </c>
      <c r="I259" s="437">
        <v>0.30900000000104888</v>
      </c>
      <c r="J259" s="437">
        <f>SUM(G259:I259)</f>
        <v>36.335999999716492</v>
      </c>
      <c r="K259" s="437"/>
      <c r="L259" s="437">
        <v>21.984999999890142</v>
      </c>
      <c r="M259" s="437">
        <v>14.991000000385098</v>
      </c>
      <c r="N259" s="437">
        <v>0.36600000000332589</v>
      </c>
      <c r="O259" s="437">
        <f>SUM(L259:N259)</f>
        <v>37.342000000278567</v>
      </c>
      <c r="P259" s="437"/>
      <c r="Q259" s="437">
        <v>22.322999999656819</v>
      </c>
      <c r="R259" s="437">
        <v>14.417999999787652</v>
      </c>
      <c r="S259" s="437">
        <v>0.36000000000065757</v>
      </c>
      <c r="T259" s="437">
        <f>SUM(Q259:S259)</f>
        <v>37.100999999445129</v>
      </c>
      <c r="U259" s="437"/>
      <c r="V259" s="437">
        <v>23.147999999803709</v>
      </c>
      <c r="W259" s="437">
        <v>14.202000000201448</v>
      </c>
      <c r="X259" s="437">
        <v>0.36800000000288446</v>
      </c>
      <c r="Y259" s="437">
        <f>SUM(V259:X259)</f>
        <v>37.71800000000804</v>
      </c>
    </row>
    <row r="260" spans="1:25" x14ac:dyDescent="0.25">
      <c r="A260" s="382" t="s">
        <v>390</v>
      </c>
      <c r="B260" s="438">
        <v>40.031999999878181</v>
      </c>
      <c r="C260" s="438">
        <v>6.0029999999675745</v>
      </c>
      <c r="D260" s="438">
        <v>0.2250000000001838</v>
      </c>
      <c r="E260" s="438">
        <f t="shared" ref="E260:E261" si="671">SUM(B260:D260)</f>
        <v>46.259999999845938</v>
      </c>
      <c r="F260" s="438"/>
      <c r="G260" s="438">
        <v>32.198999999777932</v>
      </c>
      <c r="H260" s="438">
        <v>6.8309999999432218</v>
      </c>
      <c r="I260" s="438">
        <v>0.68499999999775918</v>
      </c>
      <c r="J260" s="438">
        <f t="shared" ref="J260:J261" si="672">SUM(G260:I260)</f>
        <v>39.714999999718913</v>
      </c>
      <c r="K260" s="438"/>
      <c r="L260" s="438">
        <v>33.978000000088322</v>
      </c>
      <c r="M260" s="438">
        <v>4.9960000000264619</v>
      </c>
      <c r="N260" s="438">
        <v>1.6220000000095747</v>
      </c>
      <c r="O260" s="438">
        <f t="shared" ref="O260:O261" si="673">SUM(L260:N260)</f>
        <v>40.596000000124363</v>
      </c>
      <c r="P260" s="438"/>
      <c r="Q260" s="438">
        <v>33.033999999990549</v>
      </c>
      <c r="R260" s="438">
        <v>5.5050000000142898</v>
      </c>
      <c r="S260" s="438">
        <v>1.5330000000073389</v>
      </c>
      <c r="T260" s="438">
        <f t="shared" ref="T260:T261" si="674">SUM(Q260:S260)</f>
        <v>40.072000000012181</v>
      </c>
      <c r="U260" s="438"/>
      <c r="V260" s="438">
        <v>32.884000000032927</v>
      </c>
      <c r="W260" s="438">
        <v>6.1080000000198025</v>
      </c>
      <c r="X260" s="438">
        <v>1.4820000000154865</v>
      </c>
      <c r="Y260" s="438">
        <f t="shared" ref="Y260:Y261" si="675">SUM(V260:X260)</f>
        <v>40.474000000068216</v>
      </c>
    </row>
    <row r="261" spans="1:25" x14ac:dyDescent="0.25">
      <c r="A261" s="382" t="s">
        <v>389</v>
      </c>
      <c r="B261" s="438">
        <f>SUM(B259:B260)</f>
        <v>69.05499999964556</v>
      </c>
      <c r="C261" s="438">
        <f t="shared" ref="C261" si="676">SUM(C259:C260)</f>
        <v>20.015000000086001</v>
      </c>
      <c r="D261" s="438">
        <f t="shared" ref="D261" si="677">SUM(D259:D260)</f>
        <v>0.45000000000105306</v>
      </c>
      <c r="E261" s="438">
        <f t="shared" si="671"/>
        <v>89.519999999732619</v>
      </c>
      <c r="F261" s="438"/>
      <c r="G261" s="438">
        <f>SUM(G259:G260)</f>
        <v>54.214999999550088</v>
      </c>
      <c r="H261" s="438">
        <f t="shared" ref="H261" si="678">SUM(H259:H260)</f>
        <v>20.841999999886511</v>
      </c>
      <c r="I261" s="438">
        <f t="shared" ref="I261" si="679">SUM(I259:I260)</f>
        <v>0.99399999999880806</v>
      </c>
      <c r="J261" s="438">
        <f t="shared" si="672"/>
        <v>76.050999999435405</v>
      </c>
      <c r="K261" s="438"/>
      <c r="L261" s="438">
        <f>SUM(L259:L260)</f>
        <v>55.962999999978464</v>
      </c>
      <c r="M261" s="438">
        <f t="shared" ref="M261" si="680">SUM(M259:M260)</f>
        <v>19.987000000411559</v>
      </c>
      <c r="N261" s="438">
        <f t="shared" ref="N261" si="681">SUM(N259:N260)</f>
        <v>1.9880000000129006</v>
      </c>
      <c r="O261" s="438">
        <f t="shared" si="673"/>
        <v>77.938000000402923</v>
      </c>
      <c r="P261" s="438"/>
      <c r="Q261" s="438">
        <f>SUM(Q259:Q260)</f>
        <v>55.356999999647371</v>
      </c>
      <c r="R261" s="438">
        <f t="shared" ref="R261" si="682">SUM(R259:R260)</f>
        <v>19.922999999801942</v>
      </c>
      <c r="S261" s="438">
        <f t="shared" ref="S261" si="683">SUM(S259:S260)</f>
        <v>1.8930000000079965</v>
      </c>
      <c r="T261" s="438">
        <f t="shared" si="674"/>
        <v>77.172999999457318</v>
      </c>
      <c r="U261" s="438"/>
      <c r="V261" s="438">
        <f>SUM(V259:V260)</f>
        <v>56.031999999836636</v>
      </c>
      <c r="W261" s="438">
        <f t="shared" ref="W261" si="684">SUM(W259:W260)</f>
        <v>20.310000000221251</v>
      </c>
      <c r="X261" s="438">
        <f t="shared" ref="X261" si="685">SUM(X259:X260)</f>
        <v>1.8500000000183709</v>
      </c>
      <c r="Y261" s="438">
        <f t="shared" si="675"/>
        <v>78.192000000076249</v>
      </c>
    </row>
    <row r="262" spans="1:25" x14ac:dyDescent="0.25">
      <c r="B262" s="380"/>
      <c r="C262" s="460"/>
      <c r="D262" s="460"/>
      <c r="E262" s="460"/>
      <c r="F262" s="460"/>
      <c r="G262" s="460"/>
      <c r="H262" s="460"/>
      <c r="I262" s="460"/>
      <c r="J262" s="460"/>
      <c r="K262" s="460"/>
      <c r="L262" s="460"/>
      <c r="M262" s="460"/>
      <c r="N262" s="460"/>
      <c r="O262" s="460"/>
      <c r="P262" s="460"/>
      <c r="Q262" s="460"/>
      <c r="R262" s="460"/>
      <c r="S262" s="460"/>
      <c r="T262" s="460"/>
      <c r="U262" s="460"/>
      <c r="V262" s="460"/>
      <c r="W262" s="460"/>
      <c r="X262" s="460"/>
      <c r="Y262" s="460"/>
    </row>
    <row r="263" spans="1:25" x14ac:dyDescent="0.25">
      <c r="A263" s="378" t="str">
        <f>name!A40</f>
        <v>Warehousing, etc</v>
      </c>
      <c r="C263" s="380"/>
      <c r="D263" s="380"/>
      <c r="E263" s="380"/>
      <c r="F263" s="380"/>
      <c r="G263" s="380"/>
      <c r="H263" s="380"/>
      <c r="I263" s="380"/>
      <c r="J263" s="380"/>
      <c r="K263" s="380"/>
      <c r="L263" s="380"/>
      <c r="M263" s="380"/>
      <c r="N263" s="380"/>
      <c r="O263" s="380"/>
      <c r="P263" s="380"/>
      <c r="Q263" s="380"/>
      <c r="R263" s="380"/>
      <c r="S263" s="380"/>
      <c r="T263" s="380"/>
      <c r="U263" s="380"/>
      <c r="V263" s="380"/>
      <c r="W263" s="380"/>
      <c r="X263" s="380"/>
      <c r="Y263" s="380"/>
    </row>
    <row r="264" spans="1:25" x14ac:dyDescent="0.25">
      <c r="A264" s="382" t="s">
        <v>391</v>
      </c>
      <c r="B264" s="437">
        <v>33.432999999609478</v>
      </c>
      <c r="C264" s="437">
        <v>12.264000000015942</v>
      </c>
      <c r="D264" s="437">
        <v>7.2700000001171565</v>
      </c>
      <c r="E264" s="437">
        <f>SUM(B264:D264)</f>
        <v>52.966999999742576</v>
      </c>
      <c r="F264" s="437"/>
      <c r="G264" s="437">
        <v>40.75299999946575</v>
      </c>
      <c r="H264" s="437">
        <v>24.878000000025963</v>
      </c>
      <c r="I264" s="437">
        <v>6.5430000001185391</v>
      </c>
      <c r="J264" s="437">
        <f>SUM(G264:I264)</f>
        <v>72.173999999610245</v>
      </c>
      <c r="K264" s="437"/>
      <c r="L264" s="437">
        <v>64.24099999938862</v>
      </c>
      <c r="M264" s="437">
        <v>35.781000000280812</v>
      </c>
      <c r="N264" s="437">
        <v>6.4560000001458784</v>
      </c>
      <c r="O264" s="437">
        <f>SUM(L264:N264)</f>
        <v>106.47799999981531</v>
      </c>
      <c r="P264" s="437"/>
      <c r="Q264" s="437">
        <v>67.311999998605984</v>
      </c>
      <c r="R264" s="437">
        <v>41.190999999625284</v>
      </c>
      <c r="S264" s="437">
        <v>6.6780000001094768</v>
      </c>
      <c r="T264" s="437">
        <f>SUM(Q264:S264)</f>
        <v>115.18099999834075</v>
      </c>
      <c r="U264" s="437"/>
      <c r="V264" s="437">
        <v>69.403999999140865</v>
      </c>
      <c r="W264" s="437">
        <v>45.571000000150157</v>
      </c>
      <c r="X264" s="437">
        <v>6.9680000001114522</v>
      </c>
      <c r="Y264" s="437">
        <f>SUM(V264:X264)</f>
        <v>121.94299999940247</v>
      </c>
    </row>
    <row r="265" spans="1:25" x14ac:dyDescent="0.25">
      <c r="A265" s="382" t="s">
        <v>390</v>
      </c>
      <c r="B265" s="438">
        <v>286.26599999853613</v>
      </c>
      <c r="C265" s="438">
        <v>21.337999999861161</v>
      </c>
      <c r="D265" s="438">
        <v>19.787999999898663</v>
      </c>
      <c r="E265" s="438">
        <f t="shared" ref="E265:E266" si="686">SUM(B265:D265)</f>
        <v>327.39199999829594</v>
      </c>
      <c r="F265" s="438"/>
      <c r="G265" s="438">
        <v>299.07599999751193</v>
      </c>
      <c r="H265" s="438">
        <v>37.901999999689991</v>
      </c>
      <c r="I265" s="438">
        <v>20.861000000088197</v>
      </c>
      <c r="J265" s="438">
        <f t="shared" ref="J265:J266" si="687">SUM(G265:I265)</f>
        <v>357.8389999972901</v>
      </c>
      <c r="K265" s="438"/>
      <c r="L265" s="438">
        <v>390.66099999938427</v>
      </c>
      <c r="M265" s="438">
        <v>44.103999999918322</v>
      </c>
      <c r="N265" s="438">
        <v>37.865000000278009</v>
      </c>
      <c r="O265" s="438">
        <f t="shared" ref="O265:O266" si="688">SUM(L265:N265)</f>
        <v>472.6299999995806</v>
      </c>
      <c r="P265" s="438"/>
      <c r="Q265" s="438">
        <v>384.98599999715952</v>
      </c>
      <c r="R265" s="438">
        <v>43.920999999671125</v>
      </c>
      <c r="S265" s="438">
        <v>37.159999999537334</v>
      </c>
      <c r="T265" s="438">
        <f t="shared" ref="T265:T266" si="689">SUM(Q265:S265)</f>
        <v>466.066999996368</v>
      </c>
      <c r="U265" s="438"/>
      <c r="V265" s="438">
        <v>379.3199999986839</v>
      </c>
      <c r="W265" s="438">
        <v>43.876999999669401</v>
      </c>
      <c r="X265" s="438">
        <v>37.487999999579181</v>
      </c>
      <c r="Y265" s="438">
        <f t="shared" ref="Y265:Y266" si="690">SUM(V265:X265)</f>
        <v>460.68499999793249</v>
      </c>
    </row>
    <row r="266" spans="1:25" x14ac:dyDescent="0.25">
      <c r="A266" s="382" t="s">
        <v>389</v>
      </c>
      <c r="B266" s="438">
        <f>SUM(B264:B265)</f>
        <v>319.69899999814561</v>
      </c>
      <c r="C266" s="438">
        <f t="shared" ref="C266" si="691">SUM(C264:C265)</f>
        <v>33.601999999877101</v>
      </c>
      <c r="D266" s="438">
        <f t="shared" ref="D266" si="692">SUM(D264:D265)</f>
        <v>27.05800000001582</v>
      </c>
      <c r="E266" s="438">
        <f t="shared" si="686"/>
        <v>380.35899999803848</v>
      </c>
      <c r="F266" s="438"/>
      <c r="G266" s="438">
        <f>SUM(G264:G265)</f>
        <v>339.8289999969777</v>
      </c>
      <c r="H266" s="438">
        <f t="shared" ref="H266" si="693">SUM(H264:H265)</f>
        <v>62.779999999715955</v>
      </c>
      <c r="I266" s="438">
        <f t="shared" ref="I266" si="694">SUM(I264:I265)</f>
        <v>27.404000000206736</v>
      </c>
      <c r="J266" s="438">
        <f t="shared" si="687"/>
        <v>430.01299999690042</v>
      </c>
      <c r="K266" s="438"/>
      <c r="L266" s="438">
        <f>SUM(L264:L265)</f>
        <v>454.90199999877291</v>
      </c>
      <c r="M266" s="438">
        <f t="shared" ref="M266" si="695">SUM(M264:M265)</f>
        <v>79.885000000199142</v>
      </c>
      <c r="N266" s="438">
        <f t="shared" ref="N266" si="696">SUM(N264:N265)</f>
        <v>44.321000000423886</v>
      </c>
      <c r="O266" s="438">
        <f t="shared" si="688"/>
        <v>579.10799999939593</v>
      </c>
      <c r="P266" s="438"/>
      <c r="Q266" s="438">
        <f>SUM(Q264:Q265)</f>
        <v>452.29799999576551</v>
      </c>
      <c r="R266" s="438">
        <f t="shared" ref="R266" si="697">SUM(R264:R265)</f>
        <v>85.111999999296415</v>
      </c>
      <c r="S266" s="438">
        <f t="shared" ref="S266" si="698">SUM(S264:S265)</f>
        <v>43.837999999646811</v>
      </c>
      <c r="T266" s="438">
        <f t="shared" si="689"/>
        <v>581.24799999470883</v>
      </c>
      <c r="U266" s="438"/>
      <c r="V266" s="438">
        <f>SUM(V264:V265)</f>
        <v>448.72399999782476</v>
      </c>
      <c r="W266" s="438">
        <f t="shared" ref="W266" si="699">SUM(W264:W265)</f>
        <v>89.447999999819558</v>
      </c>
      <c r="X266" s="438">
        <f t="shared" ref="X266" si="700">SUM(X264:X265)</f>
        <v>44.455999999690633</v>
      </c>
      <c r="Y266" s="438">
        <f t="shared" si="690"/>
        <v>582.627999997335</v>
      </c>
    </row>
    <row r="267" spans="1:25" x14ac:dyDescent="0.25">
      <c r="B267" s="380"/>
      <c r="C267" s="460"/>
      <c r="D267" s="460"/>
      <c r="E267" s="460"/>
      <c r="F267" s="460"/>
      <c r="G267" s="460"/>
      <c r="H267" s="460"/>
      <c r="I267" s="460"/>
      <c r="J267" s="460"/>
      <c r="K267" s="460"/>
      <c r="L267" s="460"/>
      <c r="M267" s="460"/>
      <c r="N267" s="460"/>
      <c r="O267" s="460"/>
      <c r="P267" s="460"/>
      <c r="Q267" s="460"/>
      <c r="R267" s="460"/>
      <c r="S267" s="460"/>
      <c r="T267" s="460"/>
      <c r="U267" s="460"/>
      <c r="V267" s="460"/>
      <c r="W267" s="460"/>
      <c r="X267" s="460"/>
      <c r="Y267" s="460"/>
    </row>
    <row r="268" spans="1:25" x14ac:dyDescent="0.25">
      <c r="A268" s="378" t="str">
        <f>name!A41</f>
        <v>Postal and courier</v>
      </c>
      <c r="C268" s="380"/>
      <c r="D268" s="380"/>
      <c r="E268" s="380"/>
      <c r="F268" s="380"/>
      <c r="G268" s="380"/>
      <c r="H268" s="380"/>
      <c r="I268" s="380"/>
      <c r="J268" s="380"/>
      <c r="K268" s="380"/>
      <c r="L268" s="380"/>
      <c r="M268" s="380"/>
      <c r="N268" s="380"/>
      <c r="O268" s="380"/>
      <c r="P268" s="380"/>
      <c r="Q268" s="380"/>
      <c r="R268" s="380"/>
      <c r="S268" s="380"/>
      <c r="T268" s="380"/>
      <c r="U268" s="380"/>
      <c r="V268" s="380"/>
      <c r="W268" s="380"/>
      <c r="X268" s="380"/>
      <c r="Y268" s="380"/>
    </row>
    <row r="269" spans="1:25" x14ac:dyDescent="0.25">
      <c r="A269" s="382" t="s">
        <v>391</v>
      </c>
      <c r="B269" s="437">
        <v>63.873999999245164</v>
      </c>
      <c r="C269" s="437">
        <v>35.292000000164201</v>
      </c>
      <c r="D269" s="437">
        <v>4.3780000000202968</v>
      </c>
      <c r="E269" s="437">
        <f>SUM(B269:D269)</f>
        <v>103.54399999942966</v>
      </c>
      <c r="F269" s="437"/>
      <c r="G269" s="437">
        <v>65.953999999258315</v>
      </c>
      <c r="H269" s="437">
        <v>44.542000000269155</v>
      </c>
      <c r="I269" s="437">
        <v>3.4200000000379815</v>
      </c>
      <c r="J269" s="437">
        <f>SUM(G269:I269)</f>
        <v>113.91599999956546</v>
      </c>
      <c r="K269" s="437"/>
      <c r="L269" s="437">
        <v>74.293999999545292</v>
      </c>
      <c r="M269" s="437">
        <v>49.853000000819748</v>
      </c>
      <c r="N269" s="437">
        <v>2.479000000047503</v>
      </c>
      <c r="O269" s="437">
        <f>SUM(L269:N269)</f>
        <v>126.62600000041255</v>
      </c>
      <c r="P269" s="437"/>
      <c r="Q269" s="437">
        <v>77.840999998287941</v>
      </c>
      <c r="R269" s="437">
        <v>57.203999999666266</v>
      </c>
      <c r="S269" s="437">
        <v>2.5650000000168638</v>
      </c>
      <c r="T269" s="437">
        <f>SUM(Q269:S269)</f>
        <v>137.60999999797107</v>
      </c>
      <c r="U269" s="437"/>
      <c r="V269" s="437">
        <v>80.239999999035007</v>
      </c>
      <c r="W269" s="437">
        <v>63.090000000508013</v>
      </c>
      <c r="X269" s="437">
        <v>2.6760000000355735</v>
      </c>
      <c r="Y269" s="437">
        <f>SUM(V269:X269)</f>
        <v>146.00599999957859</v>
      </c>
    </row>
    <row r="270" spans="1:25" x14ac:dyDescent="0.25">
      <c r="A270" s="382" t="s">
        <v>390</v>
      </c>
      <c r="B270" s="438">
        <v>142.35299999909054</v>
      </c>
      <c r="C270" s="438">
        <v>25.658999999787238</v>
      </c>
      <c r="D270" s="438">
        <v>14.370000000066424</v>
      </c>
      <c r="E270" s="438">
        <f t="shared" ref="E270:E271" si="701">SUM(B270:D270)</f>
        <v>182.3819999989442</v>
      </c>
      <c r="F270" s="438"/>
      <c r="G270" s="438">
        <v>125.23099999848314</v>
      </c>
      <c r="H270" s="438">
        <v>28.147999999642831</v>
      </c>
      <c r="I270" s="438">
        <v>12.022000000267932</v>
      </c>
      <c r="J270" s="438">
        <f t="shared" ref="J270:J271" si="702">SUM(G270:I270)</f>
        <v>165.4009999983939</v>
      </c>
      <c r="K270" s="438"/>
      <c r="L270" s="438">
        <v>117.73899999994772</v>
      </c>
      <c r="M270" s="438">
        <v>25.823999999948651</v>
      </c>
      <c r="N270" s="438">
        <v>16.756000000685869</v>
      </c>
      <c r="O270" s="438">
        <f t="shared" ref="O270:O271" si="703">SUM(L270:N270)</f>
        <v>160.31900000058224</v>
      </c>
      <c r="P270" s="438"/>
      <c r="Q270" s="438">
        <v>115.9379999989622</v>
      </c>
      <c r="R270" s="438">
        <v>25.679999999710319</v>
      </c>
      <c r="S270" s="438">
        <v>16.431000000052229</v>
      </c>
      <c r="T270" s="438">
        <f t="shared" ref="T270:T271" si="704">SUM(Q270:S270)</f>
        <v>158.04899999872475</v>
      </c>
      <c r="U270" s="438"/>
      <c r="V270" s="438">
        <v>114.12799999963615</v>
      </c>
      <c r="W270" s="438">
        <v>25.616999999830256</v>
      </c>
      <c r="X270" s="438">
        <v>16.557999999994717</v>
      </c>
      <c r="Y270" s="438">
        <f t="shared" ref="Y270:Y271" si="705">SUM(V270:X270)</f>
        <v>156.30299999946112</v>
      </c>
    </row>
    <row r="271" spans="1:25" x14ac:dyDescent="0.25">
      <c r="A271" s="382" t="s">
        <v>389</v>
      </c>
      <c r="B271" s="438">
        <f>SUM(B269:B270)</f>
        <v>206.22699999833571</v>
      </c>
      <c r="C271" s="438">
        <f t="shared" ref="C271" si="706">SUM(C269:C270)</f>
        <v>60.950999999951435</v>
      </c>
      <c r="D271" s="438">
        <f t="shared" ref="D271" si="707">SUM(D269:D270)</f>
        <v>18.748000000086719</v>
      </c>
      <c r="E271" s="438">
        <f t="shared" si="701"/>
        <v>285.92599999837387</v>
      </c>
      <c r="F271" s="438"/>
      <c r="G271" s="438">
        <f>SUM(G269:G270)</f>
        <v>191.18499999774144</v>
      </c>
      <c r="H271" s="438">
        <f t="shared" ref="H271" si="708">SUM(H269:H270)</f>
        <v>72.68999999991199</v>
      </c>
      <c r="I271" s="438">
        <f t="shared" ref="I271" si="709">SUM(I269:I270)</f>
        <v>15.442000000305914</v>
      </c>
      <c r="J271" s="438">
        <f t="shared" si="702"/>
        <v>279.31699999795939</v>
      </c>
      <c r="K271" s="438"/>
      <c r="L271" s="438">
        <f>SUM(L269:L270)</f>
        <v>192.03299999949303</v>
      </c>
      <c r="M271" s="438">
        <f t="shared" ref="M271" si="710">SUM(M269:M270)</f>
        <v>75.677000000768402</v>
      </c>
      <c r="N271" s="438">
        <f t="shared" ref="N271" si="711">SUM(N269:N270)</f>
        <v>19.235000000733372</v>
      </c>
      <c r="O271" s="438">
        <f t="shared" si="703"/>
        <v>286.94500000099475</v>
      </c>
      <c r="P271" s="438"/>
      <c r="Q271" s="438">
        <f>SUM(Q269:Q270)</f>
        <v>193.77899999725014</v>
      </c>
      <c r="R271" s="438">
        <f t="shared" ref="R271" si="712">SUM(R269:R270)</f>
        <v>82.883999999376584</v>
      </c>
      <c r="S271" s="438">
        <f t="shared" ref="S271" si="713">SUM(S269:S270)</f>
        <v>18.996000000069092</v>
      </c>
      <c r="T271" s="438">
        <f t="shared" si="704"/>
        <v>295.6589999966958</v>
      </c>
      <c r="U271" s="438"/>
      <c r="V271" s="438">
        <f>SUM(V269:V270)</f>
        <v>194.36799999867117</v>
      </c>
      <c r="W271" s="438">
        <f t="shared" ref="W271" si="714">SUM(W269:W270)</f>
        <v>88.707000000338269</v>
      </c>
      <c r="X271" s="438">
        <f t="shared" ref="X271" si="715">SUM(X269:X270)</f>
        <v>19.234000000030292</v>
      </c>
      <c r="Y271" s="438">
        <f t="shared" si="705"/>
        <v>302.30899999903971</v>
      </c>
    </row>
    <row r="272" spans="1:25" x14ac:dyDescent="0.25">
      <c r="C272" s="453"/>
    </row>
    <row r="273" spans="1:25" x14ac:dyDescent="0.25">
      <c r="A273" s="383" t="s">
        <v>401</v>
      </c>
    </row>
    <row r="274" spans="1:25" x14ac:dyDescent="0.25">
      <c r="A274" s="377" t="s">
        <v>391</v>
      </c>
      <c r="B274" s="437">
        <f>SUM(B249,B254,B259,B264,B269)</f>
        <v>189.67299999800773</v>
      </c>
      <c r="C274" s="437">
        <f t="shared" ref="C274:D275" si="716">SUM(C249,C254,C259,C264,C269)</f>
        <v>103.65900000027762</v>
      </c>
      <c r="D274" s="437">
        <f t="shared" si="716"/>
        <v>23.052000000174701</v>
      </c>
      <c r="E274" s="437">
        <f>SUM(B274:D274)</f>
        <v>316.38399999846007</v>
      </c>
      <c r="F274" s="437"/>
      <c r="G274" s="437">
        <f>SUM(G249,G254,G259,G264,G269)</f>
        <v>178.56699999802558</v>
      </c>
      <c r="H274" s="437">
        <f t="shared" ref="H274:I274" si="717">SUM(H249,H254,H259,H264,H269)</f>
        <v>120.48300000017085</v>
      </c>
      <c r="I274" s="437">
        <f t="shared" si="717"/>
        <v>25.281000000241683</v>
      </c>
      <c r="J274" s="437">
        <f>SUM(G274:I274)</f>
        <v>324.33099999843813</v>
      </c>
      <c r="K274" s="437"/>
      <c r="L274" s="437">
        <f>SUM(L249,L254,L259,L264,L269)</f>
        <v>234.80699999835912</v>
      </c>
      <c r="M274" s="437">
        <f t="shared" ref="M274:N274" si="718">SUM(M249,M254,M259,M264,M269)</f>
        <v>141.68100000194207</v>
      </c>
      <c r="N274" s="437">
        <f t="shared" si="718"/>
        <v>22.574000000437554</v>
      </c>
      <c r="O274" s="437">
        <f>SUM(L274:N274)</f>
        <v>399.06200000073875</v>
      </c>
      <c r="P274" s="437"/>
      <c r="Q274" s="437">
        <f>SUM(Q249,Q254,Q259,Q264,Q269)</f>
        <v>263.65899999521145</v>
      </c>
      <c r="R274" s="437">
        <f t="shared" ref="R274:S274" si="719">SUM(R249,R254,R259,R264,R269)</f>
        <v>163.03399999840713</v>
      </c>
      <c r="S274" s="437">
        <f t="shared" si="719"/>
        <v>21.698000000102365</v>
      </c>
      <c r="T274" s="437">
        <f>SUM(Q274:S274)</f>
        <v>448.39099999372092</v>
      </c>
      <c r="U274" s="437"/>
      <c r="V274" s="437">
        <f>SUM(V249,V254,V259,V264,V269)</f>
        <v>291.79299999690585</v>
      </c>
      <c r="W274" s="437">
        <f t="shared" ref="W274:X274" si="720">SUM(W249,W254,W259,W264,W269)</f>
        <v>182.92800000093214</v>
      </c>
      <c r="X274" s="437">
        <f t="shared" si="720"/>
        <v>21.536000000253075</v>
      </c>
      <c r="Y274" s="437">
        <f>SUM(V274:X274)</f>
        <v>496.25699999809109</v>
      </c>
    </row>
    <row r="275" spans="1:25" x14ac:dyDescent="0.25">
      <c r="A275" s="377" t="s">
        <v>390</v>
      </c>
      <c r="B275" s="437">
        <f>SUM(B250,B255,B260,B265,B270)</f>
        <v>899.5719999949672</v>
      </c>
      <c r="C275" s="437">
        <f t="shared" si="716"/>
        <v>99.094999999285605</v>
      </c>
      <c r="D275" s="437">
        <f t="shared" si="716"/>
        <v>188.9520000008429</v>
      </c>
      <c r="E275" s="437">
        <f t="shared" ref="E275:E276" si="721">SUM(B275:D275)</f>
        <v>1187.6189999950957</v>
      </c>
      <c r="F275" s="437"/>
      <c r="G275" s="437">
        <f>SUM(G250,G255,G260,G265,G270)</f>
        <v>839.82599999115848</v>
      </c>
      <c r="H275" s="437">
        <f t="shared" ref="H275:I275" si="722">SUM(H250,H255,H260,H265,H270)</f>
        <v>110.03499999888609</v>
      </c>
      <c r="I275" s="437">
        <f t="shared" si="722"/>
        <v>233.77500001214625</v>
      </c>
      <c r="J275" s="437">
        <f t="shared" ref="J275:J276" si="723">SUM(G275:I275)</f>
        <v>1183.6360000021907</v>
      </c>
      <c r="K275" s="437"/>
      <c r="L275" s="437">
        <f>SUM(L250,L255,L260,L265,L270)</f>
        <v>1015.7159999980345</v>
      </c>
      <c r="M275" s="437">
        <f t="shared" ref="M275:N275" si="724">SUM(M250,M255,M260,M265,M270)</f>
        <v>122.84100000006971</v>
      </c>
      <c r="N275" s="437">
        <f t="shared" si="724"/>
        <v>265.42400001910141</v>
      </c>
      <c r="O275" s="437">
        <f t="shared" ref="O275:O276" si="725">SUM(L275:N275)</f>
        <v>1403.9810000172056</v>
      </c>
      <c r="P275" s="437"/>
      <c r="Q275" s="437">
        <f>SUM(Q250,Q255,Q260,Q265,Q270)</f>
        <v>927.85399999305992</v>
      </c>
      <c r="R275" s="437">
        <f t="shared" ref="R275:S275" si="726">SUM(R250,R255,R260,R265,R270)</f>
        <v>137.45699999885102</v>
      </c>
      <c r="S275" s="437">
        <f t="shared" si="726"/>
        <v>255.21800000191325</v>
      </c>
      <c r="T275" s="437">
        <f t="shared" ref="T275:T276" si="727">SUM(Q275:S275)</f>
        <v>1320.5289999938241</v>
      </c>
      <c r="U275" s="437"/>
      <c r="V275" s="437">
        <f>SUM(V250,V255,V260,V265,V270)</f>
        <v>865.42999999677863</v>
      </c>
      <c r="W275" s="437">
        <f t="shared" ref="W275:X275" si="728">SUM(W250,W255,W260,W265,W270)</f>
        <v>152.83399999929745</v>
      </c>
      <c r="X275" s="437">
        <f t="shared" si="728"/>
        <v>254.96599999896898</v>
      </c>
      <c r="Y275" s="437">
        <f t="shared" ref="Y275:Y276" si="729">SUM(V275:X275)</f>
        <v>1273.2299999950451</v>
      </c>
    </row>
    <row r="276" spans="1:25" x14ac:dyDescent="0.25">
      <c r="A276" s="381" t="s">
        <v>389</v>
      </c>
      <c r="B276" s="439">
        <f>SUM(B274:B275)</f>
        <v>1089.244999992975</v>
      </c>
      <c r="C276" s="439">
        <f t="shared" ref="C276" si="730">SUM(C274:C275)</f>
        <v>202.75399999956323</v>
      </c>
      <c r="D276" s="439">
        <f t="shared" ref="D276" si="731">SUM(D274:D275)</f>
        <v>212.0040000010176</v>
      </c>
      <c r="E276" s="439">
        <f t="shared" si="721"/>
        <v>1504.0029999935559</v>
      </c>
      <c r="F276" s="439"/>
      <c r="G276" s="439">
        <f>SUM(G274:G275)</f>
        <v>1018.3929999891841</v>
      </c>
      <c r="H276" s="439">
        <f t="shared" ref="H276" si="732">SUM(H274:H275)</f>
        <v>230.51799999905694</v>
      </c>
      <c r="I276" s="439">
        <f t="shared" ref="I276" si="733">SUM(I274:I275)</f>
        <v>259.05600001238793</v>
      </c>
      <c r="J276" s="439">
        <f t="shared" si="723"/>
        <v>1507.967000000629</v>
      </c>
      <c r="K276" s="439"/>
      <c r="L276" s="439">
        <f>SUM(L274:L275)</f>
        <v>1250.5229999963935</v>
      </c>
      <c r="M276" s="439">
        <f t="shared" ref="M276" si="734">SUM(M274:M275)</f>
        <v>264.52200000201179</v>
      </c>
      <c r="N276" s="439">
        <f t="shared" ref="N276" si="735">SUM(N274:N275)</f>
        <v>287.99800001953895</v>
      </c>
      <c r="O276" s="439">
        <f t="shared" si="725"/>
        <v>1803.0430000179442</v>
      </c>
      <c r="P276" s="439"/>
      <c r="Q276" s="439">
        <f>SUM(Q274:Q275)</f>
        <v>1191.5129999882713</v>
      </c>
      <c r="R276" s="439">
        <f t="shared" ref="R276" si="736">SUM(R274:R275)</f>
        <v>300.49099999725814</v>
      </c>
      <c r="S276" s="439">
        <f t="shared" ref="S276" si="737">SUM(S274:S275)</f>
        <v>276.91600000201561</v>
      </c>
      <c r="T276" s="439">
        <f t="shared" si="727"/>
        <v>1768.919999987545</v>
      </c>
      <c r="U276" s="439"/>
      <c r="V276" s="439">
        <f>SUM(V274:V275)</f>
        <v>1157.2229999936844</v>
      </c>
      <c r="W276" s="439">
        <f t="shared" ref="W276" si="738">SUM(W274:W275)</f>
        <v>335.76200000022959</v>
      </c>
      <c r="X276" s="439">
        <f t="shared" ref="X276" si="739">SUM(X274:X275)</f>
        <v>276.50199999922205</v>
      </c>
      <c r="Y276" s="439">
        <f t="shared" si="729"/>
        <v>1769.4869999931361</v>
      </c>
    </row>
    <row r="277" spans="1:25" x14ac:dyDescent="0.25">
      <c r="C277" s="453"/>
    </row>
    <row r="278" spans="1:25" x14ac:dyDescent="0.25">
      <c r="C278" s="453"/>
    </row>
    <row r="279" spans="1:25" x14ac:dyDescent="0.25">
      <c r="C279" s="453"/>
    </row>
    <row r="280" spans="1:25" ht="13.8" x14ac:dyDescent="0.25">
      <c r="A280" s="385" t="str">
        <f>"Industry 11 : "&amp; name!B14</f>
        <v>Industry 11 : Accommodation and food</v>
      </c>
      <c r="B280" s="514">
        <f>$B$5</f>
        <v>2007</v>
      </c>
      <c r="C280" s="514"/>
      <c r="D280" s="514"/>
      <c r="E280" s="514"/>
      <c r="F280" s="461"/>
      <c r="G280" s="514">
        <f>$G$5</f>
        <v>2012</v>
      </c>
      <c r="H280" s="514"/>
      <c r="I280" s="514"/>
      <c r="J280" s="514"/>
      <c r="K280" s="461"/>
      <c r="L280" s="514">
        <f>$L$5</f>
        <v>2017</v>
      </c>
      <c r="M280" s="514"/>
      <c r="N280" s="514"/>
      <c r="O280" s="514"/>
      <c r="P280" s="459"/>
      <c r="Q280" s="514">
        <f>$Q$5</f>
        <v>2022</v>
      </c>
      <c r="R280" s="514"/>
      <c r="S280" s="514"/>
      <c r="T280" s="514"/>
      <c r="U280" s="461"/>
      <c r="V280" s="514">
        <f>$V$5</f>
        <v>2027</v>
      </c>
      <c r="W280" s="514"/>
      <c r="X280" s="514"/>
      <c r="Y280" s="514"/>
    </row>
    <row r="281" spans="1:25" x14ac:dyDescent="0.25">
      <c r="A281" s="381"/>
      <c r="B281" s="388" t="str">
        <f>$B$6</f>
        <v>FT</v>
      </c>
      <c r="C281" s="388" t="str">
        <f>$C$6</f>
        <v>PT</v>
      </c>
      <c r="D281" s="388" t="str">
        <f>$D$6</f>
        <v>SE</v>
      </c>
      <c r="E281" s="388" t="str">
        <f>$E$6</f>
        <v>Total</v>
      </c>
      <c r="F281" s="388"/>
      <c r="G281" s="388" t="str">
        <f>$B$6</f>
        <v>FT</v>
      </c>
      <c r="H281" s="388" t="str">
        <f>$C$6</f>
        <v>PT</v>
      </c>
      <c r="I281" s="388" t="str">
        <f>$D$6</f>
        <v>SE</v>
      </c>
      <c r="J281" s="388" t="str">
        <f>$E$6</f>
        <v>Total</v>
      </c>
      <c r="K281" s="388"/>
      <c r="L281" s="388" t="str">
        <f>$L$6</f>
        <v>FT</v>
      </c>
      <c r="M281" s="388" t="str">
        <f>$M$6</f>
        <v>PT</v>
      </c>
      <c r="N281" s="388" t="str">
        <f>$N$6</f>
        <v>SE</v>
      </c>
      <c r="O281" s="388" t="str">
        <f>$O$6</f>
        <v>Total</v>
      </c>
      <c r="P281" s="388"/>
      <c r="Q281" s="388" t="str">
        <f>$L$6</f>
        <v>FT</v>
      </c>
      <c r="R281" s="388" t="str">
        <f>$M$6</f>
        <v>PT</v>
      </c>
      <c r="S281" s="388" t="str">
        <f>$N$6</f>
        <v>SE</v>
      </c>
      <c r="T281" s="388" t="str">
        <f>$O$6</f>
        <v>Total</v>
      </c>
      <c r="U281" s="388"/>
      <c r="V281" s="388" t="str">
        <f>$V$6</f>
        <v>FT</v>
      </c>
      <c r="W281" s="388" t="str">
        <f>$W$6</f>
        <v>PT</v>
      </c>
      <c r="X281" s="388" t="str">
        <f>$X$6</f>
        <v>SE</v>
      </c>
      <c r="Y281" s="388" t="str">
        <f>$Y$6</f>
        <v>Total</v>
      </c>
    </row>
    <row r="282" spans="1:25" x14ac:dyDescent="0.25">
      <c r="B282" s="380"/>
      <c r="C282" s="460"/>
      <c r="D282" s="460"/>
      <c r="E282" s="460"/>
      <c r="F282" s="460"/>
      <c r="G282" s="460"/>
      <c r="H282" s="460"/>
      <c r="I282" s="460"/>
      <c r="J282" s="460"/>
      <c r="K282" s="460"/>
      <c r="L282" s="460"/>
      <c r="M282" s="460"/>
      <c r="N282" s="460"/>
      <c r="O282" s="460"/>
      <c r="P282" s="460"/>
      <c r="Q282" s="460"/>
      <c r="R282" s="460"/>
      <c r="S282" s="460"/>
      <c r="T282" s="460"/>
      <c r="U282" s="460"/>
      <c r="V282" s="460"/>
      <c r="W282" s="460"/>
      <c r="X282" s="460"/>
      <c r="Y282" s="460"/>
    </row>
    <row r="283" spans="1:25" x14ac:dyDescent="0.25">
      <c r="A283" s="378" t="str">
        <f>name!A42</f>
        <v>Accommodation</v>
      </c>
      <c r="C283" s="380"/>
      <c r="D283" s="380"/>
      <c r="E283" s="380"/>
      <c r="F283" s="380"/>
      <c r="G283" s="380"/>
      <c r="H283" s="380"/>
      <c r="I283" s="380"/>
      <c r="J283" s="380"/>
      <c r="K283" s="380"/>
      <c r="L283" s="380"/>
      <c r="M283" s="380"/>
      <c r="N283" s="380"/>
      <c r="O283" s="380"/>
      <c r="P283" s="380"/>
      <c r="Q283" s="380"/>
      <c r="R283" s="380"/>
      <c r="S283" s="380"/>
      <c r="T283" s="380"/>
      <c r="U283" s="380"/>
      <c r="V283" s="380"/>
      <c r="W283" s="380"/>
      <c r="X283" s="380"/>
      <c r="Y283" s="380"/>
    </row>
    <row r="284" spans="1:25" x14ac:dyDescent="0.25">
      <c r="A284" s="382" t="s">
        <v>391</v>
      </c>
      <c r="B284" s="437">
        <v>97.56499999908516</v>
      </c>
      <c r="C284" s="437">
        <v>127.43300000148859</v>
      </c>
      <c r="D284" s="437">
        <v>20.833000000322706</v>
      </c>
      <c r="E284" s="437">
        <f>SUM(B284:D284)</f>
        <v>245.83100000089647</v>
      </c>
      <c r="F284" s="437"/>
      <c r="G284" s="437">
        <v>106.79099999903846</v>
      </c>
      <c r="H284" s="437">
        <v>119.76600000177611</v>
      </c>
      <c r="I284" s="437">
        <v>26.534000000550471</v>
      </c>
      <c r="J284" s="437">
        <f>SUM(G284:I284)</f>
        <v>253.09100000136505</v>
      </c>
      <c r="K284" s="437"/>
      <c r="L284" s="437">
        <v>129.00300000008744</v>
      </c>
      <c r="M284" s="437">
        <v>137.00500000434474</v>
      </c>
      <c r="N284" s="437">
        <v>43.240000001408106</v>
      </c>
      <c r="O284" s="437">
        <f>SUM(L284:N284)</f>
        <v>309.24800000584025</v>
      </c>
      <c r="P284" s="437"/>
      <c r="Q284" s="437">
        <v>130.60799999715232</v>
      </c>
      <c r="R284" s="437">
        <v>143.4410000005455</v>
      </c>
      <c r="S284" s="437">
        <v>44.297000000492055</v>
      </c>
      <c r="T284" s="437">
        <f>SUM(Q284:S284)</f>
        <v>318.34599999818988</v>
      </c>
      <c r="U284" s="437"/>
      <c r="V284" s="437">
        <v>132.588999998904</v>
      </c>
      <c r="W284" s="437">
        <v>150.07700000251168</v>
      </c>
      <c r="X284" s="437">
        <v>45.458000001067937</v>
      </c>
      <c r="Y284" s="437">
        <f>SUM(V284:X284)</f>
        <v>328.12400000248363</v>
      </c>
    </row>
    <row r="285" spans="1:25" x14ac:dyDescent="0.25">
      <c r="A285" s="382" t="s">
        <v>390</v>
      </c>
      <c r="B285" s="438">
        <v>116.99999999928191</v>
      </c>
      <c r="C285" s="438">
        <v>63.998999999334579</v>
      </c>
      <c r="D285" s="438">
        <v>13.887999999867329</v>
      </c>
      <c r="E285" s="438">
        <f t="shared" ref="E285:E286" si="740">SUM(B285:D285)</f>
        <v>194.88699999848382</v>
      </c>
      <c r="F285" s="438"/>
      <c r="G285" s="438">
        <v>123.41599999853642</v>
      </c>
      <c r="H285" s="438">
        <v>63.213999999137563</v>
      </c>
      <c r="I285" s="438">
        <v>14.741999999894411</v>
      </c>
      <c r="J285" s="438">
        <f t="shared" ref="J285:J286" si="741">SUM(G285:I285)</f>
        <v>201.37199999756839</v>
      </c>
      <c r="K285" s="438"/>
      <c r="L285" s="438">
        <v>148.00599999987995</v>
      </c>
      <c r="M285" s="438">
        <v>63.000999999751663</v>
      </c>
      <c r="N285" s="438">
        <v>26.146999999887736</v>
      </c>
      <c r="O285" s="438">
        <f t="shared" ref="O285:O286" si="742">SUM(L285:N285)</f>
        <v>237.15399999951933</v>
      </c>
      <c r="P285" s="438"/>
      <c r="Q285" s="438">
        <v>154.65199999923584</v>
      </c>
      <c r="R285" s="438">
        <v>62.7129999993385</v>
      </c>
      <c r="S285" s="438">
        <v>25.328999999657388</v>
      </c>
      <c r="T285" s="438">
        <f t="shared" ref="T285:T286" si="743">SUM(Q285:S285)</f>
        <v>242.69399999823173</v>
      </c>
      <c r="U285" s="438"/>
      <c r="V285" s="438">
        <v>161.5229999996767</v>
      </c>
      <c r="W285" s="438">
        <v>62.655999999434378</v>
      </c>
      <c r="X285" s="438">
        <v>24.63999999972949</v>
      </c>
      <c r="Y285" s="438">
        <f t="shared" ref="Y285:Y286" si="744">SUM(V285:X285)</f>
        <v>248.81899999884058</v>
      </c>
    </row>
    <row r="286" spans="1:25" x14ac:dyDescent="0.25">
      <c r="A286" s="382" t="s">
        <v>389</v>
      </c>
      <c r="B286" s="438">
        <f>SUM(B284:B285)</f>
        <v>214.56499999836706</v>
      </c>
      <c r="C286" s="438">
        <f t="shared" ref="C286" si="745">SUM(C284:C285)</f>
        <v>191.43200000082317</v>
      </c>
      <c r="D286" s="438">
        <f t="shared" ref="D286" si="746">SUM(D284:D285)</f>
        <v>34.721000000190031</v>
      </c>
      <c r="E286" s="438">
        <f t="shared" si="740"/>
        <v>440.71799999938025</v>
      </c>
      <c r="F286" s="438"/>
      <c r="G286" s="438">
        <f>SUM(G284:G285)</f>
        <v>230.20699999757488</v>
      </c>
      <c r="H286" s="438">
        <f t="shared" ref="H286" si="747">SUM(H284:H285)</f>
        <v>182.98000000091366</v>
      </c>
      <c r="I286" s="438">
        <f t="shared" ref="I286" si="748">SUM(I284:I285)</f>
        <v>41.276000000444881</v>
      </c>
      <c r="J286" s="438">
        <f t="shared" si="741"/>
        <v>454.46299999893341</v>
      </c>
      <c r="K286" s="438"/>
      <c r="L286" s="438">
        <f>SUM(L284:L285)</f>
        <v>277.00899999996739</v>
      </c>
      <c r="M286" s="438">
        <f t="shared" ref="M286" si="749">SUM(M284:M285)</f>
        <v>200.00600000409639</v>
      </c>
      <c r="N286" s="438">
        <f t="shared" ref="N286" si="750">SUM(N284:N285)</f>
        <v>69.387000001295846</v>
      </c>
      <c r="O286" s="438">
        <f t="shared" si="742"/>
        <v>546.40200000535958</v>
      </c>
      <c r="P286" s="438"/>
      <c r="Q286" s="438">
        <f>SUM(Q284:Q285)</f>
        <v>285.25999999638816</v>
      </c>
      <c r="R286" s="438">
        <f t="shared" ref="R286" si="751">SUM(R284:R285)</f>
        <v>206.15399999988401</v>
      </c>
      <c r="S286" s="438">
        <f t="shared" ref="S286" si="752">SUM(S284:S285)</f>
        <v>69.626000000149446</v>
      </c>
      <c r="T286" s="438">
        <f t="shared" si="743"/>
        <v>561.03999999642167</v>
      </c>
      <c r="U286" s="438"/>
      <c r="V286" s="438">
        <f>SUM(V284:V285)</f>
        <v>294.1119999985807</v>
      </c>
      <c r="W286" s="438">
        <f t="shared" ref="W286" si="753">SUM(W284:W285)</f>
        <v>212.73300000194607</v>
      </c>
      <c r="X286" s="438">
        <f t="shared" ref="X286" si="754">SUM(X284:X285)</f>
        <v>70.098000000797427</v>
      </c>
      <c r="Y286" s="438">
        <f t="shared" si="744"/>
        <v>576.94300000132421</v>
      </c>
    </row>
    <row r="287" spans="1:25" x14ac:dyDescent="0.25">
      <c r="B287" s="380"/>
      <c r="C287" s="460"/>
      <c r="D287" s="460"/>
      <c r="E287" s="460"/>
      <c r="F287" s="460"/>
      <c r="G287" s="460"/>
      <c r="H287" s="460"/>
      <c r="I287" s="460"/>
      <c r="J287" s="460"/>
      <c r="K287" s="460"/>
      <c r="L287" s="460"/>
      <c r="M287" s="460"/>
      <c r="N287" s="460"/>
      <c r="O287" s="460"/>
      <c r="P287" s="460"/>
      <c r="Q287" s="460"/>
      <c r="R287" s="460"/>
      <c r="S287" s="460"/>
      <c r="T287" s="460"/>
      <c r="U287" s="460"/>
      <c r="V287" s="460"/>
      <c r="W287" s="460"/>
      <c r="X287" s="460"/>
      <c r="Y287" s="460"/>
    </row>
    <row r="288" spans="1:25" x14ac:dyDescent="0.25">
      <c r="A288" s="378" t="str">
        <f>name!A43</f>
        <v>Food and beverage services</v>
      </c>
      <c r="C288" s="380"/>
      <c r="D288" s="380"/>
      <c r="E288" s="380"/>
      <c r="F288" s="380"/>
      <c r="G288" s="380"/>
      <c r="H288" s="380"/>
      <c r="I288" s="380"/>
      <c r="J288" s="380"/>
      <c r="K288" s="380"/>
      <c r="L288" s="380"/>
      <c r="M288" s="380"/>
      <c r="N288" s="380"/>
      <c r="O288" s="380"/>
      <c r="P288" s="380"/>
      <c r="Q288" s="380"/>
      <c r="R288" s="380"/>
      <c r="S288" s="380"/>
      <c r="T288" s="380"/>
      <c r="U288" s="380"/>
      <c r="V288" s="380"/>
      <c r="W288" s="380"/>
      <c r="X288" s="380"/>
      <c r="Y288" s="380"/>
    </row>
    <row r="289" spans="1:25" x14ac:dyDescent="0.25">
      <c r="A289" s="382" t="s">
        <v>391</v>
      </c>
      <c r="B289" s="437">
        <v>331.99899999657714</v>
      </c>
      <c r="C289" s="437">
        <v>506.00200000479015</v>
      </c>
      <c r="D289" s="437">
        <v>34.104000000508591</v>
      </c>
      <c r="E289" s="437">
        <f>SUM(B289:D289)</f>
        <v>872.10500000187585</v>
      </c>
      <c r="F289" s="437"/>
      <c r="G289" s="437">
        <v>271.12199999699806</v>
      </c>
      <c r="H289" s="437">
        <v>484.2190000057052</v>
      </c>
      <c r="I289" s="437">
        <v>44.298000000903748</v>
      </c>
      <c r="J289" s="437">
        <f>SUM(G289:I289)</f>
        <v>799.63900000360695</v>
      </c>
      <c r="K289" s="437"/>
      <c r="L289" s="437">
        <v>329.0109999995945</v>
      </c>
      <c r="M289" s="437">
        <v>602.02100001757572</v>
      </c>
      <c r="N289" s="437">
        <v>42.236000001407668</v>
      </c>
      <c r="O289" s="437">
        <f>SUM(L289:N289)</f>
        <v>973.26800001857794</v>
      </c>
      <c r="P289" s="437"/>
      <c r="Q289" s="437">
        <v>321.42399999242394</v>
      </c>
      <c r="R289" s="437">
        <v>596.16000000068686</v>
      </c>
      <c r="S289" s="437">
        <v>44.688000000511629</v>
      </c>
      <c r="T289" s="437">
        <f>SUM(Q289:S289)</f>
        <v>962.27199999362244</v>
      </c>
      <c r="U289" s="437"/>
      <c r="V289" s="437">
        <v>339.22599999687338</v>
      </c>
      <c r="W289" s="437">
        <v>636.78000000974737</v>
      </c>
      <c r="X289" s="437">
        <v>50.408000001214113</v>
      </c>
      <c r="Y289" s="437">
        <f>SUM(V289:X289)</f>
        <v>1026.4140000078348</v>
      </c>
    </row>
    <row r="290" spans="1:25" x14ac:dyDescent="0.25">
      <c r="A290" s="382" t="s">
        <v>390</v>
      </c>
      <c r="B290" s="438">
        <v>351.00099999753871</v>
      </c>
      <c r="C290" s="438">
        <v>292.00099999669743</v>
      </c>
      <c r="D290" s="438">
        <v>56.172999999436072</v>
      </c>
      <c r="E290" s="438">
        <f t="shared" ref="E290:E291" si="755">SUM(B290:D290)</f>
        <v>699.17499999367226</v>
      </c>
      <c r="F290" s="438"/>
      <c r="G290" s="438">
        <v>356.16099999569752</v>
      </c>
      <c r="H290" s="438">
        <v>374.17099999457548</v>
      </c>
      <c r="I290" s="438">
        <v>69.46399999952493</v>
      </c>
      <c r="J290" s="438">
        <f t="shared" ref="J290:J291" si="756">SUM(G290:I290)</f>
        <v>799.79599998979802</v>
      </c>
      <c r="K290" s="438"/>
      <c r="L290" s="438">
        <v>437.014999999856</v>
      </c>
      <c r="M290" s="438">
        <v>411.01399999841715</v>
      </c>
      <c r="N290" s="438">
        <v>67.376999999766511</v>
      </c>
      <c r="O290" s="438">
        <f t="shared" ref="O290:O291" si="757">SUM(L290:N290)</f>
        <v>915.40599999803965</v>
      </c>
      <c r="P290" s="438"/>
      <c r="Q290" s="438">
        <v>432.99899999824135</v>
      </c>
      <c r="R290" s="438">
        <v>377.70799999655287</v>
      </c>
      <c r="S290" s="438">
        <v>63.992999999143287</v>
      </c>
      <c r="T290" s="438">
        <f t="shared" ref="T290:T291" si="758">SUM(Q290:S290)</f>
        <v>874.69999999393747</v>
      </c>
      <c r="U290" s="438"/>
      <c r="V290" s="438">
        <v>462.72299999963957</v>
      </c>
      <c r="W290" s="438">
        <v>376.0549999972327</v>
      </c>
      <c r="X290" s="438">
        <v>65.803999999246784</v>
      </c>
      <c r="Y290" s="438">
        <f t="shared" ref="Y290:Y291" si="759">SUM(V290:X290)</f>
        <v>904.58199999611907</v>
      </c>
    </row>
    <row r="291" spans="1:25" x14ac:dyDescent="0.25">
      <c r="A291" s="382" t="s">
        <v>389</v>
      </c>
      <c r="B291" s="438">
        <f>SUM(B289:B290)</f>
        <v>682.9999999941158</v>
      </c>
      <c r="C291" s="438">
        <f t="shared" ref="C291" si="760">SUM(C289:C290)</f>
        <v>798.00300000148764</v>
      </c>
      <c r="D291" s="438">
        <f t="shared" ref="D291" si="761">SUM(D289:D290)</f>
        <v>90.276999999944664</v>
      </c>
      <c r="E291" s="438">
        <f t="shared" si="755"/>
        <v>1571.279999995548</v>
      </c>
      <c r="F291" s="438"/>
      <c r="G291" s="438">
        <f>SUM(G289:G290)</f>
        <v>627.28299999269552</v>
      </c>
      <c r="H291" s="438">
        <f t="shared" ref="H291" si="762">SUM(H289:H290)</f>
        <v>858.39000000028068</v>
      </c>
      <c r="I291" s="438">
        <f t="shared" ref="I291" si="763">SUM(I289:I290)</f>
        <v>113.76200000042869</v>
      </c>
      <c r="J291" s="438">
        <f t="shared" si="756"/>
        <v>1599.434999993405</v>
      </c>
      <c r="K291" s="438"/>
      <c r="L291" s="438">
        <f>SUM(L289:L290)</f>
        <v>766.02599999945051</v>
      </c>
      <c r="M291" s="438">
        <f t="shared" ref="M291" si="764">SUM(M289:M290)</f>
        <v>1013.0350000159929</v>
      </c>
      <c r="N291" s="438">
        <f t="shared" ref="N291" si="765">SUM(N289:N290)</f>
        <v>109.61300000117419</v>
      </c>
      <c r="O291" s="438">
        <f t="shared" si="757"/>
        <v>1888.6740000166176</v>
      </c>
      <c r="P291" s="438"/>
      <c r="Q291" s="438">
        <f>SUM(Q289:Q290)</f>
        <v>754.42299999066529</v>
      </c>
      <c r="R291" s="438">
        <f t="shared" ref="R291" si="766">SUM(R289:R290)</f>
        <v>973.86799999723974</v>
      </c>
      <c r="S291" s="438">
        <f t="shared" ref="S291" si="767">SUM(S289:S290)</f>
        <v>108.68099999965492</v>
      </c>
      <c r="T291" s="438">
        <f t="shared" si="758"/>
        <v>1836.9719999875599</v>
      </c>
      <c r="U291" s="438"/>
      <c r="V291" s="438">
        <f>SUM(V289:V290)</f>
        <v>801.94899999651295</v>
      </c>
      <c r="W291" s="438">
        <f t="shared" ref="W291" si="768">SUM(W289:W290)</f>
        <v>1012.8350000069801</v>
      </c>
      <c r="X291" s="438">
        <f t="shared" ref="X291" si="769">SUM(X289:X290)</f>
        <v>116.2120000004609</v>
      </c>
      <c r="Y291" s="438">
        <f t="shared" si="759"/>
        <v>1930.9960000039539</v>
      </c>
    </row>
    <row r="292" spans="1:25" x14ac:dyDescent="0.25">
      <c r="C292" s="453"/>
    </row>
    <row r="293" spans="1:25" x14ac:dyDescent="0.25">
      <c r="A293" s="383" t="s">
        <v>400</v>
      </c>
    </row>
    <row r="294" spans="1:25" x14ac:dyDescent="0.25">
      <c r="A294" s="377" t="s">
        <v>391</v>
      </c>
      <c r="B294" s="437">
        <f>SUM(B284,B289)</f>
        <v>429.5639999956623</v>
      </c>
      <c r="C294" s="437">
        <f t="shared" ref="C294:D295" si="770">SUM(C284,C289)</f>
        <v>633.43500000627876</v>
      </c>
      <c r="D294" s="437">
        <f t="shared" si="770"/>
        <v>54.937000000831297</v>
      </c>
      <c r="E294" s="437">
        <f>SUM(B294:D294)</f>
        <v>1117.9360000027725</v>
      </c>
      <c r="F294" s="437"/>
      <c r="G294" s="437">
        <f>SUM(G284,G289)</f>
        <v>377.91299999603655</v>
      </c>
      <c r="H294" s="437">
        <f t="shared" ref="H294:I294" si="771">SUM(H284,H289)</f>
        <v>603.98500000748129</v>
      </c>
      <c r="I294" s="437">
        <f t="shared" si="771"/>
        <v>70.832000001454219</v>
      </c>
      <c r="J294" s="437">
        <f>SUM(G294:I294)</f>
        <v>1052.730000004972</v>
      </c>
      <c r="K294" s="437"/>
      <c r="L294" s="437">
        <f>SUM(L284,L289)</f>
        <v>458.01399999968191</v>
      </c>
      <c r="M294" s="437">
        <f t="shared" ref="M294:N294" si="772">SUM(M284,M289)</f>
        <v>739.02600002192048</v>
      </c>
      <c r="N294" s="437">
        <f t="shared" si="772"/>
        <v>85.476000002815766</v>
      </c>
      <c r="O294" s="437">
        <f>SUM(L294:N294)</f>
        <v>1282.516000024418</v>
      </c>
      <c r="P294" s="437"/>
      <c r="Q294" s="437">
        <f>SUM(Q284,Q289)</f>
        <v>452.03199998957626</v>
      </c>
      <c r="R294" s="437">
        <f t="shared" ref="R294:S294" si="773">SUM(R284,R289)</f>
        <v>739.60100000123236</v>
      </c>
      <c r="S294" s="437">
        <f t="shared" si="773"/>
        <v>88.985000001003684</v>
      </c>
      <c r="T294" s="437">
        <f>SUM(Q294:S294)</f>
        <v>1280.6179999918124</v>
      </c>
      <c r="U294" s="437"/>
      <c r="V294" s="437">
        <f>SUM(V284,V289)</f>
        <v>471.81499999577738</v>
      </c>
      <c r="W294" s="437">
        <f t="shared" ref="W294:X294" si="774">SUM(W284,W289)</f>
        <v>786.85700001225905</v>
      </c>
      <c r="X294" s="437">
        <f t="shared" si="774"/>
        <v>95.86600000228205</v>
      </c>
      <c r="Y294" s="437">
        <f>SUM(V294:X294)</f>
        <v>1354.5380000103185</v>
      </c>
    </row>
    <row r="295" spans="1:25" x14ac:dyDescent="0.25">
      <c r="A295" s="377" t="s">
        <v>390</v>
      </c>
      <c r="B295" s="437">
        <f>SUM(B285,B290)</f>
        <v>468.00099999682061</v>
      </c>
      <c r="C295" s="437">
        <f t="shared" si="770"/>
        <v>355.99999999603199</v>
      </c>
      <c r="D295" s="437">
        <f t="shared" si="770"/>
        <v>70.060999999303405</v>
      </c>
      <c r="E295" s="437">
        <f t="shared" ref="E295:E296" si="775">SUM(B295:D295)</f>
        <v>894.06199999215596</v>
      </c>
      <c r="F295" s="437"/>
      <c r="G295" s="437">
        <f>SUM(G285,G290)</f>
        <v>479.57699999423392</v>
      </c>
      <c r="H295" s="437">
        <f t="shared" ref="H295:I295" si="776">SUM(H285,H290)</f>
        <v>437.38499999371305</v>
      </c>
      <c r="I295" s="437">
        <f t="shared" si="776"/>
        <v>84.205999999419333</v>
      </c>
      <c r="J295" s="437">
        <f t="shared" ref="J295:J296" si="777">SUM(G295:I295)</f>
        <v>1001.1679999873662</v>
      </c>
      <c r="K295" s="437"/>
      <c r="L295" s="437">
        <f>SUM(L285,L290)</f>
        <v>585.02099999973598</v>
      </c>
      <c r="M295" s="437">
        <f t="shared" ref="M295:N295" si="778">SUM(M285,M290)</f>
        <v>474.01499999816883</v>
      </c>
      <c r="N295" s="437">
        <f t="shared" si="778"/>
        <v>93.523999999654251</v>
      </c>
      <c r="O295" s="437">
        <f t="shared" ref="O295:O296" si="779">SUM(L295:N295)</f>
        <v>1152.5599999975591</v>
      </c>
      <c r="P295" s="437"/>
      <c r="Q295" s="437">
        <f>SUM(Q285,Q290)</f>
        <v>587.65099999747713</v>
      </c>
      <c r="R295" s="437">
        <f t="shared" ref="R295:S295" si="780">SUM(R285,R290)</f>
        <v>440.42099999589135</v>
      </c>
      <c r="S295" s="437">
        <f t="shared" si="780"/>
        <v>89.321999998800678</v>
      </c>
      <c r="T295" s="437">
        <f t="shared" ref="T295:T296" si="781">SUM(Q295:S295)</f>
        <v>1117.3939999921693</v>
      </c>
      <c r="U295" s="437"/>
      <c r="V295" s="437">
        <f>SUM(V285,V290)</f>
        <v>624.24599999931627</v>
      </c>
      <c r="W295" s="437">
        <f t="shared" ref="W295:X295" si="782">SUM(W285,W290)</f>
        <v>438.71099999666706</v>
      </c>
      <c r="X295" s="437">
        <f t="shared" si="782"/>
        <v>90.443999998976267</v>
      </c>
      <c r="Y295" s="437">
        <f t="shared" ref="Y295:Y296" si="783">SUM(V295:X295)</f>
        <v>1153.4009999949596</v>
      </c>
    </row>
    <row r="296" spans="1:25" x14ac:dyDescent="0.25">
      <c r="A296" s="381" t="s">
        <v>389</v>
      </c>
      <c r="B296" s="439">
        <f>SUM(B294:B295)</f>
        <v>897.56499999248285</v>
      </c>
      <c r="C296" s="439">
        <f t="shared" ref="C296" si="784">SUM(C294:C295)</f>
        <v>989.43500000231074</v>
      </c>
      <c r="D296" s="439">
        <f t="shared" ref="D296" si="785">SUM(D294:D295)</f>
        <v>124.99800000013471</v>
      </c>
      <c r="E296" s="439">
        <f t="shared" si="775"/>
        <v>2011.9979999949283</v>
      </c>
      <c r="F296" s="439"/>
      <c r="G296" s="439">
        <f>SUM(G294:G295)</f>
        <v>857.48999999027046</v>
      </c>
      <c r="H296" s="439">
        <f t="shared" ref="H296" si="786">SUM(H294:H295)</f>
        <v>1041.3700000011943</v>
      </c>
      <c r="I296" s="439">
        <f t="shared" ref="I296" si="787">SUM(I294:I295)</f>
        <v>155.03800000087355</v>
      </c>
      <c r="J296" s="439">
        <f t="shared" si="777"/>
        <v>2053.8979999923381</v>
      </c>
      <c r="K296" s="439"/>
      <c r="L296" s="439">
        <f>SUM(L294:L295)</f>
        <v>1043.0349999994178</v>
      </c>
      <c r="M296" s="439">
        <f t="shared" ref="M296" si="788">SUM(M294:M295)</f>
        <v>1213.0410000200893</v>
      </c>
      <c r="N296" s="439">
        <f t="shared" ref="N296" si="789">SUM(N294:N295)</f>
        <v>179.00000000247002</v>
      </c>
      <c r="O296" s="439">
        <f t="shared" si="779"/>
        <v>2435.0760000219771</v>
      </c>
      <c r="P296" s="439"/>
      <c r="Q296" s="439">
        <f>SUM(Q294:Q295)</f>
        <v>1039.6829999870533</v>
      </c>
      <c r="R296" s="439">
        <f t="shared" ref="R296" si="790">SUM(R294:R295)</f>
        <v>1180.0219999971237</v>
      </c>
      <c r="S296" s="439">
        <f t="shared" ref="S296" si="791">SUM(S294:S295)</f>
        <v>178.30699999980436</v>
      </c>
      <c r="T296" s="439">
        <f t="shared" si="781"/>
        <v>2398.0119999839812</v>
      </c>
      <c r="U296" s="439"/>
      <c r="V296" s="439">
        <f>SUM(V294:V295)</f>
        <v>1096.0609999950937</v>
      </c>
      <c r="W296" s="439">
        <f t="shared" ref="W296" si="792">SUM(W294:W295)</f>
        <v>1225.568000008926</v>
      </c>
      <c r="X296" s="439">
        <f t="shared" ref="X296" si="793">SUM(X294:X295)</f>
        <v>186.31000000125832</v>
      </c>
      <c r="Y296" s="439">
        <f t="shared" si="783"/>
        <v>2507.9390000052781</v>
      </c>
    </row>
    <row r="297" spans="1:25" x14ac:dyDescent="0.25">
      <c r="C297" s="453"/>
    </row>
    <row r="298" spans="1:25" x14ac:dyDescent="0.25">
      <c r="C298" s="453"/>
    </row>
    <row r="299" spans="1:25" x14ac:dyDescent="0.25">
      <c r="C299" s="453"/>
    </row>
    <row r="300" spans="1:25" ht="13.8" x14ac:dyDescent="0.25">
      <c r="A300" s="385" t="str">
        <f>"Industry 12 : "&amp; name!B15</f>
        <v>Industry 12 : Media</v>
      </c>
      <c r="B300" s="514">
        <f>$B$5</f>
        <v>2007</v>
      </c>
      <c r="C300" s="514"/>
      <c r="D300" s="514"/>
      <c r="E300" s="514"/>
      <c r="F300" s="461"/>
      <c r="G300" s="514">
        <f>$G$5</f>
        <v>2012</v>
      </c>
      <c r="H300" s="514"/>
      <c r="I300" s="514"/>
      <c r="J300" s="514"/>
      <c r="K300" s="461"/>
      <c r="L300" s="514">
        <f>$L$5</f>
        <v>2017</v>
      </c>
      <c r="M300" s="514"/>
      <c r="N300" s="514"/>
      <c r="O300" s="514"/>
      <c r="P300" s="459"/>
      <c r="Q300" s="514">
        <f>$Q$5</f>
        <v>2022</v>
      </c>
      <c r="R300" s="514"/>
      <c r="S300" s="514"/>
      <c r="T300" s="514"/>
      <c r="U300" s="461"/>
      <c r="V300" s="514">
        <f>$V$5</f>
        <v>2027</v>
      </c>
      <c r="W300" s="514"/>
      <c r="X300" s="514"/>
      <c r="Y300" s="514"/>
    </row>
    <row r="301" spans="1:25" x14ac:dyDescent="0.25">
      <c r="A301" s="381"/>
      <c r="B301" s="388" t="str">
        <f>$B$6</f>
        <v>FT</v>
      </c>
      <c r="C301" s="388" t="str">
        <f>$C$6</f>
        <v>PT</v>
      </c>
      <c r="D301" s="388" t="str">
        <f>$D$6</f>
        <v>SE</v>
      </c>
      <c r="E301" s="388" t="str">
        <f>$E$6</f>
        <v>Total</v>
      </c>
      <c r="F301" s="388"/>
      <c r="G301" s="388" t="str">
        <f>$B$6</f>
        <v>FT</v>
      </c>
      <c r="H301" s="388" t="str">
        <f>$C$6</f>
        <v>PT</v>
      </c>
      <c r="I301" s="388" t="str">
        <f>$D$6</f>
        <v>SE</v>
      </c>
      <c r="J301" s="388" t="str">
        <f>$E$6</f>
        <v>Total</v>
      </c>
      <c r="K301" s="388"/>
      <c r="L301" s="388" t="str">
        <f>$L$6</f>
        <v>FT</v>
      </c>
      <c r="M301" s="388" t="str">
        <f>$M$6</f>
        <v>PT</v>
      </c>
      <c r="N301" s="388" t="str">
        <f>$N$6</f>
        <v>SE</v>
      </c>
      <c r="O301" s="388" t="str">
        <f>$O$6</f>
        <v>Total</v>
      </c>
      <c r="P301" s="388"/>
      <c r="Q301" s="388" t="str">
        <f>$L$6</f>
        <v>FT</v>
      </c>
      <c r="R301" s="388" t="str">
        <f>$M$6</f>
        <v>PT</v>
      </c>
      <c r="S301" s="388" t="str">
        <f>$N$6</f>
        <v>SE</v>
      </c>
      <c r="T301" s="388" t="str">
        <f>$O$6</f>
        <v>Total</v>
      </c>
      <c r="U301" s="388"/>
      <c r="V301" s="388" t="str">
        <f>$V$6</f>
        <v>FT</v>
      </c>
      <c r="W301" s="388" t="str">
        <f>$W$6</f>
        <v>PT</v>
      </c>
      <c r="X301" s="388" t="str">
        <f>$X$6</f>
        <v>SE</v>
      </c>
      <c r="Y301" s="388" t="str">
        <f>$Y$6</f>
        <v>Total</v>
      </c>
    </row>
    <row r="302" spans="1:25" x14ac:dyDescent="0.25">
      <c r="B302" s="380"/>
      <c r="C302" s="460"/>
      <c r="D302" s="460"/>
      <c r="E302" s="460"/>
      <c r="F302" s="460"/>
      <c r="G302" s="460"/>
      <c r="H302" s="460"/>
      <c r="I302" s="460"/>
      <c r="J302" s="460"/>
      <c r="K302" s="460"/>
      <c r="L302" s="460"/>
      <c r="M302" s="460"/>
      <c r="N302" s="460"/>
      <c r="O302" s="460"/>
      <c r="P302" s="460"/>
      <c r="Q302" s="460"/>
      <c r="R302" s="460"/>
      <c r="S302" s="460"/>
      <c r="T302" s="460"/>
      <c r="U302" s="460"/>
      <c r="V302" s="460"/>
      <c r="W302" s="460"/>
      <c r="X302" s="460"/>
      <c r="Y302" s="460"/>
    </row>
    <row r="303" spans="1:25" x14ac:dyDescent="0.25">
      <c r="A303" s="378" t="str">
        <f>name!A44</f>
        <v>Publishing activities</v>
      </c>
      <c r="C303" s="380"/>
      <c r="D303" s="380"/>
      <c r="E303" s="380"/>
      <c r="F303" s="380"/>
      <c r="G303" s="380"/>
      <c r="H303" s="380"/>
      <c r="I303" s="380"/>
      <c r="J303" s="380"/>
      <c r="K303" s="380"/>
      <c r="L303" s="380"/>
      <c r="M303" s="380"/>
      <c r="N303" s="380"/>
      <c r="O303" s="380"/>
      <c r="P303" s="380"/>
      <c r="Q303" s="380"/>
      <c r="R303" s="380"/>
      <c r="S303" s="380"/>
      <c r="T303" s="380"/>
      <c r="U303" s="380"/>
      <c r="V303" s="380"/>
      <c r="W303" s="380"/>
      <c r="X303" s="380"/>
      <c r="Y303" s="380"/>
    </row>
    <row r="304" spans="1:25" x14ac:dyDescent="0.25">
      <c r="A304" s="382" t="s">
        <v>391</v>
      </c>
      <c r="B304" s="437">
        <v>42.404999999571324</v>
      </c>
      <c r="C304" s="437">
        <v>20.535000000002878</v>
      </c>
      <c r="D304" s="437">
        <v>13.093000000141917</v>
      </c>
      <c r="E304" s="437">
        <f>SUM(B304:D304)</f>
        <v>76.032999999716111</v>
      </c>
      <c r="F304" s="437"/>
      <c r="G304" s="437">
        <v>42.056999999724923</v>
      </c>
      <c r="H304" s="437">
        <v>18.116999999986003</v>
      </c>
      <c r="I304" s="437">
        <v>22.875000000286239</v>
      </c>
      <c r="J304" s="437">
        <f>SUM(G304:I304)</f>
        <v>83.048999999997164</v>
      </c>
      <c r="K304" s="437"/>
      <c r="L304" s="437">
        <v>39.052999999494823</v>
      </c>
      <c r="M304" s="437">
        <v>11.810000000004017</v>
      </c>
      <c r="N304" s="437">
        <v>20.998000000066956</v>
      </c>
      <c r="O304" s="437">
        <f>SUM(L304:N304)</f>
        <v>71.860999999565792</v>
      </c>
      <c r="P304" s="437"/>
      <c r="Q304" s="437">
        <v>37.303999999903198</v>
      </c>
      <c r="R304" s="437">
        <v>13.390999999972779</v>
      </c>
      <c r="S304" s="437">
        <v>18.652000000587467</v>
      </c>
      <c r="T304" s="437">
        <f>SUM(Q304:S304)</f>
        <v>69.347000000463439</v>
      </c>
      <c r="U304" s="437"/>
      <c r="V304" s="437">
        <v>35.915999999705498</v>
      </c>
      <c r="W304" s="437">
        <v>14.725000000042273</v>
      </c>
      <c r="X304" s="437">
        <v>16.899000000244015</v>
      </c>
      <c r="Y304" s="437">
        <f>SUM(V304:X304)</f>
        <v>67.539999999991778</v>
      </c>
    </row>
    <row r="305" spans="1:25" x14ac:dyDescent="0.25">
      <c r="A305" s="382" t="s">
        <v>390</v>
      </c>
      <c r="B305" s="438">
        <v>76.583000000070982</v>
      </c>
      <c r="C305" s="438">
        <v>13.496999999982581</v>
      </c>
      <c r="D305" s="438">
        <v>23.804999999806135</v>
      </c>
      <c r="E305" s="438">
        <f t="shared" ref="E305:E306" si="794">SUM(B305:D305)</f>
        <v>113.8849999998597</v>
      </c>
      <c r="F305" s="438"/>
      <c r="G305" s="438">
        <v>71.440000000221588</v>
      </c>
      <c r="H305" s="438">
        <v>10.990000000011461</v>
      </c>
      <c r="I305" s="438">
        <v>25.558000000003847</v>
      </c>
      <c r="J305" s="438">
        <f t="shared" ref="J305:J306" si="795">SUM(G305:I305)</f>
        <v>107.98800000023689</v>
      </c>
      <c r="K305" s="438"/>
      <c r="L305" s="438">
        <v>67.940999999528657</v>
      </c>
      <c r="M305" s="438">
        <v>7.6619999999953192</v>
      </c>
      <c r="N305" s="438">
        <v>28.203999999488246</v>
      </c>
      <c r="O305" s="438">
        <f t="shared" ref="O305:O306" si="796">SUM(L305:N305)</f>
        <v>103.80699999901222</v>
      </c>
      <c r="P305" s="438"/>
      <c r="Q305" s="438">
        <v>67.419999999893918</v>
      </c>
      <c r="R305" s="438">
        <v>9.9410000000014218</v>
      </c>
      <c r="S305" s="438">
        <v>28.123999999329413</v>
      </c>
      <c r="T305" s="438">
        <f t="shared" ref="T305:T306" si="797">SUM(Q305:S305)</f>
        <v>105.48499999922475</v>
      </c>
      <c r="U305" s="438"/>
      <c r="V305" s="438">
        <v>67.160999999606261</v>
      </c>
      <c r="W305" s="438">
        <v>11.952999999978802</v>
      </c>
      <c r="X305" s="438">
        <v>28.237999999298843</v>
      </c>
      <c r="Y305" s="438">
        <f t="shared" ref="Y305:Y306" si="798">SUM(V305:X305)</f>
        <v>107.35199999888391</v>
      </c>
    </row>
    <row r="306" spans="1:25" x14ac:dyDescent="0.25">
      <c r="A306" s="382" t="s">
        <v>389</v>
      </c>
      <c r="B306" s="438">
        <f>SUM(B304:B305)</f>
        <v>118.98799999964231</v>
      </c>
      <c r="C306" s="438">
        <f t="shared" ref="C306" si="799">SUM(C304:C305)</f>
        <v>34.031999999985459</v>
      </c>
      <c r="D306" s="438">
        <f t="shared" ref="D306" si="800">SUM(D304:D305)</f>
        <v>36.897999999948055</v>
      </c>
      <c r="E306" s="438">
        <f t="shared" si="794"/>
        <v>189.91799999957584</v>
      </c>
      <c r="F306" s="438"/>
      <c r="G306" s="438">
        <f>SUM(G304:G305)</f>
        <v>113.49699999994651</v>
      </c>
      <c r="H306" s="438">
        <f t="shared" ref="H306" si="801">SUM(H304:H305)</f>
        <v>29.106999999997463</v>
      </c>
      <c r="I306" s="438">
        <f t="shared" ref="I306" si="802">SUM(I304:I305)</f>
        <v>48.433000000290086</v>
      </c>
      <c r="J306" s="438">
        <f t="shared" si="795"/>
        <v>191.03700000023406</v>
      </c>
      <c r="K306" s="438"/>
      <c r="L306" s="438">
        <f>SUM(L304:L305)</f>
        <v>106.99399999902349</v>
      </c>
      <c r="M306" s="438">
        <f t="shared" ref="M306" si="803">SUM(M304:M305)</f>
        <v>19.471999999999337</v>
      </c>
      <c r="N306" s="438">
        <f t="shared" ref="N306" si="804">SUM(N304:N305)</f>
        <v>49.201999999555198</v>
      </c>
      <c r="O306" s="438">
        <f t="shared" si="796"/>
        <v>175.66799999857801</v>
      </c>
      <c r="P306" s="438"/>
      <c r="Q306" s="438">
        <f>SUM(Q304:Q305)</f>
        <v>104.72399999979712</v>
      </c>
      <c r="R306" s="438">
        <f t="shared" ref="R306" si="805">SUM(R304:R305)</f>
        <v>23.331999999974201</v>
      </c>
      <c r="S306" s="438">
        <f t="shared" ref="S306" si="806">SUM(S304:S305)</f>
        <v>46.775999999916877</v>
      </c>
      <c r="T306" s="438">
        <f t="shared" si="797"/>
        <v>174.83199999968818</v>
      </c>
      <c r="U306" s="438"/>
      <c r="V306" s="438">
        <f>SUM(V304:V305)</f>
        <v>103.07699999931177</v>
      </c>
      <c r="W306" s="438">
        <f t="shared" ref="W306" si="807">SUM(W304:W305)</f>
        <v>26.678000000021076</v>
      </c>
      <c r="X306" s="438">
        <f t="shared" ref="X306" si="808">SUM(X304:X305)</f>
        <v>45.136999999542859</v>
      </c>
      <c r="Y306" s="438">
        <f t="shared" si="798"/>
        <v>174.89199999887572</v>
      </c>
    </row>
    <row r="307" spans="1:25" x14ac:dyDescent="0.25">
      <c r="B307" s="380"/>
      <c r="C307" s="460"/>
      <c r="D307" s="460"/>
      <c r="E307" s="460"/>
      <c r="F307" s="460"/>
      <c r="G307" s="460"/>
      <c r="H307" s="460"/>
      <c r="I307" s="460"/>
      <c r="J307" s="460"/>
      <c r="K307" s="460"/>
      <c r="L307" s="460"/>
      <c r="M307" s="460"/>
      <c r="N307" s="460"/>
      <c r="O307" s="460"/>
      <c r="P307" s="460"/>
      <c r="Q307" s="460"/>
      <c r="R307" s="460"/>
      <c r="S307" s="460"/>
      <c r="T307" s="460"/>
      <c r="U307" s="460"/>
      <c r="V307" s="460"/>
      <c r="W307" s="460"/>
      <c r="X307" s="460"/>
      <c r="Y307" s="460"/>
    </row>
    <row r="308" spans="1:25" x14ac:dyDescent="0.25">
      <c r="A308" s="378" t="str">
        <f>name!A45</f>
        <v>Film and music</v>
      </c>
      <c r="C308" s="380"/>
      <c r="D308" s="380"/>
      <c r="E308" s="380"/>
      <c r="F308" s="380"/>
      <c r="G308" s="380"/>
      <c r="H308" s="380"/>
      <c r="I308" s="380"/>
      <c r="J308" s="380"/>
      <c r="K308" s="380"/>
      <c r="L308" s="380"/>
      <c r="M308" s="380"/>
      <c r="N308" s="380"/>
      <c r="O308" s="380"/>
      <c r="P308" s="380"/>
      <c r="Q308" s="380"/>
      <c r="R308" s="380"/>
      <c r="S308" s="380"/>
      <c r="T308" s="380"/>
      <c r="U308" s="380"/>
      <c r="V308" s="380"/>
      <c r="W308" s="380"/>
      <c r="X308" s="380"/>
      <c r="Y308" s="380"/>
    </row>
    <row r="309" spans="1:25" x14ac:dyDescent="0.25">
      <c r="A309" s="382" t="s">
        <v>391</v>
      </c>
      <c r="B309" s="437">
        <v>41.133999999708571</v>
      </c>
      <c r="C309" s="437">
        <v>23.384000000083891</v>
      </c>
      <c r="D309" s="437">
        <v>9.3500000000571557</v>
      </c>
      <c r="E309" s="437">
        <f>SUM(B309:D309)</f>
        <v>73.867999999849616</v>
      </c>
      <c r="F309" s="437"/>
      <c r="G309" s="437">
        <v>44.393999999932554</v>
      </c>
      <c r="H309" s="437">
        <v>18.730999999990566</v>
      </c>
      <c r="I309" s="437">
        <v>15.382000000285514</v>
      </c>
      <c r="J309" s="437">
        <f>SUM(G309:I309)</f>
        <v>78.507000000208635</v>
      </c>
      <c r="K309" s="437"/>
      <c r="L309" s="437">
        <v>52.291999999468679</v>
      </c>
      <c r="M309" s="437">
        <v>24.270000000161243</v>
      </c>
      <c r="N309" s="437">
        <v>13.001000000112692</v>
      </c>
      <c r="O309" s="437">
        <f>SUM(L309:N309)</f>
        <v>89.562999999742615</v>
      </c>
      <c r="P309" s="437"/>
      <c r="Q309" s="437">
        <v>50.284000000104996</v>
      </c>
      <c r="R309" s="437">
        <v>27.224999999893988</v>
      </c>
      <c r="S309" s="437">
        <v>12.56500000041091</v>
      </c>
      <c r="T309" s="437">
        <f>SUM(Q309:S309)</f>
        <v>90.074000000409896</v>
      </c>
      <c r="U309" s="437"/>
      <c r="V309" s="437">
        <v>48.541999999658721</v>
      </c>
      <c r="W309" s="437">
        <v>29.877000000050518</v>
      </c>
      <c r="X309" s="437">
        <v>12.149000000211569</v>
      </c>
      <c r="Y309" s="437">
        <f>SUM(V309:X309)</f>
        <v>90.567999999920815</v>
      </c>
    </row>
    <row r="310" spans="1:25" x14ac:dyDescent="0.25">
      <c r="A310" s="382" t="s">
        <v>390</v>
      </c>
      <c r="B310" s="438">
        <v>37.548000000059389</v>
      </c>
      <c r="C310" s="438">
        <v>9.2229999999696197</v>
      </c>
      <c r="D310" s="438">
        <v>15.205999999769345</v>
      </c>
      <c r="E310" s="438">
        <f t="shared" ref="E310:E311" si="809">SUM(B310:D310)</f>
        <v>61.976999999798352</v>
      </c>
      <c r="F310" s="438"/>
      <c r="G310" s="438">
        <v>36.663000000148031</v>
      </c>
      <c r="H310" s="438">
        <v>6.1209999999822973</v>
      </c>
      <c r="I310" s="438">
        <v>15.834000000014107</v>
      </c>
      <c r="J310" s="438">
        <f t="shared" ref="J310:J311" si="810">SUM(G310:I310)</f>
        <v>58.618000000144434</v>
      </c>
      <c r="K310" s="438"/>
      <c r="L310" s="438">
        <v>47.463999999960194</v>
      </c>
      <c r="M310" s="438">
        <v>11.183000000016131</v>
      </c>
      <c r="N310" s="438">
        <v>24.562999999408493</v>
      </c>
      <c r="O310" s="438">
        <f t="shared" ref="O310:O311" si="811">SUM(L310:N310)</f>
        <v>83.20999999938482</v>
      </c>
      <c r="P310" s="438"/>
      <c r="Q310" s="438">
        <v>47.935999999954241</v>
      </c>
      <c r="R310" s="438">
        <v>14.467999999929775</v>
      </c>
      <c r="S310" s="438">
        <v>24.612999999075985</v>
      </c>
      <c r="T310" s="438">
        <f t="shared" ref="T310:T311" si="812">SUM(Q310:S310)</f>
        <v>87.016999998960003</v>
      </c>
      <c r="U310" s="438"/>
      <c r="V310" s="438">
        <v>48.017999999924214</v>
      </c>
      <c r="W310" s="438">
        <v>17.408999999916936</v>
      </c>
      <c r="X310" s="438">
        <v>24.732999999158086</v>
      </c>
      <c r="Y310" s="438">
        <f t="shared" ref="Y310:Y311" si="813">SUM(V310:X310)</f>
        <v>90.159999998999226</v>
      </c>
    </row>
    <row r="311" spans="1:25" x14ac:dyDescent="0.25">
      <c r="A311" s="382" t="s">
        <v>389</v>
      </c>
      <c r="B311" s="438">
        <f>SUM(B309:B310)</f>
        <v>78.681999999767953</v>
      </c>
      <c r="C311" s="438">
        <f t="shared" ref="C311" si="814">SUM(C309:C310)</f>
        <v>32.60700000005351</v>
      </c>
      <c r="D311" s="438">
        <f t="shared" ref="D311" si="815">SUM(D309:D310)</f>
        <v>24.555999999826501</v>
      </c>
      <c r="E311" s="438">
        <f t="shared" si="809"/>
        <v>135.84499999964797</v>
      </c>
      <c r="F311" s="438"/>
      <c r="G311" s="438">
        <f>SUM(G309:G310)</f>
        <v>81.057000000080592</v>
      </c>
      <c r="H311" s="438">
        <f t="shared" ref="H311" si="816">SUM(H309:H310)</f>
        <v>24.851999999972861</v>
      </c>
      <c r="I311" s="438">
        <f t="shared" ref="I311" si="817">SUM(I309:I310)</f>
        <v>31.216000000299623</v>
      </c>
      <c r="J311" s="438">
        <f t="shared" si="810"/>
        <v>137.12500000035308</v>
      </c>
      <c r="K311" s="438"/>
      <c r="L311" s="438">
        <f>SUM(L309:L310)</f>
        <v>99.755999999428866</v>
      </c>
      <c r="M311" s="438">
        <f t="shared" ref="M311" si="818">SUM(M309:M310)</f>
        <v>35.453000000177376</v>
      </c>
      <c r="N311" s="438">
        <f t="shared" ref="N311" si="819">SUM(N309:N310)</f>
        <v>37.563999999521187</v>
      </c>
      <c r="O311" s="438">
        <f t="shared" si="811"/>
        <v>172.77299999912742</v>
      </c>
      <c r="P311" s="438"/>
      <c r="Q311" s="438">
        <f>SUM(Q309:Q310)</f>
        <v>98.22000000005923</v>
      </c>
      <c r="R311" s="438">
        <f t="shared" ref="R311" si="820">SUM(R309:R310)</f>
        <v>41.692999999823762</v>
      </c>
      <c r="S311" s="438">
        <f t="shared" ref="S311" si="821">SUM(S309:S310)</f>
        <v>37.177999999486893</v>
      </c>
      <c r="T311" s="438">
        <f t="shared" si="812"/>
        <v>177.0909999993699</v>
      </c>
      <c r="U311" s="438"/>
      <c r="V311" s="438">
        <f>SUM(V309:V310)</f>
        <v>96.559999999582942</v>
      </c>
      <c r="W311" s="438">
        <f t="shared" ref="W311" si="822">SUM(W309:W310)</f>
        <v>47.285999999967459</v>
      </c>
      <c r="X311" s="438">
        <f t="shared" ref="X311" si="823">SUM(X309:X310)</f>
        <v>36.881999999369654</v>
      </c>
      <c r="Y311" s="438">
        <f t="shared" si="813"/>
        <v>180.72799999892004</v>
      </c>
    </row>
    <row r="312" spans="1:25" x14ac:dyDescent="0.25">
      <c r="B312" s="380"/>
      <c r="C312" s="460"/>
      <c r="D312" s="460"/>
      <c r="E312" s="460"/>
      <c r="F312" s="460"/>
      <c r="G312" s="460"/>
      <c r="H312" s="460"/>
      <c r="I312" s="460"/>
      <c r="J312" s="460"/>
      <c r="K312" s="460"/>
      <c r="L312" s="460"/>
      <c r="M312" s="460"/>
      <c r="N312" s="460"/>
      <c r="O312" s="460"/>
      <c r="P312" s="460"/>
      <c r="Q312" s="460"/>
      <c r="R312" s="460"/>
      <c r="S312" s="460"/>
      <c r="T312" s="460"/>
      <c r="U312" s="460"/>
      <c r="V312" s="460"/>
      <c r="W312" s="460"/>
      <c r="X312" s="460"/>
      <c r="Y312" s="460"/>
    </row>
    <row r="313" spans="1:25" x14ac:dyDescent="0.25">
      <c r="A313" s="378" t="str">
        <f>name!A46</f>
        <v>Broadcasting</v>
      </c>
      <c r="C313" s="380"/>
      <c r="D313" s="380"/>
      <c r="E313" s="380"/>
      <c r="F313" s="380"/>
      <c r="G313" s="380"/>
      <c r="H313" s="380"/>
      <c r="I313" s="380"/>
      <c r="J313" s="380"/>
      <c r="K313" s="380"/>
      <c r="L313" s="380"/>
      <c r="M313" s="380"/>
      <c r="N313" s="380"/>
      <c r="O313" s="380"/>
      <c r="P313" s="380"/>
      <c r="Q313" s="380"/>
      <c r="R313" s="380"/>
      <c r="S313" s="380"/>
      <c r="T313" s="380"/>
      <c r="U313" s="380"/>
      <c r="V313" s="380"/>
      <c r="W313" s="380"/>
      <c r="X313" s="380"/>
      <c r="Y313" s="380"/>
    </row>
    <row r="314" spans="1:25" x14ac:dyDescent="0.25">
      <c r="A314" s="382" t="s">
        <v>391</v>
      </c>
      <c r="B314" s="437">
        <v>4.7169999999645791</v>
      </c>
      <c r="C314" s="437">
        <v>1.2860000000023755</v>
      </c>
      <c r="D314" s="437">
        <v>4.915000000031494</v>
      </c>
      <c r="E314" s="437">
        <f>SUM(B314:D314)</f>
        <v>10.917999999998449</v>
      </c>
      <c r="F314" s="437"/>
      <c r="G314" s="437">
        <v>10.543000000020031</v>
      </c>
      <c r="H314" s="437">
        <v>1.148999999991698</v>
      </c>
      <c r="I314" s="437">
        <v>2.1890000000609571</v>
      </c>
      <c r="J314" s="437">
        <f>SUM(G314:I314)</f>
        <v>13.881000000072687</v>
      </c>
      <c r="K314" s="437"/>
      <c r="L314" s="437">
        <v>7.7349999999061056</v>
      </c>
      <c r="M314" s="437">
        <v>1.9570000000054497</v>
      </c>
      <c r="N314" s="437">
        <v>2.9989999999990631</v>
      </c>
      <c r="O314" s="437">
        <f>SUM(L314:N314)</f>
        <v>12.690999999910618</v>
      </c>
      <c r="P314" s="437"/>
      <c r="Q314" s="437">
        <v>7.5160000000170939</v>
      </c>
      <c r="R314" s="437">
        <v>2.2379999999988391</v>
      </c>
      <c r="S314" s="437">
        <v>3.4690000001304511</v>
      </c>
      <c r="T314" s="437">
        <f>SUM(Q314:S314)</f>
        <v>13.223000000146385</v>
      </c>
      <c r="U314" s="437"/>
      <c r="V314" s="437">
        <v>7.2899999999395444</v>
      </c>
      <c r="W314" s="437">
        <v>2.4630000000011472</v>
      </c>
      <c r="X314" s="437">
        <v>3.8130000000361393</v>
      </c>
      <c r="Y314" s="437">
        <f>SUM(V314:X314)</f>
        <v>13.56599999997683</v>
      </c>
    </row>
    <row r="315" spans="1:25" x14ac:dyDescent="0.25">
      <c r="A315" s="382" t="s">
        <v>390</v>
      </c>
      <c r="B315" s="438">
        <v>14.534000000045703</v>
      </c>
      <c r="C315" s="438">
        <v>1.1549999999959115</v>
      </c>
      <c r="D315" s="438">
        <v>4.5469999999337043</v>
      </c>
      <c r="E315" s="438">
        <f t="shared" ref="E315:E316" si="824">SUM(B315:D315)</f>
        <v>20.23599999997532</v>
      </c>
      <c r="F315" s="438"/>
      <c r="G315" s="438">
        <v>23.889000000174164</v>
      </c>
      <c r="H315" s="438">
        <v>0.88699999999732748</v>
      </c>
      <c r="I315" s="438">
        <v>6.6790000000306025</v>
      </c>
      <c r="J315" s="438">
        <f t="shared" ref="J315:J316" si="825">SUM(G315:I315)</f>
        <v>31.455000000202094</v>
      </c>
      <c r="K315" s="438"/>
      <c r="L315" s="438">
        <v>22.621999999931937</v>
      </c>
      <c r="M315" s="438">
        <v>2.2559999999996094</v>
      </c>
      <c r="N315" s="438">
        <v>8.2339999998172981</v>
      </c>
      <c r="O315" s="438">
        <f t="shared" ref="O315:O316" si="826">SUM(L315:N315)</f>
        <v>33.111999999748846</v>
      </c>
      <c r="P315" s="438"/>
      <c r="Q315" s="438">
        <v>22.516999999955061</v>
      </c>
      <c r="R315" s="438">
        <v>2.9279999999919015</v>
      </c>
      <c r="S315" s="438">
        <v>8.2609999996672183</v>
      </c>
      <c r="T315" s="438">
        <f t="shared" ref="T315:T316" si="827">SUM(Q315:S315)</f>
        <v>33.705999999614178</v>
      </c>
      <c r="U315" s="438"/>
      <c r="V315" s="438">
        <v>22.478999999911544</v>
      </c>
      <c r="W315" s="438">
        <v>3.5269999999888553</v>
      </c>
      <c r="X315" s="438">
        <v>8.3119999996903005</v>
      </c>
      <c r="Y315" s="438">
        <f t="shared" ref="Y315:Y316" si="828">SUM(V315:X315)</f>
        <v>34.317999999590697</v>
      </c>
    </row>
    <row r="316" spans="1:25" x14ac:dyDescent="0.25">
      <c r="A316" s="382" t="s">
        <v>389</v>
      </c>
      <c r="B316" s="438">
        <f>SUM(B314:B315)</f>
        <v>19.251000000010283</v>
      </c>
      <c r="C316" s="438">
        <f t="shared" ref="C316" si="829">SUM(C314:C315)</f>
        <v>2.440999999998287</v>
      </c>
      <c r="D316" s="438">
        <f t="shared" ref="D316" si="830">SUM(D314:D315)</f>
        <v>9.4619999999651974</v>
      </c>
      <c r="E316" s="438">
        <f t="shared" si="824"/>
        <v>31.153999999973767</v>
      </c>
      <c r="F316" s="438"/>
      <c r="G316" s="438">
        <f>SUM(G314:G315)</f>
        <v>34.432000000194193</v>
      </c>
      <c r="H316" s="438">
        <f t="shared" ref="H316" si="831">SUM(H314:H315)</f>
        <v>2.0359999999890253</v>
      </c>
      <c r="I316" s="438">
        <f t="shared" ref="I316" si="832">SUM(I314:I315)</f>
        <v>8.8680000000915591</v>
      </c>
      <c r="J316" s="438">
        <f t="shared" si="825"/>
        <v>45.33600000027478</v>
      </c>
      <c r="K316" s="438"/>
      <c r="L316" s="438">
        <f>SUM(L314:L315)</f>
        <v>30.356999999838042</v>
      </c>
      <c r="M316" s="438">
        <f t="shared" ref="M316" si="833">SUM(M314:M315)</f>
        <v>4.2130000000050591</v>
      </c>
      <c r="N316" s="438">
        <f t="shared" ref="N316" si="834">SUM(N314:N315)</f>
        <v>11.232999999816361</v>
      </c>
      <c r="O316" s="438">
        <f t="shared" si="826"/>
        <v>45.802999999659463</v>
      </c>
      <c r="P316" s="438"/>
      <c r="Q316" s="438">
        <f>SUM(Q314:Q315)</f>
        <v>30.032999999972155</v>
      </c>
      <c r="R316" s="438">
        <f t="shared" ref="R316" si="835">SUM(R314:R315)</f>
        <v>5.1659999999907402</v>
      </c>
      <c r="S316" s="438">
        <f t="shared" ref="S316" si="836">SUM(S314:S315)</f>
        <v>11.72999999979767</v>
      </c>
      <c r="T316" s="438">
        <f t="shared" si="827"/>
        <v>46.928999999760563</v>
      </c>
      <c r="U316" s="438"/>
      <c r="V316" s="438">
        <f>SUM(V314:V315)</f>
        <v>29.76899999985109</v>
      </c>
      <c r="W316" s="438">
        <f t="shared" ref="W316" si="837">SUM(W314:W315)</f>
        <v>5.9899999999900029</v>
      </c>
      <c r="X316" s="438">
        <f t="shared" ref="X316" si="838">SUM(X314:X315)</f>
        <v>12.124999999726439</v>
      </c>
      <c r="Y316" s="438">
        <f t="shared" si="828"/>
        <v>47.883999999567536</v>
      </c>
    </row>
    <row r="317" spans="1:25" x14ac:dyDescent="0.25">
      <c r="C317" s="453"/>
    </row>
    <row r="318" spans="1:25" x14ac:dyDescent="0.25">
      <c r="A318" s="383" t="s">
        <v>399</v>
      </c>
      <c r="C318" s="453"/>
    </row>
    <row r="319" spans="1:25" x14ac:dyDescent="0.25">
      <c r="A319" s="377" t="s">
        <v>391</v>
      </c>
      <c r="B319" s="437">
        <f>SUM(B304,B309,B314)</f>
        <v>88.25599999924448</v>
      </c>
      <c r="C319" s="437">
        <f t="shared" ref="C319:D319" si="839">SUM(C304,C309,C314)</f>
        <v>45.205000000089143</v>
      </c>
      <c r="D319" s="437">
        <f t="shared" si="839"/>
        <v>27.358000000230565</v>
      </c>
      <c r="E319" s="437">
        <f>SUM(B319:D319)</f>
        <v>160.8189999995642</v>
      </c>
      <c r="F319" s="437"/>
      <c r="G319" s="437">
        <f>SUM(G304,G309,G314)</f>
        <v>96.993999999677513</v>
      </c>
      <c r="H319" s="437">
        <f t="shared" ref="H319:I319" si="840">SUM(H304,H309,H314)</f>
        <v>37.99699999996826</v>
      </c>
      <c r="I319" s="437">
        <f t="shared" si="840"/>
        <v>40.446000000632708</v>
      </c>
      <c r="J319" s="437">
        <f>SUM(G319:I319)</f>
        <v>175.43700000027849</v>
      </c>
      <c r="K319" s="437"/>
      <c r="L319" s="437">
        <f>SUM(L304,L309,L314)</f>
        <v>99.07999999886961</v>
      </c>
      <c r="M319" s="437">
        <f t="shared" ref="M319:N319" si="841">SUM(M304,M309,M314)</f>
        <v>38.037000000170707</v>
      </c>
      <c r="N319" s="437">
        <f t="shared" si="841"/>
        <v>36.998000000178713</v>
      </c>
      <c r="O319" s="437">
        <f>SUM(L319:N319)</f>
        <v>174.11499999921904</v>
      </c>
      <c r="P319" s="437"/>
      <c r="Q319" s="437">
        <f>SUM(Q304,Q309,Q314)</f>
        <v>95.10400000002528</v>
      </c>
      <c r="R319" s="437">
        <f t="shared" ref="R319:S319" si="842">SUM(R304,R309,R314)</f>
        <v>42.853999999865607</v>
      </c>
      <c r="S319" s="437">
        <f t="shared" si="842"/>
        <v>34.686000001128825</v>
      </c>
      <c r="T319" s="437">
        <f>SUM(Q319:S319)</f>
        <v>172.64400000101972</v>
      </c>
      <c r="U319" s="437"/>
      <c r="V319" s="437">
        <f>SUM(V304,V309,V314)</f>
        <v>91.747999999303758</v>
      </c>
      <c r="W319" s="437">
        <f t="shared" ref="W319:X319" si="843">SUM(W304,W309,W314)</f>
        <v>47.065000000093939</v>
      </c>
      <c r="X319" s="437">
        <f t="shared" si="843"/>
        <v>32.861000000491721</v>
      </c>
      <c r="Y319" s="437">
        <f>SUM(V319:X319)</f>
        <v>171.67399999988942</v>
      </c>
    </row>
    <row r="320" spans="1:25" x14ac:dyDescent="0.25">
      <c r="A320" s="377" t="s">
        <v>390</v>
      </c>
      <c r="B320" s="437">
        <f>SUM(B305,B310,B315)</f>
        <v>128.66500000017606</v>
      </c>
      <c r="C320" s="437">
        <f t="shared" ref="C320:D320" si="844">SUM(C305,C310,C315)</f>
        <v>23.874999999948113</v>
      </c>
      <c r="D320" s="437">
        <f t="shared" si="844"/>
        <v>43.557999999509185</v>
      </c>
      <c r="E320" s="437">
        <f t="shared" ref="E320:E321" si="845">SUM(B320:D320)</f>
        <v>196.09799999963334</v>
      </c>
      <c r="F320" s="437"/>
      <c r="G320" s="437">
        <f>SUM(G305,G310,G315)</f>
        <v>131.99200000054378</v>
      </c>
      <c r="H320" s="437">
        <f t="shared" ref="H320:I320" si="846">SUM(H305,H310,H315)</f>
        <v>17.997999999991087</v>
      </c>
      <c r="I320" s="437">
        <f t="shared" si="846"/>
        <v>48.071000000048564</v>
      </c>
      <c r="J320" s="437">
        <f t="shared" ref="J320:J321" si="847">SUM(G320:I320)</f>
        <v>198.06100000058345</v>
      </c>
      <c r="K320" s="437"/>
      <c r="L320" s="437">
        <f>SUM(L305,L310,L315)</f>
        <v>138.02699999942078</v>
      </c>
      <c r="M320" s="437">
        <f t="shared" ref="M320:N320" si="848">SUM(M305,M310,M315)</f>
        <v>21.101000000011059</v>
      </c>
      <c r="N320" s="437">
        <f t="shared" si="848"/>
        <v>61.000999998714036</v>
      </c>
      <c r="O320" s="437">
        <f t="shared" ref="O320:O321" si="849">SUM(L320:N320)</f>
        <v>220.12899999814587</v>
      </c>
      <c r="P320" s="437"/>
      <c r="Q320" s="437">
        <f>SUM(Q305,Q310,Q315)</f>
        <v>137.87299999980323</v>
      </c>
      <c r="R320" s="437">
        <f t="shared" ref="R320:S320" si="850">SUM(R305,R310,R315)</f>
        <v>27.336999999923098</v>
      </c>
      <c r="S320" s="437">
        <f t="shared" si="850"/>
        <v>60.997999998072615</v>
      </c>
      <c r="T320" s="437">
        <f t="shared" ref="T320:T321" si="851">SUM(Q320:S320)</f>
        <v>226.20799999779894</v>
      </c>
      <c r="U320" s="437"/>
      <c r="V320" s="437">
        <f>SUM(V305,V310,V315)</f>
        <v>137.65799999944201</v>
      </c>
      <c r="W320" s="437">
        <f t="shared" ref="W320:X320" si="852">SUM(W305,W310,W315)</f>
        <v>32.888999999884589</v>
      </c>
      <c r="X320" s="437">
        <f t="shared" si="852"/>
        <v>61.282999998147233</v>
      </c>
      <c r="Y320" s="437">
        <f t="shared" ref="Y320:Y321" si="853">SUM(V320:X320)</f>
        <v>231.82999999747383</v>
      </c>
    </row>
    <row r="321" spans="1:25" x14ac:dyDescent="0.25">
      <c r="A321" s="381" t="s">
        <v>389</v>
      </c>
      <c r="B321" s="439">
        <f>SUM(B319:B320)</f>
        <v>216.92099999942053</v>
      </c>
      <c r="C321" s="439">
        <f t="shared" ref="C321" si="854">SUM(C319:C320)</f>
        <v>69.080000000037259</v>
      </c>
      <c r="D321" s="439">
        <f t="shared" ref="D321" si="855">SUM(D319:D320)</f>
        <v>70.915999999739753</v>
      </c>
      <c r="E321" s="439">
        <f t="shared" si="845"/>
        <v>356.91699999919757</v>
      </c>
      <c r="F321" s="439"/>
      <c r="G321" s="439">
        <f>SUM(G319:G320)</f>
        <v>228.98600000022128</v>
      </c>
      <c r="H321" s="439">
        <f t="shared" ref="H321" si="856">SUM(H319:H320)</f>
        <v>55.994999999959347</v>
      </c>
      <c r="I321" s="439">
        <f t="shared" ref="I321" si="857">SUM(I319:I320)</f>
        <v>88.517000000681264</v>
      </c>
      <c r="J321" s="439">
        <f t="shared" si="847"/>
        <v>373.49800000086191</v>
      </c>
      <c r="K321" s="439"/>
      <c r="L321" s="439">
        <f>SUM(L319:L320)</f>
        <v>237.10699999829041</v>
      </c>
      <c r="M321" s="439">
        <f t="shared" ref="M321" si="858">SUM(M319:M320)</f>
        <v>59.138000000181762</v>
      </c>
      <c r="N321" s="439">
        <f t="shared" ref="N321" si="859">SUM(N319:N320)</f>
        <v>97.998999998892742</v>
      </c>
      <c r="O321" s="439">
        <f t="shared" si="849"/>
        <v>394.24399999736488</v>
      </c>
      <c r="P321" s="439"/>
      <c r="Q321" s="439">
        <f>SUM(Q319:Q320)</f>
        <v>232.97699999982851</v>
      </c>
      <c r="R321" s="439">
        <f t="shared" ref="R321" si="860">SUM(R319:R320)</f>
        <v>70.190999999788701</v>
      </c>
      <c r="S321" s="439">
        <f t="shared" ref="S321" si="861">SUM(S319:S320)</f>
        <v>95.683999999201433</v>
      </c>
      <c r="T321" s="439">
        <f t="shared" si="851"/>
        <v>398.85199999881866</v>
      </c>
      <c r="U321" s="439"/>
      <c r="V321" s="439">
        <f>SUM(V319:V320)</f>
        <v>229.40599999874576</v>
      </c>
      <c r="W321" s="439">
        <f t="shared" ref="W321" si="862">SUM(W319:W320)</f>
        <v>79.953999999978521</v>
      </c>
      <c r="X321" s="439">
        <f t="shared" ref="X321" si="863">SUM(X319:X320)</f>
        <v>94.143999998638947</v>
      </c>
      <c r="Y321" s="439">
        <f t="shared" si="853"/>
        <v>403.50399999736322</v>
      </c>
    </row>
    <row r="322" spans="1:25" x14ac:dyDescent="0.25">
      <c r="C322" s="453"/>
    </row>
    <row r="323" spans="1:25" x14ac:dyDescent="0.25">
      <c r="C323" s="453"/>
    </row>
    <row r="324" spans="1:25" x14ac:dyDescent="0.25">
      <c r="A324" s="384"/>
    </row>
    <row r="325" spans="1:25" ht="13.8" x14ac:dyDescent="0.25">
      <c r="A325" s="385" t="str">
        <f>"Industry 13 : "&amp; name!B16</f>
        <v>Industry 13 : Information technology</v>
      </c>
      <c r="B325" s="514">
        <f>$B$5</f>
        <v>2007</v>
      </c>
      <c r="C325" s="514"/>
      <c r="D325" s="514"/>
      <c r="E325" s="514"/>
      <c r="F325" s="461"/>
      <c r="G325" s="514">
        <f>$G$5</f>
        <v>2012</v>
      </c>
      <c r="H325" s="514"/>
      <c r="I325" s="514"/>
      <c r="J325" s="514"/>
      <c r="K325" s="461"/>
      <c r="L325" s="514">
        <f>$L$5</f>
        <v>2017</v>
      </c>
      <c r="M325" s="514"/>
      <c r="N325" s="514"/>
      <c r="O325" s="514"/>
      <c r="P325" s="459"/>
      <c r="Q325" s="514">
        <f>$Q$5</f>
        <v>2022</v>
      </c>
      <c r="R325" s="514"/>
      <c r="S325" s="514"/>
      <c r="T325" s="514"/>
      <c r="U325" s="461"/>
      <c r="V325" s="514">
        <f>$V$5</f>
        <v>2027</v>
      </c>
      <c r="W325" s="514"/>
      <c r="X325" s="514"/>
      <c r="Y325" s="514"/>
    </row>
    <row r="326" spans="1:25" x14ac:dyDescent="0.25">
      <c r="A326" s="381"/>
      <c r="B326" s="388" t="str">
        <f>$B$6</f>
        <v>FT</v>
      </c>
      <c r="C326" s="388" t="str">
        <f>$C$6</f>
        <v>PT</v>
      </c>
      <c r="D326" s="388" t="str">
        <f>$D$6</f>
        <v>SE</v>
      </c>
      <c r="E326" s="388" t="str">
        <f>$E$6</f>
        <v>Total</v>
      </c>
      <c r="F326" s="388"/>
      <c r="G326" s="388" t="str">
        <f>$B$6</f>
        <v>FT</v>
      </c>
      <c r="H326" s="388" t="str">
        <f>$C$6</f>
        <v>PT</v>
      </c>
      <c r="I326" s="388" t="str">
        <f>$D$6</f>
        <v>SE</v>
      </c>
      <c r="J326" s="388" t="str">
        <f>$E$6</f>
        <v>Total</v>
      </c>
      <c r="K326" s="388"/>
      <c r="L326" s="388" t="str">
        <f>$L$6</f>
        <v>FT</v>
      </c>
      <c r="M326" s="388" t="str">
        <f>$M$6</f>
        <v>PT</v>
      </c>
      <c r="N326" s="388" t="str">
        <f>$N$6</f>
        <v>SE</v>
      </c>
      <c r="O326" s="388" t="str">
        <f>$O$6</f>
        <v>Total</v>
      </c>
      <c r="P326" s="388"/>
      <c r="Q326" s="388" t="str">
        <f>$L$6</f>
        <v>FT</v>
      </c>
      <c r="R326" s="388" t="str">
        <f>$M$6</f>
        <v>PT</v>
      </c>
      <c r="S326" s="388" t="str">
        <f>$N$6</f>
        <v>SE</v>
      </c>
      <c r="T326" s="388" t="str">
        <f>$O$6</f>
        <v>Total</v>
      </c>
      <c r="U326" s="388"/>
      <c r="V326" s="388" t="str">
        <f>$V$6</f>
        <v>FT</v>
      </c>
      <c r="W326" s="388" t="str">
        <f>$W$6</f>
        <v>PT</v>
      </c>
      <c r="X326" s="388" t="str">
        <f>$X$6</f>
        <v>SE</v>
      </c>
      <c r="Y326" s="388" t="str">
        <f>$Y$6</f>
        <v>Total</v>
      </c>
    </row>
    <row r="327" spans="1:25" x14ac:dyDescent="0.25">
      <c r="B327" s="380"/>
      <c r="C327" s="460"/>
      <c r="D327" s="460"/>
      <c r="E327" s="460"/>
      <c r="F327" s="460"/>
      <c r="G327" s="460"/>
      <c r="H327" s="460"/>
      <c r="I327" s="460"/>
      <c r="J327" s="460"/>
      <c r="K327" s="460"/>
      <c r="L327" s="460"/>
      <c r="M327" s="460"/>
      <c r="N327" s="460"/>
      <c r="O327" s="460"/>
      <c r="P327" s="460"/>
      <c r="Q327" s="460"/>
      <c r="R327" s="460"/>
      <c r="S327" s="460"/>
      <c r="T327" s="460"/>
      <c r="U327" s="460"/>
      <c r="V327" s="460"/>
      <c r="W327" s="460"/>
      <c r="X327" s="460"/>
      <c r="Y327" s="460"/>
    </row>
    <row r="328" spans="1:25" x14ac:dyDescent="0.25">
      <c r="A328" s="378" t="str">
        <f>name!A47</f>
        <v>Telecommunications</v>
      </c>
      <c r="C328" s="380"/>
      <c r="D328" s="380"/>
      <c r="E328" s="380"/>
      <c r="F328" s="380"/>
      <c r="G328" s="380"/>
      <c r="H328" s="380"/>
      <c r="I328" s="380"/>
      <c r="J328" s="380"/>
      <c r="K328" s="380"/>
      <c r="L328" s="380"/>
      <c r="M328" s="380"/>
      <c r="N328" s="380"/>
      <c r="O328" s="380"/>
      <c r="P328" s="380"/>
      <c r="Q328" s="380"/>
      <c r="R328" s="380"/>
      <c r="S328" s="380"/>
      <c r="T328" s="380"/>
      <c r="U328" s="380"/>
      <c r="V328" s="380"/>
      <c r="W328" s="380"/>
      <c r="X328" s="380"/>
      <c r="Y328" s="380"/>
    </row>
    <row r="329" spans="1:25" x14ac:dyDescent="0.25">
      <c r="A329" s="382" t="s">
        <v>391</v>
      </c>
      <c r="B329" s="437">
        <v>31.167999999694956</v>
      </c>
      <c r="C329" s="437">
        <v>12.417000000118996</v>
      </c>
      <c r="D329" s="437">
        <v>0.93700000000542005</v>
      </c>
      <c r="E329" s="437">
        <f>SUM(B329:D329)</f>
        <v>44.521999999819371</v>
      </c>
      <c r="F329" s="437"/>
      <c r="G329" s="437">
        <v>27.079999999722357</v>
      </c>
      <c r="H329" s="437">
        <v>10.621000000141027</v>
      </c>
      <c r="I329" s="437">
        <v>0.8590000000003214</v>
      </c>
      <c r="J329" s="437">
        <f>SUM(G329:I329)</f>
        <v>38.559999999863706</v>
      </c>
      <c r="K329" s="437"/>
      <c r="L329" s="437">
        <v>30.894999999713352</v>
      </c>
      <c r="M329" s="437">
        <v>9.4780000001786338</v>
      </c>
      <c r="N329" s="437">
        <v>1.1330000000047915</v>
      </c>
      <c r="O329" s="437">
        <f>SUM(L329:N329)</f>
        <v>41.50599999989678</v>
      </c>
      <c r="P329" s="437"/>
      <c r="Q329" s="437">
        <v>32.165999999661864</v>
      </c>
      <c r="R329" s="437">
        <v>13.389000000254907</v>
      </c>
      <c r="S329" s="437">
        <v>1.4380000000137942</v>
      </c>
      <c r="T329" s="437">
        <f>SUM(Q329:S329)</f>
        <v>46.992999999930568</v>
      </c>
      <c r="U329" s="437"/>
      <c r="V329" s="437">
        <v>33.282999999763511</v>
      </c>
      <c r="W329" s="437">
        <v>16.791000000348745</v>
      </c>
      <c r="X329" s="437">
        <v>1.7760000000102727</v>
      </c>
      <c r="Y329" s="437">
        <f>SUM(V329:X329)</f>
        <v>51.850000000122527</v>
      </c>
    </row>
    <row r="330" spans="1:25" x14ac:dyDescent="0.25">
      <c r="A330" s="382" t="s">
        <v>390</v>
      </c>
      <c r="B330" s="438">
        <v>140.28200000002579</v>
      </c>
      <c r="C330" s="438">
        <v>4.9809999999839487</v>
      </c>
      <c r="D330" s="438">
        <v>25.237999999893386</v>
      </c>
      <c r="E330" s="438">
        <f t="shared" ref="E330:E331" si="864">SUM(B330:D330)</f>
        <v>170.50099999990312</v>
      </c>
      <c r="F330" s="438"/>
      <c r="G330" s="438">
        <v>143.62500000043735</v>
      </c>
      <c r="H330" s="438">
        <v>4.2459999999809321</v>
      </c>
      <c r="I330" s="438">
        <v>19.39499999997043</v>
      </c>
      <c r="J330" s="438">
        <f t="shared" ref="J330:J331" si="865">SUM(G330:I330)</f>
        <v>167.26600000038871</v>
      </c>
      <c r="K330" s="438"/>
      <c r="L330" s="438">
        <v>147.46499999882622</v>
      </c>
      <c r="M330" s="438">
        <v>4.6579999999986992</v>
      </c>
      <c r="N330" s="438">
        <v>17.785999999683156</v>
      </c>
      <c r="O330" s="438">
        <f t="shared" ref="O330:O331" si="866">SUM(L330:N330)</f>
        <v>169.90899999850808</v>
      </c>
      <c r="P330" s="438"/>
      <c r="Q330" s="438">
        <v>143.54700000046543</v>
      </c>
      <c r="R330" s="438">
        <v>7.0289999999706314</v>
      </c>
      <c r="S330" s="438">
        <v>20.049999999795524</v>
      </c>
      <c r="T330" s="438">
        <f t="shared" ref="T330:T331" si="867">SUM(Q330:S330)</f>
        <v>170.62600000023158</v>
      </c>
      <c r="U330" s="438"/>
      <c r="V330" s="438">
        <v>140.6549999998162</v>
      </c>
      <c r="W330" s="438">
        <v>9.0849999999618554</v>
      </c>
      <c r="X330" s="438">
        <v>21.969999999731797</v>
      </c>
      <c r="Y330" s="438">
        <f t="shared" ref="Y330:Y331" si="868">SUM(V330:X330)</f>
        <v>171.70999999950988</v>
      </c>
    </row>
    <row r="331" spans="1:25" x14ac:dyDescent="0.25">
      <c r="A331" s="382" t="s">
        <v>389</v>
      </c>
      <c r="B331" s="438">
        <f>SUM(B329:B330)</f>
        <v>171.44999999972075</v>
      </c>
      <c r="C331" s="438">
        <f t="shared" ref="C331" si="869">SUM(C329:C330)</f>
        <v>17.398000000102947</v>
      </c>
      <c r="D331" s="438">
        <f t="shared" ref="D331" si="870">SUM(D329:D330)</f>
        <v>26.174999999898805</v>
      </c>
      <c r="E331" s="438">
        <f t="shared" si="864"/>
        <v>215.02299999972249</v>
      </c>
      <c r="F331" s="438"/>
      <c r="G331" s="438">
        <f>SUM(G329:G330)</f>
        <v>170.70500000015971</v>
      </c>
      <c r="H331" s="438">
        <f t="shared" ref="H331" si="871">SUM(H329:H330)</f>
        <v>14.867000000121958</v>
      </c>
      <c r="I331" s="438">
        <f t="shared" ref="I331" si="872">SUM(I329:I330)</f>
        <v>20.253999999970752</v>
      </c>
      <c r="J331" s="438">
        <f t="shared" si="865"/>
        <v>205.82600000025241</v>
      </c>
      <c r="K331" s="438"/>
      <c r="L331" s="438">
        <f>SUM(L329:L330)</f>
        <v>178.35999999853956</v>
      </c>
      <c r="M331" s="438">
        <f t="shared" ref="M331" si="873">SUM(M329:M330)</f>
        <v>14.136000000177333</v>
      </c>
      <c r="N331" s="438">
        <f t="shared" ref="N331" si="874">SUM(N329:N330)</f>
        <v>18.918999999687948</v>
      </c>
      <c r="O331" s="438">
        <f t="shared" si="866"/>
        <v>211.41499999840485</v>
      </c>
      <c r="P331" s="438"/>
      <c r="Q331" s="438">
        <f>SUM(Q329:Q330)</f>
        <v>175.71300000012729</v>
      </c>
      <c r="R331" s="438">
        <f t="shared" ref="R331" si="875">SUM(R329:R330)</f>
        <v>20.41800000022554</v>
      </c>
      <c r="S331" s="438">
        <f t="shared" ref="S331" si="876">SUM(S329:S330)</f>
        <v>21.487999999809318</v>
      </c>
      <c r="T331" s="438">
        <f t="shared" si="867"/>
        <v>217.61900000016215</v>
      </c>
      <c r="U331" s="438"/>
      <c r="V331" s="438">
        <f>SUM(V329:V330)</f>
        <v>173.93799999957972</v>
      </c>
      <c r="W331" s="438">
        <f t="shared" ref="W331" si="877">SUM(W329:W330)</f>
        <v>25.876000000310601</v>
      </c>
      <c r="X331" s="438">
        <f t="shared" ref="X331" si="878">SUM(X329:X330)</f>
        <v>23.745999999742072</v>
      </c>
      <c r="Y331" s="438">
        <f t="shared" si="868"/>
        <v>223.5599999996324</v>
      </c>
    </row>
    <row r="332" spans="1:25" x14ac:dyDescent="0.25">
      <c r="B332" s="380"/>
      <c r="C332" s="460"/>
      <c r="D332" s="460"/>
      <c r="E332" s="460"/>
      <c r="F332" s="460"/>
      <c r="G332" s="460"/>
      <c r="H332" s="460"/>
      <c r="I332" s="460"/>
      <c r="J332" s="460"/>
      <c r="K332" s="460"/>
      <c r="L332" s="460"/>
      <c r="M332" s="460"/>
      <c r="N332" s="460"/>
      <c r="O332" s="460"/>
      <c r="P332" s="460"/>
      <c r="Q332" s="460"/>
      <c r="R332" s="460"/>
      <c r="S332" s="460"/>
      <c r="T332" s="460"/>
      <c r="U332" s="460"/>
      <c r="V332" s="460"/>
      <c r="W332" s="460"/>
      <c r="X332" s="460"/>
      <c r="Y332" s="460"/>
    </row>
    <row r="333" spans="1:25" x14ac:dyDescent="0.25">
      <c r="A333" s="378" t="str">
        <f>name!A48</f>
        <v>Computing services</v>
      </c>
      <c r="C333" s="380"/>
      <c r="D333" s="380"/>
      <c r="E333" s="380"/>
      <c r="F333" s="380"/>
      <c r="G333" s="380"/>
      <c r="H333" s="380"/>
      <c r="I333" s="380"/>
      <c r="J333" s="380"/>
      <c r="K333" s="380"/>
      <c r="L333" s="380"/>
      <c r="M333" s="380"/>
      <c r="N333" s="380"/>
      <c r="O333" s="380"/>
      <c r="P333" s="380"/>
      <c r="Q333" s="380"/>
      <c r="R333" s="380"/>
      <c r="S333" s="380"/>
      <c r="T333" s="380"/>
      <c r="U333" s="380"/>
      <c r="V333" s="380"/>
      <c r="W333" s="380"/>
      <c r="X333" s="380"/>
      <c r="Y333" s="380"/>
    </row>
    <row r="334" spans="1:25" x14ac:dyDescent="0.25">
      <c r="A334" s="382" t="s">
        <v>391</v>
      </c>
      <c r="B334" s="437">
        <v>119.86799999924553</v>
      </c>
      <c r="C334" s="437">
        <v>50.450999999739828</v>
      </c>
      <c r="D334" s="437">
        <v>8.4340000000727589</v>
      </c>
      <c r="E334" s="437">
        <f>SUM(B334:D334)</f>
        <v>178.75299999905812</v>
      </c>
      <c r="F334" s="437"/>
      <c r="G334" s="437">
        <v>104.10099999929204</v>
      </c>
      <c r="H334" s="437">
        <v>44.692999999740593</v>
      </c>
      <c r="I334" s="437">
        <v>8.0620000000051686</v>
      </c>
      <c r="J334" s="437">
        <f>SUM(G334:I334)</f>
        <v>156.85599999903778</v>
      </c>
      <c r="K334" s="437"/>
      <c r="L334" s="437">
        <v>159.96699999856185</v>
      </c>
      <c r="M334" s="437">
        <v>53.389999999570762</v>
      </c>
      <c r="N334" s="437">
        <v>20.991000000138143</v>
      </c>
      <c r="O334" s="437">
        <f>SUM(L334:N334)</f>
        <v>234.34799999827075</v>
      </c>
      <c r="P334" s="437"/>
      <c r="Q334" s="437">
        <v>166.8709999993053</v>
      </c>
      <c r="R334" s="437">
        <v>75.522000000587823</v>
      </c>
      <c r="S334" s="437">
        <v>17.076000000342344</v>
      </c>
      <c r="T334" s="437">
        <f>SUM(Q334:S334)</f>
        <v>259.46900000023544</v>
      </c>
      <c r="U334" s="437"/>
      <c r="V334" s="437">
        <v>172.96799999903845</v>
      </c>
      <c r="W334" s="437">
        <v>94.869000000341302</v>
      </c>
      <c r="X334" s="437">
        <v>13.615000000177606</v>
      </c>
      <c r="Y334" s="437">
        <f>SUM(V334:X334)</f>
        <v>281.45199999955736</v>
      </c>
    </row>
    <row r="335" spans="1:25" x14ac:dyDescent="0.25">
      <c r="A335" s="382" t="s">
        <v>390</v>
      </c>
      <c r="B335" s="438">
        <v>335.08400000073681</v>
      </c>
      <c r="C335" s="438">
        <v>16.65600000013384</v>
      </c>
      <c r="D335" s="438">
        <v>66.436999999388092</v>
      </c>
      <c r="E335" s="438">
        <f t="shared" ref="E335:E336" si="879">SUM(B335:D335)</f>
        <v>418.17700000025872</v>
      </c>
      <c r="F335" s="438"/>
      <c r="G335" s="438">
        <v>349.30000000186243</v>
      </c>
      <c r="H335" s="438">
        <v>14.753000000120416</v>
      </c>
      <c r="I335" s="438">
        <v>51.271000000078153</v>
      </c>
      <c r="J335" s="438">
        <f t="shared" ref="J335:J336" si="880">SUM(G335:I335)</f>
        <v>415.32400000206104</v>
      </c>
      <c r="K335" s="438"/>
      <c r="L335" s="438">
        <v>482.56199999563029</v>
      </c>
      <c r="M335" s="438">
        <v>22.190999999951718</v>
      </c>
      <c r="N335" s="438">
        <v>62.176999998941426</v>
      </c>
      <c r="O335" s="438">
        <f t="shared" ref="O335:O336" si="881">SUM(L335:N335)</f>
        <v>566.92999999452343</v>
      </c>
      <c r="P335" s="438"/>
      <c r="Q335" s="438">
        <v>471.55100000203623</v>
      </c>
      <c r="R335" s="438">
        <v>33.607000000150869</v>
      </c>
      <c r="S335" s="438">
        <v>70.124999998968889</v>
      </c>
      <c r="T335" s="438">
        <f t="shared" ref="T335:T336" si="882">SUM(Q335:S335)</f>
        <v>575.28300000115598</v>
      </c>
      <c r="U335" s="438"/>
      <c r="V335" s="438">
        <v>463.39899999857107</v>
      </c>
      <c r="W335" s="438">
        <v>43.563999999963571</v>
      </c>
      <c r="X335" s="438">
        <v>76.880999998526377</v>
      </c>
      <c r="Y335" s="438">
        <f t="shared" ref="Y335:Y336" si="883">SUM(V335:X335)</f>
        <v>583.84399999706102</v>
      </c>
    </row>
    <row r="336" spans="1:25" x14ac:dyDescent="0.25">
      <c r="A336" s="382" t="s">
        <v>389</v>
      </c>
      <c r="B336" s="438">
        <f>SUM(B334:B335)</f>
        <v>454.95199999998232</v>
      </c>
      <c r="C336" s="438">
        <f t="shared" ref="C336" si="884">SUM(C334:C335)</f>
        <v>67.106999999873665</v>
      </c>
      <c r="D336" s="438">
        <f t="shared" ref="D336" si="885">SUM(D334:D335)</f>
        <v>74.870999999460849</v>
      </c>
      <c r="E336" s="438">
        <f t="shared" si="879"/>
        <v>596.92999999931692</v>
      </c>
      <c r="F336" s="438"/>
      <c r="G336" s="438">
        <f>SUM(G334:G335)</f>
        <v>453.40100000115444</v>
      </c>
      <c r="H336" s="438">
        <f t="shared" ref="H336" si="886">SUM(H334:H335)</f>
        <v>59.445999999861009</v>
      </c>
      <c r="I336" s="438">
        <f t="shared" ref="I336" si="887">SUM(I334:I335)</f>
        <v>59.333000000083324</v>
      </c>
      <c r="J336" s="438">
        <f t="shared" si="880"/>
        <v>572.18000000109873</v>
      </c>
      <c r="K336" s="438"/>
      <c r="L336" s="438">
        <f>SUM(L334:L335)</f>
        <v>642.52899999419219</v>
      </c>
      <c r="M336" s="438">
        <f t="shared" ref="M336" si="888">SUM(M334:M335)</f>
        <v>75.580999999522476</v>
      </c>
      <c r="N336" s="438">
        <f t="shared" ref="N336" si="889">SUM(N334:N335)</f>
        <v>83.167999999079569</v>
      </c>
      <c r="O336" s="438">
        <f t="shared" si="881"/>
        <v>801.27799999279421</v>
      </c>
      <c r="P336" s="438"/>
      <c r="Q336" s="438">
        <f>SUM(Q334:Q335)</f>
        <v>638.42200000134153</v>
      </c>
      <c r="R336" s="438">
        <f t="shared" ref="R336" si="890">SUM(R334:R335)</f>
        <v>109.1290000007387</v>
      </c>
      <c r="S336" s="438">
        <f t="shared" ref="S336" si="891">SUM(S334:S335)</f>
        <v>87.200999999311236</v>
      </c>
      <c r="T336" s="438">
        <f t="shared" si="882"/>
        <v>834.75200000139137</v>
      </c>
      <c r="U336" s="438"/>
      <c r="V336" s="438">
        <f>SUM(V334:V335)</f>
        <v>636.36699999760958</v>
      </c>
      <c r="W336" s="438">
        <f t="shared" ref="W336" si="892">SUM(W334:W335)</f>
        <v>138.43300000030487</v>
      </c>
      <c r="X336" s="438">
        <f t="shared" ref="X336" si="893">SUM(X334:X335)</f>
        <v>90.495999998703979</v>
      </c>
      <c r="Y336" s="438">
        <f t="shared" si="883"/>
        <v>865.29599999661843</v>
      </c>
    </row>
    <row r="337" spans="1:25" x14ac:dyDescent="0.25">
      <c r="B337" s="380"/>
      <c r="C337" s="460"/>
      <c r="D337" s="460"/>
      <c r="E337" s="460"/>
      <c r="F337" s="460"/>
      <c r="G337" s="460"/>
      <c r="H337" s="460"/>
      <c r="I337" s="460"/>
      <c r="J337" s="460"/>
      <c r="K337" s="460"/>
      <c r="L337" s="460"/>
      <c r="M337" s="460"/>
      <c r="N337" s="460"/>
      <c r="O337" s="460"/>
      <c r="P337" s="460"/>
      <c r="Q337" s="460"/>
      <c r="R337" s="460"/>
      <c r="S337" s="460"/>
      <c r="T337" s="460"/>
      <c r="U337" s="460"/>
      <c r="V337" s="460"/>
      <c r="W337" s="460"/>
      <c r="X337" s="460"/>
      <c r="Y337" s="460"/>
    </row>
    <row r="338" spans="1:25" x14ac:dyDescent="0.25">
      <c r="A338" s="378" t="str">
        <f>name!A49</f>
        <v>Information services</v>
      </c>
      <c r="C338" s="380"/>
      <c r="D338" s="380"/>
      <c r="E338" s="380"/>
      <c r="F338" s="380"/>
      <c r="G338" s="380"/>
      <c r="H338" s="380"/>
      <c r="I338" s="380"/>
      <c r="J338" s="380"/>
      <c r="K338" s="380"/>
      <c r="L338" s="380"/>
      <c r="M338" s="380"/>
      <c r="N338" s="380"/>
      <c r="O338" s="380"/>
      <c r="P338" s="380"/>
      <c r="Q338" s="380"/>
      <c r="R338" s="380"/>
      <c r="S338" s="380"/>
      <c r="T338" s="380"/>
      <c r="U338" s="380"/>
      <c r="V338" s="380"/>
      <c r="W338" s="380"/>
      <c r="X338" s="380"/>
      <c r="Y338" s="380"/>
    </row>
    <row r="339" spans="1:25" x14ac:dyDescent="0.25">
      <c r="A339" s="382" t="s">
        <v>391</v>
      </c>
      <c r="B339" s="437">
        <v>24.245999999760066</v>
      </c>
      <c r="C339" s="437">
        <v>5.8500000000231465</v>
      </c>
      <c r="D339" s="437">
        <v>6.0890000000349405</v>
      </c>
      <c r="E339" s="437">
        <f>SUM(B339:D339)</f>
        <v>36.184999999818153</v>
      </c>
      <c r="F339" s="437"/>
      <c r="G339" s="437">
        <v>21.511999999879333</v>
      </c>
      <c r="H339" s="437">
        <v>4.6279999999919834</v>
      </c>
      <c r="I339" s="437">
        <v>1.9790000000111827</v>
      </c>
      <c r="J339" s="437">
        <f>SUM(G339:I339)</f>
        <v>28.118999999882497</v>
      </c>
      <c r="K339" s="437"/>
      <c r="L339" s="437">
        <v>30.877999999778098</v>
      </c>
      <c r="M339" s="437">
        <v>4.0160000000085772</v>
      </c>
      <c r="N339" s="437">
        <v>2.9970000000458472</v>
      </c>
      <c r="O339" s="437">
        <f>SUM(L339:N339)</f>
        <v>37.890999999832516</v>
      </c>
      <c r="P339" s="437"/>
      <c r="Q339" s="437">
        <v>32.655999999770728</v>
      </c>
      <c r="R339" s="437">
        <v>5.6959999999809847</v>
      </c>
      <c r="S339" s="437">
        <v>3.5630000000318001</v>
      </c>
      <c r="T339" s="437">
        <f>SUM(Q339:S339)</f>
        <v>41.914999999783511</v>
      </c>
      <c r="U339" s="437"/>
      <c r="V339" s="437">
        <v>34.183999999833802</v>
      </c>
      <c r="W339" s="437">
        <v>7.1730000000061009</v>
      </c>
      <c r="X339" s="437">
        <v>3.8610000000601379</v>
      </c>
      <c r="Y339" s="437">
        <f>SUM(V339:X339)</f>
        <v>45.217999999900037</v>
      </c>
    </row>
    <row r="340" spans="1:25" x14ac:dyDescent="0.25">
      <c r="A340" s="382" t="s">
        <v>390</v>
      </c>
      <c r="B340" s="438">
        <v>36.636000000064435</v>
      </c>
      <c r="C340" s="438">
        <v>2.3619999999921775</v>
      </c>
      <c r="D340" s="438">
        <v>6.9519999999487059</v>
      </c>
      <c r="E340" s="438">
        <f t="shared" ref="E340:E341" si="894">SUM(B340:D340)</f>
        <v>45.950000000005318</v>
      </c>
      <c r="F340" s="438"/>
      <c r="G340" s="438">
        <v>36.479000000128735</v>
      </c>
      <c r="H340" s="438">
        <v>1.9110000000011143</v>
      </c>
      <c r="I340" s="438">
        <v>4.9619999999975288</v>
      </c>
      <c r="J340" s="438">
        <f t="shared" ref="J340:J341" si="895">SUM(G340:I340)</f>
        <v>43.352000000127383</v>
      </c>
      <c r="K340" s="438"/>
      <c r="L340" s="438">
        <v>44.104999999763692</v>
      </c>
      <c r="M340" s="438">
        <v>2.2010000000045276</v>
      </c>
      <c r="N340" s="438">
        <v>5.9099999999271668</v>
      </c>
      <c r="O340" s="438">
        <f t="shared" ref="O340:O341" si="896">SUM(L340:N340)</f>
        <v>52.215999999695384</v>
      </c>
      <c r="P340" s="438"/>
      <c r="Q340" s="438">
        <v>43.255000000049307</v>
      </c>
      <c r="R340" s="438">
        <v>3.3369999999949553</v>
      </c>
      <c r="S340" s="438">
        <v>6.6749999998917513</v>
      </c>
      <c r="T340" s="438">
        <f t="shared" ref="T340:T341" si="897">SUM(Q340:S340)</f>
        <v>53.266999999936019</v>
      </c>
      <c r="U340" s="438"/>
      <c r="V340" s="438">
        <v>42.613999999762257</v>
      </c>
      <c r="W340" s="438">
        <v>4.3319999999974987</v>
      </c>
      <c r="X340" s="438">
        <v>7.3219999998562093</v>
      </c>
      <c r="Y340" s="438">
        <f t="shared" ref="Y340:Y341" si="898">SUM(V340:X340)</f>
        <v>54.267999999615967</v>
      </c>
    </row>
    <row r="341" spans="1:25" x14ac:dyDescent="0.25">
      <c r="A341" s="382" t="s">
        <v>389</v>
      </c>
      <c r="B341" s="438">
        <f>SUM(B339:B340)</f>
        <v>60.881999999824501</v>
      </c>
      <c r="C341" s="438">
        <f t="shared" ref="C341" si="899">SUM(C339:C340)</f>
        <v>8.2120000000153244</v>
      </c>
      <c r="D341" s="438">
        <f t="shared" ref="D341" si="900">SUM(D339:D340)</f>
        <v>13.040999999983647</v>
      </c>
      <c r="E341" s="438">
        <f t="shared" si="894"/>
        <v>82.134999999823464</v>
      </c>
      <c r="F341" s="438"/>
      <c r="G341" s="438">
        <f>SUM(G339:G340)</f>
        <v>57.991000000008071</v>
      </c>
      <c r="H341" s="438">
        <f t="shared" ref="H341" si="901">SUM(H339:H340)</f>
        <v>6.5389999999930977</v>
      </c>
      <c r="I341" s="438">
        <f t="shared" ref="I341" si="902">SUM(I339:I340)</f>
        <v>6.941000000008712</v>
      </c>
      <c r="J341" s="438">
        <f t="shared" si="895"/>
        <v>71.47100000000988</v>
      </c>
      <c r="K341" s="438"/>
      <c r="L341" s="438">
        <f>SUM(L339:L340)</f>
        <v>74.982999999541789</v>
      </c>
      <c r="M341" s="438">
        <f t="shared" ref="M341" si="903">SUM(M339:M340)</f>
        <v>6.2170000000131047</v>
      </c>
      <c r="N341" s="438">
        <f t="shared" ref="N341" si="904">SUM(N339:N340)</f>
        <v>8.9069999999730136</v>
      </c>
      <c r="O341" s="438">
        <f t="shared" si="896"/>
        <v>90.106999999527901</v>
      </c>
      <c r="P341" s="438"/>
      <c r="Q341" s="438">
        <f>SUM(Q339:Q340)</f>
        <v>75.910999999820035</v>
      </c>
      <c r="R341" s="438">
        <f t="shared" ref="R341" si="905">SUM(R339:R340)</f>
        <v>9.0329999999759405</v>
      </c>
      <c r="S341" s="438">
        <f t="shared" ref="S341" si="906">SUM(S339:S340)</f>
        <v>10.237999999923552</v>
      </c>
      <c r="T341" s="438">
        <f t="shared" si="897"/>
        <v>95.181999999719523</v>
      </c>
      <c r="U341" s="438"/>
      <c r="V341" s="438">
        <f>SUM(V339:V340)</f>
        <v>76.797999999596058</v>
      </c>
      <c r="W341" s="438">
        <f t="shared" ref="W341" si="907">SUM(W339:W340)</f>
        <v>11.5050000000036</v>
      </c>
      <c r="X341" s="438">
        <f t="shared" ref="X341" si="908">SUM(X339:X340)</f>
        <v>11.182999999916348</v>
      </c>
      <c r="Y341" s="438">
        <f t="shared" si="898"/>
        <v>99.485999999516011</v>
      </c>
    </row>
    <row r="342" spans="1:25" x14ac:dyDescent="0.25">
      <c r="C342" s="453"/>
    </row>
    <row r="343" spans="1:25" x14ac:dyDescent="0.25">
      <c r="A343" s="383" t="s">
        <v>398</v>
      </c>
      <c r="C343" s="453"/>
    </row>
    <row r="344" spans="1:25" x14ac:dyDescent="0.25">
      <c r="A344" s="377" t="s">
        <v>391</v>
      </c>
      <c r="B344" s="437">
        <f>SUM(B329,B334,B339)</f>
        <v>175.28199999870057</v>
      </c>
      <c r="C344" s="437">
        <f t="shared" ref="C344:D344" si="909">SUM(C329,C334,C339)</f>
        <v>68.717999999881968</v>
      </c>
      <c r="D344" s="437">
        <f t="shared" si="909"/>
        <v>15.460000000113119</v>
      </c>
      <c r="E344" s="437">
        <f>SUM(B344:D344)</f>
        <v>259.45999999869565</v>
      </c>
      <c r="F344" s="437"/>
      <c r="G344" s="437">
        <f>SUM(G329,G334,G339)</f>
        <v>152.69299999889373</v>
      </c>
      <c r="H344" s="437">
        <f t="shared" ref="H344:I344" si="910">SUM(H329,H334,H339)</f>
        <v>59.941999999873602</v>
      </c>
      <c r="I344" s="437">
        <f t="shared" si="910"/>
        <v>10.900000000016673</v>
      </c>
      <c r="J344" s="437">
        <f>SUM(G344:I344)</f>
        <v>223.534999998784</v>
      </c>
      <c r="K344" s="437"/>
      <c r="L344" s="437">
        <f>SUM(L329,L334,L339)</f>
        <v>221.73999999805329</v>
      </c>
      <c r="M344" s="437">
        <f t="shared" ref="M344:N344" si="911">SUM(M329,M334,M339)</f>
        <v>66.883999999757975</v>
      </c>
      <c r="N344" s="437">
        <f t="shared" si="911"/>
        <v>25.121000000188783</v>
      </c>
      <c r="O344" s="437">
        <f>SUM(L344:N344)</f>
        <v>313.74499999800003</v>
      </c>
      <c r="P344" s="437"/>
      <c r="Q344" s="437">
        <f>SUM(Q329,Q334,Q339)</f>
        <v>231.69299999873789</v>
      </c>
      <c r="R344" s="437">
        <f t="shared" ref="R344:S344" si="912">SUM(R329,R334,R339)</f>
        <v>94.607000000823717</v>
      </c>
      <c r="S344" s="437">
        <f t="shared" si="912"/>
        <v>22.077000000387937</v>
      </c>
      <c r="T344" s="437">
        <f>SUM(Q344:S344)</f>
        <v>348.37699999994953</v>
      </c>
      <c r="U344" s="437"/>
      <c r="V344" s="437">
        <f>SUM(V329,V334,V339)</f>
        <v>240.43499999863576</v>
      </c>
      <c r="W344" s="437">
        <f t="shared" ref="W344:X344" si="913">SUM(W329,W334,W339)</f>
        <v>118.83300000069615</v>
      </c>
      <c r="X344" s="437">
        <f t="shared" si="913"/>
        <v>19.252000000248017</v>
      </c>
      <c r="Y344" s="437">
        <f>SUM(V344:X344)</f>
        <v>378.51999999957991</v>
      </c>
    </row>
    <row r="345" spans="1:25" x14ac:dyDescent="0.25">
      <c r="A345" s="377" t="s">
        <v>390</v>
      </c>
      <c r="B345" s="437">
        <f>SUM(B330,B335,B340)</f>
        <v>512.00200000082702</v>
      </c>
      <c r="C345" s="437">
        <f t="shared" ref="C345:D345" si="914">SUM(C330,C335,C340)</f>
        <v>23.999000000109966</v>
      </c>
      <c r="D345" s="437">
        <f t="shared" si="914"/>
        <v>98.626999999230193</v>
      </c>
      <c r="E345" s="437">
        <f t="shared" ref="E345:E346" si="915">SUM(B345:D345)</f>
        <v>634.62800000016716</v>
      </c>
      <c r="F345" s="437"/>
      <c r="G345" s="437">
        <f>SUM(G330,G335,G340)</f>
        <v>529.40400000242857</v>
      </c>
      <c r="H345" s="437">
        <f t="shared" ref="H345:I345" si="916">SUM(H330,H335,H340)</f>
        <v>20.91000000010246</v>
      </c>
      <c r="I345" s="437">
        <f t="shared" si="916"/>
        <v>75.628000000046114</v>
      </c>
      <c r="J345" s="437">
        <f t="shared" ref="J345:J346" si="917">SUM(G345:I345)</f>
        <v>625.94200000257717</v>
      </c>
      <c r="K345" s="437"/>
      <c r="L345" s="437">
        <f>SUM(L330,L335,L340)</f>
        <v>674.13199999422011</v>
      </c>
      <c r="M345" s="437">
        <f t="shared" ref="M345:N345" si="918">SUM(M330,M335,M340)</f>
        <v>29.049999999954942</v>
      </c>
      <c r="N345" s="437">
        <f t="shared" si="918"/>
        <v>85.872999998551748</v>
      </c>
      <c r="O345" s="437">
        <f t="shared" ref="O345:O346" si="919">SUM(L345:N345)</f>
        <v>789.05499999272683</v>
      </c>
      <c r="P345" s="437"/>
      <c r="Q345" s="437">
        <f>SUM(Q330,Q335,Q340)</f>
        <v>658.35300000255097</v>
      </c>
      <c r="R345" s="437">
        <f t="shared" ref="R345:S345" si="920">SUM(R330,R335,R340)</f>
        <v>43.973000000116457</v>
      </c>
      <c r="S345" s="437">
        <f t="shared" si="920"/>
        <v>96.849999998656159</v>
      </c>
      <c r="T345" s="437">
        <f t="shared" ref="T345:T346" si="921">SUM(Q345:S345)</f>
        <v>799.17600000132359</v>
      </c>
      <c r="U345" s="437"/>
      <c r="V345" s="437">
        <f>SUM(V330,V335,V340)</f>
        <v>646.66799999814953</v>
      </c>
      <c r="W345" s="437">
        <f t="shared" ref="W345:X345" si="922">SUM(W330,W335,W340)</f>
        <v>56.980999999922922</v>
      </c>
      <c r="X345" s="437">
        <f t="shared" si="922"/>
        <v>106.17299999811438</v>
      </c>
      <c r="Y345" s="437">
        <f t="shared" ref="Y345:Y346" si="923">SUM(V345:X345)</f>
        <v>809.82199999618683</v>
      </c>
    </row>
    <row r="346" spans="1:25" x14ac:dyDescent="0.25">
      <c r="A346" s="381" t="s">
        <v>389</v>
      </c>
      <c r="B346" s="439">
        <f>SUM(B344:B345)</f>
        <v>687.28399999952762</v>
      </c>
      <c r="C346" s="439">
        <f t="shared" ref="C346" si="924">SUM(C344:C345)</f>
        <v>92.716999999991941</v>
      </c>
      <c r="D346" s="439">
        <f t="shared" ref="D346" si="925">SUM(D344:D345)</f>
        <v>114.08699999934331</v>
      </c>
      <c r="E346" s="439">
        <f t="shared" si="915"/>
        <v>894.08799999886287</v>
      </c>
      <c r="F346" s="439"/>
      <c r="G346" s="439">
        <f>SUM(G344:G345)</f>
        <v>682.09700000132227</v>
      </c>
      <c r="H346" s="439">
        <f t="shared" ref="H346" si="926">SUM(H344:H345)</f>
        <v>80.851999999976059</v>
      </c>
      <c r="I346" s="439">
        <f t="shared" ref="I346" si="927">SUM(I344:I345)</f>
        <v>86.528000000062789</v>
      </c>
      <c r="J346" s="439">
        <f t="shared" si="917"/>
        <v>849.47700000136115</v>
      </c>
      <c r="K346" s="439"/>
      <c r="L346" s="439">
        <f>SUM(L344:L345)</f>
        <v>895.87199999227346</v>
      </c>
      <c r="M346" s="439">
        <f t="shared" ref="M346" si="928">SUM(M344:M345)</f>
        <v>95.93399999971291</v>
      </c>
      <c r="N346" s="439">
        <f t="shared" ref="N346" si="929">SUM(N344:N345)</f>
        <v>110.99399999874053</v>
      </c>
      <c r="O346" s="439">
        <f t="shared" si="919"/>
        <v>1102.799999990727</v>
      </c>
      <c r="P346" s="439"/>
      <c r="Q346" s="439">
        <f>SUM(Q344:Q345)</f>
        <v>890.0460000012888</v>
      </c>
      <c r="R346" s="439">
        <f t="shared" ref="R346" si="930">SUM(R344:R345)</f>
        <v>138.58000000094017</v>
      </c>
      <c r="S346" s="439">
        <f t="shared" ref="S346" si="931">SUM(S344:S345)</f>
        <v>118.9269999990441</v>
      </c>
      <c r="T346" s="439">
        <f t="shared" si="921"/>
        <v>1147.5530000012729</v>
      </c>
      <c r="U346" s="439"/>
      <c r="V346" s="439">
        <f>SUM(V344:V345)</f>
        <v>887.10299999678523</v>
      </c>
      <c r="W346" s="439">
        <f t="shared" ref="W346" si="932">SUM(W344:W345)</f>
        <v>175.81400000061907</v>
      </c>
      <c r="X346" s="439">
        <f t="shared" ref="X346" si="933">SUM(X344:X345)</f>
        <v>125.4249999983624</v>
      </c>
      <c r="Y346" s="439">
        <f t="shared" si="923"/>
        <v>1188.3419999957666</v>
      </c>
    </row>
    <row r="347" spans="1:25" x14ac:dyDescent="0.25">
      <c r="A347" s="384"/>
    </row>
    <row r="348" spans="1:25" x14ac:dyDescent="0.25">
      <c r="A348" s="383"/>
    </row>
    <row r="349" spans="1:25" x14ac:dyDescent="0.25">
      <c r="C349" s="453"/>
    </row>
    <row r="350" spans="1:25" ht="13.8" x14ac:dyDescent="0.25">
      <c r="A350" s="385" t="str">
        <f>"Industry 14 : "&amp; name!B17</f>
        <v>Industry 14 : Finance and insurance</v>
      </c>
      <c r="B350" s="514">
        <f>$B$5</f>
        <v>2007</v>
      </c>
      <c r="C350" s="514"/>
      <c r="D350" s="514"/>
      <c r="E350" s="514"/>
      <c r="F350" s="461"/>
      <c r="G350" s="514">
        <f>$G$5</f>
        <v>2012</v>
      </c>
      <c r="H350" s="514"/>
      <c r="I350" s="514"/>
      <c r="J350" s="514"/>
      <c r="K350" s="461"/>
      <c r="L350" s="514">
        <f>$L$5</f>
        <v>2017</v>
      </c>
      <c r="M350" s="514"/>
      <c r="N350" s="514"/>
      <c r="O350" s="514"/>
      <c r="P350" s="459"/>
      <c r="Q350" s="514">
        <f>$Q$5</f>
        <v>2022</v>
      </c>
      <c r="R350" s="514"/>
      <c r="S350" s="514"/>
      <c r="T350" s="514"/>
      <c r="U350" s="461"/>
      <c r="V350" s="514">
        <f>$V$5</f>
        <v>2027</v>
      </c>
      <c r="W350" s="514"/>
      <c r="X350" s="514"/>
      <c r="Y350" s="514"/>
    </row>
    <row r="351" spans="1:25" x14ac:dyDescent="0.25">
      <c r="A351" s="381"/>
      <c r="B351" s="388" t="str">
        <f>$B$6</f>
        <v>FT</v>
      </c>
      <c r="C351" s="388" t="str">
        <f>$C$6</f>
        <v>PT</v>
      </c>
      <c r="D351" s="388" t="str">
        <f>$D$6</f>
        <v>SE</v>
      </c>
      <c r="E351" s="388" t="str">
        <f>$E$6</f>
        <v>Total</v>
      </c>
      <c r="F351" s="388"/>
      <c r="G351" s="388" t="str">
        <f>$B$6</f>
        <v>FT</v>
      </c>
      <c r="H351" s="388" t="str">
        <f>$C$6</f>
        <v>PT</v>
      </c>
      <c r="I351" s="388" t="str">
        <f>$D$6</f>
        <v>SE</v>
      </c>
      <c r="J351" s="388" t="str">
        <f>$E$6</f>
        <v>Total</v>
      </c>
      <c r="K351" s="388"/>
      <c r="L351" s="388" t="str">
        <f>$L$6</f>
        <v>FT</v>
      </c>
      <c r="M351" s="388" t="str">
        <f>$M$6</f>
        <v>PT</v>
      </c>
      <c r="N351" s="388" t="str">
        <f>$N$6</f>
        <v>SE</v>
      </c>
      <c r="O351" s="388" t="str">
        <f>$O$6</f>
        <v>Total</v>
      </c>
      <c r="P351" s="388"/>
      <c r="Q351" s="388" t="str">
        <f>$L$6</f>
        <v>FT</v>
      </c>
      <c r="R351" s="388" t="str">
        <f>$M$6</f>
        <v>PT</v>
      </c>
      <c r="S351" s="388" t="str">
        <f>$N$6</f>
        <v>SE</v>
      </c>
      <c r="T351" s="388" t="str">
        <f>$O$6</f>
        <v>Total</v>
      </c>
      <c r="U351" s="388"/>
      <c r="V351" s="388" t="str">
        <f>$V$6</f>
        <v>FT</v>
      </c>
      <c r="W351" s="388" t="str">
        <f>$W$6</f>
        <v>PT</v>
      </c>
      <c r="X351" s="388" t="str">
        <f>$X$6</f>
        <v>SE</v>
      </c>
      <c r="Y351" s="388" t="str">
        <f>$Y$6</f>
        <v>Total</v>
      </c>
    </row>
    <row r="352" spans="1:25" x14ac:dyDescent="0.25">
      <c r="B352" s="380"/>
      <c r="C352" s="460"/>
      <c r="D352" s="460"/>
      <c r="E352" s="460"/>
      <c r="F352" s="460"/>
      <c r="G352" s="460"/>
      <c r="H352" s="460"/>
      <c r="I352" s="460"/>
      <c r="J352" s="460"/>
      <c r="K352" s="460"/>
      <c r="L352" s="460"/>
      <c r="M352" s="460"/>
      <c r="N352" s="460"/>
      <c r="O352" s="460"/>
      <c r="P352" s="460"/>
      <c r="Q352" s="460"/>
      <c r="R352" s="460"/>
      <c r="S352" s="460"/>
      <c r="T352" s="460"/>
      <c r="U352" s="460"/>
      <c r="V352" s="460"/>
      <c r="W352" s="460"/>
      <c r="X352" s="460"/>
      <c r="Y352" s="460"/>
    </row>
    <row r="353" spans="1:25" x14ac:dyDescent="0.25">
      <c r="A353" s="378" t="str">
        <f>name!A50</f>
        <v>Financial services</v>
      </c>
      <c r="C353" s="380"/>
      <c r="D353" s="380"/>
      <c r="E353" s="380"/>
      <c r="F353" s="380"/>
      <c r="G353" s="380"/>
      <c r="H353" s="380"/>
      <c r="I353" s="380"/>
      <c r="J353" s="380"/>
      <c r="K353" s="380"/>
      <c r="L353" s="380"/>
      <c r="M353" s="380"/>
      <c r="N353" s="380"/>
      <c r="O353" s="380"/>
      <c r="P353" s="380"/>
      <c r="Q353" s="380"/>
      <c r="R353" s="380"/>
      <c r="S353" s="380"/>
      <c r="T353" s="380"/>
      <c r="U353" s="380"/>
      <c r="V353" s="380"/>
      <c r="W353" s="380"/>
      <c r="X353" s="380"/>
      <c r="Y353" s="380"/>
    </row>
    <row r="354" spans="1:25" x14ac:dyDescent="0.25">
      <c r="A354" s="382" t="s">
        <v>391</v>
      </c>
      <c r="B354" s="437">
        <v>215.19099999793465</v>
      </c>
      <c r="C354" s="437">
        <v>109.95999999997632</v>
      </c>
      <c r="D354" s="437">
        <v>8.9680000001044373</v>
      </c>
      <c r="E354" s="437">
        <f>SUM(B354:D354)</f>
        <v>334.1189999980154</v>
      </c>
      <c r="F354" s="437"/>
      <c r="G354" s="437">
        <v>172.75199999849107</v>
      </c>
      <c r="H354" s="437">
        <v>87.714999999893578</v>
      </c>
      <c r="I354" s="437">
        <v>6.803000000094265</v>
      </c>
      <c r="J354" s="437">
        <f>SUM(G354:I354)</f>
        <v>267.26999999847891</v>
      </c>
      <c r="K354" s="437"/>
      <c r="L354" s="437">
        <v>165.19899999818441</v>
      </c>
      <c r="M354" s="437">
        <v>76.414000000449477</v>
      </c>
      <c r="N354" s="437">
        <v>5.6180000000926915</v>
      </c>
      <c r="O354" s="437">
        <f>SUM(L354:N354)</f>
        <v>247.23099999872656</v>
      </c>
      <c r="P354" s="437"/>
      <c r="Q354" s="437">
        <v>163.8929999989964</v>
      </c>
      <c r="R354" s="437">
        <v>75.301000000093211</v>
      </c>
      <c r="S354" s="437">
        <v>5.895000000060751</v>
      </c>
      <c r="T354" s="437">
        <f>SUM(Q354:S354)</f>
        <v>245.08899999915036</v>
      </c>
      <c r="U354" s="437"/>
      <c r="V354" s="437">
        <v>160.3479999981864</v>
      </c>
      <c r="W354" s="437">
        <v>73.189000000443528</v>
      </c>
      <c r="X354" s="437">
        <v>6.0250000000818238</v>
      </c>
      <c r="Y354" s="437">
        <f>SUM(V354:X354)</f>
        <v>239.56199999871177</v>
      </c>
    </row>
    <row r="355" spans="1:25" x14ac:dyDescent="0.25">
      <c r="A355" s="382" t="s">
        <v>390</v>
      </c>
      <c r="B355" s="438">
        <v>272.41800000119184</v>
      </c>
      <c r="C355" s="438">
        <v>12.233000000045184</v>
      </c>
      <c r="D355" s="438">
        <v>19.630999999832493</v>
      </c>
      <c r="E355" s="438">
        <f t="shared" ref="E355:E356" si="934">SUM(B355:D355)</f>
        <v>304.28200000106955</v>
      </c>
      <c r="F355" s="438"/>
      <c r="G355" s="438">
        <v>259.85600000237196</v>
      </c>
      <c r="H355" s="438">
        <v>7.655000000012973</v>
      </c>
      <c r="I355" s="438">
        <v>12.51600000006197</v>
      </c>
      <c r="J355" s="438">
        <f t="shared" ref="J355:J356" si="935">SUM(G355:I355)</f>
        <v>280.02700000244693</v>
      </c>
      <c r="K355" s="438"/>
      <c r="L355" s="438">
        <v>247.17799999804021</v>
      </c>
      <c r="M355" s="438">
        <v>11.157000000022652</v>
      </c>
      <c r="N355" s="438">
        <v>8.4029999998454574</v>
      </c>
      <c r="O355" s="438">
        <f t="shared" ref="O355:O356" si="936">SUM(L355:N355)</f>
        <v>266.73799999790833</v>
      </c>
      <c r="P355" s="438"/>
      <c r="Q355" s="438">
        <v>252.6789999993957</v>
      </c>
      <c r="R355" s="438">
        <v>10.615999999998509</v>
      </c>
      <c r="S355" s="438">
        <v>8.0529999998417221</v>
      </c>
      <c r="T355" s="438">
        <f t="shared" ref="T355:T356" si="937">SUM(Q355:S355)</f>
        <v>271.34799999923598</v>
      </c>
      <c r="U355" s="438"/>
      <c r="V355" s="438">
        <v>254.01599999846232</v>
      </c>
      <c r="W355" s="438">
        <v>9.9950000000070567</v>
      </c>
      <c r="X355" s="438">
        <v>7.5789999998493798</v>
      </c>
      <c r="Y355" s="438">
        <f t="shared" ref="Y355:Y356" si="938">SUM(V355:X355)</f>
        <v>271.58999999831877</v>
      </c>
    </row>
    <row r="356" spans="1:25" x14ac:dyDescent="0.25">
      <c r="A356" s="382" t="s">
        <v>389</v>
      </c>
      <c r="B356" s="438">
        <f>SUM(B354:B355)</f>
        <v>487.60899999912647</v>
      </c>
      <c r="C356" s="438">
        <f t="shared" ref="C356" si="939">SUM(C354:C355)</f>
        <v>122.1930000000215</v>
      </c>
      <c r="D356" s="438">
        <f t="shared" ref="D356" si="940">SUM(D354:D355)</f>
        <v>28.598999999936929</v>
      </c>
      <c r="E356" s="438">
        <f t="shared" si="934"/>
        <v>638.40099999908489</v>
      </c>
      <c r="F356" s="438"/>
      <c r="G356" s="438">
        <f>SUM(G354:G355)</f>
        <v>432.60800000086306</v>
      </c>
      <c r="H356" s="438">
        <f t="shared" ref="H356" si="941">SUM(H354:H355)</f>
        <v>95.369999999906554</v>
      </c>
      <c r="I356" s="438">
        <f t="shared" ref="I356" si="942">SUM(I354:I355)</f>
        <v>19.319000000156237</v>
      </c>
      <c r="J356" s="438">
        <f t="shared" si="935"/>
        <v>547.29700000092589</v>
      </c>
      <c r="K356" s="438"/>
      <c r="L356" s="438">
        <f>SUM(L354:L355)</f>
        <v>412.37699999622464</v>
      </c>
      <c r="M356" s="438">
        <f t="shared" ref="M356" si="943">SUM(M354:M355)</f>
        <v>87.571000000472125</v>
      </c>
      <c r="N356" s="438">
        <f t="shared" ref="N356" si="944">SUM(N354:N355)</f>
        <v>14.020999999938148</v>
      </c>
      <c r="O356" s="438">
        <f t="shared" si="936"/>
        <v>513.96899999663492</v>
      </c>
      <c r="P356" s="438"/>
      <c r="Q356" s="438">
        <f>SUM(Q354:Q355)</f>
        <v>416.57199999839213</v>
      </c>
      <c r="R356" s="438">
        <f t="shared" ref="R356" si="945">SUM(R354:R355)</f>
        <v>85.917000000091718</v>
      </c>
      <c r="S356" s="438">
        <f t="shared" ref="S356" si="946">SUM(S354:S355)</f>
        <v>13.947999999902473</v>
      </c>
      <c r="T356" s="438">
        <f t="shared" si="937"/>
        <v>516.43699999838634</v>
      </c>
      <c r="U356" s="438"/>
      <c r="V356" s="438">
        <f>SUM(V354:V355)</f>
        <v>414.36399999664872</v>
      </c>
      <c r="W356" s="438">
        <f t="shared" ref="W356" si="947">SUM(W354:W355)</f>
        <v>83.184000000450581</v>
      </c>
      <c r="X356" s="438">
        <f t="shared" ref="X356" si="948">SUM(X354:X355)</f>
        <v>13.603999999931204</v>
      </c>
      <c r="Y356" s="438">
        <f t="shared" si="938"/>
        <v>511.15199999703049</v>
      </c>
    </row>
    <row r="357" spans="1:25" x14ac:dyDescent="0.25">
      <c r="B357" s="380"/>
      <c r="C357" s="460"/>
      <c r="D357" s="460"/>
      <c r="E357" s="460"/>
      <c r="F357" s="460"/>
      <c r="G357" s="460"/>
      <c r="H357" s="460"/>
      <c r="I357" s="460"/>
      <c r="J357" s="460"/>
      <c r="K357" s="460"/>
      <c r="L357" s="460"/>
      <c r="M357" s="460"/>
      <c r="N357" s="460"/>
      <c r="O357" s="460"/>
      <c r="P357" s="460"/>
      <c r="Q357" s="460"/>
      <c r="R357" s="460"/>
      <c r="S357" s="460"/>
      <c r="T357" s="460"/>
      <c r="U357" s="460"/>
      <c r="V357" s="460"/>
      <c r="W357" s="460"/>
      <c r="X357" s="460"/>
      <c r="Y357" s="460"/>
    </row>
    <row r="358" spans="1:25" x14ac:dyDescent="0.25">
      <c r="A358" s="378" t="str">
        <f>name!A51</f>
        <v>Insurance and pensions</v>
      </c>
      <c r="C358" s="380"/>
      <c r="D358" s="380"/>
      <c r="E358" s="380"/>
      <c r="F358" s="380"/>
      <c r="G358" s="380"/>
      <c r="H358" s="380"/>
      <c r="I358" s="380"/>
      <c r="J358" s="380"/>
      <c r="K358" s="380"/>
      <c r="L358" s="380"/>
      <c r="M358" s="380"/>
      <c r="N358" s="380"/>
      <c r="O358" s="380"/>
      <c r="P358" s="380"/>
      <c r="Q358" s="380"/>
      <c r="R358" s="380"/>
      <c r="S358" s="380"/>
      <c r="T358" s="380"/>
      <c r="U358" s="380"/>
      <c r="V358" s="380"/>
      <c r="W358" s="380"/>
      <c r="X358" s="380"/>
      <c r="Y358" s="380"/>
    </row>
    <row r="359" spans="1:25" x14ac:dyDescent="0.25">
      <c r="A359" s="382" t="s">
        <v>391</v>
      </c>
      <c r="B359" s="437">
        <v>68.337999999431489</v>
      </c>
      <c r="C359" s="437">
        <v>16.360999999983093</v>
      </c>
      <c r="D359" s="437">
        <v>1.9190000000202458</v>
      </c>
      <c r="E359" s="437">
        <f>SUM(B359:D359)</f>
        <v>86.617999999434829</v>
      </c>
      <c r="F359" s="437"/>
      <c r="G359" s="437">
        <v>55.546999999548987</v>
      </c>
      <c r="H359" s="437">
        <v>10.873000000009856</v>
      </c>
      <c r="I359" s="437">
        <v>3.6480000000142097</v>
      </c>
      <c r="J359" s="437">
        <f>SUM(G359:I359)</f>
        <v>70.067999999573047</v>
      </c>
      <c r="K359" s="437"/>
      <c r="L359" s="437">
        <v>51.391999999508336</v>
      </c>
      <c r="M359" s="437">
        <v>9.9040000000510524</v>
      </c>
      <c r="N359" s="437">
        <v>2.0000000000210441</v>
      </c>
      <c r="O359" s="437">
        <f>SUM(L359:N359)</f>
        <v>63.295999999580431</v>
      </c>
      <c r="P359" s="437"/>
      <c r="Q359" s="437">
        <v>50.77899999979806</v>
      </c>
      <c r="R359" s="437">
        <v>9.7460000000297438</v>
      </c>
      <c r="S359" s="437">
        <v>1.7230000000269019</v>
      </c>
      <c r="T359" s="437">
        <f>SUM(Q359:S359)</f>
        <v>62.247999999854706</v>
      </c>
      <c r="U359" s="437"/>
      <c r="V359" s="437">
        <v>49.46999999960552</v>
      </c>
      <c r="W359" s="437">
        <v>9.4620000000533722</v>
      </c>
      <c r="X359" s="437">
        <v>1.4720000000200628</v>
      </c>
      <c r="Y359" s="437">
        <f>SUM(V359:X359)</f>
        <v>60.403999999678952</v>
      </c>
    </row>
    <row r="360" spans="1:25" x14ac:dyDescent="0.25">
      <c r="A360" s="382" t="s">
        <v>390</v>
      </c>
      <c r="B360" s="438">
        <v>54.938000000056007</v>
      </c>
      <c r="C360" s="438">
        <v>2.3280000000020356</v>
      </c>
      <c r="D360" s="438">
        <v>4.9469999999481207</v>
      </c>
      <c r="E360" s="438">
        <f t="shared" ref="E360:E361" si="949">SUM(B360:D360)</f>
        <v>62.213000000006161</v>
      </c>
      <c r="F360" s="438"/>
      <c r="G360" s="438">
        <v>51.376000000143037</v>
      </c>
      <c r="H360" s="438">
        <v>1.2429999999987353</v>
      </c>
      <c r="I360" s="438">
        <v>6.4439999999830508</v>
      </c>
      <c r="J360" s="438">
        <f t="shared" ref="J360:J361" si="950">SUM(G360:I360)</f>
        <v>59.063000000124823</v>
      </c>
      <c r="K360" s="438"/>
      <c r="L360" s="438">
        <v>45.198999999732095</v>
      </c>
      <c r="M360" s="438">
        <v>1.848000000002477</v>
      </c>
      <c r="N360" s="438">
        <v>5.0029999999362662</v>
      </c>
      <c r="O360" s="438">
        <f t="shared" ref="O360:O361" si="951">SUM(L360:N360)</f>
        <v>52.049999999670838</v>
      </c>
      <c r="P360" s="438"/>
      <c r="Q360" s="438">
        <v>46.148000000130153</v>
      </c>
      <c r="R360" s="438">
        <v>1.7549999999965853</v>
      </c>
      <c r="S360" s="438">
        <v>4.2169999999510068</v>
      </c>
      <c r="T360" s="438">
        <f t="shared" ref="T360:T361" si="952">SUM(Q360:S360)</f>
        <v>52.120000000077745</v>
      </c>
      <c r="U360" s="438"/>
      <c r="V360" s="438">
        <v>46.29800000003334</v>
      </c>
      <c r="W360" s="438">
        <v>1.6489999999984364</v>
      </c>
      <c r="X360" s="438">
        <v>3.5179999999612739</v>
      </c>
      <c r="Y360" s="438">
        <f t="shared" ref="Y360:Y361" si="953">SUM(V360:X360)</f>
        <v>51.464999999993054</v>
      </c>
    </row>
    <row r="361" spans="1:25" x14ac:dyDescent="0.25">
      <c r="A361" s="382" t="s">
        <v>389</v>
      </c>
      <c r="B361" s="438">
        <f>SUM(B359:B360)</f>
        <v>123.2759999994875</v>
      </c>
      <c r="C361" s="438">
        <f t="shared" ref="C361" si="954">SUM(C359:C360)</f>
        <v>18.688999999985128</v>
      </c>
      <c r="D361" s="438">
        <f t="shared" ref="D361" si="955">SUM(D359:D360)</f>
        <v>6.8659999999683663</v>
      </c>
      <c r="E361" s="438">
        <f t="shared" si="949"/>
        <v>148.83099999944102</v>
      </c>
      <c r="F361" s="438"/>
      <c r="G361" s="438">
        <f>SUM(G359:G360)</f>
        <v>106.92299999969202</v>
      </c>
      <c r="H361" s="438">
        <f t="shared" ref="H361" si="956">SUM(H359:H360)</f>
        <v>12.116000000008592</v>
      </c>
      <c r="I361" s="438">
        <f t="shared" ref="I361" si="957">SUM(I359:I360)</f>
        <v>10.09199999999726</v>
      </c>
      <c r="J361" s="438">
        <f t="shared" si="950"/>
        <v>129.13099999969788</v>
      </c>
      <c r="K361" s="438"/>
      <c r="L361" s="438">
        <f>SUM(L359:L360)</f>
        <v>96.590999999240438</v>
      </c>
      <c r="M361" s="438">
        <f t="shared" ref="M361" si="958">SUM(M359:M360)</f>
        <v>11.752000000053529</v>
      </c>
      <c r="N361" s="438">
        <f t="shared" ref="N361" si="959">SUM(N359:N360)</f>
        <v>7.0029999999573107</v>
      </c>
      <c r="O361" s="438">
        <f t="shared" si="951"/>
        <v>115.34599999925128</v>
      </c>
      <c r="P361" s="438"/>
      <c r="Q361" s="438">
        <f>SUM(Q359:Q360)</f>
        <v>96.926999999928213</v>
      </c>
      <c r="R361" s="438">
        <f t="shared" ref="R361" si="960">SUM(R359:R360)</f>
        <v>11.501000000026329</v>
      </c>
      <c r="S361" s="438">
        <f t="shared" ref="S361" si="961">SUM(S359:S360)</f>
        <v>5.9399999999779087</v>
      </c>
      <c r="T361" s="438">
        <f t="shared" si="952"/>
        <v>114.36799999993245</v>
      </c>
      <c r="U361" s="438"/>
      <c r="V361" s="438">
        <f>SUM(V359:V360)</f>
        <v>95.76799999963886</v>
      </c>
      <c r="W361" s="438">
        <f t="shared" ref="W361" si="962">SUM(W359:W360)</f>
        <v>11.111000000051808</v>
      </c>
      <c r="X361" s="438">
        <f t="shared" ref="X361" si="963">SUM(X359:X360)</f>
        <v>4.9899999999813369</v>
      </c>
      <c r="Y361" s="438">
        <f t="shared" si="953"/>
        <v>111.868999999672</v>
      </c>
    </row>
    <row r="362" spans="1:25" x14ac:dyDescent="0.25">
      <c r="B362" s="380"/>
      <c r="C362" s="460"/>
      <c r="D362" s="460"/>
      <c r="E362" s="460"/>
      <c r="F362" s="460"/>
      <c r="G362" s="460"/>
      <c r="H362" s="460"/>
      <c r="I362" s="460"/>
      <c r="J362" s="460"/>
      <c r="K362" s="460"/>
      <c r="L362" s="460"/>
      <c r="M362" s="460"/>
      <c r="N362" s="460"/>
      <c r="O362" s="460"/>
      <c r="P362" s="460"/>
      <c r="Q362" s="460"/>
      <c r="R362" s="460"/>
      <c r="S362" s="460"/>
      <c r="T362" s="460"/>
      <c r="U362" s="460"/>
      <c r="V362" s="460"/>
      <c r="W362" s="460"/>
      <c r="X362" s="460"/>
      <c r="Y362" s="460"/>
    </row>
    <row r="363" spans="1:25" x14ac:dyDescent="0.25">
      <c r="A363" s="378" t="str">
        <f>name!A52</f>
        <v>Auxiliary financial services</v>
      </c>
      <c r="C363" s="380"/>
      <c r="D363" s="380"/>
      <c r="E363" s="380"/>
      <c r="F363" s="380"/>
      <c r="G363" s="380"/>
      <c r="H363" s="380"/>
      <c r="I363" s="380"/>
      <c r="J363" s="380"/>
      <c r="K363" s="380"/>
      <c r="L363" s="380"/>
      <c r="M363" s="380"/>
      <c r="N363" s="380"/>
      <c r="O363" s="380"/>
      <c r="P363" s="380"/>
      <c r="Q363" s="380"/>
      <c r="R363" s="380"/>
      <c r="S363" s="380"/>
      <c r="T363" s="380"/>
      <c r="U363" s="380"/>
      <c r="V363" s="380"/>
      <c r="W363" s="380"/>
      <c r="X363" s="380"/>
      <c r="Y363" s="380"/>
    </row>
    <row r="364" spans="1:25" x14ac:dyDescent="0.25">
      <c r="A364" s="382" t="s">
        <v>391</v>
      </c>
      <c r="B364" s="437">
        <v>152.87399999842265</v>
      </c>
      <c r="C364" s="437">
        <v>43.794999999965242</v>
      </c>
      <c r="D364" s="437">
        <v>4.5860000000387595</v>
      </c>
      <c r="E364" s="437">
        <f>SUM(B364:D364)</f>
        <v>201.25499999842665</v>
      </c>
      <c r="F364" s="437"/>
      <c r="G364" s="437">
        <v>158.67299999864039</v>
      </c>
      <c r="H364" s="437">
        <v>45.400999999809912</v>
      </c>
      <c r="I364" s="437">
        <v>8.908000000070464</v>
      </c>
      <c r="J364" s="437">
        <f>SUM(G364:I364)</f>
        <v>212.98199999852076</v>
      </c>
      <c r="K364" s="437"/>
      <c r="L364" s="437">
        <v>175.44799999788637</v>
      </c>
      <c r="M364" s="437">
        <v>51.701000000152014</v>
      </c>
      <c r="N364" s="437">
        <v>10.981000000124151</v>
      </c>
      <c r="O364" s="437">
        <f>SUM(L364:N364)</f>
        <v>238.12999999816253</v>
      </c>
      <c r="P364" s="437"/>
      <c r="Q364" s="437">
        <v>173.73699999934141</v>
      </c>
      <c r="R364" s="437">
        <v>50.724000000036334</v>
      </c>
      <c r="S364" s="437">
        <v>11.739000000101896</v>
      </c>
      <c r="T364" s="437">
        <f>SUM(Q364:S364)</f>
        <v>236.19999999947964</v>
      </c>
      <c r="U364" s="437"/>
      <c r="V364" s="437">
        <v>169.6409999982566</v>
      </c>
      <c r="W364" s="437">
        <v>49.079000000213156</v>
      </c>
      <c r="X364" s="437">
        <v>12.322000000128099</v>
      </c>
      <c r="Y364" s="437">
        <f>SUM(V364:X364)</f>
        <v>231.04199999859784</v>
      </c>
    </row>
    <row r="365" spans="1:25" x14ac:dyDescent="0.25">
      <c r="A365" s="382" t="s">
        <v>390</v>
      </c>
      <c r="B365" s="438">
        <v>171.14500000093648</v>
      </c>
      <c r="C365" s="438">
        <v>6.42200000001632</v>
      </c>
      <c r="D365" s="438">
        <v>13.946999999907725</v>
      </c>
      <c r="E365" s="438">
        <f t="shared" ref="E365:E366" si="964">SUM(B365:D365)</f>
        <v>191.51400000086051</v>
      </c>
      <c r="F365" s="438"/>
      <c r="G365" s="438">
        <v>207.73200000197315</v>
      </c>
      <c r="H365" s="438">
        <v>5.1010000000076214</v>
      </c>
      <c r="I365" s="438">
        <v>42.700000000377131</v>
      </c>
      <c r="J365" s="438">
        <f t="shared" ref="J365:J366" si="965">SUM(G365:I365)</f>
        <v>255.53300000235788</v>
      </c>
      <c r="K365" s="438"/>
      <c r="L365" s="438">
        <v>224.6489999980794</v>
      </c>
      <c r="M365" s="438">
        <v>9.9520000000191633</v>
      </c>
      <c r="N365" s="438">
        <v>31.992999999732977</v>
      </c>
      <c r="O365" s="438">
        <f t="shared" ref="O365:O366" si="966">SUM(L365:N365)</f>
        <v>266.59399999783153</v>
      </c>
      <c r="P365" s="438"/>
      <c r="Q365" s="438">
        <v>228.81099999962154</v>
      </c>
      <c r="R365" s="438">
        <v>9.4430000000126526</v>
      </c>
      <c r="S365" s="438">
        <v>31.412999999474803</v>
      </c>
      <c r="T365" s="438">
        <f t="shared" ref="T365:T366" si="967">SUM(Q365:S365)</f>
        <v>269.66699999910901</v>
      </c>
      <c r="U365" s="438"/>
      <c r="V365" s="438">
        <v>229.11199999858607</v>
      </c>
      <c r="W365" s="438">
        <v>8.861000000028886</v>
      </c>
      <c r="X365" s="438">
        <v>30.595999999394696</v>
      </c>
      <c r="Y365" s="438">
        <f t="shared" ref="Y365:Y366" si="968">SUM(V365:X365)</f>
        <v>268.56899999800964</v>
      </c>
    </row>
    <row r="366" spans="1:25" x14ac:dyDescent="0.25">
      <c r="A366" s="382" t="s">
        <v>389</v>
      </c>
      <c r="B366" s="438">
        <f>SUM(B364:B365)</f>
        <v>324.01899999935915</v>
      </c>
      <c r="C366" s="438">
        <f t="shared" ref="C366" si="969">SUM(C364:C365)</f>
        <v>50.21699999998156</v>
      </c>
      <c r="D366" s="438">
        <f t="shared" ref="D366" si="970">SUM(D364:D365)</f>
        <v>18.532999999946483</v>
      </c>
      <c r="E366" s="438">
        <f t="shared" si="964"/>
        <v>392.76899999928719</v>
      </c>
      <c r="F366" s="438"/>
      <c r="G366" s="438">
        <f>SUM(G364:G365)</f>
        <v>366.40500000061354</v>
      </c>
      <c r="H366" s="438">
        <f t="shared" ref="H366" si="971">SUM(H364:H365)</f>
        <v>50.501999999817535</v>
      </c>
      <c r="I366" s="438">
        <f t="shared" ref="I366" si="972">SUM(I364:I365)</f>
        <v>51.608000000447596</v>
      </c>
      <c r="J366" s="438">
        <f t="shared" si="965"/>
        <v>468.51500000087867</v>
      </c>
      <c r="K366" s="438"/>
      <c r="L366" s="438">
        <f>SUM(L364:L365)</f>
        <v>400.0969999959658</v>
      </c>
      <c r="M366" s="438">
        <f t="shared" ref="M366" si="973">SUM(M364:M365)</f>
        <v>61.653000000171176</v>
      </c>
      <c r="N366" s="438">
        <f t="shared" ref="N366" si="974">SUM(N364:N365)</f>
        <v>42.973999999857128</v>
      </c>
      <c r="O366" s="438">
        <f t="shared" si="966"/>
        <v>504.72399999599412</v>
      </c>
      <c r="P366" s="438"/>
      <c r="Q366" s="438">
        <f>SUM(Q364:Q365)</f>
        <v>402.54799999896295</v>
      </c>
      <c r="R366" s="438">
        <f t="shared" ref="R366" si="975">SUM(R364:R365)</f>
        <v>60.167000000048986</v>
      </c>
      <c r="S366" s="438">
        <f t="shared" ref="S366" si="976">SUM(S364:S365)</f>
        <v>43.151999999576702</v>
      </c>
      <c r="T366" s="438">
        <f t="shared" si="967"/>
        <v>505.86699999858865</v>
      </c>
      <c r="U366" s="438"/>
      <c r="V366" s="438">
        <f>SUM(V364:V365)</f>
        <v>398.75299999684268</v>
      </c>
      <c r="W366" s="438">
        <f t="shared" ref="W366" si="977">SUM(W364:W365)</f>
        <v>57.940000000242044</v>
      </c>
      <c r="X366" s="438">
        <f t="shared" ref="X366" si="978">SUM(X364:X365)</f>
        <v>42.917999999522792</v>
      </c>
      <c r="Y366" s="438">
        <f t="shared" si="968"/>
        <v>499.61099999660752</v>
      </c>
    </row>
    <row r="367" spans="1:25" x14ac:dyDescent="0.25">
      <c r="C367" s="453"/>
    </row>
    <row r="368" spans="1:25" x14ac:dyDescent="0.25">
      <c r="A368" s="383" t="s">
        <v>397</v>
      </c>
      <c r="C368" s="453"/>
    </row>
    <row r="369" spans="1:25" x14ac:dyDescent="0.25">
      <c r="A369" s="377" t="s">
        <v>391</v>
      </c>
      <c r="B369" s="437">
        <f>SUM(B354,B359,B364)</f>
        <v>436.40299999578883</v>
      </c>
      <c r="C369" s="437">
        <f t="shared" ref="C369:D369" si="979">SUM(C354,C359,C364)</f>
        <v>170.11599999992467</v>
      </c>
      <c r="D369" s="437">
        <f t="shared" si="979"/>
        <v>15.473000000163442</v>
      </c>
      <c r="E369" s="437">
        <f>SUM(B369:D369)</f>
        <v>621.99199999587699</v>
      </c>
      <c r="F369" s="437"/>
      <c r="G369" s="437">
        <f>SUM(G354,G359,G364)</f>
        <v>386.97199999668044</v>
      </c>
      <c r="H369" s="437">
        <f t="shared" ref="H369:I369" si="980">SUM(H354,H359,H364)</f>
        <v>143.98899999971334</v>
      </c>
      <c r="I369" s="437">
        <f t="shared" si="980"/>
        <v>19.359000000178938</v>
      </c>
      <c r="J369" s="437">
        <f>SUM(G369:I369)</f>
        <v>550.31999999657273</v>
      </c>
      <c r="K369" s="437"/>
      <c r="L369" s="437">
        <f>SUM(L354,L359,L364)</f>
        <v>392.0389999955791</v>
      </c>
      <c r="M369" s="437">
        <f t="shared" ref="M369:N369" si="981">SUM(M354,M359,M364)</f>
        <v>138.01900000065254</v>
      </c>
      <c r="N369" s="437">
        <f t="shared" si="981"/>
        <v>18.599000000237886</v>
      </c>
      <c r="O369" s="437">
        <f>SUM(L369:N369)</f>
        <v>548.65699999646949</v>
      </c>
      <c r="P369" s="437"/>
      <c r="Q369" s="437">
        <f>SUM(Q354,Q359,Q364)</f>
        <v>388.40899999813587</v>
      </c>
      <c r="R369" s="437">
        <f t="shared" ref="R369:S369" si="982">SUM(R354,R359,R364)</f>
        <v>135.77100000015929</v>
      </c>
      <c r="S369" s="437">
        <f t="shared" si="982"/>
        <v>19.357000000189551</v>
      </c>
      <c r="T369" s="437">
        <f>SUM(Q369:S369)</f>
        <v>543.53699999848482</v>
      </c>
      <c r="U369" s="437"/>
      <c r="V369" s="437">
        <f>SUM(V354,V359,V364)</f>
        <v>379.45899999604853</v>
      </c>
      <c r="W369" s="437">
        <f t="shared" ref="W369:X369" si="983">SUM(W354,W359,W364)</f>
        <v>131.73000000071005</v>
      </c>
      <c r="X369" s="437">
        <f t="shared" si="983"/>
        <v>19.819000000229984</v>
      </c>
      <c r="Y369" s="437">
        <f>SUM(V369:X369)</f>
        <v>531.00799999698859</v>
      </c>
    </row>
    <row r="370" spans="1:25" x14ac:dyDescent="0.25">
      <c r="A370" s="377" t="s">
        <v>390</v>
      </c>
      <c r="B370" s="437">
        <f>SUM(B355,B360,B365)</f>
        <v>498.5010000021843</v>
      </c>
      <c r="C370" s="437">
        <f t="shared" ref="C370:D370" si="984">SUM(C355,C360,C365)</f>
        <v>20.983000000063541</v>
      </c>
      <c r="D370" s="437">
        <f t="shared" si="984"/>
        <v>38.52499999968834</v>
      </c>
      <c r="E370" s="437">
        <f t="shared" ref="E370:E371" si="985">SUM(B370:D370)</f>
        <v>558.00900000193622</v>
      </c>
      <c r="F370" s="437"/>
      <c r="G370" s="437">
        <f>SUM(G355,G360,G365)</f>
        <v>518.96400000448818</v>
      </c>
      <c r="H370" s="437">
        <f t="shared" ref="H370:I370" si="986">SUM(H355,H360,H365)</f>
        <v>13.999000000019329</v>
      </c>
      <c r="I370" s="437">
        <f t="shared" si="986"/>
        <v>61.660000000422151</v>
      </c>
      <c r="J370" s="437">
        <f t="shared" ref="J370:J371" si="987">SUM(G370:I370)</f>
        <v>594.62300000492974</v>
      </c>
      <c r="K370" s="437"/>
      <c r="L370" s="437">
        <f>SUM(L355,L360,L365)</f>
        <v>517.02599999585175</v>
      </c>
      <c r="M370" s="437">
        <f t="shared" ref="M370:N370" si="988">SUM(M355,M360,M365)</f>
        <v>22.957000000044292</v>
      </c>
      <c r="N370" s="437">
        <f t="shared" si="988"/>
        <v>45.3989999995147</v>
      </c>
      <c r="O370" s="437">
        <f t="shared" ref="O370:O371" si="989">SUM(L370:N370)</f>
        <v>585.38199999541075</v>
      </c>
      <c r="P370" s="437"/>
      <c r="Q370" s="437">
        <f>SUM(Q355,Q360,Q365)</f>
        <v>527.63799999914738</v>
      </c>
      <c r="R370" s="437">
        <f t="shared" ref="R370:S370" si="990">SUM(R355,R360,R365)</f>
        <v>21.814000000007745</v>
      </c>
      <c r="S370" s="437">
        <f t="shared" si="990"/>
        <v>43.68299999926753</v>
      </c>
      <c r="T370" s="437">
        <f t="shared" ref="T370:T371" si="991">SUM(Q370:S370)</f>
        <v>593.13499999842259</v>
      </c>
      <c r="U370" s="437"/>
      <c r="V370" s="437">
        <f>SUM(V355,V360,V365)</f>
        <v>529.4259999970817</v>
      </c>
      <c r="W370" s="437">
        <f t="shared" ref="W370:X370" si="992">SUM(W355,W360,W365)</f>
        <v>20.505000000034379</v>
      </c>
      <c r="X370" s="437">
        <f t="shared" si="992"/>
        <v>41.692999999205348</v>
      </c>
      <c r="Y370" s="437">
        <f t="shared" ref="Y370:Y371" si="993">SUM(V370:X370)</f>
        <v>591.62399999632134</v>
      </c>
    </row>
    <row r="371" spans="1:25" x14ac:dyDescent="0.25">
      <c r="A371" s="381" t="s">
        <v>389</v>
      </c>
      <c r="B371" s="439">
        <f>SUM(B369:B370)</f>
        <v>934.90399999797319</v>
      </c>
      <c r="C371" s="439">
        <f t="shared" ref="C371" si="994">SUM(C369:C370)</f>
        <v>191.09899999998822</v>
      </c>
      <c r="D371" s="439">
        <f t="shared" ref="D371" si="995">SUM(D369:D370)</f>
        <v>53.997999999851785</v>
      </c>
      <c r="E371" s="439">
        <f t="shared" si="985"/>
        <v>1180.0009999978133</v>
      </c>
      <c r="F371" s="439"/>
      <c r="G371" s="439">
        <f>SUM(G369:G370)</f>
        <v>905.93600000116862</v>
      </c>
      <c r="H371" s="439">
        <f t="shared" ref="H371" si="996">SUM(H369:H370)</f>
        <v>157.98799999973266</v>
      </c>
      <c r="I371" s="439">
        <f t="shared" ref="I371" si="997">SUM(I369:I370)</f>
        <v>81.019000000601096</v>
      </c>
      <c r="J371" s="439">
        <f t="shared" si="987"/>
        <v>1144.9430000015025</v>
      </c>
      <c r="K371" s="439"/>
      <c r="L371" s="439">
        <f>SUM(L369:L370)</f>
        <v>909.0649999914308</v>
      </c>
      <c r="M371" s="439">
        <f t="shared" ref="M371" si="998">SUM(M369:M370)</f>
        <v>160.97600000069684</v>
      </c>
      <c r="N371" s="439">
        <f t="shared" ref="N371" si="999">SUM(N369:N370)</f>
        <v>63.997999999752587</v>
      </c>
      <c r="O371" s="439">
        <f t="shared" si="989"/>
        <v>1134.0389999918802</v>
      </c>
      <c r="P371" s="439"/>
      <c r="Q371" s="439">
        <f>SUM(Q369:Q370)</f>
        <v>916.04699999728325</v>
      </c>
      <c r="R371" s="439">
        <f t="shared" ref="R371" si="1000">SUM(R369:R370)</f>
        <v>157.58500000016704</v>
      </c>
      <c r="S371" s="439">
        <f t="shared" ref="S371" si="1001">SUM(S369:S370)</f>
        <v>63.039999999457081</v>
      </c>
      <c r="T371" s="439">
        <f t="shared" si="991"/>
        <v>1136.6719999969073</v>
      </c>
      <c r="U371" s="439"/>
      <c r="V371" s="439">
        <f>SUM(V369:V370)</f>
        <v>908.88499999313024</v>
      </c>
      <c r="W371" s="439">
        <f t="shared" ref="W371" si="1002">SUM(W369:W370)</f>
        <v>152.23500000074444</v>
      </c>
      <c r="X371" s="439">
        <f t="shared" ref="X371" si="1003">SUM(X369:X370)</f>
        <v>61.511999999435332</v>
      </c>
      <c r="Y371" s="439">
        <f t="shared" si="993"/>
        <v>1122.63199999331</v>
      </c>
    </row>
    <row r="375" spans="1:25" ht="13.8" x14ac:dyDescent="0.25">
      <c r="A375" s="385" t="str">
        <f>"Industry 15 : "&amp; name!B18</f>
        <v>Industry 15 : Real estate</v>
      </c>
      <c r="B375" s="514">
        <f>$B$5</f>
        <v>2007</v>
      </c>
      <c r="C375" s="514"/>
      <c r="D375" s="514"/>
      <c r="E375" s="514"/>
      <c r="F375" s="461"/>
      <c r="G375" s="514">
        <f>$G$5</f>
        <v>2012</v>
      </c>
      <c r="H375" s="514"/>
      <c r="I375" s="514"/>
      <c r="J375" s="514"/>
      <c r="K375" s="461"/>
      <c r="L375" s="514">
        <f>$L$5</f>
        <v>2017</v>
      </c>
      <c r="M375" s="514"/>
      <c r="N375" s="514"/>
      <c r="O375" s="514"/>
      <c r="P375" s="459"/>
      <c r="Q375" s="514">
        <f>$Q$5</f>
        <v>2022</v>
      </c>
      <c r="R375" s="514"/>
      <c r="S375" s="514"/>
      <c r="T375" s="514"/>
      <c r="U375" s="461"/>
      <c r="V375" s="514">
        <f>$V$5</f>
        <v>2027</v>
      </c>
      <c r="W375" s="514"/>
      <c r="X375" s="514"/>
      <c r="Y375" s="514"/>
    </row>
    <row r="376" spans="1:25" x14ac:dyDescent="0.25">
      <c r="A376" s="381"/>
      <c r="B376" s="388" t="str">
        <f>$B$6</f>
        <v>FT</v>
      </c>
      <c r="C376" s="388" t="str">
        <f>$C$6</f>
        <v>PT</v>
      </c>
      <c r="D376" s="388" t="str">
        <f>$D$6</f>
        <v>SE</v>
      </c>
      <c r="E376" s="388" t="str">
        <f>$E$6</f>
        <v>Total</v>
      </c>
      <c r="F376" s="388"/>
      <c r="G376" s="388" t="str">
        <f>$B$6</f>
        <v>FT</v>
      </c>
      <c r="H376" s="388" t="str">
        <f>$C$6</f>
        <v>PT</v>
      </c>
      <c r="I376" s="388" t="str">
        <f>$D$6</f>
        <v>SE</v>
      </c>
      <c r="J376" s="388" t="str">
        <f>$E$6</f>
        <v>Total</v>
      </c>
      <c r="K376" s="388"/>
      <c r="L376" s="388" t="str">
        <f>$L$6</f>
        <v>FT</v>
      </c>
      <c r="M376" s="388" t="str">
        <f>$M$6</f>
        <v>PT</v>
      </c>
      <c r="N376" s="388" t="str">
        <f>$N$6</f>
        <v>SE</v>
      </c>
      <c r="O376" s="388" t="str">
        <f>$O$6</f>
        <v>Total</v>
      </c>
      <c r="P376" s="388"/>
      <c r="Q376" s="388" t="str">
        <f>$L$6</f>
        <v>FT</v>
      </c>
      <c r="R376" s="388" t="str">
        <f>$M$6</f>
        <v>PT</v>
      </c>
      <c r="S376" s="388" t="str">
        <f>$N$6</f>
        <v>SE</v>
      </c>
      <c r="T376" s="388" t="str">
        <f>$O$6</f>
        <v>Total</v>
      </c>
      <c r="U376" s="388"/>
      <c r="V376" s="388" t="str">
        <f>$V$6</f>
        <v>FT</v>
      </c>
      <c r="W376" s="388" t="str">
        <f>$W$6</f>
        <v>PT</v>
      </c>
      <c r="X376" s="388" t="str">
        <f>$X$6</f>
        <v>SE</v>
      </c>
      <c r="Y376" s="388" t="str">
        <f>$Y$6</f>
        <v>Total</v>
      </c>
    </row>
    <row r="377" spans="1:25" x14ac:dyDescent="0.25">
      <c r="B377" s="380"/>
      <c r="C377" s="460"/>
      <c r="D377" s="460"/>
      <c r="E377" s="460"/>
      <c r="F377" s="460"/>
      <c r="G377" s="460"/>
      <c r="H377" s="460"/>
      <c r="I377" s="460"/>
      <c r="J377" s="460"/>
      <c r="K377" s="460"/>
      <c r="L377" s="460"/>
      <c r="M377" s="460"/>
      <c r="N377" s="460"/>
      <c r="O377" s="460"/>
      <c r="P377" s="460"/>
      <c r="Q377" s="460"/>
      <c r="R377" s="460"/>
      <c r="S377" s="460"/>
      <c r="T377" s="460"/>
      <c r="U377" s="460"/>
      <c r="V377" s="460"/>
      <c r="W377" s="460"/>
      <c r="X377" s="460"/>
      <c r="Y377" s="460"/>
    </row>
    <row r="378" spans="1:25" x14ac:dyDescent="0.25">
      <c r="A378" s="378" t="str">
        <f>name!A53</f>
        <v>Real estate</v>
      </c>
      <c r="C378" s="380"/>
      <c r="D378" s="380"/>
      <c r="E378" s="380"/>
      <c r="F378" s="380"/>
      <c r="G378" s="380"/>
      <c r="H378" s="380"/>
      <c r="I378" s="380"/>
      <c r="J378" s="380"/>
      <c r="K378" s="380"/>
      <c r="L378" s="380"/>
      <c r="M378" s="380"/>
      <c r="N378" s="380"/>
      <c r="O378" s="380"/>
      <c r="P378" s="380"/>
      <c r="Q378" s="380"/>
      <c r="R378" s="380"/>
      <c r="S378" s="380"/>
      <c r="T378" s="380"/>
      <c r="U378" s="380"/>
      <c r="V378" s="380"/>
      <c r="W378" s="380"/>
      <c r="X378" s="380"/>
      <c r="Y378" s="380"/>
    </row>
    <row r="379" spans="1:25" x14ac:dyDescent="0.25">
      <c r="A379" s="382" t="s">
        <v>391</v>
      </c>
      <c r="B379" s="437">
        <v>137.30899999896994</v>
      </c>
      <c r="C379" s="437">
        <v>70.158000000166609</v>
      </c>
      <c r="D379" s="437">
        <v>18.999000000223138</v>
      </c>
      <c r="E379" s="437">
        <f>SUM(B379:D379)</f>
        <v>226.46599999935967</v>
      </c>
      <c r="F379" s="437"/>
      <c r="G379" s="437">
        <v>155.98799999881683</v>
      </c>
      <c r="H379" s="437">
        <v>79.993000000101617</v>
      </c>
      <c r="I379" s="437">
        <v>22.006000000192518</v>
      </c>
      <c r="J379" s="437">
        <f>SUM(G379:I379)</f>
        <v>257.98699999911094</v>
      </c>
      <c r="K379" s="437"/>
      <c r="L379" s="437">
        <v>175.00599999883013</v>
      </c>
      <c r="M379" s="437">
        <v>95.004000000809995</v>
      </c>
      <c r="N379" s="437">
        <v>33.001000000409114</v>
      </c>
      <c r="O379" s="437">
        <f>SUM(L379:N379)</f>
        <v>303.01100000004925</v>
      </c>
      <c r="P379" s="437"/>
      <c r="Q379" s="437">
        <v>173.85599999828028</v>
      </c>
      <c r="R379" s="437">
        <v>96.025999999875779</v>
      </c>
      <c r="S379" s="437">
        <v>34.173000000568635</v>
      </c>
      <c r="T379" s="437">
        <f>SUM(Q379:S379)</f>
        <v>304.05499999872472</v>
      </c>
      <c r="U379" s="437"/>
      <c r="V379" s="437">
        <v>173.95599999884504</v>
      </c>
      <c r="W379" s="437">
        <v>97.628000000764857</v>
      </c>
      <c r="X379" s="437">
        <v>35.499000000588232</v>
      </c>
      <c r="Y379" s="437">
        <f>SUM(V379:X379)</f>
        <v>307.08300000019813</v>
      </c>
    </row>
    <row r="380" spans="1:25" x14ac:dyDescent="0.25">
      <c r="A380" s="382" t="s">
        <v>390</v>
      </c>
      <c r="B380" s="438">
        <v>158.46500000015197</v>
      </c>
      <c r="C380" s="438">
        <v>23.06700000001964</v>
      </c>
      <c r="D380" s="438">
        <v>34.998999999908555</v>
      </c>
      <c r="E380" s="438">
        <f t="shared" ref="E380:E381" si="1004">SUM(B380:D380)</f>
        <v>216.53100000008018</v>
      </c>
      <c r="F380" s="438"/>
      <c r="G380" s="438">
        <v>174.98800000049263</v>
      </c>
      <c r="H380" s="438">
        <v>23.998000000092055</v>
      </c>
      <c r="I380" s="438">
        <v>35.009999999753155</v>
      </c>
      <c r="J380" s="438">
        <f t="shared" ref="J380:J381" si="1005">SUM(G380:I380)</f>
        <v>233.99600000033783</v>
      </c>
      <c r="K380" s="438"/>
      <c r="L380" s="438">
        <v>176.14199999903795</v>
      </c>
      <c r="M380" s="438">
        <v>27.86399999992285</v>
      </c>
      <c r="N380" s="438">
        <v>39.001999999798819</v>
      </c>
      <c r="O380" s="438">
        <f t="shared" ref="O380:O381" si="1006">SUM(L380:N380)</f>
        <v>243.0079999987596</v>
      </c>
      <c r="P380" s="438"/>
      <c r="Q380" s="438">
        <v>186.2589999998288</v>
      </c>
      <c r="R380" s="438">
        <v>26.845000000002255</v>
      </c>
      <c r="S380" s="438">
        <v>39.36899999991163</v>
      </c>
      <c r="T380" s="438">
        <f t="shared" ref="T380:T381" si="1007">SUM(Q380:S380)</f>
        <v>252.47299999974268</v>
      </c>
      <c r="U380" s="438"/>
      <c r="V380" s="438">
        <v>196.97499999950901</v>
      </c>
      <c r="W380" s="438">
        <v>26.074999999929339</v>
      </c>
      <c r="X380" s="438">
        <v>39.975999999916361</v>
      </c>
      <c r="Y380" s="438">
        <f t="shared" ref="Y380:Y381" si="1008">SUM(V380:X380)</f>
        <v>263.02599999935472</v>
      </c>
    </row>
    <row r="381" spans="1:25" x14ac:dyDescent="0.25">
      <c r="A381" s="381" t="s">
        <v>389</v>
      </c>
      <c r="B381" s="439">
        <f>SUM(B379:B380)</f>
        <v>295.77399999912188</v>
      </c>
      <c r="C381" s="439">
        <f t="shared" ref="C381" si="1009">SUM(C379:C380)</f>
        <v>93.225000000186242</v>
      </c>
      <c r="D381" s="439">
        <f t="shared" ref="D381" si="1010">SUM(D379:D380)</f>
        <v>53.998000000131697</v>
      </c>
      <c r="E381" s="439">
        <f t="shared" si="1004"/>
        <v>442.99699999943982</v>
      </c>
      <c r="F381" s="439"/>
      <c r="G381" s="439">
        <f>SUM(G379:G380)</f>
        <v>330.97599999930947</v>
      </c>
      <c r="H381" s="439">
        <f t="shared" ref="H381" si="1011">SUM(H379:H380)</f>
        <v>103.99100000019368</v>
      </c>
      <c r="I381" s="439">
        <f t="shared" ref="I381" si="1012">SUM(I379:I380)</f>
        <v>57.015999999945677</v>
      </c>
      <c r="J381" s="439">
        <f t="shared" si="1005"/>
        <v>491.98299999944885</v>
      </c>
      <c r="K381" s="439"/>
      <c r="L381" s="439">
        <f>SUM(L379:L380)</f>
        <v>351.14799999786806</v>
      </c>
      <c r="M381" s="439">
        <f t="shared" ref="M381" si="1013">SUM(M379:M380)</f>
        <v>122.86800000073285</v>
      </c>
      <c r="N381" s="439">
        <f t="shared" ref="N381" si="1014">SUM(N379:N380)</f>
        <v>72.003000000207933</v>
      </c>
      <c r="O381" s="439">
        <f t="shared" si="1006"/>
        <v>546.01899999880891</v>
      </c>
      <c r="P381" s="439"/>
      <c r="Q381" s="439">
        <f>SUM(Q379:Q380)</f>
        <v>360.11499999810906</v>
      </c>
      <c r="R381" s="439">
        <f t="shared" ref="R381" si="1015">SUM(R379:R380)</f>
        <v>122.87099999987804</v>
      </c>
      <c r="S381" s="439">
        <f t="shared" ref="S381" si="1016">SUM(S379:S380)</f>
        <v>73.542000000480272</v>
      </c>
      <c r="T381" s="439">
        <f t="shared" si="1007"/>
        <v>556.52799999846741</v>
      </c>
      <c r="U381" s="439"/>
      <c r="V381" s="439">
        <f>SUM(V379:V380)</f>
        <v>370.93099999835408</v>
      </c>
      <c r="W381" s="439">
        <f t="shared" ref="W381" si="1017">SUM(W379:W380)</f>
        <v>123.7030000006942</v>
      </c>
      <c r="X381" s="439">
        <f t="shared" ref="X381" si="1018">SUM(X379:X380)</f>
        <v>75.475000000504593</v>
      </c>
      <c r="Y381" s="439">
        <f t="shared" si="1008"/>
        <v>570.10899999955291</v>
      </c>
    </row>
    <row r="382" spans="1:25" x14ac:dyDescent="0.25">
      <c r="C382" s="453"/>
    </row>
    <row r="383" spans="1:25" x14ac:dyDescent="0.25">
      <c r="A383" s="378"/>
      <c r="B383" s="380"/>
      <c r="C383" s="455"/>
      <c r="D383" s="380"/>
      <c r="E383" s="380"/>
      <c r="F383" s="380"/>
      <c r="G383" s="380"/>
      <c r="H383" s="380"/>
      <c r="I383" s="380"/>
      <c r="J383" s="380"/>
      <c r="K383" s="380"/>
      <c r="L383" s="380"/>
      <c r="M383" s="380"/>
      <c r="N383" s="380"/>
      <c r="O383" s="380"/>
      <c r="P383" s="380"/>
      <c r="Q383" s="380"/>
      <c r="R383" s="380"/>
      <c r="S383" s="380"/>
      <c r="T383" s="380"/>
      <c r="U383" s="380"/>
      <c r="V383" s="380"/>
      <c r="W383" s="380"/>
      <c r="X383" s="380"/>
      <c r="Y383" s="380"/>
    </row>
    <row r="384" spans="1:25" x14ac:dyDescent="0.25">
      <c r="A384" s="377"/>
      <c r="B384" s="380"/>
      <c r="C384" s="380"/>
      <c r="D384" s="380"/>
      <c r="E384" s="380"/>
      <c r="F384" s="380"/>
      <c r="G384" s="380"/>
      <c r="H384" s="380"/>
      <c r="I384" s="380"/>
      <c r="J384" s="380"/>
      <c r="K384" s="380"/>
      <c r="L384" s="380"/>
      <c r="M384" s="380"/>
      <c r="N384" s="380"/>
      <c r="O384" s="380"/>
      <c r="P384" s="380"/>
      <c r="Q384" s="380"/>
      <c r="R384" s="380"/>
      <c r="S384" s="380"/>
      <c r="T384" s="380"/>
      <c r="U384" s="380"/>
      <c r="V384" s="380"/>
      <c r="W384" s="380"/>
      <c r="X384" s="380"/>
      <c r="Y384" s="380"/>
    </row>
    <row r="385" spans="1:25" ht="13.8" x14ac:dyDescent="0.25">
      <c r="A385" s="385" t="str">
        <f>"Industry 16 : "&amp; name!B19</f>
        <v>Industry 16 : Professional services</v>
      </c>
      <c r="B385" s="514">
        <f>$B$5</f>
        <v>2007</v>
      </c>
      <c r="C385" s="514"/>
      <c r="D385" s="514"/>
      <c r="E385" s="514"/>
      <c r="F385" s="461"/>
      <c r="G385" s="514">
        <f>$G$5</f>
        <v>2012</v>
      </c>
      <c r="H385" s="514"/>
      <c r="I385" s="514"/>
      <c r="J385" s="514"/>
      <c r="K385" s="461"/>
      <c r="L385" s="514">
        <f>$L$5</f>
        <v>2017</v>
      </c>
      <c r="M385" s="514"/>
      <c r="N385" s="514"/>
      <c r="O385" s="514"/>
      <c r="P385" s="459"/>
      <c r="Q385" s="514">
        <f>$Q$5</f>
        <v>2022</v>
      </c>
      <c r="R385" s="514"/>
      <c r="S385" s="514"/>
      <c r="T385" s="514"/>
      <c r="U385" s="461"/>
      <c r="V385" s="514">
        <f>$V$5</f>
        <v>2027</v>
      </c>
      <c r="W385" s="514"/>
      <c r="X385" s="514"/>
      <c r="Y385" s="514"/>
    </row>
    <row r="386" spans="1:25" x14ac:dyDescent="0.25">
      <c r="A386" s="381"/>
      <c r="B386" s="388" t="str">
        <f>$B$6</f>
        <v>FT</v>
      </c>
      <c r="C386" s="388" t="str">
        <f>$C$6</f>
        <v>PT</v>
      </c>
      <c r="D386" s="388" t="str">
        <f>$D$6</f>
        <v>SE</v>
      </c>
      <c r="E386" s="388" t="str">
        <f>$E$6</f>
        <v>Total</v>
      </c>
      <c r="F386" s="388"/>
      <c r="G386" s="388" t="str">
        <f>$B$6</f>
        <v>FT</v>
      </c>
      <c r="H386" s="388" t="str">
        <f>$C$6</f>
        <v>PT</v>
      </c>
      <c r="I386" s="388" t="str">
        <f>$D$6</f>
        <v>SE</v>
      </c>
      <c r="J386" s="388" t="str">
        <f>$E$6</f>
        <v>Total</v>
      </c>
      <c r="K386" s="388"/>
      <c r="L386" s="388" t="str">
        <f>$L$6</f>
        <v>FT</v>
      </c>
      <c r="M386" s="388" t="str">
        <f>$M$6</f>
        <v>PT</v>
      </c>
      <c r="N386" s="388" t="str">
        <f>$N$6</f>
        <v>SE</v>
      </c>
      <c r="O386" s="388" t="str">
        <f>$O$6</f>
        <v>Total</v>
      </c>
      <c r="P386" s="388"/>
      <c r="Q386" s="388" t="str">
        <f>$L$6</f>
        <v>FT</v>
      </c>
      <c r="R386" s="388" t="str">
        <f>$M$6</f>
        <v>PT</v>
      </c>
      <c r="S386" s="388" t="str">
        <f>$N$6</f>
        <v>SE</v>
      </c>
      <c r="T386" s="388" t="str">
        <f>$O$6</f>
        <v>Total</v>
      </c>
      <c r="U386" s="388"/>
      <c r="V386" s="388" t="str">
        <f>$V$6</f>
        <v>FT</v>
      </c>
      <c r="W386" s="388" t="str">
        <f>$W$6</f>
        <v>PT</v>
      </c>
      <c r="X386" s="388" t="str">
        <f>$X$6</f>
        <v>SE</v>
      </c>
      <c r="Y386" s="388" t="str">
        <f>$Y$6</f>
        <v>Total</v>
      </c>
    </row>
    <row r="387" spans="1:25" x14ac:dyDescent="0.25">
      <c r="B387" s="380"/>
      <c r="C387" s="460"/>
      <c r="D387" s="460"/>
      <c r="E387" s="460"/>
      <c r="F387" s="460"/>
      <c r="G387" s="460"/>
      <c r="H387" s="460"/>
      <c r="I387" s="460"/>
      <c r="J387" s="460"/>
      <c r="K387" s="460"/>
      <c r="L387" s="460"/>
      <c r="M387" s="460"/>
      <c r="N387" s="460"/>
      <c r="O387" s="460"/>
      <c r="P387" s="460"/>
      <c r="Q387" s="460"/>
      <c r="R387" s="460"/>
      <c r="S387" s="460"/>
      <c r="T387" s="460"/>
      <c r="U387" s="460"/>
      <c r="V387" s="460"/>
      <c r="W387" s="460"/>
      <c r="X387" s="460"/>
      <c r="Y387" s="460"/>
    </row>
    <row r="388" spans="1:25" x14ac:dyDescent="0.25">
      <c r="A388" s="378" t="str">
        <f>name!A54</f>
        <v>Legal and accounting</v>
      </c>
      <c r="C388" s="380"/>
      <c r="D388" s="380"/>
      <c r="E388" s="380"/>
      <c r="F388" s="380"/>
      <c r="G388" s="380"/>
      <c r="H388" s="380"/>
      <c r="I388" s="380"/>
      <c r="J388" s="380"/>
      <c r="K388" s="380"/>
      <c r="L388" s="380"/>
      <c r="M388" s="380"/>
      <c r="N388" s="380"/>
      <c r="O388" s="380"/>
      <c r="P388" s="380"/>
      <c r="Q388" s="380"/>
      <c r="R388" s="380"/>
      <c r="S388" s="380"/>
      <c r="T388" s="380"/>
      <c r="U388" s="380"/>
      <c r="V388" s="380"/>
      <c r="W388" s="380"/>
      <c r="X388" s="380"/>
      <c r="Y388" s="380"/>
    </row>
    <row r="389" spans="1:25" x14ac:dyDescent="0.25">
      <c r="A389" s="382" t="s">
        <v>391</v>
      </c>
      <c r="B389" s="437">
        <v>189.99999999809421</v>
      </c>
      <c r="C389" s="437">
        <v>93.99999999966262</v>
      </c>
      <c r="D389" s="437">
        <v>38.375000000355122</v>
      </c>
      <c r="E389" s="437">
        <f>SUM(B389:D389)</f>
        <v>322.37499999811195</v>
      </c>
      <c r="F389" s="437"/>
      <c r="G389" s="437">
        <v>236.67799999881765</v>
      </c>
      <c r="H389" s="437">
        <v>107.85299999957347</v>
      </c>
      <c r="I389" s="437">
        <v>51.90600000056974</v>
      </c>
      <c r="J389" s="437">
        <f>SUM(G389:I389)</f>
        <v>396.43699999896086</v>
      </c>
      <c r="K389" s="437"/>
      <c r="L389" s="437">
        <v>278.8979999952536</v>
      </c>
      <c r="M389" s="437">
        <v>100.96299999972906</v>
      </c>
      <c r="N389" s="437">
        <v>45.476000000108769</v>
      </c>
      <c r="O389" s="437">
        <f>SUM(L389:N389)</f>
        <v>425.33699999509145</v>
      </c>
      <c r="P389" s="437"/>
      <c r="Q389" s="437">
        <v>278.86200000099274</v>
      </c>
      <c r="R389" s="437">
        <v>102.92300000079345</v>
      </c>
      <c r="S389" s="437">
        <v>48.190000001302117</v>
      </c>
      <c r="T389" s="437">
        <f>SUM(Q389:S389)</f>
        <v>429.97500000308833</v>
      </c>
      <c r="U389" s="437"/>
      <c r="V389" s="437">
        <v>277.93099999771226</v>
      </c>
      <c r="W389" s="437">
        <v>104.4380000006162</v>
      </c>
      <c r="X389" s="437">
        <v>50.591000000668437</v>
      </c>
      <c r="Y389" s="437">
        <f>SUM(V389:X389)</f>
        <v>432.95999999899692</v>
      </c>
    </row>
    <row r="390" spans="1:25" x14ac:dyDescent="0.25">
      <c r="A390" s="382" t="s">
        <v>390</v>
      </c>
      <c r="B390" s="438">
        <v>241.00000000185338</v>
      </c>
      <c r="C390" s="438">
        <v>34.000000000353516</v>
      </c>
      <c r="D390" s="438">
        <v>83.992999998633962</v>
      </c>
      <c r="E390" s="438">
        <f t="shared" ref="E390:E391" si="1019">SUM(B390:D390)</f>
        <v>358.99300000084088</v>
      </c>
      <c r="F390" s="438"/>
      <c r="G390" s="438">
        <v>185.74600000208744</v>
      </c>
      <c r="H390" s="438">
        <v>33.953000000358237</v>
      </c>
      <c r="I390" s="438">
        <v>92.831999999962122</v>
      </c>
      <c r="J390" s="438">
        <f t="shared" ref="J390:J391" si="1020">SUM(G390:I390)</f>
        <v>312.53100000240778</v>
      </c>
      <c r="K390" s="438"/>
      <c r="L390" s="438">
        <v>247.9089999985209</v>
      </c>
      <c r="M390" s="438">
        <v>31.986999999995376</v>
      </c>
      <c r="N390" s="438">
        <v>72.759999998145304</v>
      </c>
      <c r="O390" s="438">
        <f t="shared" ref="O390:O391" si="1021">SUM(L390:N390)</f>
        <v>352.65599999666159</v>
      </c>
      <c r="P390" s="438"/>
      <c r="Q390" s="438">
        <v>264.45900000052478</v>
      </c>
      <c r="R390" s="438">
        <v>31.09100000011766</v>
      </c>
      <c r="S390" s="438">
        <v>74.061999997680104</v>
      </c>
      <c r="T390" s="438">
        <f t="shared" ref="T390:T391" si="1022">SUM(Q390:S390)</f>
        <v>369.61199999832257</v>
      </c>
      <c r="U390" s="438"/>
      <c r="V390" s="438">
        <v>279.19099999971354</v>
      </c>
      <c r="W390" s="438">
        <v>30.148000000009255</v>
      </c>
      <c r="X390" s="438">
        <v>75.051999997797267</v>
      </c>
      <c r="Y390" s="438">
        <f t="shared" ref="Y390:Y391" si="1023">SUM(V390:X390)</f>
        <v>384.39099999752005</v>
      </c>
    </row>
    <row r="391" spans="1:25" x14ac:dyDescent="0.25">
      <c r="A391" s="382" t="s">
        <v>389</v>
      </c>
      <c r="B391" s="438">
        <f>SUM(B389:B390)</f>
        <v>430.99999999994759</v>
      </c>
      <c r="C391" s="438">
        <f t="shared" ref="C391" si="1024">SUM(C389:C390)</f>
        <v>128.00000000001614</v>
      </c>
      <c r="D391" s="438">
        <f t="shared" ref="D391" si="1025">SUM(D389:D390)</f>
        <v>122.36799999898909</v>
      </c>
      <c r="E391" s="438">
        <f t="shared" si="1019"/>
        <v>681.36799999895288</v>
      </c>
      <c r="F391" s="438"/>
      <c r="G391" s="438">
        <f>SUM(G389:G390)</f>
        <v>422.4240000009051</v>
      </c>
      <c r="H391" s="438">
        <f t="shared" ref="H391" si="1026">SUM(H389:H390)</f>
        <v>141.80599999993171</v>
      </c>
      <c r="I391" s="438">
        <f t="shared" ref="I391" si="1027">SUM(I389:I390)</f>
        <v>144.73800000053185</v>
      </c>
      <c r="J391" s="438">
        <f t="shared" si="1020"/>
        <v>708.96800000136864</v>
      </c>
      <c r="K391" s="438"/>
      <c r="L391" s="438">
        <f>SUM(L389:L390)</f>
        <v>526.80699999377453</v>
      </c>
      <c r="M391" s="438">
        <f t="shared" ref="M391" si="1028">SUM(M389:M390)</f>
        <v>132.94999999972444</v>
      </c>
      <c r="N391" s="438">
        <f t="shared" ref="N391" si="1029">SUM(N389:N390)</f>
        <v>118.23599999825407</v>
      </c>
      <c r="O391" s="438">
        <f t="shared" si="1021"/>
        <v>777.99299999175309</v>
      </c>
      <c r="P391" s="438"/>
      <c r="Q391" s="438">
        <f>SUM(Q389:Q390)</f>
        <v>543.32100000151752</v>
      </c>
      <c r="R391" s="438">
        <f t="shared" ref="R391" si="1030">SUM(R389:R390)</f>
        <v>134.0140000009111</v>
      </c>
      <c r="S391" s="438">
        <f t="shared" ref="S391" si="1031">SUM(S389:S390)</f>
        <v>122.25199999898223</v>
      </c>
      <c r="T391" s="438">
        <f t="shared" si="1022"/>
        <v>799.58700000141084</v>
      </c>
      <c r="U391" s="438"/>
      <c r="V391" s="438">
        <f>SUM(V389:V390)</f>
        <v>557.12199999742575</v>
      </c>
      <c r="W391" s="438">
        <f t="shared" ref="W391" si="1032">SUM(W389:W390)</f>
        <v>134.58600000062546</v>
      </c>
      <c r="X391" s="438">
        <f t="shared" ref="X391" si="1033">SUM(X389:X390)</f>
        <v>125.64299999846571</v>
      </c>
      <c r="Y391" s="438">
        <f t="shared" si="1023"/>
        <v>817.35099999651698</v>
      </c>
    </row>
    <row r="392" spans="1:25" x14ac:dyDescent="0.25">
      <c r="B392" s="380"/>
      <c r="C392" s="460"/>
      <c r="D392" s="460"/>
      <c r="E392" s="460"/>
      <c r="F392" s="460"/>
      <c r="G392" s="460"/>
      <c r="H392" s="460"/>
      <c r="I392" s="460"/>
      <c r="J392" s="460"/>
      <c r="K392" s="460"/>
      <c r="L392" s="460"/>
      <c r="M392" s="460"/>
      <c r="N392" s="460"/>
      <c r="O392" s="460"/>
      <c r="P392" s="460"/>
      <c r="Q392" s="460"/>
      <c r="R392" s="460"/>
      <c r="S392" s="460"/>
      <c r="T392" s="460"/>
      <c r="U392" s="460"/>
      <c r="V392" s="460"/>
      <c r="W392" s="460"/>
      <c r="X392" s="460"/>
      <c r="Y392" s="460"/>
    </row>
    <row r="393" spans="1:25" x14ac:dyDescent="0.25">
      <c r="A393" s="378" t="str">
        <f>name!A55</f>
        <v>Head offices, etc</v>
      </c>
      <c r="C393" s="380"/>
      <c r="D393" s="380"/>
      <c r="E393" s="380"/>
      <c r="F393" s="380"/>
      <c r="G393" s="380"/>
      <c r="H393" s="380"/>
      <c r="I393" s="380"/>
      <c r="J393" s="380"/>
      <c r="K393" s="380"/>
      <c r="L393" s="380"/>
      <c r="M393" s="380"/>
      <c r="N393" s="380"/>
      <c r="O393" s="380"/>
      <c r="P393" s="380"/>
      <c r="Q393" s="380"/>
      <c r="R393" s="380"/>
      <c r="S393" s="380"/>
      <c r="T393" s="380"/>
      <c r="U393" s="380"/>
      <c r="V393" s="380"/>
      <c r="W393" s="380"/>
      <c r="X393" s="380"/>
      <c r="Y393" s="380"/>
    </row>
    <row r="394" spans="1:25" x14ac:dyDescent="0.25">
      <c r="A394" s="382" t="s">
        <v>391</v>
      </c>
      <c r="B394" s="437">
        <v>145.9999999986496</v>
      </c>
      <c r="C394" s="437">
        <v>79.998999999712211</v>
      </c>
      <c r="D394" s="437">
        <v>19.762000000204939</v>
      </c>
      <c r="E394" s="437">
        <f>SUM(B394:D394)</f>
        <v>245.76099999856675</v>
      </c>
      <c r="F394" s="437"/>
      <c r="G394" s="437">
        <v>159.68899999902834</v>
      </c>
      <c r="H394" s="437">
        <v>96.416999999664199</v>
      </c>
      <c r="I394" s="437">
        <v>27.949000000229066</v>
      </c>
      <c r="J394" s="437">
        <f>SUM(G394:I394)</f>
        <v>284.05499999892163</v>
      </c>
      <c r="K394" s="437"/>
      <c r="L394" s="437">
        <v>222.91799999655049</v>
      </c>
      <c r="M394" s="437">
        <v>124.95499999961004</v>
      </c>
      <c r="N394" s="437">
        <v>32.694000000153956</v>
      </c>
      <c r="O394" s="437">
        <f>SUM(L394:N394)</f>
        <v>380.56699999631445</v>
      </c>
      <c r="P394" s="437"/>
      <c r="Q394" s="437">
        <v>229.54900000082998</v>
      </c>
      <c r="R394" s="437">
        <v>130.91900000106097</v>
      </c>
      <c r="S394" s="437">
        <v>35.689000000981174</v>
      </c>
      <c r="T394" s="437">
        <f>SUM(Q394:S394)</f>
        <v>396.15700000287211</v>
      </c>
      <c r="U394" s="437"/>
      <c r="V394" s="437">
        <v>228.01699999833988</v>
      </c>
      <c r="W394" s="437">
        <v>132.10100000076793</v>
      </c>
      <c r="X394" s="437">
        <v>37.297000000575181</v>
      </c>
      <c r="Y394" s="437">
        <f>SUM(V394:X394)</f>
        <v>397.414999999683</v>
      </c>
    </row>
    <row r="395" spans="1:25" x14ac:dyDescent="0.25">
      <c r="A395" s="382" t="s">
        <v>390</v>
      </c>
      <c r="B395" s="438">
        <v>201.00000000119576</v>
      </c>
      <c r="C395" s="438">
        <v>35.00100000032409</v>
      </c>
      <c r="D395" s="438">
        <v>26.6359999994662</v>
      </c>
      <c r="E395" s="438">
        <f t="shared" ref="E395:E396" si="1034">SUM(B395:D395)</f>
        <v>262.63700000098606</v>
      </c>
      <c r="F395" s="438"/>
      <c r="G395" s="438">
        <v>275.11400000219737</v>
      </c>
      <c r="H395" s="438">
        <v>41.018000000365461</v>
      </c>
      <c r="I395" s="438">
        <v>53.900999999711061</v>
      </c>
      <c r="J395" s="438">
        <f t="shared" ref="J395:J396" si="1035">SUM(G395:I395)</f>
        <v>370.03300000227392</v>
      </c>
      <c r="K395" s="438"/>
      <c r="L395" s="438">
        <v>364.86499999647009</v>
      </c>
      <c r="M395" s="438">
        <v>51.981999999956294</v>
      </c>
      <c r="N395" s="438">
        <v>55.480999998362961</v>
      </c>
      <c r="O395" s="438">
        <f t="shared" ref="O395:O396" si="1036">SUM(L395:N395)</f>
        <v>472.32799999478937</v>
      </c>
      <c r="P395" s="438"/>
      <c r="Q395" s="438">
        <v>386.25900000101547</v>
      </c>
      <c r="R395" s="438">
        <v>51.600000000165373</v>
      </c>
      <c r="S395" s="438">
        <v>56.828999998307211</v>
      </c>
      <c r="T395" s="438">
        <f t="shared" ref="T395:T396" si="1037">SUM(Q395:S395)</f>
        <v>494.68799999948806</v>
      </c>
      <c r="U395" s="438"/>
      <c r="V395" s="438">
        <v>393.30299999844749</v>
      </c>
      <c r="W395" s="438">
        <v>49.495999999961633</v>
      </c>
      <c r="X395" s="438">
        <v>56.17499999824004</v>
      </c>
      <c r="Y395" s="438">
        <f t="shared" ref="Y395:Y396" si="1038">SUM(V395:X395)</f>
        <v>498.97399999664913</v>
      </c>
    </row>
    <row r="396" spans="1:25" x14ac:dyDescent="0.25">
      <c r="A396" s="382" t="s">
        <v>389</v>
      </c>
      <c r="B396" s="438">
        <f>SUM(B394:B395)</f>
        <v>346.99999999984539</v>
      </c>
      <c r="C396" s="438">
        <f t="shared" ref="C396" si="1039">SUM(C394:C395)</f>
        <v>115.00000000003629</v>
      </c>
      <c r="D396" s="438">
        <f t="shared" ref="D396" si="1040">SUM(D394:D395)</f>
        <v>46.397999999671143</v>
      </c>
      <c r="E396" s="438">
        <f t="shared" si="1034"/>
        <v>508.39799999955278</v>
      </c>
      <c r="F396" s="438"/>
      <c r="G396" s="438">
        <f>SUM(G394:G395)</f>
        <v>434.80300000122571</v>
      </c>
      <c r="H396" s="438">
        <f t="shared" ref="H396" si="1041">SUM(H394:H395)</f>
        <v>137.43500000002967</v>
      </c>
      <c r="I396" s="438">
        <f t="shared" ref="I396" si="1042">SUM(I394:I395)</f>
        <v>81.849999999940124</v>
      </c>
      <c r="J396" s="438">
        <f t="shared" si="1035"/>
        <v>654.0880000011955</v>
      </c>
      <c r="K396" s="438"/>
      <c r="L396" s="438">
        <f>SUM(L394:L395)</f>
        <v>587.78299999302055</v>
      </c>
      <c r="M396" s="438">
        <f t="shared" ref="M396" si="1043">SUM(M394:M395)</f>
        <v>176.93699999956632</v>
      </c>
      <c r="N396" s="438">
        <f t="shared" ref="N396" si="1044">SUM(N394:N395)</f>
        <v>88.17499999851691</v>
      </c>
      <c r="O396" s="438">
        <f t="shared" si="1036"/>
        <v>852.89499999110376</v>
      </c>
      <c r="P396" s="438"/>
      <c r="Q396" s="438">
        <f>SUM(Q394:Q395)</f>
        <v>615.80800000184547</v>
      </c>
      <c r="R396" s="438">
        <f t="shared" ref="R396" si="1045">SUM(R394:R395)</f>
        <v>182.51900000122635</v>
      </c>
      <c r="S396" s="438">
        <f t="shared" ref="S396" si="1046">SUM(S394:S395)</f>
        <v>92.517999999288378</v>
      </c>
      <c r="T396" s="438">
        <f t="shared" si="1037"/>
        <v>890.84500000236017</v>
      </c>
      <c r="U396" s="438"/>
      <c r="V396" s="438">
        <f>SUM(V394:V395)</f>
        <v>621.31999999678737</v>
      </c>
      <c r="W396" s="438">
        <f t="shared" ref="W396" si="1047">SUM(W394:W395)</f>
        <v>181.59700000072957</v>
      </c>
      <c r="X396" s="438">
        <f t="shared" ref="X396" si="1048">SUM(X394:X395)</f>
        <v>93.471999998815221</v>
      </c>
      <c r="Y396" s="438">
        <f t="shared" si="1038"/>
        <v>896.38899999633225</v>
      </c>
    </row>
    <row r="397" spans="1:25" x14ac:dyDescent="0.25">
      <c r="B397" s="380"/>
      <c r="C397" s="460"/>
      <c r="D397" s="460"/>
      <c r="E397" s="460"/>
      <c r="F397" s="460"/>
      <c r="G397" s="460"/>
      <c r="H397" s="460"/>
      <c r="I397" s="460"/>
      <c r="J397" s="460"/>
      <c r="K397" s="460"/>
      <c r="L397" s="460"/>
      <c r="M397" s="460"/>
      <c r="N397" s="460"/>
      <c r="O397" s="460"/>
      <c r="P397" s="460"/>
      <c r="Q397" s="460"/>
      <c r="R397" s="460"/>
      <c r="S397" s="460"/>
      <c r="T397" s="460"/>
      <c r="U397" s="460"/>
      <c r="V397" s="460"/>
      <c r="W397" s="460"/>
      <c r="X397" s="460"/>
      <c r="Y397" s="460"/>
    </row>
    <row r="398" spans="1:25" x14ac:dyDescent="0.25">
      <c r="A398" s="378" t="str">
        <f>name!A56</f>
        <v>Architectural and related</v>
      </c>
      <c r="C398" s="380"/>
      <c r="D398" s="380"/>
      <c r="E398" s="380"/>
      <c r="F398" s="380"/>
      <c r="G398" s="380"/>
      <c r="H398" s="380"/>
      <c r="I398" s="380"/>
      <c r="J398" s="380"/>
      <c r="K398" s="380"/>
      <c r="L398" s="380"/>
      <c r="M398" s="380"/>
      <c r="N398" s="380"/>
      <c r="O398" s="380"/>
      <c r="P398" s="380"/>
      <c r="Q398" s="380"/>
      <c r="R398" s="380"/>
      <c r="S398" s="380"/>
      <c r="T398" s="380"/>
      <c r="U398" s="380"/>
      <c r="V398" s="380"/>
      <c r="W398" s="380"/>
      <c r="X398" s="380"/>
      <c r="Y398" s="380"/>
    </row>
    <row r="399" spans="1:25" x14ac:dyDescent="0.25">
      <c r="A399" s="382" t="s">
        <v>391</v>
      </c>
      <c r="B399" s="437">
        <v>98.997999999192729</v>
      </c>
      <c r="C399" s="437">
        <v>54.99999999981393</v>
      </c>
      <c r="D399" s="437">
        <v>12.726000000136599</v>
      </c>
      <c r="E399" s="437">
        <f>SUM(B399:D399)</f>
        <v>166.72399999914325</v>
      </c>
      <c r="F399" s="437"/>
      <c r="G399" s="437">
        <v>77.685999999426102</v>
      </c>
      <c r="H399" s="437">
        <v>41.365999999821092</v>
      </c>
      <c r="I399" s="437">
        <v>12.13400000007293</v>
      </c>
      <c r="J399" s="437">
        <f>SUM(G399:I399)</f>
        <v>131.18599999932013</v>
      </c>
      <c r="K399" s="437"/>
      <c r="L399" s="437">
        <v>99.964999998510734</v>
      </c>
      <c r="M399" s="437">
        <v>45.982999999870401</v>
      </c>
      <c r="N399" s="437">
        <v>17.035000000065523</v>
      </c>
      <c r="O399" s="437">
        <f>SUM(L399:N399)</f>
        <v>162.98299999844664</v>
      </c>
      <c r="P399" s="437"/>
      <c r="Q399" s="437">
        <v>107.77100000025206</v>
      </c>
      <c r="R399" s="437">
        <v>50.740000000385052</v>
      </c>
      <c r="S399" s="437">
        <v>19.287000000509241</v>
      </c>
      <c r="T399" s="437">
        <f>SUM(Q399:S399)</f>
        <v>177.79800000114636</v>
      </c>
      <c r="U399" s="437"/>
      <c r="V399" s="437">
        <v>108.99299999922063</v>
      </c>
      <c r="W399" s="437">
        <v>52.363000000325485</v>
      </c>
      <c r="X399" s="437">
        <v>20.331000000291944</v>
      </c>
      <c r="Y399" s="437">
        <f>SUM(V399:X399)</f>
        <v>181.68699999983804</v>
      </c>
    </row>
    <row r="400" spans="1:25" x14ac:dyDescent="0.25">
      <c r="A400" s="382" t="s">
        <v>390</v>
      </c>
      <c r="B400" s="438">
        <v>216.00100000074912</v>
      </c>
      <c r="C400" s="438">
        <v>24.997000000214147</v>
      </c>
      <c r="D400" s="438">
        <v>56.001999998949131</v>
      </c>
      <c r="E400" s="438">
        <f t="shared" ref="E400:E401" si="1049">SUM(B400:D400)</f>
        <v>296.9999999999124</v>
      </c>
      <c r="F400" s="438"/>
      <c r="G400" s="438">
        <v>284.16900000199394</v>
      </c>
      <c r="H400" s="438">
        <v>14.958000000126159</v>
      </c>
      <c r="I400" s="438">
        <v>65.723999999746738</v>
      </c>
      <c r="J400" s="438">
        <f t="shared" ref="J400:J401" si="1050">SUM(G400:I400)</f>
        <v>364.85100000186685</v>
      </c>
      <c r="K400" s="438"/>
      <c r="L400" s="438">
        <v>352.86899999745265</v>
      </c>
      <c r="M400" s="438">
        <v>17.992999999990264</v>
      </c>
      <c r="N400" s="438">
        <v>68.135999998176558</v>
      </c>
      <c r="O400" s="438">
        <f t="shared" ref="O400:O401" si="1051">SUM(L400:N400)</f>
        <v>438.99799999561947</v>
      </c>
      <c r="P400" s="438"/>
      <c r="Q400" s="438">
        <v>378.4610000020665</v>
      </c>
      <c r="R400" s="438">
        <v>18.627000000085658</v>
      </c>
      <c r="S400" s="438">
        <v>71.745999998147909</v>
      </c>
      <c r="T400" s="438">
        <f t="shared" ref="T400:T401" si="1052">SUM(Q400:S400)</f>
        <v>468.83400000030008</v>
      </c>
      <c r="U400" s="438"/>
      <c r="V400" s="438">
        <v>380.98200000043772</v>
      </c>
      <c r="W400" s="438">
        <v>18.148000000013269</v>
      </c>
      <c r="X400" s="438">
        <v>71.022999998202252</v>
      </c>
      <c r="Y400" s="438">
        <f t="shared" ref="Y400:Y401" si="1053">SUM(V400:X400)</f>
        <v>470.15299999865323</v>
      </c>
    </row>
    <row r="401" spans="1:25" x14ac:dyDescent="0.25">
      <c r="A401" s="382" t="s">
        <v>389</v>
      </c>
      <c r="B401" s="438">
        <f>SUM(B399:B400)</f>
        <v>314.99899999994182</v>
      </c>
      <c r="C401" s="438">
        <f t="shared" ref="C401" si="1054">SUM(C399:C400)</f>
        <v>79.997000000028081</v>
      </c>
      <c r="D401" s="438">
        <f t="shared" ref="D401" si="1055">SUM(D399:D400)</f>
        <v>68.727999999085725</v>
      </c>
      <c r="E401" s="438">
        <f t="shared" si="1049"/>
        <v>463.72399999905565</v>
      </c>
      <c r="F401" s="438"/>
      <c r="G401" s="438">
        <f>SUM(G399:G400)</f>
        <v>361.85500000142002</v>
      </c>
      <c r="H401" s="438">
        <f t="shared" ref="H401" si="1056">SUM(H399:H400)</f>
        <v>56.323999999947247</v>
      </c>
      <c r="I401" s="438">
        <f t="shared" ref="I401" si="1057">SUM(I399:I400)</f>
        <v>77.857999999819668</v>
      </c>
      <c r="J401" s="438">
        <f t="shared" si="1050"/>
        <v>496.03700000118693</v>
      </c>
      <c r="K401" s="438"/>
      <c r="L401" s="438">
        <f>SUM(L399:L400)</f>
        <v>452.83399999596338</v>
      </c>
      <c r="M401" s="438">
        <f t="shared" ref="M401" si="1058">SUM(M399:M400)</f>
        <v>63.975999999860662</v>
      </c>
      <c r="N401" s="438">
        <f t="shared" ref="N401" si="1059">SUM(N399:N400)</f>
        <v>85.170999998242081</v>
      </c>
      <c r="O401" s="438">
        <f t="shared" si="1051"/>
        <v>601.98099999406611</v>
      </c>
      <c r="P401" s="438"/>
      <c r="Q401" s="438">
        <f>SUM(Q399:Q400)</f>
        <v>486.23200000231856</v>
      </c>
      <c r="R401" s="438">
        <f t="shared" ref="R401" si="1060">SUM(R399:R400)</f>
        <v>69.367000000470711</v>
      </c>
      <c r="S401" s="438">
        <f t="shared" ref="S401" si="1061">SUM(S399:S400)</f>
        <v>91.032999998657147</v>
      </c>
      <c r="T401" s="438">
        <f t="shared" si="1052"/>
        <v>646.63200000144639</v>
      </c>
      <c r="U401" s="438"/>
      <c r="V401" s="438">
        <f>SUM(V399:V400)</f>
        <v>489.97499999965834</v>
      </c>
      <c r="W401" s="438">
        <f t="shared" ref="W401" si="1062">SUM(W399:W400)</f>
        <v>70.511000000338754</v>
      </c>
      <c r="X401" s="438">
        <f t="shared" ref="X401" si="1063">SUM(X399:X400)</f>
        <v>91.353999998494203</v>
      </c>
      <c r="Y401" s="438">
        <f t="shared" si="1053"/>
        <v>651.83999999849129</v>
      </c>
    </row>
    <row r="402" spans="1:25" x14ac:dyDescent="0.25">
      <c r="B402" s="380"/>
      <c r="C402" s="460"/>
      <c r="D402" s="460"/>
      <c r="E402" s="460"/>
      <c r="F402" s="460"/>
      <c r="G402" s="460"/>
      <c r="H402" s="460"/>
      <c r="I402" s="460"/>
      <c r="J402" s="460"/>
      <c r="K402" s="460"/>
      <c r="L402" s="460"/>
      <c r="M402" s="460"/>
      <c r="N402" s="460"/>
      <c r="O402" s="460"/>
      <c r="P402" s="460"/>
      <c r="Q402" s="460"/>
      <c r="R402" s="460"/>
      <c r="S402" s="460"/>
      <c r="T402" s="460"/>
      <c r="U402" s="460"/>
      <c r="V402" s="460"/>
      <c r="W402" s="460"/>
      <c r="X402" s="460"/>
      <c r="Y402" s="460"/>
    </row>
    <row r="403" spans="1:25" x14ac:dyDescent="0.25">
      <c r="A403" s="378" t="str">
        <f>name!A57</f>
        <v>Scientific research and development</v>
      </c>
      <c r="C403" s="380"/>
      <c r="D403" s="380"/>
      <c r="E403" s="380"/>
      <c r="F403" s="380"/>
      <c r="G403" s="380"/>
      <c r="H403" s="380"/>
      <c r="I403" s="380"/>
      <c r="J403" s="380"/>
      <c r="K403" s="380"/>
      <c r="L403" s="380"/>
      <c r="M403" s="380"/>
      <c r="N403" s="380"/>
      <c r="O403" s="380"/>
      <c r="P403" s="380"/>
      <c r="Q403" s="380"/>
      <c r="R403" s="380"/>
      <c r="S403" s="380"/>
      <c r="T403" s="380"/>
      <c r="U403" s="380"/>
      <c r="V403" s="380"/>
      <c r="W403" s="380"/>
      <c r="X403" s="380"/>
      <c r="Y403" s="380"/>
    </row>
    <row r="404" spans="1:25" x14ac:dyDescent="0.25">
      <c r="A404" s="382" t="s">
        <v>391</v>
      </c>
      <c r="B404" s="437">
        <v>23.056000000340628</v>
      </c>
      <c r="C404" s="437">
        <v>5.3919999999543196</v>
      </c>
      <c r="D404" s="437">
        <v>8.8770000000977625</v>
      </c>
      <c r="E404" s="437">
        <f>SUM(B404:D404)</f>
        <v>37.325000000392706</v>
      </c>
      <c r="F404" s="437"/>
      <c r="G404" s="437">
        <v>21.859000000214653</v>
      </c>
      <c r="H404" s="437">
        <v>5.2279999999413</v>
      </c>
      <c r="I404" s="437">
        <v>14.352000000069879</v>
      </c>
      <c r="J404" s="437">
        <f>SUM(G404:I404)</f>
        <v>41.439000000225832</v>
      </c>
      <c r="K404" s="437"/>
      <c r="L404" s="437">
        <v>23.376999999926493</v>
      </c>
      <c r="M404" s="437">
        <v>7.7179999998563007</v>
      </c>
      <c r="N404" s="437">
        <v>20.267000000023739</v>
      </c>
      <c r="O404" s="437">
        <f>SUM(L404:N404)</f>
        <v>51.361999999806528</v>
      </c>
      <c r="P404" s="437"/>
      <c r="Q404" s="437">
        <v>24.662000000952503</v>
      </c>
      <c r="R404" s="437">
        <v>8.3559999999978469</v>
      </c>
      <c r="S404" s="437">
        <v>20.603000000579229</v>
      </c>
      <c r="T404" s="437">
        <f>SUM(Q404:S404)</f>
        <v>53.62100000152958</v>
      </c>
      <c r="U404" s="437"/>
      <c r="V404" s="437">
        <v>25.666000000516583</v>
      </c>
      <c r="W404" s="437">
        <v>8.9269999999390368</v>
      </c>
      <c r="X404" s="437">
        <v>20.854000000368735</v>
      </c>
      <c r="Y404" s="437">
        <f>SUM(V404:X404)</f>
        <v>55.447000000824353</v>
      </c>
    </row>
    <row r="405" spans="1:25" x14ac:dyDescent="0.25">
      <c r="A405" s="382" t="s">
        <v>390</v>
      </c>
      <c r="B405" s="438">
        <v>60.326000000531479</v>
      </c>
      <c r="C405" s="438">
        <v>4.5850000001033626</v>
      </c>
      <c r="D405" s="438">
        <v>24.901999999614667</v>
      </c>
      <c r="E405" s="438">
        <f t="shared" ref="E405:E406" si="1064">SUM(B405:D405)</f>
        <v>89.813000000249502</v>
      </c>
      <c r="F405" s="438"/>
      <c r="G405" s="438">
        <v>65.882000000740604</v>
      </c>
      <c r="H405" s="438">
        <v>4.7890000001100166</v>
      </c>
      <c r="I405" s="438">
        <v>34.834999999740631</v>
      </c>
      <c r="J405" s="438">
        <f t="shared" ref="J405:J406" si="1065">SUM(G405:I405)</f>
        <v>105.50600000059126</v>
      </c>
      <c r="K405" s="438"/>
      <c r="L405" s="438">
        <v>70.087999999911005</v>
      </c>
      <c r="M405" s="438">
        <v>7.2940000000753669</v>
      </c>
      <c r="N405" s="438">
        <v>27.913999999388977</v>
      </c>
      <c r="O405" s="438">
        <f t="shared" ref="O405:O406" si="1066">SUM(L405:N405)</f>
        <v>105.29599999937535</v>
      </c>
      <c r="P405" s="438"/>
      <c r="Q405" s="438">
        <v>76.178000001300276</v>
      </c>
      <c r="R405" s="438">
        <v>7.2900000001316654</v>
      </c>
      <c r="S405" s="438">
        <v>29.364999999491747</v>
      </c>
      <c r="T405" s="438">
        <f t="shared" ref="T405:T406" si="1067">SUM(Q405:S405)</f>
        <v>112.83300000092369</v>
      </c>
      <c r="U405" s="438"/>
      <c r="V405" s="438">
        <v>81.323000000845454</v>
      </c>
      <c r="W405" s="438">
        <v>7.2380000001293707</v>
      </c>
      <c r="X405" s="438">
        <v>30.715999999354608</v>
      </c>
      <c r="Y405" s="438">
        <f t="shared" ref="Y405:Y406" si="1068">SUM(V405:X405)</f>
        <v>119.27700000032944</v>
      </c>
    </row>
    <row r="406" spans="1:25" x14ac:dyDescent="0.25">
      <c r="A406" s="377" t="s">
        <v>389</v>
      </c>
      <c r="B406" s="438">
        <f>SUM(B404:B405)</f>
        <v>83.382000000872111</v>
      </c>
      <c r="C406" s="438">
        <f t="shared" ref="C406" si="1069">SUM(C404:C405)</f>
        <v>9.9770000000576822</v>
      </c>
      <c r="D406" s="438">
        <f t="shared" ref="D406" si="1070">SUM(D404:D405)</f>
        <v>33.778999999712426</v>
      </c>
      <c r="E406" s="438">
        <f t="shared" si="1064"/>
        <v>127.13800000064222</v>
      </c>
      <c r="F406" s="438"/>
      <c r="G406" s="438">
        <f>SUM(G404:G405)</f>
        <v>87.741000000955253</v>
      </c>
      <c r="H406" s="438">
        <f t="shared" ref="H406" si="1071">SUM(H404:H405)</f>
        <v>10.017000000051317</v>
      </c>
      <c r="I406" s="438">
        <f t="shared" ref="I406" si="1072">SUM(I404:I405)</f>
        <v>49.18699999981051</v>
      </c>
      <c r="J406" s="438">
        <f t="shared" si="1065"/>
        <v>146.94500000081706</v>
      </c>
      <c r="K406" s="438"/>
      <c r="L406" s="438">
        <f>SUM(L404:L405)</f>
        <v>93.464999999837502</v>
      </c>
      <c r="M406" s="438">
        <f t="shared" ref="M406" si="1073">SUM(M404:M405)</f>
        <v>15.011999999931668</v>
      </c>
      <c r="N406" s="438">
        <f t="shared" ref="N406" si="1074">SUM(N404:N405)</f>
        <v>48.18099999941272</v>
      </c>
      <c r="O406" s="438">
        <f t="shared" si="1066"/>
        <v>156.65799999918187</v>
      </c>
      <c r="P406" s="438"/>
      <c r="Q406" s="438">
        <f>SUM(Q404:Q405)</f>
        <v>100.84000000225278</v>
      </c>
      <c r="R406" s="438">
        <f t="shared" ref="R406" si="1075">SUM(R404:R405)</f>
        <v>15.646000000129511</v>
      </c>
      <c r="S406" s="438">
        <f t="shared" ref="S406" si="1076">SUM(S404:S405)</f>
        <v>49.968000000070973</v>
      </c>
      <c r="T406" s="438">
        <f t="shared" si="1067"/>
        <v>166.45400000245326</v>
      </c>
      <c r="U406" s="438"/>
      <c r="V406" s="438">
        <f>SUM(V404:V405)</f>
        <v>106.98900000136203</v>
      </c>
      <c r="W406" s="438">
        <f t="shared" ref="W406" si="1077">SUM(W404:W405)</f>
        <v>16.165000000068407</v>
      </c>
      <c r="X406" s="438">
        <f t="shared" ref="X406" si="1078">SUM(X404:X405)</f>
        <v>51.569999999723343</v>
      </c>
      <c r="Y406" s="438">
        <f t="shared" si="1068"/>
        <v>174.72400000115377</v>
      </c>
    </row>
    <row r="407" spans="1:25" x14ac:dyDescent="0.25">
      <c r="B407" s="380"/>
      <c r="C407" s="460"/>
      <c r="D407" s="460"/>
      <c r="E407" s="460"/>
      <c r="F407" s="460"/>
      <c r="G407" s="460"/>
      <c r="H407" s="460"/>
      <c r="I407" s="460"/>
      <c r="J407" s="460"/>
      <c r="K407" s="460"/>
      <c r="L407" s="460"/>
      <c r="M407" s="460"/>
      <c r="N407" s="460"/>
      <c r="O407" s="460"/>
      <c r="P407" s="460"/>
      <c r="Q407" s="460"/>
      <c r="R407" s="460"/>
      <c r="S407" s="460"/>
      <c r="T407" s="460"/>
      <c r="U407" s="460"/>
      <c r="V407" s="460"/>
      <c r="W407" s="460"/>
      <c r="X407" s="460"/>
      <c r="Y407" s="460"/>
    </row>
    <row r="408" spans="1:25" x14ac:dyDescent="0.25">
      <c r="A408" s="378" t="str">
        <f>name!A58</f>
        <v>Advertising, etc</v>
      </c>
      <c r="C408" s="380"/>
      <c r="D408" s="380"/>
      <c r="E408" s="380"/>
      <c r="F408" s="380"/>
      <c r="G408" s="380"/>
      <c r="H408" s="380"/>
      <c r="I408" s="380"/>
      <c r="J408" s="380"/>
      <c r="K408" s="380"/>
      <c r="L408" s="380"/>
      <c r="M408" s="380"/>
      <c r="N408" s="380"/>
      <c r="O408" s="380"/>
      <c r="P408" s="380"/>
      <c r="Q408" s="380"/>
      <c r="R408" s="380"/>
      <c r="S408" s="380"/>
      <c r="T408" s="380"/>
      <c r="U408" s="380"/>
      <c r="V408" s="380"/>
      <c r="W408" s="380"/>
      <c r="X408" s="380"/>
      <c r="Y408" s="380"/>
    </row>
    <row r="409" spans="1:25" x14ac:dyDescent="0.25">
      <c r="A409" s="382" t="s">
        <v>391</v>
      </c>
      <c r="B409" s="437">
        <v>69.664999999292945</v>
      </c>
      <c r="C409" s="437">
        <v>45.144999999829878</v>
      </c>
      <c r="D409" s="437">
        <v>13.579000000138366</v>
      </c>
      <c r="E409" s="437">
        <f>SUM(B409:D409)</f>
        <v>128.38899999926119</v>
      </c>
      <c r="F409" s="437"/>
      <c r="G409" s="437">
        <v>81.087999999608002</v>
      </c>
      <c r="H409" s="437">
        <v>35.413999999809278</v>
      </c>
      <c r="I409" s="437">
        <v>22.721000000269768</v>
      </c>
      <c r="J409" s="437">
        <f>SUM(G409:I409)</f>
        <v>139.22299999968703</v>
      </c>
      <c r="K409" s="437"/>
      <c r="L409" s="437">
        <v>94.029999998374265</v>
      </c>
      <c r="M409" s="437">
        <v>30.627999999845354</v>
      </c>
      <c r="N409" s="437">
        <v>34.36300000007239</v>
      </c>
      <c r="O409" s="437">
        <f>SUM(L409:N409)</f>
        <v>159.02099999829201</v>
      </c>
      <c r="P409" s="437"/>
      <c r="Q409" s="437">
        <v>99.218000000605301</v>
      </c>
      <c r="R409" s="437">
        <v>33.039000000266356</v>
      </c>
      <c r="S409" s="437">
        <v>34.959000001077264</v>
      </c>
      <c r="T409" s="437">
        <f>SUM(Q409:S409)</f>
        <v>167.21600000194891</v>
      </c>
      <c r="U409" s="437"/>
      <c r="V409" s="437">
        <v>103.39499999902053</v>
      </c>
      <c r="W409" s="437">
        <v>35.118000000156272</v>
      </c>
      <c r="X409" s="437">
        <v>35.442000000483937</v>
      </c>
      <c r="Y409" s="437">
        <f>SUM(V409:X409)</f>
        <v>173.95499999966074</v>
      </c>
    </row>
    <row r="410" spans="1:25" x14ac:dyDescent="0.25">
      <c r="A410" s="382" t="s">
        <v>390</v>
      </c>
      <c r="B410" s="438">
        <v>52.796000000581806</v>
      </c>
      <c r="C410" s="438">
        <v>12.521000000200267</v>
      </c>
      <c r="D410" s="438">
        <v>22.563999999718529</v>
      </c>
      <c r="E410" s="438">
        <f t="shared" ref="E410:E411" si="1079">SUM(B410:D410)</f>
        <v>87.881000000500606</v>
      </c>
      <c r="F410" s="438"/>
      <c r="G410" s="438">
        <v>65.62500000084502</v>
      </c>
      <c r="H410" s="438">
        <v>8.0420000001068388</v>
      </c>
      <c r="I410" s="438">
        <v>34.874000000013254</v>
      </c>
      <c r="J410" s="438">
        <f t="shared" ref="J410:J411" si="1080">SUM(G410:I410)</f>
        <v>108.54100000096511</v>
      </c>
      <c r="K410" s="438"/>
      <c r="L410" s="438">
        <v>78.581999999194309</v>
      </c>
      <c r="M410" s="438">
        <v>9.7439999999883327</v>
      </c>
      <c r="N410" s="438">
        <v>31.323999999061741</v>
      </c>
      <c r="O410" s="438">
        <f t="shared" ref="O410:O411" si="1081">SUM(L410:N410)</f>
        <v>119.64999999824438</v>
      </c>
      <c r="P410" s="438"/>
      <c r="Q410" s="438">
        <v>85.401999999789723</v>
      </c>
      <c r="R410" s="438">
        <v>9.730000000036112</v>
      </c>
      <c r="S410" s="438">
        <v>32.931999998786011</v>
      </c>
      <c r="T410" s="438">
        <f t="shared" ref="T410:T411" si="1082">SUM(Q410:S410)</f>
        <v>128.06399999861185</v>
      </c>
      <c r="U410" s="438"/>
      <c r="V410" s="438">
        <v>91.281999999358476</v>
      </c>
      <c r="W410" s="438">
        <v>9.6470000000011442</v>
      </c>
      <c r="X410" s="438">
        <v>34.45499999877007</v>
      </c>
      <c r="Y410" s="438">
        <f t="shared" ref="Y410:Y411" si="1083">SUM(V410:X410)</f>
        <v>135.3839999981297</v>
      </c>
    </row>
    <row r="411" spans="1:25" x14ac:dyDescent="0.25">
      <c r="A411" s="382" t="s">
        <v>389</v>
      </c>
      <c r="B411" s="438">
        <f>SUM(B409:B410)</f>
        <v>122.46099999987476</v>
      </c>
      <c r="C411" s="438">
        <f t="shared" ref="C411" si="1084">SUM(C409:C410)</f>
        <v>57.666000000030145</v>
      </c>
      <c r="D411" s="438">
        <f t="shared" ref="D411" si="1085">SUM(D409:D410)</f>
        <v>36.142999999856897</v>
      </c>
      <c r="E411" s="438">
        <f t="shared" si="1079"/>
        <v>216.26999999976181</v>
      </c>
      <c r="F411" s="438"/>
      <c r="G411" s="438">
        <f>SUM(G409:G410)</f>
        <v>146.71300000045301</v>
      </c>
      <c r="H411" s="438">
        <f t="shared" ref="H411" si="1086">SUM(H409:H410)</f>
        <v>43.455999999916116</v>
      </c>
      <c r="I411" s="438">
        <f t="shared" ref="I411" si="1087">SUM(I409:I410)</f>
        <v>57.595000000283022</v>
      </c>
      <c r="J411" s="438">
        <f t="shared" si="1080"/>
        <v>247.76400000065215</v>
      </c>
      <c r="K411" s="438"/>
      <c r="L411" s="438">
        <f>SUM(L409:L410)</f>
        <v>172.61199999756857</v>
      </c>
      <c r="M411" s="438">
        <f t="shared" ref="M411" si="1088">SUM(M409:M410)</f>
        <v>40.37199999983369</v>
      </c>
      <c r="N411" s="438">
        <f t="shared" ref="N411" si="1089">SUM(N409:N410)</f>
        <v>65.68699999913413</v>
      </c>
      <c r="O411" s="438">
        <f t="shared" si="1081"/>
        <v>278.67099999653641</v>
      </c>
      <c r="P411" s="438"/>
      <c r="Q411" s="438">
        <f>SUM(Q409:Q410)</f>
        <v>184.62000000039501</v>
      </c>
      <c r="R411" s="438">
        <f t="shared" ref="R411" si="1090">SUM(R409:R410)</f>
        <v>42.769000000302469</v>
      </c>
      <c r="S411" s="438">
        <f t="shared" ref="S411" si="1091">SUM(S409:S410)</f>
        <v>67.890999999863283</v>
      </c>
      <c r="T411" s="438">
        <f t="shared" si="1082"/>
        <v>295.28000000056079</v>
      </c>
      <c r="U411" s="438"/>
      <c r="V411" s="438">
        <f>SUM(V409:V410)</f>
        <v>194.67699999837902</v>
      </c>
      <c r="W411" s="438">
        <f t="shared" ref="W411" si="1092">SUM(W409:W410)</f>
        <v>44.765000000157414</v>
      </c>
      <c r="X411" s="438">
        <f t="shared" ref="X411" si="1093">SUM(X409:X410)</f>
        <v>69.896999999254007</v>
      </c>
      <c r="Y411" s="438">
        <f t="shared" si="1083"/>
        <v>309.33899999779044</v>
      </c>
    </row>
    <row r="412" spans="1:25" x14ac:dyDescent="0.25">
      <c r="B412" s="380"/>
      <c r="C412" s="460"/>
      <c r="D412" s="460"/>
      <c r="E412" s="460"/>
      <c r="F412" s="460"/>
      <c r="G412" s="460"/>
      <c r="H412" s="460"/>
      <c r="I412" s="460"/>
      <c r="J412" s="460"/>
      <c r="K412" s="460"/>
      <c r="L412" s="460"/>
      <c r="M412" s="460"/>
      <c r="N412" s="460"/>
      <c r="O412" s="460"/>
      <c r="P412" s="460"/>
      <c r="Q412" s="460"/>
      <c r="R412" s="460"/>
      <c r="S412" s="460"/>
      <c r="T412" s="460"/>
      <c r="U412" s="460"/>
      <c r="V412" s="460"/>
      <c r="W412" s="460"/>
      <c r="X412" s="460"/>
      <c r="Y412" s="460"/>
    </row>
    <row r="413" spans="1:25" x14ac:dyDescent="0.25">
      <c r="A413" s="378" t="str">
        <f>name!A59</f>
        <v>Other professional</v>
      </c>
      <c r="C413" s="380"/>
      <c r="D413" s="380"/>
      <c r="E413" s="380"/>
      <c r="F413" s="380"/>
      <c r="G413" s="380"/>
      <c r="H413" s="380"/>
      <c r="I413" s="380"/>
      <c r="J413" s="380"/>
      <c r="K413" s="380"/>
      <c r="L413" s="380"/>
      <c r="M413" s="380"/>
      <c r="N413" s="380"/>
      <c r="O413" s="380"/>
      <c r="P413" s="380"/>
      <c r="Q413" s="380"/>
      <c r="R413" s="380"/>
      <c r="S413" s="380"/>
      <c r="T413" s="380"/>
      <c r="U413" s="380"/>
      <c r="V413" s="380"/>
      <c r="W413" s="380"/>
      <c r="X413" s="380"/>
      <c r="Y413" s="380"/>
    </row>
    <row r="414" spans="1:25" x14ac:dyDescent="0.25">
      <c r="A414" s="382" t="s">
        <v>391</v>
      </c>
      <c r="B414" s="437">
        <v>49.427999999498098</v>
      </c>
      <c r="C414" s="437">
        <v>31.778000000064022</v>
      </c>
      <c r="D414" s="437">
        <v>12.69100000010893</v>
      </c>
      <c r="E414" s="437">
        <f>SUM(B414:D414)</f>
        <v>93.896999999671053</v>
      </c>
      <c r="F414" s="437"/>
      <c r="G414" s="437">
        <v>43.491999999713101</v>
      </c>
      <c r="H414" s="437">
        <v>22.39900000000824</v>
      </c>
      <c r="I414" s="437">
        <v>17.150000000169349</v>
      </c>
      <c r="J414" s="437">
        <f>SUM(G414:I414)</f>
        <v>83.040999999890687</v>
      </c>
      <c r="K414" s="437"/>
      <c r="L414" s="437">
        <v>51.89199999914473</v>
      </c>
      <c r="M414" s="437">
        <v>29.089000000089801</v>
      </c>
      <c r="N414" s="437">
        <v>29.882000000237429</v>
      </c>
      <c r="O414" s="437">
        <f>SUM(L414:N414)</f>
        <v>110.86299999947195</v>
      </c>
      <c r="P414" s="437"/>
      <c r="Q414" s="437">
        <v>54.954000000052218</v>
      </c>
      <c r="R414" s="437">
        <v>31.50300000002229</v>
      </c>
      <c r="S414" s="437">
        <v>30.444000000682049</v>
      </c>
      <c r="T414" s="437">
        <f>SUM(Q414:S414)</f>
        <v>116.90100000075657</v>
      </c>
      <c r="U414" s="437"/>
      <c r="V414" s="437">
        <v>57.467999999450612</v>
      </c>
      <c r="W414" s="437">
        <v>33.64600000016371</v>
      </c>
      <c r="X414" s="437">
        <v>30.910000000452111</v>
      </c>
      <c r="Y414" s="437">
        <f>SUM(V414:X414)</f>
        <v>122.02400000006644</v>
      </c>
    </row>
    <row r="415" spans="1:25" x14ac:dyDescent="0.25">
      <c r="A415" s="382" t="s">
        <v>390</v>
      </c>
      <c r="B415" s="438">
        <v>75.872000000337025</v>
      </c>
      <c r="C415" s="438">
        <v>11.481000000008128</v>
      </c>
      <c r="D415" s="438">
        <v>34.819999999540613</v>
      </c>
      <c r="E415" s="438">
        <f t="shared" ref="E415:E416" si="1094">SUM(B415:D415)</f>
        <v>122.17299999988576</v>
      </c>
      <c r="F415" s="438"/>
      <c r="G415" s="438">
        <v>72.64200000030182</v>
      </c>
      <c r="H415" s="438">
        <v>7.5889999999812519</v>
      </c>
      <c r="I415" s="438">
        <v>42.148999999863015</v>
      </c>
      <c r="J415" s="438">
        <f t="shared" ref="J415:J416" si="1095">SUM(G415:I415)</f>
        <v>122.38000000014608</v>
      </c>
      <c r="K415" s="438"/>
      <c r="L415" s="438">
        <v>93.723999999252001</v>
      </c>
      <c r="M415" s="438">
        <v>12.285000000003633</v>
      </c>
      <c r="N415" s="438">
        <v>42.934999998931588</v>
      </c>
      <c r="O415" s="438">
        <f t="shared" ref="O415:O416" si="1096">SUM(L415:N415)</f>
        <v>148.94399999818722</v>
      </c>
      <c r="P415" s="438"/>
      <c r="Q415" s="438">
        <v>102.13099999984642</v>
      </c>
      <c r="R415" s="438">
        <v>12.297999999974298</v>
      </c>
      <c r="S415" s="438">
        <v>45.309999998585937</v>
      </c>
      <c r="T415" s="438">
        <f t="shared" ref="T415:T416" si="1097">SUM(Q415:S415)</f>
        <v>159.73899999840665</v>
      </c>
      <c r="U415" s="438"/>
      <c r="V415" s="438">
        <v>109.44299999928683</v>
      </c>
      <c r="W415" s="438">
        <v>12.229999999988024</v>
      </c>
      <c r="X415" s="438">
        <v>47.591999998533268</v>
      </c>
      <c r="Y415" s="438">
        <f t="shared" ref="Y415:Y416" si="1098">SUM(V415:X415)</f>
        <v>169.2649999978081</v>
      </c>
    </row>
    <row r="416" spans="1:25" x14ac:dyDescent="0.25">
      <c r="A416" s="382" t="s">
        <v>389</v>
      </c>
      <c r="B416" s="438">
        <f>SUM(B414:B415)</f>
        <v>125.29999999983512</v>
      </c>
      <c r="C416" s="438">
        <f t="shared" ref="C416" si="1099">SUM(C414:C415)</f>
        <v>43.259000000072149</v>
      </c>
      <c r="D416" s="438">
        <f t="shared" ref="D416" si="1100">SUM(D414:D415)</f>
        <v>47.510999999649542</v>
      </c>
      <c r="E416" s="438">
        <f t="shared" si="1094"/>
        <v>216.06999999955679</v>
      </c>
      <c r="F416" s="438"/>
      <c r="G416" s="438">
        <f>SUM(G414:G415)</f>
        <v>116.13400000001492</v>
      </c>
      <c r="H416" s="438">
        <f t="shared" ref="H416" si="1101">SUM(H414:H415)</f>
        <v>29.987999999989491</v>
      </c>
      <c r="I416" s="438">
        <f t="shared" ref="I416" si="1102">SUM(I414:I415)</f>
        <v>59.299000000032365</v>
      </c>
      <c r="J416" s="438">
        <f t="shared" si="1095"/>
        <v>205.42100000003677</v>
      </c>
      <c r="K416" s="438"/>
      <c r="L416" s="438">
        <f>SUM(L414:L415)</f>
        <v>145.61599999839672</v>
      </c>
      <c r="M416" s="438">
        <f t="shared" ref="M416" si="1103">SUM(M414:M415)</f>
        <v>41.374000000093432</v>
      </c>
      <c r="N416" s="438">
        <f t="shared" ref="N416" si="1104">SUM(N414:N415)</f>
        <v>72.816999999169013</v>
      </c>
      <c r="O416" s="438">
        <f t="shared" si="1096"/>
        <v>259.80699999765915</v>
      </c>
      <c r="P416" s="438"/>
      <c r="Q416" s="438">
        <f>SUM(Q414:Q415)</f>
        <v>157.08499999989863</v>
      </c>
      <c r="R416" s="438">
        <f t="shared" ref="R416" si="1105">SUM(R414:R415)</f>
        <v>43.800999999996591</v>
      </c>
      <c r="S416" s="438">
        <f t="shared" ref="S416" si="1106">SUM(S414:S415)</f>
        <v>75.75399999926799</v>
      </c>
      <c r="T416" s="438">
        <f t="shared" si="1097"/>
        <v>276.63999999916319</v>
      </c>
      <c r="U416" s="438"/>
      <c r="V416" s="438">
        <f>SUM(V414:V415)</f>
        <v>166.91099999873745</v>
      </c>
      <c r="W416" s="438">
        <f t="shared" ref="W416" si="1107">SUM(W414:W415)</f>
        <v>45.876000000151734</v>
      </c>
      <c r="X416" s="438">
        <f t="shared" ref="X416" si="1108">SUM(X414:X415)</f>
        <v>78.501999998985383</v>
      </c>
      <c r="Y416" s="438">
        <f t="shared" si="1098"/>
        <v>291.28899999787461</v>
      </c>
    </row>
    <row r="417" spans="1:25" x14ac:dyDescent="0.25">
      <c r="A417" s="383"/>
      <c r="B417" s="380"/>
      <c r="C417" s="460"/>
      <c r="D417" s="460"/>
      <c r="E417" s="460"/>
      <c r="F417" s="460"/>
      <c r="G417" s="460"/>
      <c r="H417" s="460"/>
      <c r="I417" s="460"/>
      <c r="J417" s="460"/>
      <c r="K417" s="460"/>
      <c r="L417" s="460"/>
      <c r="M417" s="460"/>
      <c r="N417" s="460"/>
      <c r="O417" s="460"/>
      <c r="P417" s="460"/>
      <c r="Q417" s="460"/>
      <c r="R417" s="460"/>
      <c r="S417" s="460"/>
      <c r="T417" s="460"/>
      <c r="U417" s="460"/>
      <c r="V417" s="460"/>
      <c r="W417" s="460"/>
      <c r="X417" s="460"/>
      <c r="Y417" s="460"/>
    </row>
    <row r="418" spans="1:25" x14ac:dyDescent="0.25">
      <c r="A418" s="378" t="str">
        <f>name!A60</f>
        <v>Veterinary</v>
      </c>
      <c r="C418" s="380"/>
      <c r="D418" s="380"/>
      <c r="E418" s="380"/>
      <c r="F418" s="380"/>
      <c r="G418" s="380"/>
      <c r="H418" s="380"/>
      <c r="I418" s="380"/>
      <c r="J418" s="380"/>
      <c r="K418" s="380"/>
      <c r="L418" s="380"/>
      <c r="M418" s="380"/>
      <c r="N418" s="380"/>
      <c r="O418" s="380"/>
      <c r="P418" s="380"/>
      <c r="Q418" s="380"/>
      <c r="R418" s="380"/>
      <c r="S418" s="380"/>
      <c r="T418" s="380"/>
      <c r="U418" s="380"/>
      <c r="V418" s="380"/>
      <c r="W418" s="380"/>
      <c r="X418" s="380"/>
      <c r="Y418" s="380"/>
    </row>
    <row r="419" spans="1:25" x14ac:dyDescent="0.25">
      <c r="A419" s="382" t="s">
        <v>391</v>
      </c>
      <c r="B419" s="437">
        <v>13.852000000086207</v>
      </c>
      <c r="C419" s="437">
        <v>14.682999999790567</v>
      </c>
      <c r="D419" s="437">
        <v>6.7519999996463227</v>
      </c>
      <c r="E419" s="437">
        <f>SUM(B419:D419)</f>
        <v>35.286999999523097</v>
      </c>
      <c r="F419" s="437"/>
      <c r="G419" s="437">
        <v>15.969000000027918</v>
      </c>
      <c r="H419" s="437">
        <v>13.646999999818281</v>
      </c>
      <c r="I419" s="437">
        <v>11.658999999245006</v>
      </c>
      <c r="J419" s="437">
        <f>SUM(G419:I419)</f>
        <v>41.274999999091207</v>
      </c>
      <c r="K419" s="437"/>
      <c r="L419" s="437">
        <v>19.625999999996917</v>
      </c>
      <c r="M419" s="437">
        <v>15.029999999718315</v>
      </c>
      <c r="N419" s="437">
        <v>19.191999998644505</v>
      </c>
      <c r="O419" s="437">
        <f>SUM(L419:N419)</f>
        <v>53.847999998359739</v>
      </c>
      <c r="P419" s="437"/>
      <c r="Q419" s="437">
        <v>20.699000000304192</v>
      </c>
      <c r="R419" s="437">
        <v>16.272999999823849</v>
      </c>
      <c r="S419" s="437">
        <v>19.565999998711192</v>
      </c>
      <c r="T419" s="437">
        <f>SUM(Q419:S419)</f>
        <v>56.537999998839233</v>
      </c>
      <c r="U419" s="437"/>
      <c r="V419" s="437">
        <v>21.520000000245858</v>
      </c>
      <c r="W419" s="437">
        <v>17.361999999806688</v>
      </c>
      <c r="X419" s="437">
        <v>19.861999998834015</v>
      </c>
      <c r="Y419" s="437">
        <f>SUM(V419:X419)</f>
        <v>58.743999998886558</v>
      </c>
    </row>
    <row r="420" spans="1:25" x14ac:dyDescent="0.25">
      <c r="A420" s="382" t="s">
        <v>390</v>
      </c>
      <c r="B420" s="438">
        <v>14.036999999981127</v>
      </c>
      <c r="C420" s="438">
        <v>4.3870000000358989</v>
      </c>
      <c r="D420" s="438">
        <v>2.3199999998745215</v>
      </c>
      <c r="E420" s="438">
        <f t="shared" ref="E420:E421" si="1109">SUM(B420:D420)</f>
        <v>20.743999999891546</v>
      </c>
      <c r="F420" s="438"/>
      <c r="G420" s="438">
        <v>20.084000000167102</v>
      </c>
      <c r="H420" s="438">
        <v>4.4500000000338149</v>
      </c>
      <c r="I420" s="438">
        <v>3.9319999999556994</v>
      </c>
      <c r="J420" s="438">
        <f t="shared" ref="J420:J421" si="1110">SUM(G420:I420)</f>
        <v>28.466000000156615</v>
      </c>
      <c r="K420" s="438"/>
      <c r="L420" s="438">
        <v>22.968000000034127</v>
      </c>
      <c r="M420" s="438">
        <v>5.7270000000154839</v>
      </c>
      <c r="N420" s="438">
        <v>3.5399999998256102</v>
      </c>
      <c r="O420" s="438">
        <f t="shared" ref="O420:O421" si="1111">SUM(L420:N420)</f>
        <v>32.234999999875221</v>
      </c>
      <c r="P420" s="438"/>
      <c r="Q420" s="438">
        <v>25.070000000207141</v>
      </c>
      <c r="R420" s="438">
        <v>5.7310000000220658</v>
      </c>
      <c r="S420" s="438">
        <v>3.7439999997997191</v>
      </c>
      <c r="T420" s="438">
        <f t="shared" ref="T420:T421" si="1112">SUM(Q420:S420)</f>
        <v>34.545000000028928</v>
      </c>
      <c r="U420" s="438"/>
      <c r="V420" s="438">
        <v>26.885000000165039</v>
      </c>
      <c r="W420" s="438">
        <v>5.6890000000130438</v>
      </c>
      <c r="X420" s="438">
        <v>3.9409999998079832</v>
      </c>
      <c r="Y420" s="438">
        <f t="shared" ref="Y420:Y421" si="1113">SUM(V420:X420)</f>
        <v>36.514999999986067</v>
      </c>
    </row>
    <row r="421" spans="1:25" x14ac:dyDescent="0.25">
      <c r="A421" s="382" t="s">
        <v>389</v>
      </c>
      <c r="B421" s="438">
        <f>SUM(B419:B420)</f>
        <v>27.889000000067334</v>
      </c>
      <c r="C421" s="438">
        <f t="shared" ref="C421" si="1114">SUM(C419:C420)</f>
        <v>19.069999999826464</v>
      </c>
      <c r="D421" s="438">
        <f t="shared" ref="D421" si="1115">SUM(D419:D420)</f>
        <v>9.0719999995208447</v>
      </c>
      <c r="E421" s="438">
        <f t="shared" si="1109"/>
        <v>56.030999999414647</v>
      </c>
      <c r="F421" s="438"/>
      <c r="G421" s="438">
        <f>SUM(G419:G420)</f>
        <v>36.05300000019502</v>
      </c>
      <c r="H421" s="438">
        <f t="shared" ref="H421" si="1116">SUM(H419:H420)</f>
        <v>18.096999999852095</v>
      </c>
      <c r="I421" s="438">
        <f t="shared" ref="I421" si="1117">SUM(I419:I420)</f>
        <v>15.590999999200706</v>
      </c>
      <c r="J421" s="438">
        <f t="shared" si="1110"/>
        <v>69.740999999247819</v>
      </c>
      <c r="K421" s="438"/>
      <c r="L421" s="438">
        <f>SUM(L419:L420)</f>
        <v>42.594000000031045</v>
      </c>
      <c r="M421" s="438">
        <f t="shared" ref="M421" si="1118">SUM(M419:M420)</f>
        <v>20.7569999997338</v>
      </c>
      <c r="N421" s="438">
        <f t="shared" ref="N421" si="1119">SUM(N419:N420)</f>
        <v>22.731999998470116</v>
      </c>
      <c r="O421" s="438">
        <f t="shared" si="1111"/>
        <v>86.082999998234953</v>
      </c>
      <c r="P421" s="438"/>
      <c r="Q421" s="438">
        <f>SUM(Q419:Q420)</f>
        <v>45.769000000511333</v>
      </c>
      <c r="R421" s="438">
        <f t="shared" ref="R421" si="1120">SUM(R419:R420)</f>
        <v>22.003999999845917</v>
      </c>
      <c r="S421" s="438">
        <f t="shared" ref="S421" si="1121">SUM(S419:S420)</f>
        <v>23.309999998510911</v>
      </c>
      <c r="T421" s="438">
        <f t="shared" si="1112"/>
        <v>91.082999998868161</v>
      </c>
      <c r="U421" s="438"/>
      <c r="V421" s="438">
        <f>SUM(V419:V420)</f>
        <v>48.405000000410894</v>
      </c>
      <c r="W421" s="438">
        <f t="shared" ref="W421" si="1122">SUM(W419:W420)</f>
        <v>23.05099999981973</v>
      </c>
      <c r="X421" s="438">
        <f t="shared" ref="X421" si="1123">SUM(X419:X420)</f>
        <v>23.802999998641997</v>
      </c>
      <c r="Y421" s="438">
        <f t="shared" si="1113"/>
        <v>95.258999998872625</v>
      </c>
    </row>
    <row r="423" spans="1:25" x14ac:dyDescent="0.25">
      <c r="A423" s="383" t="s">
        <v>396</v>
      </c>
    </row>
    <row r="424" spans="1:25" x14ac:dyDescent="0.25">
      <c r="A424" s="377" t="s">
        <v>391</v>
      </c>
      <c r="B424" s="437">
        <f>SUM(B389,B394,B399,B404,B409,B414,B419)</f>
        <v>590.99899999515446</v>
      </c>
      <c r="C424" s="437">
        <f t="shared" ref="C424:D425" si="1124">SUM(C389,C394,C399,C404,C409,C414,C419)</f>
        <v>325.99699999882756</v>
      </c>
      <c r="D424" s="437">
        <f t="shared" si="1124"/>
        <v>112.76200000068803</v>
      </c>
      <c r="E424" s="437">
        <f>SUM(B424:D424)</f>
        <v>1029.7579999946699</v>
      </c>
      <c r="F424" s="437"/>
      <c r="G424" s="437">
        <f>SUM(G389,G394,G399,G404,G409,G414,G419)</f>
        <v>636.46099999683577</v>
      </c>
      <c r="H424" s="437">
        <f t="shared" ref="H424:I424" si="1125">SUM(H389,H394,H399,H404,H409,H414,H419)</f>
        <v>322.32399999863583</v>
      </c>
      <c r="I424" s="437">
        <f t="shared" si="1125"/>
        <v>157.87100000062574</v>
      </c>
      <c r="J424" s="437">
        <f>SUM(G424:I424)</f>
        <v>1116.6559999960973</v>
      </c>
      <c r="K424" s="437"/>
      <c r="L424" s="437">
        <f>SUM(L389,L394,L399,L404,L409,L414,L419)</f>
        <v>790.70599998775731</v>
      </c>
      <c r="M424" s="437">
        <f t="shared" ref="M424:N424" si="1126">SUM(M389,M394,M399,M404,M409,M414,M419)</f>
        <v>354.3659999987193</v>
      </c>
      <c r="N424" s="437">
        <f t="shared" si="1126"/>
        <v>198.90899999930633</v>
      </c>
      <c r="O424" s="437">
        <f>SUM(L424:N424)</f>
        <v>1343.980999985783</v>
      </c>
      <c r="P424" s="437"/>
      <c r="Q424" s="437">
        <f>SUM(Q389,Q394,Q399,Q404,Q409,Q414,Q419)</f>
        <v>815.71500000398908</v>
      </c>
      <c r="R424" s="437">
        <f t="shared" ref="R424:S424" si="1127">SUM(R389,R394,R399,R404,R409,R414,R419)</f>
        <v>373.75300000234978</v>
      </c>
      <c r="S424" s="437">
        <f t="shared" si="1127"/>
        <v>208.73800000384227</v>
      </c>
      <c r="T424" s="437">
        <f>SUM(Q424:S424)</f>
        <v>1398.206000010181</v>
      </c>
      <c r="U424" s="437"/>
      <c r="V424" s="437">
        <f>SUM(V389,V394,V399,V404,V409,V414,V419)</f>
        <v>822.98999999450643</v>
      </c>
      <c r="W424" s="437">
        <f t="shared" ref="W424:X424" si="1128">SUM(W389,W394,W399,W404,W409,W414,W419)</f>
        <v>383.95500000177532</v>
      </c>
      <c r="X424" s="437">
        <f t="shared" si="1128"/>
        <v>215.28700000167436</v>
      </c>
      <c r="Y424" s="437">
        <f>SUM(V424:X424)</f>
        <v>1422.2319999979561</v>
      </c>
    </row>
    <row r="425" spans="1:25" x14ac:dyDescent="0.25">
      <c r="A425" s="377" t="s">
        <v>390</v>
      </c>
      <c r="B425" s="437">
        <f>SUM(B390,B395,B400,B405,B410,B415,B420)</f>
        <v>861.03200000522975</v>
      </c>
      <c r="C425" s="437">
        <f t="shared" si="1124"/>
        <v>126.97200000123939</v>
      </c>
      <c r="D425" s="437">
        <f t="shared" si="1124"/>
        <v>251.23699999579762</v>
      </c>
      <c r="E425" s="437">
        <f t="shared" ref="E425:E426" si="1129">SUM(B425:D425)</f>
        <v>1239.2410000022667</v>
      </c>
      <c r="F425" s="437"/>
      <c r="G425" s="437">
        <f>SUM(G390,G395,G400,G405,G410,G415,G420)</f>
        <v>969.26200000833319</v>
      </c>
      <c r="H425" s="437">
        <f t="shared" ref="H425:I425" si="1130">SUM(H390,H395,H400,H405,H410,H415,H420)</f>
        <v>114.79900000108179</v>
      </c>
      <c r="I425" s="437">
        <f t="shared" si="1130"/>
        <v>328.24699999899246</v>
      </c>
      <c r="J425" s="437">
        <f t="shared" ref="J425:J426" si="1131">SUM(G425:I425)</f>
        <v>1412.3080000084074</v>
      </c>
      <c r="K425" s="437"/>
      <c r="L425" s="437">
        <f>SUM(L390,L395,L400,L405,L410,L415,L420)</f>
        <v>1231.0049999908351</v>
      </c>
      <c r="M425" s="437">
        <f t="shared" ref="M425:N425" si="1132">SUM(M390,M395,M400,M405,M410,M415,M420)</f>
        <v>137.01200000002476</v>
      </c>
      <c r="N425" s="437">
        <f t="shared" si="1132"/>
        <v>302.08999999189274</v>
      </c>
      <c r="O425" s="437">
        <f t="shared" ref="O425:O426" si="1133">SUM(L425:N425)</f>
        <v>1670.1069999827525</v>
      </c>
      <c r="P425" s="437"/>
      <c r="Q425" s="437">
        <f>SUM(Q390,Q395,Q400,Q405,Q410,Q415,Q420)</f>
        <v>1317.9600000047501</v>
      </c>
      <c r="R425" s="437">
        <f t="shared" ref="R425:S425" si="1134">SUM(R390,R395,R400,R405,R410,R415,R420)</f>
        <v>136.36700000053284</v>
      </c>
      <c r="S425" s="437">
        <f t="shared" si="1134"/>
        <v>313.98799999079858</v>
      </c>
      <c r="T425" s="437">
        <f t="shared" ref="T425:T426" si="1135">SUM(Q425:S425)</f>
        <v>1768.3149999960815</v>
      </c>
      <c r="U425" s="437"/>
      <c r="V425" s="437">
        <f>SUM(V390,V395,V400,V405,V410,V415,V420)</f>
        <v>1362.4089999982546</v>
      </c>
      <c r="W425" s="437">
        <f t="shared" ref="W425:X425" si="1136">SUM(W390,W395,W400,W405,W410,W415,W420)</f>
        <v>132.59600000011574</v>
      </c>
      <c r="X425" s="437">
        <f t="shared" si="1136"/>
        <v>318.95399999070543</v>
      </c>
      <c r="Y425" s="437">
        <f t="shared" ref="Y425:Y426" si="1137">SUM(V425:X425)</f>
        <v>1813.9589999890757</v>
      </c>
    </row>
    <row r="426" spans="1:25" x14ac:dyDescent="0.25">
      <c r="A426" s="381" t="s">
        <v>389</v>
      </c>
      <c r="B426" s="439">
        <f>SUM(B424:B425)</f>
        <v>1452.0310000003842</v>
      </c>
      <c r="C426" s="439">
        <f t="shared" ref="C426" si="1138">SUM(C424:C425)</f>
        <v>452.96900000006696</v>
      </c>
      <c r="D426" s="439">
        <f t="shared" ref="D426" si="1139">SUM(D424:D425)</f>
        <v>363.99899999648562</v>
      </c>
      <c r="E426" s="439">
        <f t="shared" si="1129"/>
        <v>2268.9989999969366</v>
      </c>
      <c r="F426" s="439"/>
      <c r="G426" s="439">
        <f>SUM(G424:G425)</f>
        <v>1605.7230000051691</v>
      </c>
      <c r="H426" s="439">
        <f t="shared" ref="H426" si="1140">SUM(H424:H425)</f>
        <v>437.12299999971765</v>
      </c>
      <c r="I426" s="439">
        <f t="shared" ref="I426" si="1141">SUM(I424:I425)</f>
        <v>486.11799999961818</v>
      </c>
      <c r="J426" s="439">
        <f t="shared" si="1131"/>
        <v>2528.9640000045047</v>
      </c>
      <c r="K426" s="439"/>
      <c r="L426" s="439">
        <f>SUM(L424:L425)</f>
        <v>2021.7109999785926</v>
      </c>
      <c r="M426" s="439">
        <f t="shared" ref="M426" si="1142">SUM(M424:M425)</f>
        <v>491.37799999874403</v>
      </c>
      <c r="N426" s="439">
        <f t="shared" ref="N426" si="1143">SUM(N424:N425)</f>
        <v>500.99899999119907</v>
      </c>
      <c r="O426" s="439">
        <f t="shared" si="1133"/>
        <v>3014.0879999685358</v>
      </c>
      <c r="P426" s="439"/>
      <c r="Q426" s="439">
        <f>SUM(Q424:Q425)</f>
        <v>2133.6750000087391</v>
      </c>
      <c r="R426" s="439">
        <f t="shared" ref="R426" si="1144">SUM(R424:R425)</f>
        <v>510.12000000288265</v>
      </c>
      <c r="S426" s="439">
        <f t="shared" ref="S426" si="1145">SUM(S424:S425)</f>
        <v>522.72599999464092</v>
      </c>
      <c r="T426" s="439">
        <f t="shared" si="1135"/>
        <v>3166.5210000062625</v>
      </c>
      <c r="U426" s="439"/>
      <c r="V426" s="439">
        <f>SUM(V424:V425)</f>
        <v>2185.3989999927608</v>
      </c>
      <c r="W426" s="439">
        <f t="shared" ref="W426" si="1146">SUM(W424:W425)</f>
        <v>516.551000001891</v>
      </c>
      <c r="X426" s="439">
        <f t="shared" ref="X426" si="1147">SUM(X424:X425)</f>
        <v>534.24099999237978</v>
      </c>
      <c r="Y426" s="439">
        <f t="shared" si="1137"/>
        <v>3236.1909999870318</v>
      </c>
    </row>
    <row r="427" spans="1:25" x14ac:dyDescent="0.25">
      <c r="C427" s="453"/>
    </row>
    <row r="428" spans="1:25" x14ac:dyDescent="0.25">
      <c r="A428" s="383"/>
    </row>
    <row r="429" spans="1:25" x14ac:dyDescent="0.25">
      <c r="C429" s="453"/>
    </row>
    <row r="430" spans="1:25" ht="13.8" x14ac:dyDescent="0.25">
      <c r="A430" s="385" t="str">
        <f>"Industry 17 : "&amp; name!B20</f>
        <v>Industry 17 : Support services</v>
      </c>
      <c r="B430" s="514">
        <f>$B$5</f>
        <v>2007</v>
      </c>
      <c r="C430" s="514"/>
      <c r="D430" s="514"/>
      <c r="E430" s="514"/>
      <c r="F430" s="461"/>
      <c r="G430" s="514">
        <f>$G$5</f>
        <v>2012</v>
      </c>
      <c r="H430" s="514"/>
      <c r="I430" s="514"/>
      <c r="J430" s="514"/>
      <c r="K430" s="461"/>
      <c r="L430" s="514">
        <f>$L$5</f>
        <v>2017</v>
      </c>
      <c r="M430" s="514"/>
      <c r="N430" s="514"/>
      <c r="O430" s="514"/>
      <c r="P430" s="459"/>
      <c r="Q430" s="514">
        <f>$Q$5</f>
        <v>2022</v>
      </c>
      <c r="R430" s="514"/>
      <c r="S430" s="514"/>
      <c r="T430" s="514"/>
      <c r="U430" s="461"/>
      <c r="V430" s="514">
        <f>$V$5</f>
        <v>2027</v>
      </c>
      <c r="W430" s="514"/>
      <c r="X430" s="514"/>
      <c r="Y430" s="514"/>
    </row>
    <row r="431" spans="1:25" x14ac:dyDescent="0.25">
      <c r="A431" s="381"/>
      <c r="B431" s="388" t="str">
        <f>$B$6</f>
        <v>FT</v>
      </c>
      <c r="C431" s="388" t="str">
        <f>$C$6</f>
        <v>PT</v>
      </c>
      <c r="D431" s="388" t="str">
        <f>$D$6</f>
        <v>SE</v>
      </c>
      <c r="E431" s="388" t="str">
        <f>$E$6</f>
        <v>Total</v>
      </c>
      <c r="F431" s="388"/>
      <c r="G431" s="388" t="str">
        <f>$B$6</f>
        <v>FT</v>
      </c>
      <c r="H431" s="388" t="str">
        <f>$C$6</f>
        <v>PT</v>
      </c>
      <c r="I431" s="388" t="str">
        <f>$D$6</f>
        <v>SE</v>
      </c>
      <c r="J431" s="388" t="str">
        <f>$E$6</f>
        <v>Total</v>
      </c>
      <c r="K431" s="388"/>
      <c r="L431" s="388" t="str">
        <f>$L$6</f>
        <v>FT</v>
      </c>
      <c r="M431" s="388" t="str">
        <f>$M$6</f>
        <v>PT</v>
      </c>
      <c r="N431" s="388" t="str">
        <f>$N$6</f>
        <v>SE</v>
      </c>
      <c r="O431" s="388" t="str">
        <f>$O$6</f>
        <v>Total</v>
      </c>
      <c r="P431" s="388"/>
      <c r="Q431" s="388" t="str">
        <f>$L$6</f>
        <v>FT</v>
      </c>
      <c r="R431" s="388" t="str">
        <f>$M$6</f>
        <v>PT</v>
      </c>
      <c r="S431" s="388" t="str">
        <f>$N$6</f>
        <v>SE</v>
      </c>
      <c r="T431" s="388" t="str">
        <f>$O$6</f>
        <v>Total</v>
      </c>
      <c r="U431" s="388"/>
      <c r="V431" s="388" t="str">
        <f>$V$6</f>
        <v>FT</v>
      </c>
      <c r="W431" s="388" t="str">
        <f>$W$6</f>
        <v>PT</v>
      </c>
      <c r="X431" s="388" t="str">
        <f>$X$6</f>
        <v>SE</v>
      </c>
      <c r="Y431" s="388" t="str">
        <f>$Y$6</f>
        <v>Total</v>
      </c>
    </row>
    <row r="432" spans="1:25" x14ac:dyDescent="0.25">
      <c r="A432" s="384"/>
      <c r="B432" s="380"/>
      <c r="C432" s="460"/>
      <c r="D432" s="460"/>
      <c r="E432" s="460"/>
      <c r="F432" s="460"/>
      <c r="G432" s="460"/>
      <c r="H432" s="460"/>
      <c r="I432" s="460"/>
      <c r="J432" s="460"/>
      <c r="K432" s="460"/>
      <c r="L432" s="460"/>
      <c r="M432" s="460"/>
      <c r="N432" s="460"/>
      <c r="O432" s="460"/>
      <c r="P432" s="460"/>
      <c r="Q432" s="460"/>
      <c r="R432" s="460"/>
      <c r="S432" s="460"/>
      <c r="T432" s="460"/>
      <c r="U432" s="460"/>
      <c r="V432" s="460"/>
      <c r="W432" s="460"/>
      <c r="X432" s="460"/>
      <c r="Y432" s="460"/>
    </row>
    <row r="433" spans="1:25" x14ac:dyDescent="0.25">
      <c r="A433" s="378" t="str">
        <f>name!A61</f>
        <v>Rental and leasing</v>
      </c>
      <c r="C433" s="380"/>
      <c r="D433" s="380"/>
      <c r="E433" s="380"/>
      <c r="F433" s="380"/>
      <c r="G433" s="380"/>
      <c r="H433" s="380"/>
      <c r="I433" s="380"/>
      <c r="J433" s="380"/>
      <c r="K433" s="380"/>
      <c r="L433" s="380"/>
      <c r="M433" s="380"/>
      <c r="N433" s="380"/>
      <c r="O433" s="380"/>
      <c r="P433" s="380"/>
      <c r="Q433" s="380"/>
      <c r="R433" s="380"/>
      <c r="S433" s="380"/>
      <c r="T433" s="380"/>
      <c r="U433" s="380"/>
      <c r="V433" s="380"/>
      <c r="W433" s="380"/>
      <c r="X433" s="380"/>
      <c r="Y433" s="380"/>
    </row>
    <row r="434" spans="1:25" x14ac:dyDescent="0.25">
      <c r="A434" s="382" t="s">
        <v>391</v>
      </c>
      <c r="B434" s="437">
        <v>21.235999999784003</v>
      </c>
      <c r="C434" s="437">
        <v>10.447000000107913</v>
      </c>
      <c r="D434" s="437">
        <v>2.6480000000178707</v>
      </c>
      <c r="E434" s="437">
        <f>SUM(B434:D434)</f>
        <v>34.330999999909785</v>
      </c>
      <c r="F434" s="437"/>
      <c r="G434" s="437">
        <v>16.533999999851872</v>
      </c>
      <c r="H434" s="437">
        <v>8.9330000001105514</v>
      </c>
      <c r="I434" s="437">
        <v>5.1750000000178629</v>
      </c>
      <c r="J434" s="437">
        <f>SUM(G434:I434)</f>
        <v>30.641999999980289</v>
      </c>
      <c r="K434" s="437"/>
      <c r="L434" s="437">
        <v>17.982999999878011</v>
      </c>
      <c r="M434" s="437">
        <v>9.0070000001728641</v>
      </c>
      <c r="N434" s="437">
        <v>5.3520000000086032</v>
      </c>
      <c r="O434" s="437">
        <f>SUM(L434:N434)</f>
        <v>32.342000000059478</v>
      </c>
      <c r="P434" s="437"/>
      <c r="Q434" s="437">
        <v>18.283999999736857</v>
      </c>
      <c r="R434" s="437">
        <v>9.4050000000812197</v>
      </c>
      <c r="S434" s="437">
        <v>5.5330000000441171</v>
      </c>
      <c r="T434" s="437">
        <f>SUM(Q434:S434)</f>
        <v>33.221999999862192</v>
      </c>
      <c r="U434" s="437"/>
      <c r="V434" s="437">
        <v>18.424999999817569</v>
      </c>
      <c r="W434" s="437">
        <v>9.5630000001373734</v>
      </c>
      <c r="X434" s="437">
        <v>5.5320000000305347</v>
      </c>
      <c r="Y434" s="437">
        <f>SUM(V434:X434)</f>
        <v>33.51999999998548</v>
      </c>
    </row>
    <row r="435" spans="1:25" x14ac:dyDescent="0.25">
      <c r="A435" s="382" t="s">
        <v>390</v>
      </c>
      <c r="B435" s="438">
        <v>102.57399999983714</v>
      </c>
      <c r="C435" s="438">
        <v>11.213999999937464</v>
      </c>
      <c r="D435" s="438">
        <v>13.103999999914413</v>
      </c>
      <c r="E435" s="438">
        <f t="shared" ref="E435:E436" si="1148">SUM(B435:D435)</f>
        <v>126.89199999968901</v>
      </c>
      <c r="F435" s="438"/>
      <c r="G435" s="438">
        <v>96.626999999776999</v>
      </c>
      <c r="H435" s="438">
        <v>12.570999999931223</v>
      </c>
      <c r="I435" s="438">
        <v>17.252000000064488</v>
      </c>
      <c r="J435" s="438">
        <f t="shared" ref="J435:J436" si="1149">SUM(G435:I435)</f>
        <v>126.4499999997727</v>
      </c>
      <c r="K435" s="438"/>
      <c r="L435" s="438">
        <v>93.638999999810878</v>
      </c>
      <c r="M435" s="438">
        <v>11.809000000006749</v>
      </c>
      <c r="N435" s="438">
        <v>14.099000000014659</v>
      </c>
      <c r="O435" s="438">
        <f t="shared" ref="O435:O436" si="1150">SUM(L435:N435)</f>
        <v>119.54699999983228</v>
      </c>
      <c r="P435" s="438"/>
      <c r="Q435" s="438">
        <v>99.408999999777052</v>
      </c>
      <c r="R435" s="438">
        <v>12.428999999947658</v>
      </c>
      <c r="S435" s="438">
        <v>13.835999999847374</v>
      </c>
      <c r="T435" s="438">
        <f t="shared" ref="T435:T436" si="1151">SUM(Q435:S435)</f>
        <v>125.67399999957209</v>
      </c>
      <c r="U435" s="438"/>
      <c r="V435" s="438">
        <v>104.30999999978064</v>
      </c>
      <c r="W435" s="438">
        <v>12.798999999961055</v>
      </c>
      <c r="X435" s="438">
        <v>13.212999999844186</v>
      </c>
      <c r="Y435" s="438">
        <f t="shared" ref="Y435:Y436" si="1152">SUM(V435:X435)</f>
        <v>130.3219999995859</v>
      </c>
    </row>
    <row r="436" spans="1:25" x14ac:dyDescent="0.25">
      <c r="A436" s="382" t="s">
        <v>389</v>
      </c>
      <c r="B436" s="438">
        <f>SUM(B434:B435)</f>
        <v>123.80999999962114</v>
      </c>
      <c r="C436" s="438">
        <f t="shared" ref="C436" si="1153">SUM(C434:C435)</f>
        <v>21.661000000045377</v>
      </c>
      <c r="D436" s="438">
        <f t="shared" ref="D436" si="1154">SUM(D434:D435)</f>
        <v>15.751999999932284</v>
      </c>
      <c r="E436" s="438">
        <f t="shared" si="1148"/>
        <v>161.22299999959878</v>
      </c>
      <c r="F436" s="438"/>
      <c r="G436" s="438">
        <f>SUM(G434:G435)</f>
        <v>113.16099999962887</v>
      </c>
      <c r="H436" s="438">
        <f t="shared" ref="H436" si="1155">SUM(H434:H435)</f>
        <v>21.504000000041774</v>
      </c>
      <c r="I436" s="438">
        <f t="shared" ref="I436" si="1156">SUM(I434:I435)</f>
        <v>22.427000000082352</v>
      </c>
      <c r="J436" s="438">
        <f t="shared" si="1149"/>
        <v>157.091999999753</v>
      </c>
      <c r="K436" s="438"/>
      <c r="L436" s="438">
        <f>SUM(L434:L435)</f>
        <v>111.62199999968888</v>
      </c>
      <c r="M436" s="438">
        <f t="shared" ref="M436" si="1157">SUM(M434:M435)</f>
        <v>20.816000000179613</v>
      </c>
      <c r="N436" s="438">
        <f t="shared" ref="N436" si="1158">SUM(N434:N435)</f>
        <v>19.451000000023264</v>
      </c>
      <c r="O436" s="438">
        <f t="shared" si="1150"/>
        <v>151.88899999989178</v>
      </c>
      <c r="P436" s="438"/>
      <c r="Q436" s="438">
        <f>SUM(Q434:Q435)</f>
        <v>117.69299999951392</v>
      </c>
      <c r="R436" s="438">
        <f t="shared" ref="R436" si="1159">SUM(R434:R435)</f>
        <v>21.83400000002888</v>
      </c>
      <c r="S436" s="438">
        <f t="shared" ref="S436" si="1160">SUM(S434:S435)</f>
        <v>19.368999999891493</v>
      </c>
      <c r="T436" s="438">
        <f t="shared" si="1151"/>
        <v>158.89599999943428</v>
      </c>
      <c r="U436" s="438"/>
      <c r="V436" s="438">
        <f>SUM(V434:V435)</f>
        <v>122.73499999959822</v>
      </c>
      <c r="W436" s="438">
        <f t="shared" ref="W436" si="1161">SUM(W434:W435)</f>
        <v>22.362000000098426</v>
      </c>
      <c r="X436" s="438">
        <f t="shared" ref="X436" si="1162">SUM(X434:X435)</f>
        <v>18.744999999874722</v>
      </c>
      <c r="Y436" s="438">
        <f t="shared" si="1152"/>
        <v>163.84199999957136</v>
      </c>
    </row>
    <row r="437" spans="1:25" x14ac:dyDescent="0.25">
      <c r="B437" s="380"/>
      <c r="C437" s="460"/>
      <c r="D437" s="460"/>
      <c r="E437" s="460"/>
      <c r="F437" s="460"/>
      <c r="G437" s="460"/>
      <c r="H437" s="460"/>
      <c r="I437" s="460"/>
      <c r="J437" s="460"/>
      <c r="K437" s="460"/>
      <c r="L437" s="460"/>
      <c r="M437" s="460"/>
      <c r="N437" s="460"/>
      <c r="O437" s="460"/>
      <c r="P437" s="460"/>
      <c r="Q437" s="460"/>
      <c r="R437" s="460"/>
      <c r="S437" s="460"/>
      <c r="T437" s="460"/>
      <c r="U437" s="460"/>
      <c r="V437" s="460"/>
      <c r="W437" s="460"/>
      <c r="X437" s="460"/>
      <c r="Y437" s="460"/>
    </row>
    <row r="438" spans="1:25" x14ac:dyDescent="0.25">
      <c r="A438" s="378" t="str">
        <f>name!A62</f>
        <v>Employment activities</v>
      </c>
      <c r="C438" s="380"/>
      <c r="D438" s="380"/>
      <c r="E438" s="380"/>
      <c r="F438" s="380"/>
      <c r="G438" s="380"/>
      <c r="H438" s="380"/>
      <c r="I438" s="380"/>
      <c r="J438" s="380"/>
      <c r="K438" s="380"/>
      <c r="L438" s="380"/>
      <c r="M438" s="380"/>
      <c r="N438" s="380"/>
      <c r="O438" s="380"/>
      <c r="P438" s="380"/>
      <c r="Q438" s="380"/>
      <c r="R438" s="380"/>
      <c r="S438" s="380"/>
      <c r="T438" s="380"/>
      <c r="U438" s="380"/>
      <c r="V438" s="380"/>
      <c r="W438" s="380"/>
      <c r="X438" s="380"/>
      <c r="Y438" s="380"/>
    </row>
    <row r="439" spans="1:25" x14ac:dyDescent="0.25">
      <c r="A439" s="382" t="s">
        <v>391</v>
      </c>
      <c r="B439" s="437">
        <v>260.75899999746969</v>
      </c>
      <c r="C439" s="437">
        <v>92.88900000045075</v>
      </c>
      <c r="D439" s="437">
        <v>25.882000000223581</v>
      </c>
      <c r="E439" s="437">
        <f>SUM(B439:D439)</f>
        <v>379.52999999814404</v>
      </c>
      <c r="F439" s="437"/>
      <c r="G439" s="437">
        <v>195.45699999872531</v>
      </c>
      <c r="H439" s="437">
        <v>106.22099999990235</v>
      </c>
      <c r="I439" s="437">
        <v>48.905000000426526</v>
      </c>
      <c r="J439" s="437">
        <f>SUM(G439:I439)</f>
        <v>350.58299999905421</v>
      </c>
      <c r="K439" s="437"/>
      <c r="L439" s="437">
        <v>250.59499999917293</v>
      </c>
      <c r="M439" s="437">
        <v>130.36700000113834</v>
      </c>
      <c r="N439" s="437">
        <v>63.778000001193341</v>
      </c>
      <c r="O439" s="437">
        <f>SUM(L439:N439)</f>
        <v>444.7400000015046</v>
      </c>
      <c r="P439" s="437"/>
      <c r="Q439" s="437">
        <v>254.6139999970928</v>
      </c>
      <c r="R439" s="437">
        <v>136.12399999912219</v>
      </c>
      <c r="S439" s="437">
        <v>65.909000001147973</v>
      </c>
      <c r="T439" s="437">
        <f>SUM(Q439:S439)</f>
        <v>456.64699999736297</v>
      </c>
      <c r="U439" s="437"/>
      <c r="V439" s="437">
        <v>256.32199999842697</v>
      </c>
      <c r="W439" s="437">
        <v>138.38600000015202</v>
      </c>
      <c r="X439" s="437">
        <v>65.855000001326943</v>
      </c>
      <c r="Y439" s="437">
        <f>SUM(V439:X439)</f>
        <v>460.56299999990597</v>
      </c>
    </row>
    <row r="440" spans="1:25" x14ac:dyDescent="0.25">
      <c r="A440" s="382" t="s">
        <v>390</v>
      </c>
      <c r="B440" s="438">
        <v>417.48999999882579</v>
      </c>
      <c r="C440" s="438">
        <v>112.81399999922731</v>
      </c>
      <c r="D440" s="438">
        <v>52.916999999463798</v>
      </c>
      <c r="E440" s="438">
        <f t="shared" ref="E440:E441" si="1163">SUM(B440:D440)</f>
        <v>583.22099999751686</v>
      </c>
      <c r="F440" s="438"/>
      <c r="G440" s="438">
        <v>374.3289999987656</v>
      </c>
      <c r="H440" s="438">
        <v>156.52299999879705</v>
      </c>
      <c r="I440" s="438">
        <v>70.542999999578143</v>
      </c>
      <c r="J440" s="438">
        <f t="shared" ref="J440:J441" si="1164">SUM(G440:I440)</f>
        <v>601.39499999714076</v>
      </c>
      <c r="K440" s="438"/>
      <c r="L440" s="438">
        <v>439.3989999995627</v>
      </c>
      <c r="M440" s="438">
        <v>179.44600000038881</v>
      </c>
      <c r="N440" s="438">
        <v>71.428999999024583</v>
      </c>
      <c r="O440" s="438">
        <f t="shared" ref="O440:O441" si="1165">SUM(L440:N440)</f>
        <v>690.27399999897602</v>
      </c>
      <c r="P440" s="438"/>
      <c r="Q440" s="438">
        <v>466.23499999859894</v>
      </c>
      <c r="R440" s="438">
        <v>188.82999999903296</v>
      </c>
      <c r="S440" s="438">
        <v>70.066999998548155</v>
      </c>
      <c r="T440" s="438">
        <f t="shared" ref="T440:T441" si="1166">SUM(Q440:S440)</f>
        <v>725.13199999618007</v>
      </c>
      <c r="U440" s="438"/>
      <c r="V440" s="438">
        <v>488.81899999956812</v>
      </c>
      <c r="W440" s="438">
        <v>194.43799999965651</v>
      </c>
      <c r="X440" s="438">
        <v>66.893999998662309</v>
      </c>
      <c r="Y440" s="438">
        <f t="shared" ref="Y440:Y441" si="1167">SUM(V440:X440)</f>
        <v>750.15099999788686</v>
      </c>
    </row>
    <row r="441" spans="1:25" x14ac:dyDescent="0.25">
      <c r="A441" s="382" t="s">
        <v>389</v>
      </c>
      <c r="B441" s="438">
        <f>SUM(B439:B440)</f>
        <v>678.24899999629542</v>
      </c>
      <c r="C441" s="438">
        <f t="shared" ref="C441" si="1168">SUM(C439:C440)</f>
        <v>205.70299999967807</v>
      </c>
      <c r="D441" s="438">
        <f t="shared" ref="D441" si="1169">SUM(D439:D440)</f>
        <v>78.798999999687382</v>
      </c>
      <c r="E441" s="438">
        <f t="shared" si="1163"/>
        <v>962.75099999566078</v>
      </c>
      <c r="F441" s="438"/>
      <c r="G441" s="438">
        <f>SUM(G439:G440)</f>
        <v>569.78599999749088</v>
      </c>
      <c r="H441" s="438">
        <f t="shared" ref="H441" si="1170">SUM(H439:H440)</f>
        <v>262.74399999869939</v>
      </c>
      <c r="I441" s="438">
        <f t="shared" ref="I441" si="1171">SUM(I439:I440)</f>
        <v>119.44800000000467</v>
      </c>
      <c r="J441" s="438">
        <f t="shared" si="1164"/>
        <v>951.97799999619497</v>
      </c>
      <c r="K441" s="438"/>
      <c r="L441" s="438">
        <f>SUM(L439:L440)</f>
        <v>689.9939999987356</v>
      </c>
      <c r="M441" s="438">
        <f t="shared" ref="M441" si="1172">SUM(M439:M440)</f>
        <v>309.81300000152714</v>
      </c>
      <c r="N441" s="438">
        <f t="shared" ref="N441" si="1173">SUM(N439:N440)</f>
        <v>135.20700000021793</v>
      </c>
      <c r="O441" s="438">
        <f t="shared" si="1165"/>
        <v>1135.0140000004808</v>
      </c>
      <c r="P441" s="438"/>
      <c r="Q441" s="438">
        <f>SUM(Q439:Q440)</f>
        <v>720.84899999569177</v>
      </c>
      <c r="R441" s="438">
        <f t="shared" ref="R441" si="1174">SUM(R439:R440)</f>
        <v>324.95399999815515</v>
      </c>
      <c r="S441" s="438">
        <f t="shared" ref="S441" si="1175">SUM(S439:S440)</f>
        <v>135.97599999969611</v>
      </c>
      <c r="T441" s="438">
        <f t="shared" si="1166"/>
        <v>1181.778999993543</v>
      </c>
      <c r="U441" s="438"/>
      <c r="V441" s="438">
        <f>SUM(V439:V440)</f>
        <v>745.1409999979951</v>
      </c>
      <c r="W441" s="438">
        <f t="shared" ref="W441" si="1176">SUM(W439:W440)</f>
        <v>332.82399999980851</v>
      </c>
      <c r="X441" s="438">
        <f t="shared" ref="X441" si="1177">SUM(X439:X440)</f>
        <v>132.74899999998925</v>
      </c>
      <c r="Y441" s="438">
        <f t="shared" si="1167"/>
        <v>1210.7139999977931</v>
      </c>
    </row>
    <row r="442" spans="1:25" x14ac:dyDescent="0.25">
      <c r="B442" s="380"/>
      <c r="C442" s="460"/>
      <c r="D442" s="460"/>
      <c r="E442" s="460"/>
      <c r="F442" s="460"/>
      <c r="G442" s="460"/>
      <c r="H442" s="460"/>
      <c r="I442" s="460"/>
      <c r="J442" s="460"/>
      <c r="K442" s="460"/>
      <c r="L442" s="460"/>
      <c r="M442" s="460"/>
      <c r="N442" s="460"/>
      <c r="O442" s="460"/>
      <c r="P442" s="460"/>
      <c r="Q442" s="460"/>
      <c r="R442" s="460"/>
      <c r="S442" s="460"/>
      <c r="T442" s="460"/>
      <c r="U442" s="460"/>
      <c r="V442" s="460"/>
      <c r="W442" s="460"/>
      <c r="X442" s="460"/>
      <c r="Y442" s="460"/>
    </row>
    <row r="443" spans="1:25" x14ac:dyDescent="0.25">
      <c r="A443" s="378" t="str">
        <f>name!A63</f>
        <v>Travel, etc</v>
      </c>
      <c r="C443" s="380"/>
      <c r="D443" s="380"/>
      <c r="E443" s="380"/>
      <c r="F443" s="380"/>
      <c r="G443" s="380"/>
      <c r="H443" s="380"/>
      <c r="I443" s="380"/>
      <c r="J443" s="380"/>
      <c r="K443" s="380"/>
      <c r="L443" s="380"/>
      <c r="M443" s="380"/>
      <c r="N443" s="380"/>
      <c r="O443" s="380"/>
      <c r="P443" s="380"/>
      <c r="Q443" s="380"/>
      <c r="R443" s="380"/>
      <c r="S443" s="380"/>
      <c r="T443" s="380"/>
      <c r="U443" s="380"/>
      <c r="V443" s="380"/>
      <c r="W443" s="380"/>
      <c r="X443" s="380"/>
      <c r="Y443" s="380"/>
    </row>
    <row r="444" spans="1:25" x14ac:dyDescent="0.25">
      <c r="A444" s="382" t="s">
        <v>391</v>
      </c>
      <c r="B444" s="437">
        <v>21.566999999747498</v>
      </c>
      <c r="C444" s="437">
        <v>8.5260000000236307</v>
      </c>
      <c r="D444" s="437">
        <v>4.658000000069852</v>
      </c>
      <c r="E444" s="437">
        <f>SUM(B444:D444)</f>
        <v>34.750999999840985</v>
      </c>
      <c r="F444" s="437"/>
      <c r="G444" s="437">
        <v>15.414999999794208</v>
      </c>
      <c r="H444" s="437">
        <v>8.7600000000219769</v>
      </c>
      <c r="I444" s="437">
        <v>8.4270000001624545</v>
      </c>
      <c r="J444" s="437">
        <f>SUM(G444:I444)</f>
        <v>32.601999999978645</v>
      </c>
      <c r="K444" s="437"/>
      <c r="L444" s="437">
        <v>16.767999999940969</v>
      </c>
      <c r="M444" s="437">
        <v>9.3990000001471028</v>
      </c>
      <c r="N444" s="437">
        <v>9.2130000001870549</v>
      </c>
      <c r="O444" s="437">
        <f>SUM(L444:N444)</f>
        <v>35.380000000275132</v>
      </c>
      <c r="P444" s="437"/>
      <c r="Q444" s="437">
        <v>17.045999999562845</v>
      </c>
      <c r="R444" s="437">
        <v>9.8199999999770995</v>
      </c>
      <c r="S444" s="437">
        <v>9.5220000002026737</v>
      </c>
      <c r="T444" s="437">
        <f>SUM(Q444:S444)</f>
        <v>36.387999999742618</v>
      </c>
      <c r="U444" s="437"/>
      <c r="V444" s="437">
        <v>17.164999999807332</v>
      </c>
      <c r="W444" s="437">
        <v>9.992000000110977</v>
      </c>
      <c r="X444" s="437">
        <v>9.5170000001569299</v>
      </c>
      <c r="Y444" s="437">
        <f>SUM(V444:X444)</f>
        <v>36.674000000075239</v>
      </c>
    </row>
    <row r="445" spans="1:25" x14ac:dyDescent="0.25">
      <c r="A445" s="382" t="s">
        <v>390</v>
      </c>
      <c r="B445" s="438">
        <v>58.095999999649145</v>
      </c>
      <c r="C445" s="438">
        <v>11.804999999916884</v>
      </c>
      <c r="D445" s="438">
        <v>3.3919999999815587</v>
      </c>
      <c r="E445" s="438">
        <f t="shared" ref="E445:E446" si="1178">SUM(B445:D445)</f>
        <v>73.29299999954759</v>
      </c>
      <c r="F445" s="438"/>
      <c r="G445" s="438">
        <v>52.345999999328228</v>
      </c>
      <c r="H445" s="438">
        <v>14.265999999911848</v>
      </c>
      <c r="I445" s="438">
        <v>4.2180000000253859</v>
      </c>
      <c r="J445" s="438">
        <f t="shared" ref="J445:J446" si="1179">SUM(G445:I445)</f>
        <v>70.829999999265468</v>
      </c>
      <c r="K445" s="438"/>
      <c r="L445" s="438">
        <v>48.873000000033855</v>
      </c>
      <c r="M445" s="438">
        <v>14.067000000019521</v>
      </c>
      <c r="N445" s="438">
        <v>3.7140000000167559</v>
      </c>
      <c r="O445" s="438">
        <f t="shared" ref="O445:O446" si="1180">SUM(L445:N445)</f>
        <v>66.654000000070127</v>
      </c>
      <c r="P445" s="438"/>
      <c r="Q445" s="438">
        <v>51.848999999733032</v>
      </c>
      <c r="R445" s="438">
        <v>14.798999999912516</v>
      </c>
      <c r="S445" s="438">
        <v>3.6439999999542994</v>
      </c>
      <c r="T445" s="438">
        <f t="shared" ref="T445:T446" si="1181">SUM(Q445:S445)</f>
        <v>70.291999999599852</v>
      </c>
      <c r="U445" s="438"/>
      <c r="V445" s="438">
        <v>54.325999999982002</v>
      </c>
      <c r="W445" s="438">
        <v>15.236999999934408</v>
      </c>
      <c r="X445" s="438">
        <v>3.4749999999555299</v>
      </c>
      <c r="Y445" s="438">
        <f t="shared" ref="Y445:Y446" si="1182">SUM(V445:X445)</f>
        <v>73.037999999871943</v>
      </c>
    </row>
    <row r="446" spans="1:25" x14ac:dyDescent="0.25">
      <c r="A446" s="382" t="s">
        <v>389</v>
      </c>
      <c r="B446" s="438">
        <f>SUM(B444:B445)</f>
        <v>79.662999999396646</v>
      </c>
      <c r="C446" s="438">
        <f t="shared" ref="C446" si="1183">SUM(C444:C445)</f>
        <v>20.330999999940516</v>
      </c>
      <c r="D446" s="438">
        <f t="shared" ref="D446" si="1184">SUM(D444:D445)</f>
        <v>8.0500000000514103</v>
      </c>
      <c r="E446" s="438">
        <f t="shared" si="1178"/>
        <v>108.04399999938857</v>
      </c>
      <c r="F446" s="438"/>
      <c r="G446" s="438">
        <f>SUM(G444:G445)</f>
        <v>67.760999999122433</v>
      </c>
      <c r="H446" s="438">
        <f t="shared" ref="H446" si="1185">SUM(H444:H445)</f>
        <v>23.025999999933823</v>
      </c>
      <c r="I446" s="438">
        <f t="shared" ref="I446" si="1186">SUM(I444:I445)</f>
        <v>12.64500000018784</v>
      </c>
      <c r="J446" s="438">
        <f t="shared" si="1179"/>
        <v>103.4319999992441</v>
      </c>
      <c r="K446" s="438"/>
      <c r="L446" s="438">
        <f>SUM(L444:L445)</f>
        <v>65.640999999974824</v>
      </c>
      <c r="M446" s="438">
        <f t="shared" ref="M446" si="1187">SUM(M444:M445)</f>
        <v>23.466000000166623</v>
      </c>
      <c r="N446" s="438">
        <f t="shared" ref="N446" si="1188">SUM(N444:N445)</f>
        <v>12.927000000203812</v>
      </c>
      <c r="O446" s="438">
        <f t="shared" si="1180"/>
        <v>102.03400000034526</v>
      </c>
      <c r="P446" s="438"/>
      <c r="Q446" s="438">
        <f>SUM(Q444:Q445)</f>
        <v>68.894999999295877</v>
      </c>
      <c r="R446" s="438">
        <f t="shared" ref="R446" si="1189">SUM(R444:R445)</f>
        <v>24.618999999889617</v>
      </c>
      <c r="S446" s="438">
        <f t="shared" ref="S446" si="1190">SUM(S444:S445)</f>
        <v>13.166000000156973</v>
      </c>
      <c r="T446" s="438">
        <f t="shared" si="1181"/>
        <v>106.67999999934247</v>
      </c>
      <c r="U446" s="438"/>
      <c r="V446" s="438">
        <f>SUM(V444:V445)</f>
        <v>71.490999999789338</v>
      </c>
      <c r="W446" s="438">
        <f t="shared" ref="W446" si="1191">SUM(W444:W445)</f>
        <v>25.229000000045385</v>
      </c>
      <c r="X446" s="438">
        <f t="shared" ref="X446" si="1192">SUM(X444:X445)</f>
        <v>12.99200000011246</v>
      </c>
      <c r="Y446" s="438">
        <f t="shared" si="1182"/>
        <v>109.71199999994718</v>
      </c>
    </row>
    <row r="447" spans="1:25" x14ac:dyDescent="0.25">
      <c r="B447" s="380"/>
      <c r="C447" s="460"/>
      <c r="D447" s="460"/>
      <c r="E447" s="460"/>
      <c r="F447" s="460"/>
      <c r="G447" s="460"/>
      <c r="H447" s="460"/>
      <c r="I447" s="460"/>
      <c r="J447" s="460"/>
      <c r="K447" s="460"/>
      <c r="L447" s="460"/>
      <c r="M447" s="460"/>
      <c r="N447" s="460"/>
      <c r="O447" s="460"/>
      <c r="P447" s="460"/>
      <c r="Q447" s="460"/>
      <c r="R447" s="460"/>
      <c r="S447" s="460"/>
      <c r="T447" s="460"/>
      <c r="U447" s="460"/>
      <c r="V447" s="460"/>
      <c r="W447" s="460"/>
      <c r="X447" s="460"/>
      <c r="Y447" s="460"/>
    </row>
    <row r="448" spans="1:25" x14ac:dyDescent="0.25">
      <c r="A448" s="378" t="str">
        <f>name!A64</f>
        <v>Security, etc</v>
      </c>
      <c r="C448" s="380"/>
      <c r="D448" s="380"/>
      <c r="E448" s="380"/>
      <c r="F448" s="380"/>
      <c r="G448" s="380"/>
      <c r="H448" s="380"/>
      <c r="I448" s="380"/>
      <c r="J448" s="380"/>
      <c r="K448" s="380"/>
      <c r="L448" s="380"/>
      <c r="M448" s="380"/>
      <c r="N448" s="380"/>
      <c r="O448" s="380"/>
      <c r="P448" s="380"/>
      <c r="Q448" s="380"/>
      <c r="R448" s="380"/>
      <c r="S448" s="380"/>
      <c r="T448" s="380"/>
      <c r="U448" s="380"/>
      <c r="V448" s="380"/>
      <c r="W448" s="380"/>
      <c r="X448" s="380"/>
      <c r="Y448" s="380"/>
    </row>
    <row r="449" spans="1:25" x14ac:dyDescent="0.25">
      <c r="A449" s="382" t="s">
        <v>391</v>
      </c>
      <c r="B449" s="437">
        <v>40.191999999601151</v>
      </c>
      <c r="C449" s="437">
        <v>12.487000000041357</v>
      </c>
      <c r="D449" s="437">
        <v>1.7710000000125292</v>
      </c>
      <c r="E449" s="437">
        <f>SUM(B449:D449)</f>
        <v>54.449999999655034</v>
      </c>
      <c r="F449" s="437"/>
      <c r="G449" s="437">
        <v>33.101999999798231</v>
      </c>
      <c r="H449" s="437">
        <v>13.214999999986764</v>
      </c>
      <c r="I449" s="437">
        <v>3.4130000000228837</v>
      </c>
      <c r="J449" s="437">
        <f>SUM(G449:I449)</f>
        <v>49.72999999980788</v>
      </c>
      <c r="K449" s="437"/>
      <c r="L449" s="437">
        <v>35.433999999932823</v>
      </c>
      <c r="M449" s="437">
        <v>17.710000000122541</v>
      </c>
      <c r="N449" s="437">
        <v>4.0940000000774601</v>
      </c>
      <c r="O449" s="437">
        <f>SUM(L449:N449)</f>
        <v>57.238000000132821</v>
      </c>
      <c r="P449" s="437"/>
      <c r="Q449" s="437">
        <v>35.985999999524175</v>
      </c>
      <c r="R449" s="437">
        <v>18.484999999864563</v>
      </c>
      <c r="S449" s="437">
        <v>4.2310000000636698</v>
      </c>
      <c r="T449" s="437">
        <f>SUM(Q449:S449)</f>
        <v>58.701999999452411</v>
      </c>
      <c r="U449" s="437"/>
      <c r="V449" s="437">
        <v>36.209999999778674</v>
      </c>
      <c r="W449" s="437">
        <v>18.797000000036327</v>
      </c>
      <c r="X449" s="437">
        <v>4.2270000000771892</v>
      </c>
      <c r="Y449" s="437">
        <f>SUM(V449:X449)</f>
        <v>59.233999999892191</v>
      </c>
    </row>
    <row r="450" spans="1:25" x14ac:dyDescent="0.25">
      <c r="A450" s="382" t="s">
        <v>390</v>
      </c>
      <c r="B450" s="438">
        <v>104.30399999964462</v>
      </c>
      <c r="C450" s="438">
        <v>16.852999999894077</v>
      </c>
      <c r="D450" s="438">
        <v>16.391999999870254</v>
      </c>
      <c r="E450" s="438">
        <f t="shared" ref="E450:E451" si="1193">SUM(B450:D450)</f>
        <v>137.54899999940895</v>
      </c>
      <c r="F450" s="438"/>
      <c r="G450" s="438">
        <v>107.05799999950376</v>
      </c>
      <c r="H450" s="438">
        <v>21.984999999832844</v>
      </c>
      <c r="I450" s="438">
        <v>22.125999999857097</v>
      </c>
      <c r="J450" s="438">
        <f t="shared" ref="J450:J451" si="1194">SUM(G450:I450)</f>
        <v>151.16899999919372</v>
      </c>
      <c r="K450" s="438"/>
      <c r="L450" s="438">
        <v>103.54299999997403</v>
      </c>
      <c r="M450" s="438">
        <v>27.351000000017613</v>
      </c>
      <c r="N450" s="438">
        <v>21.072999999772748</v>
      </c>
      <c r="O450" s="438">
        <f t="shared" ref="O450:O451" si="1195">SUM(L450:N450)</f>
        <v>151.9669999997644</v>
      </c>
      <c r="P450" s="438"/>
      <c r="Q450" s="438">
        <v>109.8139999997379</v>
      </c>
      <c r="R450" s="438">
        <v>28.781999999856424</v>
      </c>
      <c r="S450" s="438">
        <v>20.666999999639366</v>
      </c>
      <c r="T450" s="438">
        <f t="shared" ref="T450:T451" si="1196">SUM(Q450:S450)</f>
        <v>159.26299999923367</v>
      </c>
      <c r="U450" s="438"/>
      <c r="V450" s="438">
        <v>115.03299999992107</v>
      </c>
      <c r="W450" s="438">
        <v>29.641999999929418</v>
      </c>
      <c r="X450" s="438">
        <v>19.715999999692045</v>
      </c>
      <c r="Y450" s="438">
        <f t="shared" ref="Y450:Y451" si="1197">SUM(V450:X450)</f>
        <v>164.39099999954254</v>
      </c>
    </row>
    <row r="451" spans="1:25" x14ac:dyDescent="0.25">
      <c r="A451" s="382" t="s">
        <v>389</v>
      </c>
      <c r="B451" s="438">
        <f>SUM(B449:B450)</f>
        <v>144.49599999924578</v>
      </c>
      <c r="C451" s="438">
        <f t="shared" ref="C451" si="1198">SUM(C449:C450)</f>
        <v>29.339999999935436</v>
      </c>
      <c r="D451" s="438">
        <f t="shared" ref="D451" si="1199">SUM(D449:D450)</f>
        <v>18.162999999882782</v>
      </c>
      <c r="E451" s="438">
        <f t="shared" si="1193"/>
        <v>191.99899999906398</v>
      </c>
      <c r="F451" s="438"/>
      <c r="G451" s="438">
        <f>SUM(G449:G450)</f>
        <v>140.15999999930199</v>
      </c>
      <c r="H451" s="438">
        <f t="shared" ref="H451" si="1200">SUM(H449:H450)</f>
        <v>35.19999999981961</v>
      </c>
      <c r="I451" s="438">
        <f t="shared" ref="I451" si="1201">SUM(I449:I450)</f>
        <v>25.53899999987998</v>
      </c>
      <c r="J451" s="438">
        <f t="shared" si="1194"/>
        <v>200.8989999990016</v>
      </c>
      <c r="K451" s="438"/>
      <c r="L451" s="438">
        <f>SUM(L449:L450)</f>
        <v>138.97699999990687</v>
      </c>
      <c r="M451" s="438">
        <f t="shared" ref="M451" si="1202">SUM(M449:M450)</f>
        <v>45.061000000140154</v>
      </c>
      <c r="N451" s="438">
        <f t="shared" ref="N451" si="1203">SUM(N449:N450)</f>
        <v>25.166999999850209</v>
      </c>
      <c r="O451" s="438">
        <f t="shared" si="1195"/>
        <v>209.20499999989724</v>
      </c>
      <c r="P451" s="438"/>
      <c r="Q451" s="438">
        <f>SUM(Q449:Q450)</f>
        <v>145.79999999926207</v>
      </c>
      <c r="R451" s="438">
        <f t="shared" ref="R451" si="1204">SUM(R449:R450)</f>
        <v>47.266999999720987</v>
      </c>
      <c r="S451" s="438">
        <f t="shared" ref="S451" si="1205">SUM(S449:S450)</f>
        <v>24.897999999703035</v>
      </c>
      <c r="T451" s="438">
        <f t="shared" si="1196"/>
        <v>217.9649999986861</v>
      </c>
      <c r="U451" s="438"/>
      <c r="V451" s="438">
        <f>SUM(V449:V450)</f>
        <v>151.24299999969975</v>
      </c>
      <c r="W451" s="438">
        <f t="shared" ref="W451" si="1206">SUM(W449:W450)</f>
        <v>48.438999999965745</v>
      </c>
      <c r="X451" s="438">
        <f t="shared" ref="X451" si="1207">SUM(X449:X450)</f>
        <v>23.942999999769235</v>
      </c>
      <c r="Y451" s="438">
        <f t="shared" si="1197"/>
        <v>223.62499999943472</v>
      </c>
    </row>
    <row r="452" spans="1:25" x14ac:dyDescent="0.25">
      <c r="B452" s="380"/>
      <c r="C452" s="460"/>
      <c r="D452" s="460"/>
      <c r="E452" s="460"/>
      <c r="F452" s="460"/>
      <c r="G452" s="460"/>
      <c r="H452" s="460"/>
      <c r="I452" s="460"/>
      <c r="J452" s="460"/>
      <c r="K452" s="460"/>
      <c r="L452" s="460"/>
      <c r="M452" s="460"/>
      <c r="N452" s="460"/>
      <c r="O452" s="460"/>
      <c r="P452" s="460"/>
      <c r="Q452" s="460"/>
      <c r="R452" s="460"/>
      <c r="S452" s="460"/>
      <c r="T452" s="460"/>
      <c r="U452" s="460"/>
      <c r="V452" s="460"/>
      <c r="W452" s="460"/>
      <c r="X452" s="460"/>
      <c r="Y452" s="460"/>
    </row>
    <row r="453" spans="1:25" x14ac:dyDescent="0.25">
      <c r="A453" s="378" t="str">
        <f>name!A65</f>
        <v>Services to buildings</v>
      </c>
      <c r="C453" s="380"/>
      <c r="D453" s="380"/>
      <c r="E453" s="380"/>
      <c r="F453" s="380"/>
      <c r="G453" s="380"/>
      <c r="H453" s="380"/>
      <c r="I453" s="380"/>
      <c r="J453" s="380"/>
      <c r="K453" s="380"/>
      <c r="L453" s="380"/>
      <c r="M453" s="380"/>
      <c r="N453" s="380"/>
      <c r="O453" s="380"/>
      <c r="P453" s="380"/>
      <c r="Q453" s="380"/>
      <c r="R453" s="380"/>
      <c r="S453" s="380"/>
      <c r="T453" s="380"/>
      <c r="U453" s="380"/>
      <c r="V453" s="380"/>
      <c r="W453" s="380"/>
      <c r="X453" s="380"/>
      <c r="Y453" s="380"/>
    </row>
    <row r="454" spans="1:25" x14ac:dyDescent="0.25">
      <c r="A454" s="382" t="s">
        <v>391</v>
      </c>
      <c r="B454" s="437">
        <v>182.72899999839743</v>
      </c>
      <c r="C454" s="437">
        <v>308.59900000146439</v>
      </c>
      <c r="D454" s="437">
        <v>19.851000000114112</v>
      </c>
      <c r="E454" s="437">
        <f>SUM(B454:D454)</f>
        <v>511.17899999997599</v>
      </c>
      <c r="F454" s="437"/>
      <c r="G454" s="437">
        <v>173.80199999901092</v>
      </c>
      <c r="H454" s="437">
        <v>317.88600000054436</v>
      </c>
      <c r="I454" s="437">
        <v>42.792000000259279</v>
      </c>
      <c r="J454" s="437">
        <f>SUM(G454:I454)</f>
        <v>534.47999999981448</v>
      </c>
      <c r="K454" s="437"/>
      <c r="L454" s="437">
        <v>201.77299999954511</v>
      </c>
      <c r="M454" s="437">
        <v>334.97800000239738</v>
      </c>
      <c r="N454" s="437">
        <v>46.685000000624825</v>
      </c>
      <c r="O454" s="437">
        <f>SUM(L454:N454)</f>
        <v>583.4360000025672</v>
      </c>
      <c r="P454" s="437"/>
      <c r="Q454" s="437">
        <v>205.02099999747293</v>
      </c>
      <c r="R454" s="437">
        <v>349.86599999757408</v>
      </c>
      <c r="S454" s="437">
        <v>48.246000000727385</v>
      </c>
      <c r="T454" s="437">
        <f>SUM(Q454:S454)</f>
        <v>603.13299999577441</v>
      </c>
      <c r="U454" s="437"/>
      <c r="V454" s="437">
        <v>206.37599999876176</v>
      </c>
      <c r="W454" s="437">
        <v>355.79000000057482</v>
      </c>
      <c r="X454" s="437">
        <v>48.221000000784422</v>
      </c>
      <c r="Y454" s="437">
        <f>SUM(V454:X454)</f>
        <v>610.38700000012102</v>
      </c>
    </row>
    <row r="455" spans="1:25" x14ac:dyDescent="0.25">
      <c r="A455" s="382" t="s">
        <v>390</v>
      </c>
      <c r="B455" s="438">
        <v>124.33499999967735</v>
      </c>
      <c r="C455" s="438">
        <v>63.254999999533332</v>
      </c>
      <c r="D455" s="438">
        <v>29.374999999800316</v>
      </c>
      <c r="E455" s="438">
        <f t="shared" ref="E455:E456" si="1208">SUM(B455:D455)</f>
        <v>216.96499999901098</v>
      </c>
      <c r="F455" s="438"/>
      <c r="G455" s="438">
        <v>140.37099999954421</v>
      </c>
      <c r="H455" s="438">
        <v>76.300999999437622</v>
      </c>
      <c r="I455" s="438">
        <v>44.981999999684497</v>
      </c>
      <c r="J455" s="438">
        <f t="shared" ref="J455:J456" si="1209">SUM(G455:I455)</f>
        <v>261.65399999866634</v>
      </c>
      <c r="K455" s="438"/>
      <c r="L455" s="438">
        <v>149.80899999982481</v>
      </c>
      <c r="M455" s="438">
        <v>74.429000000103656</v>
      </c>
      <c r="N455" s="438">
        <v>39.734999999614111</v>
      </c>
      <c r="O455" s="438">
        <f t="shared" ref="O455:O456" si="1210">SUM(L455:N455)</f>
        <v>263.97299999954259</v>
      </c>
      <c r="P455" s="438"/>
      <c r="Q455" s="438">
        <v>158.94899999952207</v>
      </c>
      <c r="R455" s="438">
        <v>78.291999999602538</v>
      </c>
      <c r="S455" s="438">
        <v>38.985999999498169</v>
      </c>
      <c r="T455" s="438">
        <f t="shared" ref="T455:T456" si="1211">SUM(Q455:S455)</f>
        <v>276.22699999862277</v>
      </c>
      <c r="U455" s="438"/>
      <c r="V455" s="438">
        <v>166.65999999974167</v>
      </c>
      <c r="W455" s="438">
        <v>80.586999999805911</v>
      </c>
      <c r="X455" s="438">
        <v>37.218999999585023</v>
      </c>
      <c r="Y455" s="438">
        <f t="shared" ref="Y455:Y456" si="1212">SUM(V455:X455)</f>
        <v>284.46599999913263</v>
      </c>
    </row>
    <row r="456" spans="1:25" x14ac:dyDescent="0.25">
      <c r="A456" s="382" t="s">
        <v>389</v>
      </c>
      <c r="B456" s="438">
        <f>SUM(B454:B455)</f>
        <v>307.06399999807479</v>
      </c>
      <c r="C456" s="438">
        <f t="shared" ref="C456" si="1213">SUM(C454:C455)</f>
        <v>371.8540000009977</v>
      </c>
      <c r="D456" s="438">
        <f t="shared" ref="D456" si="1214">SUM(D454:D455)</f>
        <v>49.225999999914428</v>
      </c>
      <c r="E456" s="438">
        <f t="shared" si="1208"/>
        <v>728.14399999898683</v>
      </c>
      <c r="F456" s="438"/>
      <c r="G456" s="438">
        <f>SUM(G454:G455)</f>
        <v>314.17299999855516</v>
      </c>
      <c r="H456" s="438">
        <f t="shared" ref="H456" si="1215">SUM(H454:H455)</f>
        <v>394.18699999998199</v>
      </c>
      <c r="I456" s="438">
        <f t="shared" ref="I456" si="1216">SUM(I454:I455)</f>
        <v>87.773999999943783</v>
      </c>
      <c r="J456" s="438">
        <f t="shared" si="1209"/>
        <v>796.13399999848093</v>
      </c>
      <c r="K456" s="438"/>
      <c r="L456" s="438">
        <f>SUM(L454:L455)</f>
        <v>351.58199999936994</v>
      </c>
      <c r="M456" s="438">
        <f t="shared" ref="M456" si="1217">SUM(M454:M455)</f>
        <v>409.40700000250104</v>
      </c>
      <c r="N456" s="438">
        <f t="shared" ref="N456" si="1218">SUM(N454:N455)</f>
        <v>86.420000000238929</v>
      </c>
      <c r="O456" s="438">
        <f t="shared" si="1210"/>
        <v>847.40900000210991</v>
      </c>
      <c r="P456" s="438"/>
      <c r="Q456" s="438">
        <f>SUM(Q454:Q455)</f>
        <v>363.969999996995</v>
      </c>
      <c r="R456" s="438">
        <f t="shared" ref="R456" si="1219">SUM(R454:R455)</f>
        <v>428.1579999971766</v>
      </c>
      <c r="S456" s="438">
        <f t="shared" ref="S456" si="1220">SUM(S454:S455)</f>
        <v>87.232000000225554</v>
      </c>
      <c r="T456" s="438">
        <f t="shared" si="1211"/>
        <v>879.35999999439719</v>
      </c>
      <c r="U456" s="438"/>
      <c r="V456" s="438">
        <f>SUM(V454:V455)</f>
        <v>373.03599999850343</v>
      </c>
      <c r="W456" s="438">
        <f t="shared" ref="W456" si="1221">SUM(W454:W455)</f>
        <v>436.37700000038075</v>
      </c>
      <c r="X456" s="438">
        <f t="shared" ref="X456" si="1222">SUM(X454:X455)</f>
        <v>85.440000000369452</v>
      </c>
      <c r="Y456" s="438">
        <f t="shared" si="1212"/>
        <v>894.8529999992536</v>
      </c>
    </row>
    <row r="457" spans="1:25" x14ac:dyDescent="0.25">
      <c r="B457" s="380"/>
      <c r="C457" s="460"/>
      <c r="D457" s="460"/>
      <c r="E457" s="460"/>
      <c r="F457" s="460"/>
      <c r="G457" s="460"/>
      <c r="H457" s="460"/>
      <c r="I457" s="460"/>
      <c r="J457" s="460"/>
      <c r="K457" s="460"/>
      <c r="L457" s="460"/>
      <c r="M457" s="460"/>
      <c r="N457" s="460"/>
      <c r="O457" s="460"/>
      <c r="P457" s="460"/>
      <c r="Q457" s="460"/>
      <c r="R457" s="460"/>
      <c r="S457" s="460"/>
      <c r="T457" s="460"/>
      <c r="U457" s="460"/>
      <c r="V457" s="460"/>
      <c r="W457" s="460"/>
      <c r="X457" s="460"/>
      <c r="Y457" s="460"/>
    </row>
    <row r="458" spans="1:25" x14ac:dyDescent="0.25">
      <c r="A458" s="378" t="str">
        <f>name!A66</f>
        <v>Office administrative</v>
      </c>
      <c r="C458" s="380"/>
      <c r="D458" s="380"/>
      <c r="E458" s="380"/>
      <c r="F458" s="380"/>
      <c r="G458" s="380"/>
      <c r="H458" s="380"/>
      <c r="I458" s="380"/>
      <c r="J458" s="380"/>
      <c r="K458" s="380"/>
      <c r="L458" s="380"/>
      <c r="M458" s="380"/>
      <c r="N458" s="380"/>
      <c r="O458" s="380"/>
      <c r="P458" s="380"/>
      <c r="Q458" s="380"/>
      <c r="R458" s="380"/>
      <c r="S458" s="380"/>
      <c r="T458" s="380"/>
      <c r="U458" s="380"/>
      <c r="V458" s="380"/>
      <c r="W458" s="380"/>
      <c r="X458" s="380"/>
      <c r="Y458" s="380"/>
    </row>
    <row r="459" spans="1:25" x14ac:dyDescent="0.25">
      <c r="A459" s="382" t="s">
        <v>391</v>
      </c>
      <c r="B459" s="437">
        <v>76.482999999212993</v>
      </c>
      <c r="C459" s="437">
        <v>44.826000000129731</v>
      </c>
      <c r="D459" s="437">
        <v>11.234000000079327</v>
      </c>
      <c r="E459" s="437">
        <f>SUM(B459:D459)</f>
        <v>132.54299999942205</v>
      </c>
      <c r="F459" s="437"/>
      <c r="G459" s="437">
        <v>66.195999999573871</v>
      </c>
      <c r="H459" s="437">
        <v>37.311000000080561</v>
      </c>
      <c r="I459" s="437">
        <v>22.313000000147824</v>
      </c>
      <c r="J459" s="437">
        <f>SUM(G459:I459)</f>
        <v>125.81999999980225</v>
      </c>
      <c r="K459" s="437"/>
      <c r="L459" s="437">
        <v>98.632999999872936</v>
      </c>
      <c r="M459" s="437">
        <v>53.765000000405337</v>
      </c>
      <c r="N459" s="437">
        <v>32.879000000686482</v>
      </c>
      <c r="O459" s="437">
        <f>SUM(L459:N459)</f>
        <v>185.27700000096476</v>
      </c>
      <c r="P459" s="437"/>
      <c r="Q459" s="437">
        <v>100.18599999869633</v>
      </c>
      <c r="R459" s="437">
        <v>56.119999999585588</v>
      </c>
      <c r="S459" s="437">
        <v>33.965000000479172</v>
      </c>
      <c r="T459" s="437">
        <f>SUM(Q459:S459)</f>
        <v>190.27099999876108</v>
      </c>
      <c r="U459" s="437"/>
      <c r="V459" s="437">
        <v>100.77899999945177</v>
      </c>
      <c r="W459" s="437">
        <v>57.032000000026827</v>
      </c>
      <c r="X459" s="437">
        <v>33.925000000674807</v>
      </c>
      <c r="Y459" s="437">
        <f>SUM(V459:X459)</f>
        <v>191.73600000015341</v>
      </c>
    </row>
    <row r="460" spans="1:25" x14ac:dyDescent="0.25">
      <c r="A460" s="382" t="s">
        <v>390</v>
      </c>
      <c r="B460" s="438">
        <v>196.71699999947222</v>
      </c>
      <c r="C460" s="438">
        <v>42.798999999681477</v>
      </c>
      <c r="D460" s="438">
        <v>21.781999999838341</v>
      </c>
      <c r="E460" s="438">
        <f t="shared" ref="E460:E461" si="1223">SUM(B460:D460)</f>
        <v>261.29799999899205</v>
      </c>
      <c r="F460" s="438"/>
      <c r="G460" s="438">
        <v>205.19999999926341</v>
      </c>
      <c r="H460" s="438">
        <v>44.423999999568458</v>
      </c>
      <c r="I460" s="438">
        <v>28.92399999980907</v>
      </c>
      <c r="J460" s="438">
        <f t="shared" ref="J460:J461" si="1224">SUM(G460:I460)</f>
        <v>278.54799999864093</v>
      </c>
      <c r="K460" s="438"/>
      <c r="L460" s="438">
        <v>272.21899999992246</v>
      </c>
      <c r="M460" s="438">
        <v>60.09200000007398</v>
      </c>
      <c r="N460" s="438">
        <v>33.945999999628185</v>
      </c>
      <c r="O460" s="438">
        <f t="shared" ref="O460:O461" si="1225">SUM(L460:N460)</f>
        <v>366.25699999962467</v>
      </c>
      <c r="P460" s="438"/>
      <c r="Q460" s="438">
        <v>288.71199999926296</v>
      </c>
      <c r="R460" s="438">
        <v>63.193999999734913</v>
      </c>
      <c r="S460" s="438">
        <v>33.286999999424218</v>
      </c>
      <c r="T460" s="438">
        <f t="shared" ref="T460:T461" si="1226">SUM(Q460:S460)</f>
        <v>385.19299999842207</v>
      </c>
      <c r="U460" s="438"/>
      <c r="V460" s="438">
        <v>302.47199999983781</v>
      </c>
      <c r="W460" s="438">
        <v>65.028999999971319</v>
      </c>
      <c r="X460" s="438">
        <v>31.757999999504843</v>
      </c>
      <c r="Y460" s="438">
        <f t="shared" ref="Y460:Y461" si="1227">SUM(V460:X460)</f>
        <v>399.25899999931391</v>
      </c>
    </row>
    <row r="461" spans="1:25" x14ac:dyDescent="0.25">
      <c r="A461" s="382" t="s">
        <v>389</v>
      </c>
      <c r="B461" s="438">
        <f>SUM(B459:B460)</f>
        <v>273.1999999986852</v>
      </c>
      <c r="C461" s="438">
        <f t="shared" ref="C461" si="1228">SUM(C459:C460)</f>
        <v>87.624999999811209</v>
      </c>
      <c r="D461" s="438">
        <f t="shared" ref="D461" si="1229">SUM(D459:D460)</f>
        <v>33.015999999917668</v>
      </c>
      <c r="E461" s="438">
        <f t="shared" si="1223"/>
        <v>393.84099999841408</v>
      </c>
      <c r="F461" s="438"/>
      <c r="G461" s="438">
        <f>SUM(G459:G460)</f>
        <v>271.39599999883728</v>
      </c>
      <c r="H461" s="438">
        <f t="shared" ref="H461" si="1230">SUM(H459:H460)</f>
        <v>81.73499999964902</v>
      </c>
      <c r="I461" s="438">
        <f t="shared" ref="I461" si="1231">SUM(I459:I460)</f>
        <v>51.236999999956893</v>
      </c>
      <c r="J461" s="438">
        <f t="shared" si="1224"/>
        <v>404.36799999844317</v>
      </c>
      <c r="K461" s="438"/>
      <c r="L461" s="438">
        <f>SUM(L459:L460)</f>
        <v>370.8519999997954</v>
      </c>
      <c r="M461" s="438">
        <f t="shared" ref="M461" si="1232">SUM(M459:M460)</f>
        <v>113.85700000047932</v>
      </c>
      <c r="N461" s="438">
        <f t="shared" ref="N461" si="1233">SUM(N459:N460)</f>
        <v>66.825000000314674</v>
      </c>
      <c r="O461" s="438">
        <f t="shared" si="1225"/>
        <v>551.53400000058946</v>
      </c>
      <c r="P461" s="438"/>
      <c r="Q461" s="438">
        <f>SUM(Q459:Q460)</f>
        <v>388.89799999795929</v>
      </c>
      <c r="R461" s="438">
        <f t="shared" ref="R461" si="1234">SUM(R459:R460)</f>
        <v>119.3139999993205</v>
      </c>
      <c r="S461" s="438">
        <f t="shared" ref="S461" si="1235">SUM(S459:S460)</f>
        <v>67.25199999990339</v>
      </c>
      <c r="T461" s="438">
        <f t="shared" si="1226"/>
        <v>575.46399999718324</v>
      </c>
      <c r="U461" s="438"/>
      <c r="V461" s="438">
        <f>SUM(V459:V460)</f>
        <v>403.25099999928955</v>
      </c>
      <c r="W461" s="438">
        <f t="shared" ref="W461" si="1236">SUM(W459:W460)</f>
        <v>122.06099999999815</v>
      </c>
      <c r="X461" s="438">
        <f t="shared" ref="X461" si="1237">SUM(X459:X460)</f>
        <v>65.683000000179646</v>
      </c>
      <c r="Y461" s="438">
        <f t="shared" si="1227"/>
        <v>590.99499999946727</v>
      </c>
    </row>
    <row r="462" spans="1:25" x14ac:dyDescent="0.25">
      <c r="B462" s="380"/>
      <c r="C462" s="460"/>
      <c r="D462" s="460"/>
      <c r="E462" s="460"/>
      <c r="F462" s="460"/>
      <c r="G462" s="460"/>
      <c r="H462" s="460"/>
      <c r="I462" s="460"/>
      <c r="J462" s="460"/>
      <c r="K462" s="460"/>
      <c r="L462" s="460"/>
      <c r="M462" s="460"/>
      <c r="N462" s="460"/>
      <c r="O462" s="460"/>
      <c r="P462" s="460"/>
      <c r="Q462" s="460"/>
      <c r="R462" s="460"/>
      <c r="S462" s="460"/>
      <c r="T462" s="460"/>
      <c r="U462" s="460"/>
      <c r="V462" s="460"/>
      <c r="W462" s="460"/>
      <c r="X462" s="460"/>
      <c r="Y462" s="460"/>
    </row>
    <row r="463" spans="1:25" x14ac:dyDescent="0.25">
      <c r="A463" s="383" t="s">
        <v>395</v>
      </c>
      <c r="C463" s="380"/>
      <c r="D463" s="380"/>
      <c r="E463" s="380"/>
      <c r="F463" s="380"/>
      <c r="G463" s="380"/>
      <c r="H463" s="380"/>
      <c r="I463" s="380"/>
      <c r="J463" s="380"/>
      <c r="K463" s="380"/>
      <c r="L463" s="380"/>
      <c r="M463" s="380"/>
      <c r="N463" s="380"/>
      <c r="O463" s="380"/>
      <c r="P463" s="380"/>
      <c r="Q463" s="380"/>
      <c r="R463" s="380"/>
      <c r="S463" s="380"/>
      <c r="T463" s="380"/>
      <c r="U463" s="380"/>
      <c r="V463" s="380"/>
      <c r="W463" s="380"/>
      <c r="X463" s="380"/>
      <c r="Y463" s="380"/>
    </row>
    <row r="464" spans="1:25" x14ac:dyDescent="0.25">
      <c r="A464" s="377" t="s">
        <v>391</v>
      </c>
      <c r="B464" s="437">
        <f>SUM(B434,B439,B444,B449,B454,B459)</f>
        <v>602.96599999421278</v>
      </c>
      <c r="C464" s="437">
        <f t="shared" ref="C464:D465" si="1238">SUM(C434,C439,C444,C449,C454,C459)</f>
        <v>477.7740000022178</v>
      </c>
      <c r="D464" s="437">
        <f t="shared" si="1238"/>
        <v>66.044000000517272</v>
      </c>
      <c r="E464" s="437">
        <f>SUM(B464:D464)</f>
        <v>1146.7839999969478</v>
      </c>
      <c r="F464" s="437"/>
      <c r="G464" s="437">
        <f>SUM(G434,G439,G444,G449,G454,G459)</f>
        <v>500.50599999675438</v>
      </c>
      <c r="H464" s="437">
        <f t="shared" ref="H464:I464" si="1239">SUM(H434,H439,H444,H449,H454,H459)</f>
        <v>492.32600000064662</v>
      </c>
      <c r="I464" s="437">
        <f t="shared" si="1239"/>
        <v>131.02500000103683</v>
      </c>
      <c r="J464" s="437">
        <f>SUM(G464:I464)</f>
        <v>1123.8569999984379</v>
      </c>
      <c r="K464" s="437"/>
      <c r="L464" s="437">
        <f>SUM(L434,L439,L444,L449,L454,L459)</f>
        <v>621.18599999834282</v>
      </c>
      <c r="M464" s="437">
        <f t="shared" ref="M464:N464" si="1240">SUM(M434,M439,M444,M449,M454,M459)</f>
        <v>555.22600000438365</v>
      </c>
      <c r="N464" s="437">
        <f t="shared" si="1240"/>
        <v>162.00100000277777</v>
      </c>
      <c r="O464" s="437">
        <f>SUM(L464:N464)</f>
        <v>1338.4130000055043</v>
      </c>
      <c r="P464" s="437"/>
      <c r="Q464" s="437">
        <f>SUM(Q434,Q439,Q444,Q449,Q454,Q459)</f>
        <v>631.13699999208598</v>
      </c>
      <c r="R464" s="437">
        <f t="shared" ref="R464:S464" si="1241">SUM(R434,R439,R444,R449,R454,R459)</f>
        <v>579.81999999620484</v>
      </c>
      <c r="S464" s="437">
        <f t="shared" si="1241"/>
        <v>167.406000002665</v>
      </c>
      <c r="T464" s="437">
        <f>SUM(Q464:S464)</f>
        <v>1378.3629999909558</v>
      </c>
      <c r="U464" s="437"/>
      <c r="V464" s="437">
        <f>SUM(V434,V439,V444,V449,V454,V459)</f>
        <v>635.27699999604408</v>
      </c>
      <c r="W464" s="437">
        <f t="shared" ref="W464:X464" si="1242">SUM(W434,W439,W444,W449,W454,W459)</f>
        <v>589.56000000103836</v>
      </c>
      <c r="X464" s="437">
        <f t="shared" si="1242"/>
        <v>167.2770000030508</v>
      </c>
      <c r="Y464" s="437">
        <f>SUM(V464:X464)</f>
        <v>1392.114000000133</v>
      </c>
    </row>
    <row r="465" spans="1:25" x14ac:dyDescent="0.25">
      <c r="A465" s="377" t="s">
        <v>390</v>
      </c>
      <c r="B465" s="437">
        <f>SUM(B435,B440,B445,B450,B455,B460)</f>
        <v>1003.5159999971063</v>
      </c>
      <c r="C465" s="437">
        <f t="shared" si="1238"/>
        <v>258.73999999819051</v>
      </c>
      <c r="D465" s="437">
        <f t="shared" si="1238"/>
        <v>136.96199999886869</v>
      </c>
      <c r="E465" s="437">
        <f t="shared" ref="E465:E466" si="1243">SUM(B465:D465)</f>
        <v>1399.2179999941654</v>
      </c>
      <c r="F465" s="437"/>
      <c r="G465" s="437">
        <f>SUM(G435,G440,G445,G450,G455,G460)</f>
        <v>975.93099999618221</v>
      </c>
      <c r="H465" s="437">
        <f t="shared" ref="H465:I465" si="1244">SUM(H435,H440,H445,H450,H455,H460)</f>
        <v>326.06999999747904</v>
      </c>
      <c r="I465" s="437">
        <f t="shared" si="1244"/>
        <v>188.04499999901867</v>
      </c>
      <c r="J465" s="437">
        <f t="shared" ref="J465:J466" si="1245">SUM(G465:I465)</f>
        <v>1490.04599999268</v>
      </c>
      <c r="K465" s="437"/>
      <c r="L465" s="437">
        <f>SUM(L435,L440,L445,L450,L455,L460)</f>
        <v>1107.4819999991287</v>
      </c>
      <c r="M465" s="437">
        <f t="shared" ref="M465:N465" si="1246">SUM(M435,M440,M445,M450,M455,M460)</f>
        <v>367.19400000061034</v>
      </c>
      <c r="N465" s="437">
        <f t="shared" si="1246"/>
        <v>183.99599999807103</v>
      </c>
      <c r="O465" s="437">
        <f t="shared" ref="O465:O466" si="1247">SUM(L465:N465)</f>
        <v>1658.67199999781</v>
      </c>
      <c r="P465" s="437"/>
      <c r="Q465" s="437">
        <f>SUM(Q435,Q440,Q445,Q450,Q455,Q460)</f>
        <v>1174.967999996632</v>
      </c>
      <c r="R465" s="437">
        <f t="shared" ref="R465:S465" si="1248">SUM(R435,R440,R445,R450,R455,R460)</f>
        <v>386.32599999808701</v>
      </c>
      <c r="S465" s="437">
        <f t="shared" si="1248"/>
        <v>180.48699999691158</v>
      </c>
      <c r="T465" s="437">
        <f t="shared" ref="T465:T466" si="1249">SUM(Q465:S465)</f>
        <v>1741.7809999916306</v>
      </c>
      <c r="U465" s="437"/>
      <c r="V465" s="437">
        <f>SUM(V435,V440,V445,V450,V455,V460)</f>
        <v>1231.6199999988314</v>
      </c>
      <c r="W465" s="437">
        <f t="shared" ref="W465:X465" si="1250">SUM(W435,W440,W445,W450,W455,W460)</f>
        <v>397.73199999925862</v>
      </c>
      <c r="X465" s="437">
        <f t="shared" si="1250"/>
        <v>172.27499999724395</v>
      </c>
      <c r="Y465" s="437">
        <f t="shared" ref="Y465:Y466" si="1251">SUM(V465:X465)</f>
        <v>1801.6269999953338</v>
      </c>
    </row>
    <row r="466" spans="1:25" x14ac:dyDescent="0.25">
      <c r="A466" s="381" t="s">
        <v>389</v>
      </c>
      <c r="B466" s="439">
        <f>SUM(B464:B465)</f>
        <v>1606.4819999913191</v>
      </c>
      <c r="C466" s="439">
        <f t="shared" ref="C466" si="1252">SUM(C464:C465)</f>
        <v>736.51400000040826</v>
      </c>
      <c r="D466" s="439">
        <f t="shared" ref="D466" si="1253">SUM(D464:D465)</f>
        <v>203.00599999938595</v>
      </c>
      <c r="E466" s="439">
        <f t="shared" si="1243"/>
        <v>2546.0019999911133</v>
      </c>
      <c r="F466" s="439"/>
      <c r="G466" s="439">
        <f>SUM(G464:G465)</f>
        <v>1476.4369999929365</v>
      </c>
      <c r="H466" s="439">
        <f t="shared" ref="H466" si="1254">SUM(H464:H465)</f>
        <v>818.39599999812572</v>
      </c>
      <c r="I466" s="439">
        <f t="shared" ref="I466" si="1255">SUM(I464:I465)</f>
        <v>319.07000000005553</v>
      </c>
      <c r="J466" s="439">
        <f t="shared" si="1245"/>
        <v>2613.9029999911177</v>
      </c>
      <c r="K466" s="439"/>
      <c r="L466" s="439">
        <f>SUM(L464:L465)</f>
        <v>1728.6679999974715</v>
      </c>
      <c r="M466" s="439">
        <f t="shared" ref="M466" si="1256">SUM(M464:M465)</f>
        <v>922.42000000499399</v>
      </c>
      <c r="N466" s="439">
        <f t="shared" ref="N466" si="1257">SUM(N464:N465)</f>
        <v>345.9970000008488</v>
      </c>
      <c r="O466" s="439">
        <f t="shared" si="1247"/>
        <v>2997.0850000033142</v>
      </c>
      <c r="P466" s="439"/>
      <c r="Q466" s="439">
        <f>SUM(Q464:Q465)</f>
        <v>1806.104999988718</v>
      </c>
      <c r="R466" s="439">
        <f t="shared" ref="R466" si="1258">SUM(R464:R465)</f>
        <v>966.14599999429186</v>
      </c>
      <c r="S466" s="439">
        <f t="shared" ref="S466" si="1259">SUM(S464:S465)</f>
        <v>347.89299999957655</v>
      </c>
      <c r="T466" s="439">
        <f t="shared" si="1249"/>
        <v>3120.1439999825866</v>
      </c>
      <c r="U466" s="439"/>
      <c r="V466" s="439">
        <f>SUM(V464:V465)</f>
        <v>1866.8969999948754</v>
      </c>
      <c r="W466" s="439">
        <f t="shared" ref="W466" si="1260">SUM(W464:W465)</f>
        <v>987.29200000029698</v>
      </c>
      <c r="X466" s="439">
        <f t="shared" ref="X466" si="1261">SUM(X464:X465)</f>
        <v>339.55200000029475</v>
      </c>
      <c r="Y466" s="439">
        <f t="shared" si="1251"/>
        <v>3193.7409999954671</v>
      </c>
    </row>
    <row r="467" spans="1:25" x14ac:dyDescent="0.25">
      <c r="C467" s="453"/>
    </row>
    <row r="468" spans="1:25" x14ac:dyDescent="0.25">
      <c r="A468" s="383"/>
    </row>
    <row r="469" spans="1:25" x14ac:dyDescent="0.25">
      <c r="C469" s="453"/>
    </row>
    <row r="470" spans="1:25" ht="13.8" x14ac:dyDescent="0.25">
      <c r="A470" s="385" t="str">
        <f>"Industry 18 : "&amp; name!B21</f>
        <v>Industry 18 : Public admin. and defence</v>
      </c>
      <c r="B470" s="514">
        <f>$B$5</f>
        <v>2007</v>
      </c>
      <c r="C470" s="514"/>
      <c r="D470" s="514"/>
      <c r="E470" s="514"/>
      <c r="F470" s="461"/>
      <c r="G470" s="514">
        <f>$G$5</f>
        <v>2012</v>
      </c>
      <c r="H470" s="514"/>
      <c r="I470" s="514"/>
      <c r="J470" s="514"/>
      <c r="K470" s="461"/>
      <c r="L470" s="514">
        <f>$L$5</f>
        <v>2017</v>
      </c>
      <c r="M470" s="514"/>
      <c r="N470" s="514"/>
      <c r="O470" s="514"/>
      <c r="P470" s="459"/>
      <c r="Q470" s="514">
        <f>$Q$5</f>
        <v>2022</v>
      </c>
      <c r="R470" s="514"/>
      <c r="S470" s="514"/>
      <c r="T470" s="514"/>
      <c r="U470" s="461"/>
      <c r="V470" s="514">
        <f>$V$5</f>
        <v>2027</v>
      </c>
      <c r="W470" s="514"/>
      <c r="X470" s="514"/>
      <c r="Y470" s="514"/>
    </row>
    <row r="471" spans="1:25" x14ac:dyDescent="0.25">
      <c r="A471" s="381"/>
      <c r="B471" s="388" t="str">
        <f>$B$6</f>
        <v>FT</v>
      </c>
      <c r="C471" s="388" t="str">
        <f>$C$6</f>
        <v>PT</v>
      </c>
      <c r="D471" s="388" t="str">
        <f>$D$6</f>
        <v>SE</v>
      </c>
      <c r="E471" s="388" t="str">
        <f>$E$6</f>
        <v>Total</v>
      </c>
      <c r="F471" s="388"/>
      <c r="G471" s="388" t="str">
        <f>$B$6</f>
        <v>FT</v>
      </c>
      <c r="H471" s="388" t="str">
        <f>$C$6</f>
        <v>PT</v>
      </c>
      <c r="I471" s="388" t="str">
        <f>$D$6</f>
        <v>SE</v>
      </c>
      <c r="J471" s="388" t="str">
        <f>$E$6</f>
        <v>Total</v>
      </c>
      <c r="K471" s="388"/>
      <c r="L471" s="388" t="str">
        <f>$L$6</f>
        <v>FT</v>
      </c>
      <c r="M471" s="388" t="str">
        <f>$M$6</f>
        <v>PT</v>
      </c>
      <c r="N471" s="388" t="str">
        <f>$N$6</f>
        <v>SE</v>
      </c>
      <c r="O471" s="388" t="str">
        <f>$O$6</f>
        <v>Total</v>
      </c>
      <c r="P471" s="388"/>
      <c r="Q471" s="388" t="str">
        <f>$L$6</f>
        <v>FT</v>
      </c>
      <c r="R471" s="388" t="str">
        <f>$M$6</f>
        <v>PT</v>
      </c>
      <c r="S471" s="388" t="str">
        <f>$N$6</f>
        <v>SE</v>
      </c>
      <c r="T471" s="388" t="str">
        <f>$O$6</f>
        <v>Total</v>
      </c>
      <c r="U471" s="388"/>
      <c r="V471" s="388" t="str">
        <f>$V$6</f>
        <v>FT</v>
      </c>
      <c r="W471" s="388" t="str">
        <f>$W$6</f>
        <v>PT</v>
      </c>
      <c r="X471" s="388" t="str">
        <f>$X$6</f>
        <v>SE</v>
      </c>
      <c r="Y471" s="388" t="str">
        <f>$Y$6</f>
        <v>Total</v>
      </c>
    </row>
    <row r="472" spans="1:25" x14ac:dyDescent="0.25">
      <c r="A472" s="384"/>
      <c r="B472" s="380"/>
      <c r="C472" s="460"/>
      <c r="D472" s="460"/>
      <c r="E472" s="460"/>
      <c r="F472" s="460"/>
      <c r="G472" s="460"/>
      <c r="H472" s="460"/>
      <c r="I472" s="460"/>
      <c r="J472" s="460"/>
      <c r="K472" s="460"/>
      <c r="L472" s="460"/>
      <c r="M472" s="460"/>
      <c r="N472" s="460"/>
      <c r="O472" s="460"/>
      <c r="P472" s="460"/>
      <c r="Q472" s="460"/>
      <c r="R472" s="460"/>
      <c r="S472" s="460"/>
      <c r="T472" s="460"/>
      <c r="U472" s="460"/>
      <c r="V472" s="460"/>
      <c r="W472" s="460"/>
      <c r="X472" s="460"/>
      <c r="Y472" s="460"/>
    </row>
    <row r="473" spans="1:25" x14ac:dyDescent="0.25">
      <c r="A473" s="378" t="str">
        <f>name!A67</f>
        <v>Public administration and defence</v>
      </c>
      <c r="C473" s="380"/>
      <c r="D473" s="380"/>
      <c r="E473" s="380"/>
      <c r="F473" s="380"/>
      <c r="G473" s="380"/>
      <c r="H473" s="380"/>
      <c r="I473" s="380"/>
      <c r="J473" s="380"/>
      <c r="K473" s="380"/>
      <c r="L473" s="380"/>
      <c r="M473" s="380"/>
      <c r="N473" s="380"/>
      <c r="O473" s="380"/>
      <c r="P473" s="380"/>
      <c r="Q473" s="380"/>
      <c r="R473" s="380"/>
      <c r="S473" s="380"/>
      <c r="T473" s="380"/>
      <c r="U473" s="380"/>
      <c r="V473" s="380"/>
      <c r="W473" s="380"/>
      <c r="X473" s="380"/>
      <c r="Y473" s="380"/>
    </row>
    <row r="474" spans="1:25" x14ac:dyDescent="0.25">
      <c r="A474" s="382" t="s">
        <v>391</v>
      </c>
      <c r="B474" s="437">
        <v>546.99999999950921</v>
      </c>
      <c r="C474" s="437">
        <v>276.99999999856681</v>
      </c>
      <c r="D474" s="437">
        <v>11.999999999843869</v>
      </c>
      <c r="E474" s="437">
        <f>SUM(B474:D474)</f>
        <v>835.99999999791987</v>
      </c>
      <c r="F474" s="437"/>
      <c r="G474" s="437">
        <v>417.96999999953454</v>
      </c>
      <c r="H474" s="437">
        <v>353.97499999787254</v>
      </c>
      <c r="I474" s="437">
        <v>14.004999999813339</v>
      </c>
      <c r="J474" s="437">
        <f>SUM(G474:I474)</f>
        <v>785.9499999972204</v>
      </c>
      <c r="K474" s="437"/>
      <c r="L474" s="437">
        <v>395.01299999774346</v>
      </c>
      <c r="M474" s="437">
        <v>326.01299999789632</v>
      </c>
      <c r="N474" s="437">
        <v>29.998999999674545</v>
      </c>
      <c r="O474" s="437">
        <f>SUM(L474:N474)</f>
        <v>751.02499999531426</v>
      </c>
      <c r="P474" s="437"/>
      <c r="Q474" s="437">
        <v>386.01000000224474</v>
      </c>
      <c r="R474" s="437">
        <v>342.17200000019113</v>
      </c>
      <c r="S474" s="437">
        <v>29.190000000282563</v>
      </c>
      <c r="T474" s="437">
        <f>SUM(Q474:S474)</f>
        <v>757.37200000271844</v>
      </c>
      <c r="U474" s="437"/>
      <c r="V474" s="437">
        <v>388.87300000008503</v>
      </c>
      <c r="W474" s="437">
        <v>366.64999999969683</v>
      </c>
      <c r="X474" s="437">
        <v>29.291999999984011</v>
      </c>
      <c r="Y474" s="437">
        <f>SUM(V474:X474)</f>
        <v>784.81499999976586</v>
      </c>
    </row>
    <row r="475" spans="1:25" x14ac:dyDescent="0.25">
      <c r="A475" s="382" t="s">
        <v>390</v>
      </c>
      <c r="B475" s="438">
        <v>650.00000000098146</v>
      </c>
      <c r="C475" s="438">
        <v>68.999000000548747</v>
      </c>
      <c r="D475" s="438">
        <v>17.000999999729107</v>
      </c>
      <c r="E475" s="438">
        <f t="shared" ref="E475:E476" si="1262">SUM(B475:D475)</f>
        <v>736.00000000125931</v>
      </c>
      <c r="F475" s="438"/>
      <c r="G475" s="438">
        <v>518.07900000175869</v>
      </c>
      <c r="H475" s="438">
        <v>67.879000000411736</v>
      </c>
      <c r="I475" s="438">
        <v>18.004000000034196</v>
      </c>
      <c r="J475" s="438">
        <f t="shared" ref="J475:J476" si="1263">SUM(G475:I475)</f>
        <v>603.9620000022046</v>
      </c>
      <c r="K475" s="438"/>
      <c r="L475" s="438">
        <v>489.01599999846604</v>
      </c>
      <c r="M475" s="438">
        <v>64.00600000024788</v>
      </c>
      <c r="N475" s="438">
        <v>26.000999999685572</v>
      </c>
      <c r="O475" s="438">
        <f t="shared" ref="O475:O476" si="1264">SUM(L475:N475)</f>
        <v>579.02299999839943</v>
      </c>
      <c r="P475" s="438"/>
      <c r="Q475" s="438">
        <v>454.895000001124</v>
      </c>
      <c r="R475" s="438">
        <v>67.801000000043672</v>
      </c>
      <c r="S475" s="438">
        <v>26.774999999599149</v>
      </c>
      <c r="T475" s="438">
        <f t="shared" ref="T475:T476" si="1265">SUM(Q475:S475)</f>
        <v>549.47100000076682</v>
      </c>
      <c r="U475" s="438"/>
      <c r="V475" s="438">
        <v>436.90000000031597</v>
      </c>
      <c r="W475" s="438">
        <v>73.190999999955721</v>
      </c>
      <c r="X475" s="438">
        <v>28.246999999656051</v>
      </c>
      <c r="Y475" s="438">
        <f t="shared" ref="Y475:Y476" si="1266">SUM(V475:X475)</f>
        <v>538.33799999992777</v>
      </c>
    </row>
    <row r="476" spans="1:25" x14ac:dyDescent="0.25">
      <c r="A476" s="381" t="s">
        <v>389</v>
      </c>
      <c r="B476" s="439">
        <f>SUM(B474:B475)</f>
        <v>1197.0000000004907</v>
      </c>
      <c r="C476" s="439">
        <f t="shared" ref="C476" si="1267">SUM(C474:C475)</f>
        <v>345.99899999911554</v>
      </c>
      <c r="D476" s="439">
        <f t="shared" ref="D476" si="1268">SUM(D474:D475)</f>
        <v>29.000999999572976</v>
      </c>
      <c r="E476" s="439">
        <f t="shared" si="1262"/>
        <v>1571.9999999991792</v>
      </c>
      <c r="F476" s="439"/>
      <c r="G476" s="439">
        <f>SUM(G474:G475)</f>
        <v>936.04900000129328</v>
      </c>
      <c r="H476" s="439">
        <f t="shared" ref="H476" si="1269">SUM(H474:H475)</f>
        <v>421.85399999828428</v>
      </c>
      <c r="I476" s="439">
        <f t="shared" ref="I476" si="1270">SUM(I474:I475)</f>
        <v>32.008999999847532</v>
      </c>
      <c r="J476" s="439">
        <f t="shared" si="1263"/>
        <v>1389.911999999425</v>
      </c>
      <c r="K476" s="439"/>
      <c r="L476" s="439">
        <f>SUM(L474:L475)</f>
        <v>884.02899999620945</v>
      </c>
      <c r="M476" s="439">
        <f t="shared" ref="M476" si="1271">SUM(M474:M475)</f>
        <v>390.01899999814418</v>
      </c>
      <c r="N476" s="439">
        <f t="shared" ref="N476" si="1272">SUM(N474:N475)</f>
        <v>55.999999999360114</v>
      </c>
      <c r="O476" s="439">
        <f t="shared" si="1264"/>
        <v>1330.0479999937138</v>
      </c>
      <c r="P476" s="439"/>
      <c r="Q476" s="439">
        <f>SUM(Q474:Q475)</f>
        <v>840.90500000336874</v>
      </c>
      <c r="R476" s="439">
        <f t="shared" ref="R476" si="1273">SUM(R474:R475)</f>
        <v>409.97300000023483</v>
      </c>
      <c r="S476" s="439">
        <f t="shared" ref="S476" si="1274">SUM(S474:S475)</f>
        <v>55.964999999881712</v>
      </c>
      <c r="T476" s="439">
        <f t="shared" si="1265"/>
        <v>1306.8430000034853</v>
      </c>
      <c r="U476" s="439"/>
      <c r="V476" s="439">
        <f>SUM(V474:V475)</f>
        <v>825.773000000401</v>
      </c>
      <c r="W476" s="439">
        <f t="shared" ref="W476" si="1275">SUM(W474:W475)</f>
        <v>439.84099999965258</v>
      </c>
      <c r="X476" s="439">
        <f t="shared" ref="X476" si="1276">SUM(X474:X475)</f>
        <v>57.538999999640062</v>
      </c>
      <c r="Y476" s="439">
        <f t="shared" si="1266"/>
        <v>1323.1529999996937</v>
      </c>
    </row>
    <row r="480" spans="1:25" ht="13.8" x14ac:dyDescent="0.25">
      <c r="A480" s="385" t="str">
        <f>"Industry 19 : "&amp; name!B22</f>
        <v>Industry 19 : Education</v>
      </c>
      <c r="B480" s="514">
        <f>$B$5</f>
        <v>2007</v>
      </c>
      <c r="C480" s="514"/>
      <c r="D480" s="514"/>
      <c r="E480" s="514"/>
      <c r="F480" s="461"/>
      <c r="G480" s="514">
        <f>$G$5</f>
        <v>2012</v>
      </c>
      <c r="H480" s="514"/>
      <c r="I480" s="514"/>
      <c r="J480" s="514"/>
      <c r="K480" s="461"/>
      <c r="L480" s="514">
        <f>$L$5</f>
        <v>2017</v>
      </c>
      <c r="M480" s="514"/>
      <c r="N480" s="514"/>
      <c r="O480" s="514"/>
      <c r="P480" s="459"/>
      <c r="Q480" s="514">
        <f>$Q$5</f>
        <v>2022</v>
      </c>
      <c r="R480" s="514"/>
      <c r="S480" s="514"/>
      <c r="T480" s="514"/>
      <c r="U480" s="461"/>
      <c r="V480" s="514">
        <f>$V$5</f>
        <v>2027</v>
      </c>
      <c r="W480" s="514"/>
      <c r="X480" s="514"/>
      <c r="Y480" s="514"/>
    </row>
    <row r="481" spans="1:25" x14ac:dyDescent="0.25">
      <c r="A481" s="381"/>
      <c r="B481" s="388" t="str">
        <f>$B$6</f>
        <v>FT</v>
      </c>
      <c r="C481" s="388" t="str">
        <f>$C$6</f>
        <v>PT</v>
      </c>
      <c r="D481" s="388" t="str">
        <f>$D$6</f>
        <v>SE</v>
      </c>
      <c r="E481" s="388" t="str">
        <f>$E$6</f>
        <v>Total</v>
      </c>
      <c r="F481" s="388"/>
      <c r="G481" s="388" t="str">
        <f>$B$6</f>
        <v>FT</v>
      </c>
      <c r="H481" s="388" t="str">
        <f>$C$6</f>
        <v>PT</v>
      </c>
      <c r="I481" s="388" t="str">
        <f>$D$6</f>
        <v>SE</v>
      </c>
      <c r="J481" s="388" t="str">
        <f>$E$6</f>
        <v>Total</v>
      </c>
      <c r="K481" s="388"/>
      <c r="L481" s="388" t="str">
        <f>$L$6</f>
        <v>FT</v>
      </c>
      <c r="M481" s="388" t="str">
        <f>$M$6</f>
        <v>PT</v>
      </c>
      <c r="N481" s="388" t="str">
        <f>$N$6</f>
        <v>SE</v>
      </c>
      <c r="O481" s="388" t="str">
        <f>$O$6</f>
        <v>Total</v>
      </c>
      <c r="P481" s="388"/>
      <c r="Q481" s="388" t="str">
        <f>$L$6</f>
        <v>FT</v>
      </c>
      <c r="R481" s="388" t="str">
        <f>$M$6</f>
        <v>PT</v>
      </c>
      <c r="S481" s="388" t="str">
        <f>$N$6</f>
        <v>SE</v>
      </c>
      <c r="T481" s="388" t="str">
        <f>$O$6</f>
        <v>Total</v>
      </c>
      <c r="U481" s="388"/>
      <c r="V481" s="388" t="str">
        <f>$V$6</f>
        <v>FT</v>
      </c>
      <c r="W481" s="388" t="str">
        <f>$W$6</f>
        <v>PT</v>
      </c>
      <c r="X481" s="388" t="str">
        <f>$X$6</f>
        <v>SE</v>
      </c>
      <c r="Y481" s="388" t="str">
        <f>$Y$6</f>
        <v>Total</v>
      </c>
    </row>
    <row r="482" spans="1:25" x14ac:dyDescent="0.25">
      <c r="B482" s="380"/>
      <c r="C482" s="460"/>
      <c r="D482" s="460"/>
      <c r="E482" s="460"/>
      <c r="F482" s="460"/>
      <c r="G482" s="460"/>
      <c r="H482" s="460"/>
      <c r="I482" s="460"/>
      <c r="J482" s="460"/>
      <c r="K482" s="460"/>
      <c r="L482" s="460"/>
      <c r="M482" s="460"/>
      <c r="N482" s="460"/>
      <c r="O482" s="460"/>
      <c r="P482" s="460"/>
      <c r="Q482" s="460"/>
      <c r="R482" s="460"/>
      <c r="S482" s="460"/>
      <c r="T482" s="460"/>
      <c r="U482" s="460"/>
      <c r="V482" s="460"/>
      <c r="W482" s="460"/>
      <c r="X482" s="460"/>
      <c r="Y482" s="460"/>
    </row>
    <row r="483" spans="1:25" x14ac:dyDescent="0.25">
      <c r="A483" s="378" t="str">
        <f>name!A68</f>
        <v xml:space="preserve">Education </v>
      </c>
      <c r="C483" s="380"/>
      <c r="D483" s="380"/>
      <c r="E483" s="380"/>
      <c r="F483" s="380"/>
      <c r="G483" s="380"/>
      <c r="H483" s="380"/>
      <c r="I483" s="380"/>
      <c r="J483" s="380"/>
      <c r="K483" s="380"/>
      <c r="L483" s="380"/>
      <c r="M483" s="380"/>
      <c r="N483" s="380"/>
      <c r="O483" s="380"/>
      <c r="P483" s="380"/>
      <c r="Q483" s="380"/>
      <c r="R483" s="380"/>
      <c r="S483" s="380"/>
      <c r="T483" s="380"/>
      <c r="U483" s="380"/>
      <c r="V483" s="380"/>
      <c r="W483" s="380"/>
      <c r="X483" s="380"/>
      <c r="Y483" s="380"/>
    </row>
    <row r="484" spans="1:25" x14ac:dyDescent="0.25">
      <c r="A484" s="382" t="s">
        <v>391</v>
      </c>
      <c r="B484" s="437">
        <v>779.99900004370318</v>
      </c>
      <c r="C484" s="437">
        <v>1004.9999999796844</v>
      </c>
      <c r="D484" s="437">
        <v>68.999999999911239</v>
      </c>
      <c r="E484" s="437">
        <f>SUM(B484:D484)</f>
        <v>1853.9990000232988</v>
      </c>
      <c r="F484" s="437"/>
      <c r="G484" s="437">
        <v>795.94300003772639</v>
      </c>
      <c r="H484" s="437">
        <v>985.92999997439722</v>
      </c>
      <c r="I484" s="437">
        <v>135.03200000034727</v>
      </c>
      <c r="J484" s="437">
        <f>SUM(G484:I484)</f>
        <v>1916.905000012471</v>
      </c>
      <c r="K484" s="437"/>
      <c r="L484" s="437">
        <v>862.02900002955084</v>
      </c>
      <c r="M484" s="437">
        <v>1021.0339999524648</v>
      </c>
      <c r="N484" s="437">
        <v>162.99999999848339</v>
      </c>
      <c r="O484" s="437">
        <f>SUM(L484:N484)</f>
        <v>2046.0629999804992</v>
      </c>
      <c r="P484" s="437"/>
      <c r="Q484" s="437">
        <v>841.32300006602691</v>
      </c>
      <c r="R484" s="437">
        <v>1044.5999999776643</v>
      </c>
      <c r="S484" s="437">
        <v>146.70800000247775</v>
      </c>
      <c r="T484" s="437">
        <f>SUM(Q484:S484)</f>
        <v>2032.631000046169</v>
      </c>
      <c r="U484" s="437"/>
      <c r="V484" s="437">
        <v>846.76300003984659</v>
      </c>
      <c r="W484" s="437">
        <v>1094.1089999640108</v>
      </c>
      <c r="X484" s="437">
        <v>136.65400000028987</v>
      </c>
      <c r="Y484" s="437">
        <f>SUM(V484:X484)</f>
        <v>2077.5260000041471</v>
      </c>
    </row>
    <row r="485" spans="1:25" x14ac:dyDescent="0.25">
      <c r="A485" s="382" t="s">
        <v>390</v>
      </c>
      <c r="B485" s="438">
        <v>456.99900002031683</v>
      </c>
      <c r="C485" s="438">
        <v>207.00000001002837</v>
      </c>
      <c r="D485" s="438">
        <v>72.999999999680142</v>
      </c>
      <c r="E485" s="438">
        <f t="shared" ref="E485" si="1277">SUM(B485:D485)</f>
        <v>736.9990000300254</v>
      </c>
      <c r="F485" s="438"/>
      <c r="G485" s="438">
        <v>554.95900003523593</v>
      </c>
      <c r="H485" s="438">
        <v>200.98700001097382</v>
      </c>
      <c r="I485" s="438">
        <v>92.01900000332418</v>
      </c>
      <c r="J485" s="438">
        <f t="shared" ref="J485:J486" si="1278">SUM(G485:I485)</f>
        <v>847.96500004953396</v>
      </c>
      <c r="K485" s="438"/>
      <c r="L485" s="438">
        <v>574.01900002885384</v>
      </c>
      <c r="M485" s="438">
        <v>221.00700000730978</v>
      </c>
      <c r="N485" s="438">
        <v>85.000000002624375</v>
      </c>
      <c r="O485" s="438">
        <f t="shared" ref="O485:O486" si="1279">SUM(L485:N485)</f>
        <v>880.02600003878797</v>
      </c>
      <c r="P485" s="438"/>
      <c r="Q485" s="438">
        <v>525.44900003228565</v>
      </c>
      <c r="R485" s="438">
        <v>242.61000001220506</v>
      </c>
      <c r="S485" s="438">
        <v>87.460999999090831</v>
      </c>
      <c r="T485" s="438">
        <f t="shared" ref="T485:T486" si="1280">SUM(Q485:S485)</f>
        <v>855.5200000435816</v>
      </c>
      <c r="U485" s="438"/>
      <c r="V485" s="438">
        <v>497.92600002293148</v>
      </c>
      <c r="W485" s="438">
        <v>268.10300001370342</v>
      </c>
      <c r="X485" s="438">
        <v>92.028999998131994</v>
      </c>
      <c r="Y485" s="438">
        <f t="shared" ref="Y485:Y486" si="1281">SUM(V485:X485)</f>
        <v>858.05800003476691</v>
      </c>
    </row>
    <row r="486" spans="1:25" x14ac:dyDescent="0.25">
      <c r="A486" s="381" t="s">
        <v>389</v>
      </c>
      <c r="B486" s="439">
        <f>SUM(B484:B485)</f>
        <v>1236.9980000640201</v>
      </c>
      <c r="C486" s="439">
        <f t="shared" ref="C486" si="1282">SUM(C484:C485)</f>
        <v>1211.9999999897127</v>
      </c>
      <c r="D486" s="439">
        <f t="shared" ref="D486" si="1283">SUM(D484:D485)</f>
        <v>141.99999999959138</v>
      </c>
      <c r="E486" s="439">
        <f>SUM(B486:D486)</f>
        <v>2590.9980000533237</v>
      </c>
      <c r="F486" s="439"/>
      <c r="G486" s="439">
        <f>SUM(G484:G485)</f>
        <v>1350.9020000729624</v>
      </c>
      <c r="H486" s="439">
        <f t="shared" ref="H486" si="1284">SUM(H484:H485)</f>
        <v>1186.9169999853711</v>
      </c>
      <c r="I486" s="439">
        <f t="shared" ref="I486" si="1285">SUM(I484:I485)</f>
        <v>227.05100000367145</v>
      </c>
      <c r="J486" s="439">
        <f t="shared" si="1278"/>
        <v>2764.8700000620051</v>
      </c>
      <c r="K486" s="439"/>
      <c r="L486" s="439">
        <f>SUM(L484:L485)</f>
        <v>1436.0480000584048</v>
      </c>
      <c r="M486" s="439">
        <f t="shared" ref="M486" si="1286">SUM(M484:M485)</f>
        <v>1242.0409999597746</v>
      </c>
      <c r="N486" s="439">
        <f t="shared" ref="N486" si="1287">SUM(N484:N485)</f>
        <v>248.00000000110776</v>
      </c>
      <c r="O486" s="439">
        <f t="shared" si="1279"/>
        <v>2926.0890000192871</v>
      </c>
      <c r="P486" s="439"/>
      <c r="Q486" s="439">
        <f>SUM(Q484:Q485)</f>
        <v>1366.7720000983127</v>
      </c>
      <c r="R486" s="439">
        <f t="shared" ref="R486" si="1288">SUM(R484:R485)</f>
        <v>1287.2099999898694</v>
      </c>
      <c r="S486" s="439">
        <f t="shared" ref="S486" si="1289">SUM(S484:S485)</f>
        <v>234.16900000156858</v>
      </c>
      <c r="T486" s="439">
        <f t="shared" si="1280"/>
        <v>2888.1510000897506</v>
      </c>
      <c r="U486" s="439"/>
      <c r="V486" s="439">
        <f>SUM(V484:V485)</f>
        <v>1344.6890000627782</v>
      </c>
      <c r="W486" s="439">
        <f t="shared" ref="W486" si="1290">SUM(W484:W485)</f>
        <v>1362.2119999777142</v>
      </c>
      <c r="X486" s="439">
        <f t="shared" ref="X486" si="1291">SUM(X484:X485)</f>
        <v>228.68299999842185</v>
      </c>
      <c r="Y486" s="439">
        <f t="shared" si="1281"/>
        <v>2935.5840000389144</v>
      </c>
    </row>
    <row r="490" spans="1:25" ht="13.8" x14ac:dyDescent="0.25">
      <c r="A490" s="385" t="str">
        <f>"Industry 20 : "&amp; name!B23</f>
        <v>Industry 20 : Health and social work</v>
      </c>
      <c r="B490" s="514">
        <f>$B$5</f>
        <v>2007</v>
      </c>
      <c r="C490" s="514"/>
      <c r="D490" s="514"/>
      <c r="E490" s="514"/>
      <c r="F490" s="461"/>
      <c r="G490" s="514">
        <f>$G$5</f>
        <v>2012</v>
      </c>
      <c r="H490" s="514"/>
      <c r="I490" s="514"/>
      <c r="J490" s="514"/>
      <c r="K490" s="461"/>
      <c r="L490" s="514">
        <f>$L$5</f>
        <v>2017</v>
      </c>
      <c r="M490" s="514"/>
      <c r="N490" s="514"/>
      <c r="O490" s="514"/>
      <c r="P490" s="459"/>
      <c r="Q490" s="514">
        <f>$Q$5</f>
        <v>2022</v>
      </c>
      <c r="R490" s="514"/>
      <c r="S490" s="514"/>
      <c r="T490" s="514"/>
      <c r="U490" s="461"/>
      <c r="V490" s="514">
        <f>$V$5</f>
        <v>2027</v>
      </c>
      <c r="W490" s="514"/>
      <c r="X490" s="514"/>
      <c r="Y490" s="514"/>
    </row>
    <row r="491" spans="1:25" x14ac:dyDescent="0.25">
      <c r="A491" s="381"/>
      <c r="B491" s="388" t="str">
        <f>$B$6</f>
        <v>FT</v>
      </c>
      <c r="C491" s="388" t="str">
        <f>$C$6</f>
        <v>PT</v>
      </c>
      <c r="D491" s="388" t="str">
        <f>$D$6</f>
        <v>SE</v>
      </c>
      <c r="E491" s="388" t="str">
        <f>$E$6</f>
        <v>Total</v>
      </c>
      <c r="F491" s="388"/>
      <c r="G491" s="388" t="str">
        <f>$B$6</f>
        <v>FT</v>
      </c>
      <c r="H491" s="388" t="str">
        <f>$C$6</f>
        <v>PT</v>
      </c>
      <c r="I491" s="388" t="str">
        <f>$D$6</f>
        <v>SE</v>
      </c>
      <c r="J491" s="388" t="str">
        <f>$E$6</f>
        <v>Total</v>
      </c>
      <c r="K491" s="388"/>
      <c r="L491" s="388" t="str">
        <f>$L$6</f>
        <v>FT</v>
      </c>
      <c r="M491" s="388" t="str">
        <f>$M$6</f>
        <v>PT</v>
      </c>
      <c r="N491" s="388" t="str">
        <f>$N$6</f>
        <v>SE</v>
      </c>
      <c r="O491" s="388" t="str">
        <f>$O$6</f>
        <v>Total</v>
      </c>
      <c r="P491" s="388"/>
      <c r="Q491" s="388" t="str">
        <f>$L$6</f>
        <v>FT</v>
      </c>
      <c r="R491" s="388" t="str">
        <f>$M$6</f>
        <v>PT</v>
      </c>
      <c r="S491" s="388" t="str">
        <f>$N$6</f>
        <v>SE</v>
      </c>
      <c r="T491" s="388" t="str">
        <f>$O$6</f>
        <v>Total</v>
      </c>
      <c r="U491" s="388"/>
      <c r="V491" s="388" t="str">
        <f>$V$6</f>
        <v>FT</v>
      </c>
      <c r="W491" s="388" t="str">
        <f>$W$6</f>
        <v>PT</v>
      </c>
      <c r="X491" s="388" t="str">
        <f>$X$6</f>
        <v>SE</v>
      </c>
      <c r="Y491" s="388" t="str">
        <f>$Y$6</f>
        <v>Total</v>
      </c>
    </row>
    <row r="492" spans="1:25" x14ac:dyDescent="0.25">
      <c r="B492" s="380"/>
      <c r="C492" s="460"/>
      <c r="D492" s="460"/>
      <c r="E492" s="460"/>
      <c r="F492" s="460"/>
      <c r="G492" s="460"/>
      <c r="H492" s="460"/>
      <c r="I492" s="460"/>
      <c r="J492" s="460"/>
      <c r="K492" s="460"/>
      <c r="L492" s="460"/>
      <c r="M492" s="460"/>
      <c r="N492" s="460"/>
      <c r="O492" s="460"/>
      <c r="P492" s="460"/>
      <c r="Q492" s="460"/>
      <c r="R492" s="460"/>
      <c r="S492" s="460"/>
      <c r="T492" s="460"/>
      <c r="U492" s="460"/>
      <c r="V492" s="460"/>
      <c r="W492" s="460"/>
      <c r="X492" s="460"/>
      <c r="Y492" s="460"/>
    </row>
    <row r="493" spans="1:25" x14ac:dyDescent="0.25">
      <c r="A493" s="378" t="str">
        <f>name!A69</f>
        <v>Health</v>
      </c>
      <c r="C493" s="380"/>
      <c r="D493" s="380"/>
      <c r="E493" s="380"/>
      <c r="F493" s="380"/>
      <c r="G493" s="380"/>
      <c r="H493" s="380"/>
      <c r="I493" s="380"/>
      <c r="J493" s="380"/>
      <c r="K493" s="380"/>
      <c r="L493" s="380"/>
      <c r="M493" s="380"/>
      <c r="N493" s="380"/>
      <c r="O493" s="380"/>
      <c r="P493" s="380"/>
      <c r="Q493" s="380"/>
      <c r="R493" s="380"/>
      <c r="S493" s="380"/>
      <c r="T493" s="380"/>
      <c r="U493" s="380"/>
      <c r="V493" s="380"/>
      <c r="W493" s="380"/>
      <c r="X493" s="380"/>
      <c r="Y493" s="380"/>
    </row>
    <row r="494" spans="1:25" x14ac:dyDescent="0.25">
      <c r="A494" s="382" t="s">
        <v>391</v>
      </c>
      <c r="B494" s="437">
        <v>771.00000000200407</v>
      </c>
      <c r="C494" s="437">
        <v>737.9989999895264</v>
      </c>
      <c r="D494" s="437">
        <v>75.998999995915824</v>
      </c>
      <c r="E494" s="437">
        <f>SUM(B494:D494)</f>
        <v>1584.9979999874463</v>
      </c>
      <c r="F494" s="437"/>
      <c r="G494" s="437">
        <v>864.93800000152157</v>
      </c>
      <c r="H494" s="437">
        <v>757.94499998955337</v>
      </c>
      <c r="I494" s="437">
        <v>101.02299999337585</v>
      </c>
      <c r="J494" s="437">
        <f>SUM(G494:I494)</f>
        <v>1723.9059999844508</v>
      </c>
      <c r="K494" s="437"/>
      <c r="L494" s="437">
        <v>1002.0319999981324</v>
      </c>
      <c r="M494" s="437">
        <v>880.02799998341982</v>
      </c>
      <c r="N494" s="437">
        <v>124.99799999083271</v>
      </c>
      <c r="O494" s="437">
        <f>SUM(L494:N494)</f>
        <v>2007.057999972385</v>
      </c>
      <c r="P494" s="437"/>
      <c r="Q494" s="437">
        <v>1042.2490000059029</v>
      </c>
      <c r="R494" s="437">
        <v>914.33499998923276</v>
      </c>
      <c r="S494" s="437">
        <v>123.08899999179818</v>
      </c>
      <c r="T494" s="437">
        <f>SUM(Q494:S494)</f>
        <v>2079.672999986934</v>
      </c>
      <c r="U494" s="437"/>
      <c r="V494" s="437">
        <v>1085.8500000039</v>
      </c>
      <c r="W494" s="437">
        <v>951.68699998827037</v>
      </c>
      <c r="X494" s="437">
        <v>122.11999999271433</v>
      </c>
      <c r="Y494" s="437">
        <f>SUM(V494:X494)</f>
        <v>2159.6569999848848</v>
      </c>
    </row>
    <row r="495" spans="1:25" x14ac:dyDescent="0.25">
      <c r="A495" s="382" t="s">
        <v>390</v>
      </c>
      <c r="B495" s="438">
        <v>289.74000000069435</v>
      </c>
      <c r="C495" s="438">
        <v>103.26400000083763</v>
      </c>
      <c r="D495" s="438">
        <v>67.998999996346015</v>
      </c>
      <c r="E495" s="438">
        <f t="shared" ref="E495:E496" si="1292">SUM(B495:D495)</f>
        <v>461.00299999787796</v>
      </c>
      <c r="F495" s="438"/>
      <c r="G495" s="438">
        <v>347.97600000374143</v>
      </c>
      <c r="H495" s="438">
        <v>83.996000000538302</v>
      </c>
      <c r="I495" s="438">
        <v>70.016999998633821</v>
      </c>
      <c r="J495" s="438">
        <f t="shared" ref="J495:J496" si="1293">SUM(G495:I495)</f>
        <v>501.98900000291354</v>
      </c>
      <c r="K495" s="438"/>
      <c r="L495" s="438">
        <v>403.01300000082915</v>
      </c>
      <c r="M495" s="438">
        <v>106.00400000027936</v>
      </c>
      <c r="N495" s="438">
        <v>72.99999999716718</v>
      </c>
      <c r="O495" s="438">
        <f t="shared" ref="O495:O496" si="1294">SUM(L495:N495)</f>
        <v>582.01699999827565</v>
      </c>
      <c r="P495" s="438"/>
      <c r="Q495" s="438">
        <v>415.99500000386416</v>
      </c>
      <c r="R495" s="438">
        <v>120.45200000033053</v>
      </c>
      <c r="S495" s="438">
        <v>73.044999996631446</v>
      </c>
      <c r="T495" s="438">
        <f t="shared" ref="T495:T496" si="1295">SUM(Q495:S495)</f>
        <v>609.49200000082612</v>
      </c>
      <c r="U495" s="438"/>
      <c r="V495" s="438">
        <v>430.5730000030963</v>
      </c>
      <c r="W495" s="438">
        <v>134.50100000028084</v>
      </c>
      <c r="X495" s="438">
        <v>73.553999997265322</v>
      </c>
      <c r="Y495" s="438">
        <f t="shared" ref="Y495:Y496" si="1296">SUM(V495:X495)</f>
        <v>638.62800000064249</v>
      </c>
    </row>
    <row r="496" spans="1:25" x14ac:dyDescent="0.25">
      <c r="A496" s="382" t="s">
        <v>389</v>
      </c>
      <c r="B496" s="438">
        <f>SUM(B494:B495)</f>
        <v>1060.7400000026985</v>
      </c>
      <c r="C496" s="438">
        <f t="shared" ref="C496" si="1297">SUM(C494:C495)</f>
        <v>841.26299999036405</v>
      </c>
      <c r="D496" s="438">
        <f t="shared" ref="D496" si="1298">SUM(D494:D495)</f>
        <v>143.99799999226184</v>
      </c>
      <c r="E496" s="438">
        <f t="shared" si="1292"/>
        <v>2046.0009999853244</v>
      </c>
      <c r="F496" s="438"/>
      <c r="G496" s="438">
        <f>SUM(G494:G495)</f>
        <v>1212.914000005263</v>
      </c>
      <c r="H496" s="438">
        <f t="shared" ref="H496" si="1299">SUM(H494:H495)</f>
        <v>841.94099999009165</v>
      </c>
      <c r="I496" s="438">
        <f t="shared" ref="I496" si="1300">SUM(I494:I495)</f>
        <v>171.03999999200965</v>
      </c>
      <c r="J496" s="438">
        <f t="shared" si="1293"/>
        <v>2225.8949999873644</v>
      </c>
      <c r="K496" s="438"/>
      <c r="L496" s="438">
        <f>SUM(L494:L495)</f>
        <v>1405.0449999989614</v>
      </c>
      <c r="M496" s="438">
        <f t="shared" ref="M496" si="1301">SUM(M494:M495)</f>
        <v>986.03199998369917</v>
      </c>
      <c r="N496" s="438">
        <f t="shared" ref="N496" si="1302">SUM(N494:N495)</f>
        <v>197.99799998799989</v>
      </c>
      <c r="O496" s="438">
        <f t="shared" si="1294"/>
        <v>2589.0749999706604</v>
      </c>
      <c r="P496" s="438"/>
      <c r="Q496" s="438">
        <f>SUM(Q494:Q495)</f>
        <v>1458.244000009767</v>
      </c>
      <c r="R496" s="438">
        <f t="shared" ref="R496" si="1303">SUM(R494:R495)</f>
        <v>1034.7869999895634</v>
      </c>
      <c r="S496" s="438">
        <f t="shared" ref="S496" si="1304">SUM(S494:S495)</f>
        <v>196.13399998842962</v>
      </c>
      <c r="T496" s="438">
        <f t="shared" si="1295"/>
        <v>2689.16499998776</v>
      </c>
      <c r="U496" s="438"/>
      <c r="V496" s="438">
        <f>SUM(V494:V495)</f>
        <v>1516.4230000069963</v>
      </c>
      <c r="W496" s="438">
        <f t="shared" ref="W496" si="1305">SUM(W494:W495)</f>
        <v>1086.1879999885512</v>
      </c>
      <c r="X496" s="438">
        <f t="shared" ref="X496" si="1306">SUM(X494:X495)</f>
        <v>195.67399998997965</v>
      </c>
      <c r="Y496" s="438">
        <f t="shared" si="1296"/>
        <v>2798.2849999855271</v>
      </c>
    </row>
    <row r="497" spans="1:25" x14ac:dyDescent="0.25">
      <c r="B497" s="380"/>
      <c r="C497" s="460"/>
      <c r="D497" s="460"/>
      <c r="E497" s="460"/>
      <c r="F497" s="460"/>
      <c r="G497" s="460"/>
      <c r="H497" s="460"/>
      <c r="I497" s="460"/>
      <c r="J497" s="460"/>
      <c r="K497" s="460"/>
      <c r="L497" s="460"/>
      <c r="M497" s="460"/>
      <c r="N497" s="460"/>
      <c r="O497" s="460"/>
      <c r="P497" s="460"/>
      <c r="Q497" s="460"/>
      <c r="R497" s="460"/>
      <c r="S497" s="460"/>
      <c r="T497" s="460"/>
      <c r="U497" s="460"/>
      <c r="V497" s="460"/>
      <c r="W497" s="460"/>
      <c r="X497" s="460"/>
      <c r="Y497" s="460"/>
    </row>
    <row r="498" spans="1:25" x14ac:dyDescent="0.25">
      <c r="A498" s="378" t="str">
        <f>name!A70</f>
        <v>Residential care</v>
      </c>
      <c r="C498" s="380"/>
      <c r="D498" s="380"/>
      <c r="E498" s="380"/>
      <c r="F498" s="380"/>
      <c r="G498" s="380"/>
      <c r="H498" s="380"/>
      <c r="I498" s="380"/>
      <c r="J498" s="380"/>
      <c r="K498" s="380"/>
      <c r="L498" s="380"/>
      <c r="M498" s="380"/>
      <c r="N498" s="380"/>
      <c r="O498" s="380"/>
      <c r="P498" s="380"/>
      <c r="Q498" s="380"/>
      <c r="R498" s="380"/>
      <c r="S498" s="380"/>
      <c r="T498" s="380"/>
      <c r="U498" s="380"/>
      <c r="V498" s="380"/>
      <c r="W498" s="380"/>
      <c r="X498" s="380"/>
      <c r="Y498" s="380"/>
    </row>
    <row r="499" spans="1:25" x14ac:dyDescent="0.25">
      <c r="A499" s="382" t="s">
        <v>391</v>
      </c>
      <c r="B499" s="437">
        <v>258.12100000091903</v>
      </c>
      <c r="C499" s="437">
        <v>262.40499999623148</v>
      </c>
      <c r="D499" s="437">
        <v>46.440999997571048</v>
      </c>
      <c r="E499" s="437">
        <f>SUM(B499:D499)</f>
        <v>566.9669999947215</v>
      </c>
      <c r="F499" s="437"/>
      <c r="G499" s="437">
        <v>283.98800000034015</v>
      </c>
      <c r="H499" s="437">
        <v>268.63999999627475</v>
      </c>
      <c r="I499" s="437">
        <v>51.078999996671193</v>
      </c>
      <c r="J499" s="437">
        <f>SUM(G499:I499)</f>
        <v>603.7069999932861</v>
      </c>
      <c r="K499" s="437"/>
      <c r="L499" s="437">
        <v>322.06699999957129</v>
      </c>
      <c r="M499" s="437">
        <v>242.73199999540773</v>
      </c>
      <c r="N499" s="437">
        <v>49.299999996447099</v>
      </c>
      <c r="O499" s="437">
        <f>SUM(L499:N499)</f>
        <v>614.09899999142613</v>
      </c>
      <c r="P499" s="437"/>
      <c r="Q499" s="437">
        <v>338.47000000203849</v>
      </c>
      <c r="R499" s="437">
        <v>264.92499999683503</v>
      </c>
      <c r="S499" s="437">
        <v>50.572999996669004</v>
      </c>
      <c r="T499" s="437">
        <f>SUM(Q499:S499)</f>
        <v>653.96799999554253</v>
      </c>
      <c r="U499" s="437"/>
      <c r="V499" s="437">
        <v>352.99500000127449</v>
      </c>
      <c r="W499" s="437">
        <v>285.21999999637615</v>
      </c>
      <c r="X499" s="437">
        <v>51.47399999696578</v>
      </c>
      <c r="Y499" s="437">
        <f>SUM(V499:X499)</f>
        <v>689.68899999461644</v>
      </c>
    </row>
    <row r="500" spans="1:25" x14ac:dyDescent="0.25">
      <c r="A500" s="382" t="s">
        <v>390</v>
      </c>
      <c r="B500" s="438">
        <v>87.18400000007037</v>
      </c>
      <c r="C500" s="438">
        <v>41.16800000034047</v>
      </c>
      <c r="D500" s="438">
        <v>5.4359999996947792</v>
      </c>
      <c r="E500" s="438">
        <f t="shared" ref="E500:E501" si="1307">SUM(B500:D500)</f>
        <v>133.78800000010563</v>
      </c>
      <c r="F500" s="438"/>
      <c r="G500" s="438">
        <v>104.33900000078194</v>
      </c>
      <c r="H500" s="438">
        <v>44.84000000027202</v>
      </c>
      <c r="I500" s="438">
        <v>7.5539999998322225</v>
      </c>
      <c r="J500" s="438">
        <f t="shared" ref="J500:J501" si="1308">SUM(G500:I500)</f>
        <v>156.73300000088619</v>
      </c>
      <c r="K500" s="438"/>
      <c r="L500" s="438">
        <v>110.12500000024689</v>
      </c>
      <c r="M500" s="438">
        <v>44.914000000122506</v>
      </c>
      <c r="N500" s="438">
        <v>9.0619999996378784</v>
      </c>
      <c r="O500" s="438">
        <f t="shared" ref="O500:O501" si="1309">SUM(L500:N500)</f>
        <v>164.10100000000728</v>
      </c>
      <c r="P500" s="438"/>
      <c r="Q500" s="438">
        <v>111.18300000110735</v>
      </c>
      <c r="R500" s="438">
        <v>51.485000000130363</v>
      </c>
      <c r="S500" s="438">
        <v>9.5119999996040985</v>
      </c>
      <c r="T500" s="438">
        <f t="shared" ref="T500:T501" si="1310">SUM(Q500:S500)</f>
        <v>172.1800000008418</v>
      </c>
      <c r="U500" s="438"/>
      <c r="V500" s="438">
        <v>111.69100000087134</v>
      </c>
      <c r="W500" s="438">
        <v>57.647000000106665</v>
      </c>
      <c r="X500" s="438">
        <v>9.9229999996761133</v>
      </c>
      <c r="Y500" s="438">
        <f t="shared" ref="Y500:Y501" si="1311">SUM(V500:X500)</f>
        <v>179.26100000065412</v>
      </c>
    </row>
    <row r="501" spans="1:25" x14ac:dyDescent="0.25">
      <c r="A501" s="382" t="s">
        <v>389</v>
      </c>
      <c r="B501" s="438">
        <f>SUM(B499:B500)</f>
        <v>345.30500000098937</v>
      </c>
      <c r="C501" s="438">
        <f t="shared" ref="C501" si="1312">SUM(C499:C500)</f>
        <v>303.57299999657198</v>
      </c>
      <c r="D501" s="438">
        <f t="shared" ref="D501" si="1313">SUM(D499:D500)</f>
        <v>51.876999997265827</v>
      </c>
      <c r="E501" s="438">
        <f t="shared" si="1307"/>
        <v>700.75499999482713</v>
      </c>
      <c r="F501" s="438"/>
      <c r="G501" s="438">
        <f>SUM(G499:G500)</f>
        <v>388.32700000112209</v>
      </c>
      <c r="H501" s="438">
        <f t="shared" ref="H501" si="1314">SUM(H499:H500)</f>
        <v>313.47999999654678</v>
      </c>
      <c r="I501" s="438">
        <f t="shared" ref="I501" si="1315">SUM(I499:I500)</f>
        <v>58.632999996503415</v>
      </c>
      <c r="J501" s="438">
        <f t="shared" si="1308"/>
        <v>760.43999999417224</v>
      </c>
      <c r="K501" s="438"/>
      <c r="L501" s="438">
        <f>SUM(L499:L500)</f>
        <v>432.19199999981817</v>
      </c>
      <c r="M501" s="438">
        <f t="shared" ref="M501" si="1316">SUM(M499:M500)</f>
        <v>287.64599999553025</v>
      </c>
      <c r="N501" s="438">
        <f t="shared" ref="N501" si="1317">SUM(N499:N500)</f>
        <v>58.361999996084975</v>
      </c>
      <c r="O501" s="438">
        <f t="shared" si="1309"/>
        <v>778.19999999143329</v>
      </c>
      <c r="P501" s="438"/>
      <c r="Q501" s="438">
        <f>SUM(Q499:Q500)</f>
        <v>449.65300000314585</v>
      </c>
      <c r="R501" s="438">
        <f t="shared" ref="R501" si="1318">SUM(R499:R500)</f>
        <v>316.40999999696538</v>
      </c>
      <c r="S501" s="438">
        <f t="shared" ref="S501" si="1319">SUM(S499:S500)</f>
        <v>60.084999996273105</v>
      </c>
      <c r="T501" s="438">
        <f t="shared" si="1310"/>
        <v>826.14799999638444</v>
      </c>
      <c r="U501" s="438"/>
      <c r="V501" s="438">
        <f>SUM(V499:V500)</f>
        <v>464.68600000214582</v>
      </c>
      <c r="W501" s="438">
        <f t="shared" ref="W501" si="1320">SUM(W499:W500)</f>
        <v>342.86699999648283</v>
      </c>
      <c r="X501" s="438">
        <f t="shared" ref="X501" si="1321">SUM(X499:X500)</f>
        <v>61.396999996641895</v>
      </c>
      <c r="Y501" s="438">
        <f t="shared" si="1311"/>
        <v>868.94999999527045</v>
      </c>
    </row>
    <row r="502" spans="1:25" x14ac:dyDescent="0.25">
      <c r="B502" s="380"/>
      <c r="C502" s="460"/>
      <c r="D502" s="460"/>
      <c r="E502" s="460"/>
      <c r="F502" s="460"/>
      <c r="G502" s="460"/>
      <c r="H502" s="460"/>
      <c r="I502" s="460"/>
      <c r="J502" s="460"/>
      <c r="K502" s="460"/>
      <c r="L502" s="460"/>
      <c r="M502" s="460"/>
      <c r="N502" s="460"/>
      <c r="O502" s="460"/>
      <c r="P502" s="460"/>
      <c r="Q502" s="460"/>
      <c r="R502" s="460"/>
      <c r="S502" s="460"/>
      <c r="T502" s="460"/>
      <c r="U502" s="460"/>
      <c r="V502" s="460"/>
      <c r="W502" s="460"/>
      <c r="X502" s="460"/>
      <c r="Y502" s="460"/>
    </row>
    <row r="503" spans="1:25" x14ac:dyDescent="0.25">
      <c r="A503" s="378" t="str">
        <f>name!A71</f>
        <v>Social work</v>
      </c>
      <c r="C503" s="380"/>
      <c r="D503" s="380"/>
      <c r="E503" s="380"/>
      <c r="F503" s="380"/>
      <c r="G503" s="380"/>
      <c r="H503" s="380"/>
      <c r="I503" s="380"/>
      <c r="J503" s="380"/>
      <c r="K503" s="380"/>
      <c r="L503" s="380"/>
      <c r="M503" s="380"/>
      <c r="N503" s="380"/>
      <c r="O503" s="380"/>
      <c r="P503" s="380"/>
      <c r="Q503" s="380"/>
      <c r="R503" s="380"/>
      <c r="S503" s="380"/>
      <c r="T503" s="380"/>
      <c r="U503" s="380"/>
      <c r="V503" s="380"/>
      <c r="W503" s="380"/>
      <c r="X503" s="380"/>
      <c r="Y503" s="380"/>
    </row>
    <row r="504" spans="1:25" x14ac:dyDescent="0.25">
      <c r="A504" s="377" t="s">
        <v>391</v>
      </c>
      <c r="B504" s="437">
        <v>287.5000000006105</v>
      </c>
      <c r="C504" s="437">
        <v>356.16499999487348</v>
      </c>
      <c r="D504" s="437">
        <v>52.559999997209573</v>
      </c>
      <c r="E504" s="437">
        <f>SUM(B504:D504)</f>
        <v>696.2249999926936</v>
      </c>
      <c r="F504" s="437"/>
      <c r="G504" s="437">
        <v>344.96500000057648</v>
      </c>
      <c r="H504" s="437">
        <v>392.30999999458123</v>
      </c>
      <c r="I504" s="437">
        <v>64.946999995802258</v>
      </c>
      <c r="J504" s="437">
        <f>SUM(G504:I504)</f>
        <v>802.22199999095994</v>
      </c>
      <c r="K504" s="437"/>
      <c r="L504" s="437">
        <v>375.06199999922609</v>
      </c>
      <c r="M504" s="437">
        <v>372.39499999289393</v>
      </c>
      <c r="N504" s="437">
        <v>63.37399999538161</v>
      </c>
      <c r="O504" s="437">
        <f>SUM(L504:N504)</f>
        <v>810.83099998750163</v>
      </c>
      <c r="P504" s="437"/>
      <c r="Q504" s="437">
        <v>394.65000000222307</v>
      </c>
      <c r="R504" s="437">
        <v>406.28799999521567</v>
      </c>
      <c r="S504" s="437">
        <v>65.026999995678139</v>
      </c>
      <c r="T504" s="437">
        <f>SUM(Q504:S504)</f>
        <v>865.96499999311686</v>
      </c>
      <c r="U504" s="437"/>
      <c r="V504" s="437">
        <v>412.46400000132502</v>
      </c>
      <c r="W504" s="437">
        <v>437.85899999465329</v>
      </c>
      <c r="X504" s="437">
        <v>66.224999996051224</v>
      </c>
      <c r="Y504" s="437">
        <f>SUM(V504:X504)</f>
        <v>916.54799999202953</v>
      </c>
    </row>
    <row r="505" spans="1:25" x14ac:dyDescent="0.25">
      <c r="A505" s="377" t="s">
        <v>390</v>
      </c>
      <c r="B505" s="438">
        <v>99.355000000196597</v>
      </c>
      <c r="C505" s="438">
        <v>48.102000000395535</v>
      </c>
      <c r="D505" s="438">
        <v>6.5639999996469918</v>
      </c>
      <c r="E505" s="438">
        <f t="shared" ref="E505:E506" si="1322">SUM(B505:D505)</f>
        <v>154.02100000023913</v>
      </c>
      <c r="F505" s="438"/>
      <c r="G505" s="438">
        <v>129.64400000135032</v>
      </c>
      <c r="H505" s="438">
        <v>57.154000000358273</v>
      </c>
      <c r="I505" s="438">
        <v>9.4529999998454617</v>
      </c>
      <c r="J505" s="438">
        <f t="shared" ref="J505:J506" si="1323">SUM(G505:I505)</f>
        <v>196.25100000155408</v>
      </c>
      <c r="K505" s="438"/>
      <c r="L505" s="438">
        <v>128.74200000010296</v>
      </c>
      <c r="M505" s="438">
        <v>62.019000000169711</v>
      </c>
      <c r="N505" s="438">
        <v>12.258999999472175</v>
      </c>
      <c r="O505" s="438">
        <f t="shared" ref="O505:O506" si="1324">SUM(L505:N505)</f>
        <v>203.01999999974484</v>
      </c>
      <c r="P505" s="438"/>
      <c r="Q505" s="438">
        <v>130.24400000111743</v>
      </c>
      <c r="R505" s="438">
        <v>71.080000000190466</v>
      </c>
      <c r="S505" s="438">
        <v>12.879999999409719</v>
      </c>
      <c r="T505" s="438">
        <f t="shared" ref="T505:T506" si="1325">SUM(Q505:S505)</f>
        <v>214.2040000007176</v>
      </c>
      <c r="U505" s="438"/>
      <c r="V505" s="438">
        <v>131.15100000084664</v>
      </c>
      <c r="W505" s="438">
        <v>79.632000000164766</v>
      </c>
      <c r="X505" s="438">
        <v>13.455999999492732</v>
      </c>
      <c r="Y505" s="438">
        <f t="shared" ref="Y505:Y506" si="1326">SUM(V505:X505)</f>
        <v>224.23900000050412</v>
      </c>
    </row>
    <row r="506" spans="1:25" x14ac:dyDescent="0.25">
      <c r="A506" s="377" t="s">
        <v>389</v>
      </c>
      <c r="B506" s="438">
        <f>SUM(B504:B505)</f>
        <v>386.85500000080708</v>
      </c>
      <c r="C506" s="438">
        <f t="shared" ref="C506" si="1327">SUM(C504:C505)</f>
        <v>404.26699999526903</v>
      </c>
      <c r="D506" s="438">
        <f t="shared" ref="D506" si="1328">SUM(D504:D505)</f>
        <v>59.123999996856568</v>
      </c>
      <c r="E506" s="438">
        <f t="shared" si="1322"/>
        <v>850.24599999293264</v>
      </c>
      <c r="F506" s="438"/>
      <c r="G506" s="438">
        <f>SUM(G504:G505)</f>
        <v>474.6090000019268</v>
      </c>
      <c r="H506" s="438">
        <f t="shared" ref="H506" si="1329">SUM(H504:H505)</f>
        <v>449.46399999493951</v>
      </c>
      <c r="I506" s="438">
        <f t="shared" ref="I506" si="1330">SUM(I504:I505)</f>
        <v>74.399999995647718</v>
      </c>
      <c r="J506" s="438">
        <f t="shared" si="1323"/>
        <v>998.47299999251402</v>
      </c>
      <c r="K506" s="438"/>
      <c r="L506" s="438">
        <f>SUM(L504:L505)</f>
        <v>503.80399999932905</v>
      </c>
      <c r="M506" s="438">
        <f t="shared" ref="M506" si="1331">SUM(M504:M505)</f>
        <v>434.41399999306361</v>
      </c>
      <c r="N506" s="438">
        <f t="shared" ref="N506" si="1332">SUM(N504:N505)</f>
        <v>75.63299999485379</v>
      </c>
      <c r="O506" s="438">
        <f t="shared" si="1324"/>
        <v>1013.8509999872464</v>
      </c>
      <c r="P506" s="438"/>
      <c r="Q506" s="438">
        <f>SUM(Q504:Q505)</f>
        <v>524.89400000334047</v>
      </c>
      <c r="R506" s="438">
        <f t="shared" ref="R506" si="1333">SUM(R504:R505)</f>
        <v>477.36799999540614</v>
      </c>
      <c r="S506" s="438">
        <f t="shared" ref="S506" si="1334">SUM(S504:S505)</f>
        <v>77.906999995087858</v>
      </c>
      <c r="T506" s="438">
        <f t="shared" si="1325"/>
        <v>1080.1689999938344</v>
      </c>
      <c r="U506" s="438"/>
      <c r="V506" s="438">
        <f>SUM(V504:V505)</f>
        <v>543.61500000217166</v>
      </c>
      <c r="W506" s="438">
        <f t="shared" ref="W506" si="1335">SUM(W504:W505)</f>
        <v>517.49099999481803</v>
      </c>
      <c r="X506" s="438">
        <f t="shared" ref="X506" si="1336">SUM(X504:X505)</f>
        <v>79.680999995543957</v>
      </c>
      <c r="Y506" s="438">
        <f t="shared" si="1326"/>
        <v>1140.7869999925338</v>
      </c>
    </row>
    <row r="507" spans="1:25" x14ac:dyDescent="0.25">
      <c r="C507" s="453"/>
    </row>
    <row r="508" spans="1:25" x14ac:dyDescent="0.25">
      <c r="A508" s="383" t="s">
        <v>394</v>
      </c>
      <c r="C508" s="453"/>
    </row>
    <row r="509" spans="1:25" x14ac:dyDescent="0.25">
      <c r="A509" s="377" t="s">
        <v>391</v>
      </c>
      <c r="B509" s="437">
        <f>SUM(B494,B499,B504)</f>
        <v>1316.6210000035337</v>
      </c>
      <c r="C509" s="437">
        <f t="shared" ref="C509:D509" si="1337">SUM(C494,C499,C504)</f>
        <v>1356.5689999806314</v>
      </c>
      <c r="D509" s="437">
        <f t="shared" si="1337"/>
        <v>174.99999999069644</v>
      </c>
      <c r="E509" s="437">
        <f>SUM(B509:D509)</f>
        <v>2848.1899999748616</v>
      </c>
      <c r="F509" s="437"/>
      <c r="G509" s="437">
        <f>SUM(G494,G499,G504)</f>
        <v>1493.8910000024382</v>
      </c>
      <c r="H509" s="437">
        <f t="shared" ref="H509:I509" si="1338">SUM(H494,H499,H504)</f>
        <v>1418.8949999804092</v>
      </c>
      <c r="I509" s="437">
        <f t="shared" si="1338"/>
        <v>217.04899998584929</v>
      </c>
      <c r="J509" s="437">
        <f>SUM(G509:I509)</f>
        <v>3129.8349999686966</v>
      </c>
      <c r="K509" s="437"/>
      <c r="L509" s="437">
        <f>SUM(L494,L499,L504)</f>
        <v>1699.1609999969298</v>
      </c>
      <c r="M509" s="437">
        <f t="shared" ref="M509:N509" si="1339">SUM(M494,M499,M504)</f>
        <v>1495.1549999717215</v>
      </c>
      <c r="N509" s="437">
        <f t="shared" si="1339"/>
        <v>237.67199998266142</v>
      </c>
      <c r="O509" s="437">
        <f>SUM(L509:N509)</f>
        <v>3431.9879999513128</v>
      </c>
      <c r="P509" s="437"/>
      <c r="Q509" s="437">
        <f>SUM(Q494,Q499,Q504)</f>
        <v>1775.3690000101644</v>
      </c>
      <c r="R509" s="437">
        <f t="shared" ref="R509:S509" si="1340">SUM(R494,R499,R504)</f>
        <v>1585.5479999812833</v>
      </c>
      <c r="S509" s="437">
        <f t="shared" si="1340"/>
        <v>238.68899998414531</v>
      </c>
      <c r="T509" s="437">
        <f>SUM(Q509:S509)</f>
        <v>3599.6059999755926</v>
      </c>
      <c r="U509" s="437"/>
      <c r="V509" s="437">
        <f>SUM(V494,V499,V504)</f>
        <v>1851.3090000064997</v>
      </c>
      <c r="W509" s="437">
        <f t="shared" ref="W509:X509" si="1341">SUM(W494,W499,W504)</f>
        <v>1674.7659999792997</v>
      </c>
      <c r="X509" s="437">
        <f t="shared" si="1341"/>
        <v>239.81899998573132</v>
      </c>
      <c r="Y509" s="437">
        <f>SUM(V509:X509)</f>
        <v>3765.8939999715308</v>
      </c>
    </row>
    <row r="510" spans="1:25" x14ac:dyDescent="0.25">
      <c r="A510" s="377" t="s">
        <v>390</v>
      </c>
      <c r="B510" s="437">
        <f>SUM(B495,B500,B505)</f>
        <v>476.27900000096133</v>
      </c>
      <c r="C510" s="437">
        <f t="shared" ref="C510:D510" si="1342">SUM(C495,C500,C505)</f>
        <v>192.53400000157365</v>
      </c>
      <c r="D510" s="437">
        <f t="shared" si="1342"/>
        <v>79.998999995687797</v>
      </c>
      <c r="E510" s="437">
        <f t="shared" ref="E510:E511" si="1343">SUM(B510:D510)</f>
        <v>748.81199999822275</v>
      </c>
      <c r="F510" s="437"/>
      <c r="G510" s="437">
        <f>SUM(G495,G500,G505)</f>
        <v>581.95900000587369</v>
      </c>
      <c r="H510" s="437">
        <f t="shared" ref="H510:I510" si="1344">SUM(H495,H500,H505)</f>
        <v>185.9900000011686</v>
      </c>
      <c r="I510" s="437">
        <f t="shared" si="1344"/>
        <v>87.02399999831151</v>
      </c>
      <c r="J510" s="437">
        <f t="shared" ref="J510:J511" si="1345">SUM(G510:I510)</f>
        <v>854.97300000535381</v>
      </c>
      <c r="K510" s="437"/>
      <c r="L510" s="437">
        <f>SUM(L495,L500,L505)</f>
        <v>641.88000000117904</v>
      </c>
      <c r="M510" s="437">
        <f t="shared" ref="M510:N510" si="1346">SUM(M495,M500,M505)</f>
        <v>212.93700000057157</v>
      </c>
      <c r="N510" s="437">
        <f t="shared" si="1346"/>
        <v>94.320999996277237</v>
      </c>
      <c r="O510" s="437">
        <f t="shared" ref="O510:O511" si="1347">SUM(L510:N510)</f>
        <v>949.13799999802779</v>
      </c>
      <c r="P510" s="437"/>
      <c r="Q510" s="437">
        <f>SUM(Q495,Q500,Q505)</f>
        <v>657.42200000608898</v>
      </c>
      <c r="R510" s="437">
        <f t="shared" ref="R510:S510" si="1348">SUM(R495,R500,R505)</f>
        <v>243.01700000065136</v>
      </c>
      <c r="S510" s="437">
        <f t="shared" si="1348"/>
        <v>95.436999995645266</v>
      </c>
      <c r="T510" s="437">
        <f t="shared" ref="T510:T511" si="1349">SUM(Q510:S510)</f>
        <v>995.87600000238558</v>
      </c>
      <c r="U510" s="437"/>
      <c r="V510" s="437">
        <f>SUM(V495,V500,V505)</f>
        <v>673.41500000481437</v>
      </c>
      <c r="W510" s="437">
        <f t="shared" ref="W510:X510" si="1350">SUM(W495,W500,W505)</f>
        <v>271.78000000055226</v>
      </c>
      <c r="X510" s="437">
        <f t="shared" si="1350"/>
        <v>96.932999996434162</v>
      </c>
      <c r="Y510" s="437">
        <f t="shared" ref="Y510:Y511" si="1351">SUM(V510:X510)</f>
        <v>1042.1280000018007</v>
      </c>
    </row>
    <row r="511" spans="1:25" x14ac:dyDescent="0.25">
      <c r="A511" s="381" t="s">
        <v>389</v>
      </c>
      <c r="B511" s="439">
        <f>SUM(B509:B510)</f>
        <v>1792.900000004495</v>
      </c>
      <c r="C511" s="439">
        <f t="shared" ref="C511" si="1352">SUM(C509:C510)</f>
        <v>1549.1029999822049</v>
      </c>
      <c r="D511" s="439">
        <f t="shared" ref="D511" si="1353">SUM(D509:D510)</f>
        <v>254.99899998638423</v>
      </c>
      <c r="E511" s="439">
        <f t="shared" si="1343"/>
        <v>3597.0019999730844</v>
      </c>
      <c r="F511" s="439"/>
      <c r="G511" s="439">
        <f>SUM(G509:G510)</f>
        <v>2075.8500000083118</v>
      </c>
      <c r="H511" s="439">
        <f t="shared" ref="H511" si="1354">SUM(H509:H510)</f>
        <v>1604.8849999815779</v>
      </c>
      <c r="I511" s="439">
        <f t="shared" ref="I511" si="1355">SUM(I509:I510)</f>
        <v>304.07299998416079</v>
      </c>
      <c r="J511" s="439">
        <f t="shared" si="1345"/>
        <v>3984.8079999740503</v>
      </c>
      <c r="K511" s="439"/>
      <c r="L511" s="439">
        <f>SUM(L509:L510)</f>
        <v>2341.0409999981089</v>
      </c>
      <c r="M511" s="439">
        <f t="shared" ref="M511" si="1356">SUM(M509:M510)</f>
        <v>1708.091999972293</v>
      </c>
      <c r="N511" s="439">
        <f t="shared" ref="N511" si="1357">SUM(N509:N510)</f>
        <v>331.99299997893866</v>
      </c>
      <c r="O511" s="439">
        <f t="shared" si="1347"/>
        <v>4381.1259999493404</v>
      </c>
      <c r="P511" s="439"/>
      <c r="Q511" s="439">
        <f>SUM(Q509:Q510)</f>
        <v>2432.7910000162533</v>
      </c>
      <c r="R511" s="439">
        <f t="shared" ref="R511" si="1358">SUM(R509:R510)</f>
        <v>1828.5649999819348</v>
      </c>
      <c r="S511" s="439">
        <f t="shared" ref="S511" si="1359">SUM(S509:S510)</f>
        <v>334.12599997979055</v>
      </c>
      <c r="T511" s="439">
        <f t="shared" si="1349"/>
        <v>4595.4819999779784</v>
      </c>
      <c r="U511" s="439"/>
      <c r="V511" s="439">
        <f>SUM(V509:V510)</f>
        <v>2524.7240000113143</v>
      </c>
      <c r="W511" s="439">
        <f t="shared" ref="W511" si="1360">SUM(W509:W510)</f>
        <v>1946.545999979852</v>
      </c>
      <c r="X511" s="439">
        <f t="shared" ref="X511" si="1361">SUM(X509:X510)</f>
        <v>336.7519999821655</v>
      </c>
      <c r="Y511" s="439">
        <f t="shared" si="1351"/>
        <v>4808.0219999733317</v>
      </c>
    </row>
    <row r="512" spans="1:25" x14ac:dyDescent="0.25">
      <c r="C512" s="453"/>
    </row>
    <row r="513" spans="1:25" x14ac:dyDescent="0.25">
      <c r="A513" s="383"/>
    </row>
    <row r="514" spans="1:25" x14ac:dyDescent="0.25">
      <c r="C514" s="453"/>
    </row>
    <row r="515" spans="1:25" ht="13.8" x14ac:dyDescent="0.25">
      <c r="A515" s="385" t="str">
        <f>"Industry 21 : "&amp; name!B24</f>
        <v>Industry 21 : Arts and entertainment</v>
      </c>
      <c r="B515" s="514">
        <f>$B$5</f>
        <v>2007</v>
      </c>
      <c r="C515" s="514"/>
      <c r="D515" s="514"/>
      <c r="E515" s="514"/>
      <c r="F515" s="461"/>
      <c r="G515" s="514">
        <f>$G$5</f>
        <v>2012</v>
      </c>
      <c r="H515" s="514"/>
      <c r="I515" s="514"/>
      <c r="J515" s="514"/>
      <c r="K515" s="461"/>
      <c r="L515" s="514">
        <f>$L$5</f>
        <v>2017</v>
      </c>
      <c r="M515" s="514"/>
      <c r="N515" s="514"/>
      <c r="O515" s="514"/>
      <c r="P515" s="459"/>
      <c r="Q515" s="514">
        <f>$Q$5</f>
        <v>2022</v>
      </c>
      <c r="R515" s="514"/>
      <c r="S515" s="514"/>
      <c r="T515" s="514"/>
      <c r="U515" s="461"/>
      <c r="V515" s="514">
        <f>$V$5</f>
        <v>2027</v>
      </c>
      <c r="W515" s="514"/>
      <c r="X515" s="514"/>
      <c r="Y515" s="514"/>
    </row>
    <row r="516" spans="1:25" x14ac:dyDescent="0.25">
      <c r="A516" s="381"/>
      <c r="B516" s="388" t="str">
        <f>$B$6</f>
        <v>FT</v>
      </c>
      <c r="C516" s="388" t="str">
        <f>$C$6</f>
        <v>PT</v>
      </c>
      <c r="D516" s="388" t="str">
        <f>$D$6</f>
        <v>SE</v>
      </c>
      <c r="E516" s="388" t="str">
        <f>$E$6</f>
        <v>Total</v>
      </c>
      <c r="F516" s="388"/>
      <c r="G516" s="388" t="str">
        <f>$B$6</f>
        <v>FT</v>
      </c>
      <c r="H516" s="388" t="str">
        <f>$C$6</f>
        <v>PT</v>
      </c>
      <c r="I516" s="388" t="str">
        <f>$D$6</f>
        <v>SE</v>
      </c>
      <c r="J516" s="388" t="str">
        <f>$E$6</f>
        <v>Total</v>
      </c>
      <c r="K516" s="388"/>
      <c r="L516" s="388" t="str">
        <f>$L$6</f>
        <v>FT</v>
      </c>
      <c r="M516" s="388" t="str">
        <f>$M$6</f>
        <v>PT</v>
      </c>
      <c r="N516" s="388" t="str">
        <f>$N$6</f>
        <v>SE</v>
      </c>
      <c r="O516" s="388" t="str">
        <f>$O$6</f>
        <v>Total</v>
      </c>
      <c r="P516" s="388"/>
      <c r="Q516" s="388" t="str">
        <f>$L$6</f>
        <v>FT</v>
      </c>
      <c r="R516" s="388" t="str">
        <f>$M$6</f>
        <v>PT</v>
      </c>
      <c r="S516" s="388" t="str">
        <f>$N$6</f>
        <v>SE</v>
      </c>
      <c r="T516" s="388" t="str">
        <f>$O$6</f>
        <v>Total</v>
      </c>
      <c r="U516" s="388"/>
      <c r="V516" s="388" t="str">
        <f>$V$6</f>
        <v>FT</v>
      </c>
      <c r="W516" s="388" t="str">
        <f>$W$6</f>
        <v>PT</v>
      </c>
      <c r="X516" s="388" t="str">
        <f>$X$6</f>
        <v>SE</v>
      </c>
      <c r="Y516" s="388" t="str">
        <f>$Y$6</f>
        <v>Total</v>
      </c>
    </row>
    <row r="517" spans="1:25" x14ac:dyDescent="0.25">
      <c r="A517" s="384"/>
      <c r="B517" s="380"/>
      <c r="C517" s="460"/>
      <c r="D517" s="460"/>
      <c r="E517" s="460"/>
      <c r="F517" s="460"/>
      <c r="G517" s="460"/>
      <c r="H517" s="460"/>
      <c r="I517" s="460"/>
      <c r="J517" s="460"/>
      <c r="K517" s="460"/>
      <c r="L517" s="460"/>
      <c r="M517" s="460"/>
      <c r="N517" s="460"/>
      <c r="O517" s="460"/>
      <c r="P517" s="460"/>
      <c r="Q517" s="460"/>
      <c r="R517" s="460"/>
      <c r="S517" s="460"/>
      <c r="T517" s="460"/>
      <c r="U517" s="460"/>
      <c r="V517" s="460"/>
      <c r="W517" s="460"/>
      <c r="X517" s="460"/>
      <c r="Y517" s="460"/>
    </row>
    <row r="518" spans="1:25" x14ac:dyDescent="0.25">
      <c r="A518" s="378" t="str">
        <f>name!A72</f>
        <v>Arts and entertainment</v>
      </c>
      <c r="C518" s="380"/>
      <c r="D518" s="380"/>
      <c r="E518" s="380"/>
      <c r="F518" s="380"/>
      <c r="G518" s="380"/>
      <c r="H518" s="380"/>
      <c r="I518" s="380"/>
      <c r="J518" s="380"/>
      <c r="K518" s="380"/>
      <c r="L518" s="380"/>
      <c r="M518" s="380"/>
      <c r="N518" s="380"/>
      <c r="O518" s="380"/>
      <c r="P518" s="380"/>
      <c r="Q518" s="380"/>
      <c r="R518" s="380"/>
      <c r="S518" s="380"/>
      <c r="T518" s="380"/>
      <c r="U518" s="380"/>
      <c r="V518" s="380"/>
      <c r="W518" s="380"/>
      <c r="X518" s="380"/>
      <c r="Y518" s="380"/>
    </row>
    <row r="519" spans="1:25" x14ac:dyDescent="0.25">
      <c r="A519" s="382" t="s">
        <v>391</v>
      </c>
      <c r="B519" s="437">
        <v>27.995999999900945</v>
      </c>
      <c r="C519" s="437">
        <v>19.440000000026625</v>
      </c>
      <c r="D519" s="437">
        <v>18.319000000228186</v>
      </c>
      <c r="E519" s="437">
        <f>SUM(B519:D519)</f>
        <v>65.755000000155761</v>
      </c>
      <c r="F519" s="437"/>
      <c r="G519" s="437">
        <v>23.781999999919542</v>
      </c>
      <c r="H519" s="437">
        <v>20.709999999986966</v>
      </c>
      <c r="I519" s="437">
        <v>21.021000000386007</v>
      </c>
      <c r="J519" s="437">
        <f>SUM(G519:I519)</f>
        <v>65.513000000292521</v>
      </c>
      <c r="K519" s="437"/>
      <c r="L519" s="437">
        <v>24.915999999727273</v>
      </c>
      <c r="M519" s="437">
        <v>22.704000000090826</v>
      </c>
      <c r="N519" s="437">
        <v>21.798000000133875</v>
      </c>
      <c r="O519" s="437">
        <f>SUM(L519:N519)</f>
        <v>69.417999999951974</v>
      </c>
      <c r="P519" s="437"/>
      <c r="Q519" s="437">
        <v>27.118000000081498</v>
      </c>
      <c r="R519" s="437">
        <v>23.97399999996556</v>
      </c>
      <c r="S519" s="437">
        <v>25.069000000862005</v>
      </c>
      <c r="T519" s="437">
        <f>SUM(Q519:S519)</f>
        <v>76.16100000090907</v>
      </c>
      <c r="U519" s="437"/>
      <c r="V519" s="437">
        <v>28.011999999860485</v>
      </c>
      <c r="W519" s="437">
        <v>24.036000000094724</v>
      </c>
      <c r="X519" s="437">
        <v>25.470000000448881</v>
      </c>
      <c r="Y519" s="437">
        <f>SUM(V519:X519)</f>
        <v>77.518000000404086</v>
      </c>
    </row>
    <row r="520" spans="1:25" x14ac:dyDescent="0.25">
      <c r="A520" s="382" t="s">
        <v>390</v>
      </c>
      <c r="B520" s="438">
        <v>27.357000000093908</v>
      </c>
      <c r="C520" s="438">
        <v>11.711999999982</v>
      </c>
      <c r="D520" s="438">
        <v>37.662999999235367</v>
      </c>
      <c r="E520" s="438">
        <f t="shared" ref="E520:E521" si="1362">SUM(B520:D520)</f>
        <v>76.731999999311284</v>
      </c>
      <c r="F520" s="438"/>
      <c r="G520" s="438">
        <v>23.905000000078768</v>
      </c>
      <c r="H520" s="438">
        <v>11.152999999966335</v>
      </c>
      <c r="I520" s="438">
        <v>42.947999999835943</v>
      </c>
      <c r="J520" s="438">
        <f t="shared" ref="J520:J521" si="1363">SUM(G520:I520)</f>
        <v>78.005999999881055</v>
      </c>
      <c r="K520" s="438"/>
      <c r="L520" s="438">
        <v>25.243999999951541</v>
      </c>
      <c r="M520" s="438">
        <v>11.398000000049574</v>
      </c>
      <c r="N520" s="438">
        <v>40.308999999003518</v>
      </c>
      <c r="O520" s="438">
        <f t="shared" ref="O520:O521" si="1364">SUM(L520:N520)</f>
        <v>76.950999999004637</v>
      </c>
      <c r="P520" s="438"/>
      <c r="Q520" s="438">
        <v>28.434999999976519</v>
      </c>
      <c r="R520" s="438">
        <v>12.416000000000807</v>
      </c>
      <c r="S520" s="438">
        <v>45.318999998117413</v>
      </c>
      <c r="T520" s="438">
        <f t="shared" ref="T520:T521" si="1365">SUM(Q520:S520)</f>
        <v>86.169999998094738</v>
      </c>
      <c r="U520" s="438"/>
      <c r="V520" s="438">
        <v>29.808999999928165</v>
      </c>
      <c r="W520" s="438">
        <v>12.684000000012777</v>
      </c>
      <c r="X520" s="438">
        <v>45.016999998270563</v>
      </c>
      <c r="Y520" s="438">
        <f t="shared" ref="Y520:Y521" si="1366">SUM(V520:X520)</f>
        <v>87.509999998211498</v>
      </c>
    </row>
    <row r="521" spans="1:25" x14ac:dyDescent="0.25">
      <c r="A521" s="377" t="s">
        <v>389</v>
      </c>
      <c r="B521" s="438">
        <f>SUM(B519:B520)</f>
        <v>55.35299999999485</v>
      </c>
      <c r="C521" s="438">
        <f t="shared" ref="C521" si="1367">SUM(C519:C520)</f>
        <v>31.152000000008627</v>
      </c>
      <c r="D521" s="438">
        <f t="shared" ref="D521" si="1368">SUM(D519:D520)</f>
        <v>55.981999999463554</v>
      </c>
      <c r="E521" s="438">
        <f t="shared" si="1362"/>
        <v>142.48699999946703</v>
      </c>
      <c r="F521" s="438"/>
      <c r="G521" s="438">
        <f>SUM(G519:G520)</f>
        <v>47.686999999998307</v>
      </c>
      <c r="H521" s="438">
        <f t="shared" ref="H521" si="1369">SUM(H519:H520)</f>
        <v>31.862999999953303</v>
      </c>
      <c r="I521" s="438">
        <f t="shared" ref="I521" si="1370">SUM(I519:I520)</f>
        <v>63.969000000221953</v>
      </c>
      <c r="J521" s="438">
        <f t="shared" si="1363"/>
        <v>143.51900000017355</v>
      </c>
      <c r="K521" s="438"/>
      <c r="L521" s="438">
        <f>SUM(L519:L520)</f>
        <v>50.159999999678817</v>
      </c>
      <c r="M521" s="438">
        <f t="shared" ref="M521" si="1371">SUM(M519:M520)</f>
        <v>34.1020000001404</v>
      </c>
      <c r="N521" s="438">
        <f t="shared" ref="N521" si="1372">SUM(N519:N520)</f>
        <v>62.106999999137393</v>
      </c>
      <c r="O521" s="438">
        <f t="shared" si="1364"/>
        <v>146.36899999895661</v>
      </c>
      <c r="P521" s="438"/>
      <c r="Q521" s="438">
        <f>SUM(Q519:Q520)</f>
        <v>55.55300000005802</v>
      </c>
      <c r="R521" s="438">
        <f t="shared" ref="R521" si="1373">SUM(R519:R520)</f>
        <v>36.389999999966363</v>
      </c>
      <c r="S521" s="438">
        <f t="shared" ref="S521" si="1374">SUM(S519:S520)</f>
        <v>70.38799999897941</v>
      </c>
      <c r="T521" s="438">
        <f t="shared" si="1365"/>
        <v>162.33099999900378</v>
      </c>
      <c r="U521" s="438"/>
      <c r="V521" s="438">
        <f>SUM(V519:V520)</f>
        <v>57.820999999788654</v>
      </c>
      <c r="W521" s="438">
        <f t="shared" ref="W521" si="1375">SUM(W519:W520)</f>
        <v>36.720000000107504</v>
      </c>
      <c r="X521" s="438">
        <f t="shared" ref="X521" si="1376">SUM(X519:X520)</f>
        <v>70.48699999871944</v>
      </c>
      <c r="Y521" s="438">
        <f t="shared" si="1366"/>
        <v>165.0279999986156</v>
      </c>
    </row>
    <row r="522" spans="1:25" x14ac:dyDescent="0.25">
      <c r="B522" s="380"/>
      <c r="C522" s="460"/>
      <c r="D522" s="460"/>
      <c r="E522" s="460"/>
      <c r="F522" s="460"/>
      <c r="G522" s="460"/>
      <c r="H522" s="460"/>
      <c r="I522" s="460"/>
      <c r="J522" s="460"/>
      <c r="K522" s="460"/>
      <c r="L522" s="460"/>
      <c r="M522" s="460"/>
      <c r="N522" s="460"/>
      <c r="O522" s="460"/>
      <c r="P522" s="460"/>
      <c r="Q522" s="460"/>
      <c r="R522" s="460"/>
      <c r="S522" s="460"/>
      <c r="T522" s="460"/>
      <c r="U522" s="460"/>
      <c r="V522" s="460"/>
      <c r="W522" s="460"/>
      <c r="X522" s="460"/>
      <c r="Y522" s="460"/>
    </row>
    <row r="523" spans="1:25" x14ac:dyDescent="0.25">
      <c r="A523" s="378" t="str">
        <f>name!A73</f>
        <v>Libraries, etc</v>
      </c>
      <c r="C523" s="380"/>
      <c r="D523" s="380"/>
      <c r="E523" s="380"/>
      <c r="F523" s="380"/>
      <c r="G523" s="380"/>
      <c r="H523" s="380"/>
      <c r="I523" s="380"/>
      <c r="J523" s="380"/>
      <c r="K523" s="380"/>
      <c r="L523" s="380"/>
      <c r="M523" s="380"/>
      <c r="N523" s="380"/>
      <c r="O523" s="380"/>
      <c r="P523" s="380"/>
      <c r="Q523" s="380"/>
      <c r="R523" s="380"/>
      <c r="S523" s="380"/>
      <c r="T523" s="380"/>
      <c r="U523" s="380"/>
      <c r="V523" s="380"/>
      <c r="W523" s="380"/>
      <c r="X523" s="380"/>
      <c r="Y523" s="380"/>
    </row>
    <row r="524" spans="1:25" x14ac:dyDescent="0.25">
      <c r="A524" s="382" t="s">
        <v>391</v>
      </c>
      <c r="B524" s="437">
        <v>28.005999999956359</v>
      </c>
      <c r="C524" s="437">
        <v>39.559999999994879</v>
      </c>
      <c r="D524" s="437">
        <v>31.820000000475307</v>
      </c>
      <c r="E524" s="437">
        <f>SUM(B524:D524)</f>
        <v>99.386000000426534</v>
      </c>
      <c r="F524" s="437"/>
      <c r="G524" s="437">
        <v>23.501999999903568</v>
      </c>
      <c r="H524" s="437">
        <v>36.658000000003859</v>
      </c>
      <c r="I524" s="437">
        <v>28.630000000554979</v>
      </c>
      <c r="J524" s="437">
        <f>SUM(G524:I524)</f>
        <v>88.790000000462413</v>
      </c>
      <c r="K524" s="437"/>
      <c r="L524" s="437">
        <v>26.695999999719149</v>
      </c>
      <c r="M524" s="437">
        <v>40.805000000205432</v>
      </c>
      <c r="N524" s="437">
        <v>37.20200000023565</v>
      </c>
      <c r="O524" s="437">
        <f>SUM(L524:N524)</f>
        <v>104.70300000016022</v>
      </c>
      <c r="P524" s="437"/>
      <c r="Q524" s="437">
        <v>29.363000000020637</v>
      </c>
      <c r="R524" s="437">
        <v>43.425999999966045</v>
      </c>
      <c r="S524" s="437">
        <v>43.170000001476957</v>
      </c>
      <c r="T524" s="437">
        <f>SUM(Q524:S524)</f>
        <v>115.95900000146364</v>
      </c>
      <c r="U524" s="437"/>
      <c r="V524" s="437">
        <v>30.824999999830585</v>
      </c>
      <c r="W524" s="437">
        <v>44.13000000014069</v>
      </c>
      <c r="X524" s="437">
        <v>44.409000000852949</v>
      </c>
      <c r="Y524" s="437">
        <f>SUM(V524:X524)</f>
        <v>119.36400000082423</v>
      </c>
    </row>
    <row r="525" spans="1:25" x14ac:dyDescent="0.25">
      <c r="A525" s="382" t="s">
        <v>390</v>
      </c>
      <c r="B525" s="438">
        <v>34.308000000019263</v>
      </c>
      <c r="C525" s="438">
        <v>16.620000000014773</v>
      </c>
      <c r="D525" s="438">
        <v>35.268999999161288</v>
      </c>
      <c r="E525" s="438">
        <f t="shared" ref="E525:E526" si="1377">SUM(B525:D525)</f>
        <v>86.196999999195327</v>
      </c>
      <c r="F525" s="438"/>
      <c r="G525" s="438">
        <v>29.783000000020856</v>
      </c>
      <c r="H525" s="438">
        <v>12.761999999965903</v>
      </c>
      <c r="I525" s="438">
        <v>38.434999999815147</v>
      </c>
      <c r="J525" s="438">
        <f t="shared" ref="J525:J526" si="1378">SUM(G525:I525)</f>
        <v>80.979999999801905</v>
      </c>
      <c r="K525" s="438"/>
      <c r="L525" s="438">
        <v>30.359999999949483</v>
      </c>
      <c r="M525" s="438">
        <v>14.880000000037287</v>
      </c>
      <c r="N525" s="438">
        <v>39.691999998979668</v>
      </c>
      <c r="O525" s="438">
        <f t="shared" ref="O525:O526" si="1379">SUM(L525:N525)</f>
        <v>84.931999998966432</v>
      </c>
      <c r="P525" s="438"/>
      <c r="Q525" s="438">
        <v>34.654999999951663</v>
      </c>
      <c r="R525" s="438">
        <v>16.382999999951725</v>
      </c>
      <c r="S525" s="438">
        <v>44.946999998235896</v>
      </c>
      <c r="T525" s="438">
        <f t="shared" ref="T525:T526" si="1380">SUM(Q525:S525)</f>
        <v>95.984999998139287</v>
      </c>
      <c r="U525" s="438"/>
      <c r="V525" s="438">
        <v>36.919999999933204</v>
      </c>
      <c r="W525" s="438">
        <v>16.991999999959134</v>
      </c>
      <c r="X525" s="438">
        <v>45.115999998357495</v>
      </c>
      <c r="Y525" s="438">
        <f t="shared" ref="Y525:Y526" si="1381">SUM(V525:X525)</f>
        <v>99.02799999824984</v>
      </c>
    </row>
    <row r="526" spans="1:25" x14ac:dyDescent="0.25">
      <c r="A526" s="382" t="s">
        <v>389</v>
      </c>
      <c r="B526" s="438">
        <f>SUM(B524:B525)</f>
        <v>62.313999999975621</v>
      </c>
      <c r="C526" s="438">
        <f t="shared" ref="C526" si="1382">SUM(C524:C525)</f>
        <v>56.180000000009656</v>
      </c>
      <c r="D526" s="438">
        <f t="shared" ref="D526" si="1383">SUM(D524:D525)</f>
        <v>67.088999999636599</v>
      </c>
      <c r="E526" s="438">
        <f t="shared" si="1377"/>
        <v>185.58299999962188</v>
      </c>
      <c r="F526" s="438"/>
      <c r="G526" s="438">
        <f>SUM(G524:G525)</f>
        <v>53.284999999924423</v>
      </c>
      <c r="H526" s="438">
        <f t="shared" ref="H526" si="1384">SUM(H524:H525)</f>
        <v>49.419999999969761</v>
      </c>
      <c r="I526" s="438">
        <f t="shared" ref="I526" si="1385">SUM(I524:I525)</f>
        <v>67.065000000370134</v>
      </c>
      <c r="J526" s="438">
        <f t="shared" si="1378"/>
        <v>169.7700000002643</v>
      </c>
      <c r="K526" s="438"/>
      <c r="L526" s="438">
        <f>SUM(L524:L525)</f>
        <v>57.055999999668629</v>
      </c>
      <c r="M526" s="438">
        <f t="shared" ref="M526" si="1386">SUM(M524:M525)</f>
        <v>55.685000000242717</v>
      </c>
      <c r="N526" s="438">
        <f t="shared" ref="N526" si="1387">SUM(N524:N525)</f>
        <v>76.89399999921531</v>
      </c>
      <c r="O526" s="438">
        <f t="shared" si="1379"/>
        <v>189.63499999912665</v>
      </c>
      <c r="P526" s="438"/>
      <c r="Q526" s="438">
        <f>SUM(Q524:Q525)</f>
        <v>64.017999999972304</v>
      </c>
      <c r="R526" s="438">
        <f t="shared" ref="R526" si="1388">SUM(R524:R525)</f>
        <v>59.808999999917773</v>
      </c>
      <c r="S526" s="438">
        <f t="shared" ref="S526" si="1389">SUM(S524:S525)</f>
        <v>88.116999999712846</v>
      </c>
      <c r="T526" s="438">
        <f t="shared" si="1380"/>
        <v>211.94399999960291</v>
      </c>
      <c r="U526" s="438"/>
      <c r="V526" s="438">
        <f>SUM(V524:V525)</f>
        <v>67.744999999763792</v>
      </c>
      <c r="W526" s="438">
        <f t="shared" ref="W526" si="1390">SUM(W524:W525)</f>
        <v>61.122000000099824</v>
      </c>
      <c r="X526" s="438">
        <f t="shared" ref="X526" si="1391">SUM(X524:X525)</f>
        <v>89.524999999210451</v>
      </c>
      <c r="Y526" s="438">
        <f t="shared" si="1381"/>
        <v>218.39199999907407</v>
      </c>
    </row>
    <row r="527" spans="1:25" x14ac:dyDescent="0.25">
      <c r="B527" s="380"/>
      <c r="C527" s="460"/>
      <c r="D527" s="460"/>
      <c r="E527" s="460"/>
      <c r="F527" s="460"/>
      <c r="G527" s="460"/>
      <c r="H527" s="460"/>
      <c r="I527" s="460"/>
      <c r="J527" s="460"/>
      <c r="K527" s="460"/>
      <c r="L527" s="460"/>
      <c r="M527" s="460"/>
      <c r="N527" s="460"/>
      <c r="O527" s="460"/>
      <c r="P527" s="460"/>
      <c r="Q527" s="460"/>
      <c r="R527" s="460"/>
      <c r="S527" s="460"/>
      <c r="T527" s="460"/>
      <c r="U527" s="460"/>
      <c r="V527" s="460"/>
      <c r="W527" s="460"/>
      <c r="X527" s="460"/>
      <c r="Y527" s="460"/>
    </row>
    <row r="528" spans="1:25" x14ac:dyDescent="0.25">
      <c r="A528" s="378" t="str">
        <f>name!A74</f>
        <v>Gambling and betting</v>
      </c>
      <c r="C528" s="380"/>
      <c r="D528" s="380"/>
      <c r="E528" s="380"/>
      <c r="F528" s="380"/>
      <c r="G528" s="380"/>
      <c r="H528" s="380"/>
      <c r="I528" s="380"/>
      <c r="J528" s="380"/>
      <c r="K528" s="380"/>
      <c r="L528" s="380"/>
      <c r="M528" s="380"/>
      <c r="N528" s="380"/>
      <c r="O528" s="380"/>
      <c r="P528" s="380"/>
      <c r="Q528" s="380"/>
      <c r="R528" s="380"/>
      <c r="S528" s="380"/>
      <c r="T528" s="380"/>
      <c r="U528" s="380"/>
      <c r="V528" s="380"/>
      <c r="W528" s="380"/>
      <c r="X528" s="380"/>
      <c r="Y528" s="380"/>
    </row>
    <row r="529" spans="1:25" x14ac:dyDescent="0.25">
      <c r="A529" s="382" t="s">
        <v>391</v>
      </c>
      <c r="B529" s="437">
        <v>17.236999999962443</v>
      </c>
      <c r="C529" s="437">
        <v>20.31000000000974</v>
      </c>
      <c r="D529" s="437">
        <v>6.3790000000855125</v>
      </c>
      <c r="E529" s="437">
        <f>SUM(B529:D529)</f>
        <v>43.926000000057698</v>
      </c>
      <c r="F529" s="437"/>
      <c r="G529" s="437">
        <v>17.460999999946182</v>
      </c>
      <c r="H529" s="437">
        <v>17.160999999996225</v>
      </c>
      <c r="I529" s="437">
        <v>5.2050000000929861</v>
      </c>
      <c r="J529" s="437">
        <f>SUM(G529:I529)</f>
        <v>39.82700000003539</v>
      </c>
      <c r="K529" s="437"/>
      <c r="L529" s="437">
        <v>15.84899999988988</v>
      </c>
      <c r="M529" s="437">
        <v>14.770000000075509</v>
      </c>
      <c r="N529" s="437">
        <v>5.7820000000344329</v>
      </c>
      <c r="O529" s="437">
        <f>SUM(L529:N529)</f>
        <v>36.400999999999826</v>
      </c>
      <c r="P529" s="437"/>
      <c r="Q529" s="437">
        <v>16.492000000019345</v>
      </c>
      <c r="R529" s="437">
        <v>15.39199999998554</v>
      </c>
      <c r="S529" s="437">
        <v>6.3520000002026134</v>
      </c>
      <c r="T529" s="437">
        <f>SUM(Q529:S529)</f>
        <v>38.236000000207497</v>
      </c>
      <c r="U529" s="437"/>
      <c r="V529" s="437">
        <v>17.161999999934043</v>
      </c>
      <c r="W529" s="437">
        <v>15.963000000063563</v>
      </c>
      <c r="X529" s="437">
        <v>6.8590000001108562</v>
      </c>
      <c r="Y529" s="437">
        <f>SUM(V529:X529)</f>
        <v>39.984000000108459</v>
      </c>
    </row>
    <row r="530" spans="1:25" x14ac:dyDescent="0.25">
      <c r="A530" s="382" t="s">
        <v>390</v>
      </c>
      <c r="B530" s="438">
        <v>41.671000000084803</v>
      </c>
      <c r="C530" s="438">
        <v>20.972999999992126</v>
      </c>
      <c r="D530" s="438">
        <v>7.3349999998432569</v>
      </c>
      <c r="E530" s="438">
        <f t="shared" ref="E530:E531" si="1392">SUM(B530:D530)</f>
        <v>69.978999999920191</v>
      </c>
      <c r="F530" s="438"/>
      <c r="G530" s="438">
        <v>41.219000000075987</v>
      </c>
      <c r="H530" s="438">
        <v>21.8279999999395</v>
      </c>
      <c r="I530" s="438">
        <v>9.2869999999736041</v>
      </c>
      <c r="J530" s="438">
        <f t="shared" ref="J530:J531" si="1393">SUM(G530:I530)</f>
        <v>72.333999999989089</v>
      </c>
      <c r="K530" s="438"/>
      <c r="L530" s="438">
        <v>40.142999999927333</v>
      </c>
      <c r="M530" s="438">
        <v>23.376000000039515</v>
      </c>
      <c r="N530" s="438">
        <v>8.0319999997889138</v>
      </c>
      <c r="O530" s="438">
        <f t="shared" ref="O530:O531" si="1394">SUM(L530:N530)</f>
        <v>71.55099999975576</v>
      </c>
      <c r="P530" s="438"/>
      <c r="Q530" s="438">
        <v>43.394999999961797</v>
      </c>
      <c r="R530" s="438">
        <v>22.77599999995827</v>
      </c>
      <c r="S530" s="438">
        <v>7.9819999996807907</v>
      </c>
      <c r="T530" s="438">
        <f t="shared" ref="T530:T531" si="1395">SUM(Q530:S530)</f>
        <v>74.152999999600866</v>
      </c>
      <c r="U530" s="438"/>
      <c r="V530" s="438">
        <v>46.585999999930678</v>
      </c>
      <c r="W530" s="438">
        <v>22.12799999997447</v>
      </c>
      <c r="X530" s="438">
        <v>7.8599999997086032</v>
      </c>
      <c r="Y530" s="438">
        <f t="shared" ref="Y530:Y531" si="1396">SUM(V530:X530)</f>
        <v>76.573999999613761</v>
      </c>
    </row>
    <row r="531" spans="1:25" x14ac:dyDescent="0.25">
      <c r="A531" s="382" t="s">
        <v>389</v>
      </c>
      <c r="B531" s="438">
        <f>SUM(B529:B530)</f>
        <v>58.908000000047245</v>
      </c>
      <c r="C531" s="438">
        <f t="shared" ref="C531" si="1397">SUM(C529:C530)</f>
        <v>41.283000000001863</v>
      </c>
      <c r="D531" s="438">
        <f t="shared" ref="D531" si="1398">SUM(D529:D530)</f>
        <v>13.71399999992877</v>
      </c>
      <c r="E531" s="438">
        <f t="shared" si="1392"/>
        <v>113.90499999997789</v>
      </c>
      <c r="F531" s="438"/>
      <c r="G531" s="438">
        <f>SUM(G529:G530)</f>
        <v>58.680000000022169</v>
      </c>
      <c r="H531" s="438">
        <f t="shared" ref="H531" si="1399">SUM(H529:H530)</f>
        <v>38.988999999935729</v>
      </c>
      <c r="I531" s="438">
        <f t="shared" ref="I531" si="1400">SUM(I529:I530)</f>
        <v>14.492000000066589</v>
      </c>
      <c r="J531" s="438">
        <f t="shared" si="1393"/>
        <v>112.16100000002447</v>
      </c>
      <c r="K531" s="438"/>
      <c r="L531" s="438">
        <f>SUM(L529:L530)</f>
        <v>55.99199999981721</v>
      </c>
      <c r="M531" s="438">
        <f t="shared" ref="M531" si="1401">SUM(M529:M530)</f>
        <v>38.146000000115023</v>
      </c>
      <c r="N531" s="438">
        <f t="shared" ref="N531" si="1402">SUM(N529:N530)</f>
        <v>13.813999999823347</v>
      </c>
      <c r="O531" s="438">
        <f t="shared" si="1394"/>
        <v>107.95199999975559</v>
      </c>
      <c r="P531" s="438"/>
      <c r="Q531" s="438">
        <f>SUM(Q529:Q530)</f>
        <v>59.886999999981143</v>
      </c>
      <c r="R531" s="438">
        <f t="shared" ref="R531" si="1403">SUM(R529:R530)</f>
        <v>38.16799999994381</v>
      </c>
      <c r="S531" s="438">
        <f t="shared" ref="S531" si="1404">SUM(S529:S530)</f>
        <v>14.333999999883403</v>
      </c>
      <c r="T531" s="438">
        <f t="shared" si="1395"/>
        <v>112.38899999980835</v>
      </c>
      <c r="U531" s="438"/>
      <c r="V531" s="438">
        <f>SUM(V529:V530)</f>
        <v>63.747999999864717</v>
      </c>
      <c r="W531" s="438">
        <f t="shared" ref="W531" si="1405">SUM(W529:W530)</f>
        <v>38.091000000038036</v>
      </c>
      <c r="X531" s="438">
        <f t="shared" ref="X531" si="1406">SUM(X529:X530)</f>
        <v>14.718999999819459</v>
      </c>
      <c r="Y531" s="438">
        <f t="shared" si="1396"/>
        <v>116.55799999972221</v>
      </c>
    </row>
    <row r="532" spans="1:25" x14ac:dyDescent="0.25">
      <c r="B532" s="380"/>
      <c r="C532" s="460"/>
      <c r="D532" s="460"/>
      <c r="E532" s="460"/>
      <c r="F532" s="460"/>
      <c r="G532" s="460"/>
      <c r="H532" s="460"/>
      <c r="I532" s="460"/>
      <c r="J532" s="460"/>
      <c r="K532" s="460"/>
      <c r="L532" s="460"/>
      <c r="M532" s="460"/>
      <c r="N532" s="460"/>
      <c r="O532" s="460"/>
      <c r="P532" s="460"/>
      <c r="Q532" s="460"/>
      <c r="R532" s="460"/>
      <c r="S532" s="460"/>
      <c r="T532" s="460"/>
      <c r="U532" s="460"/>
      <c r="V532" s="460"/>
      <c r="W532" s="460"/>
      <c r="X532" s="460"/>
      <c r="Y532" s="460"/>
    </row>
    <row r="533" spans="1:25" x14ac:dyDescent="0.25">
      <c r="A533" s="378" t="str">
        <f>name!A75</f>
        <v>Sport and recreation</v>
      </c>
      <c r="C533" s="380"/>
      <c r="D533" s="380"/>
      <c r="E533" s="380"/>
      <c r="F533" s="380"/>
      <c r="G533" s="380"/>
      <c r="H533" s="380"/>
      <c r="I533" s="380"/>
      <c r="J533" s="380"/>
      <c r="K533" s="380"/>
      <c r="L533" s="380"/>
      <c r="M533" s="380"/>
      <c r="N533" s="380"/>
      <c r="O533" s="380"/>
      <c r="P533" s="380"/>
      <c r="Q533" s="380"/>
      <c r="R533" s="380"/>
      <c r="S533" s="380"/>
      <c r="T533" s="380"/>
      <c r="U533" s="380"/>
      <c r="V533" s="380"/>
      <c r="W533" s="380"/>
      <c r="X533" s="380"/>
      <c r="Y533" s="380"/>
    </row>
    <row r="534" spans="1:25" x14ac:dyDescent="0.25">
      <c r="A534" s="382" t="s">
        <v>391</v>
      </c>
      <c r="B534" s="437">
        <v>74.11899999979758</v>
      </c>
      <c r="C534" s="437">
        <v>133.33500000002269</v>
      </c>
      <c r="D534" s="437">
        <v>23.844000000338834</v>
      </c>
      <c r="E534" s="437">
        <f>SUM(B534:D534)</f>
        <v>231.29800000015911</v>
      </c>
      <c r="F534" s="437"/>
      <c r="G534" s="437">
        <v>80.028999999556547</v>
      </c>
      <c r="H534" s="437">
        <v>138.70200000008072</v>
      </c>
      <c r="I534" s="437">
        <v>22.206000000267171</v>
      </c>
      <c r="J534" s="437">
        <f>SUM(G534:I534)</f>
        <v>240.93699999990446</v>
      </c>
      <c r="K534" s="437"/>
      <c r="L534" s="437">
        <v>80.152999999349404</v>
      </c>
      <c r="M534" s="437">
        <v>151.23800000078478</v>
      </c>
      <c r="N534" s="437">
        <v>28.85100000023639</v>
      </c>
      <c r="O534" s="437">
        <f>SUM(L534:N534)</f>
        <v>260.24200000037058</v>
      </c>
      <c r="P534" s="437"/>
      <c r="Q534" s="437">
        <v>83.478000000075156</v>
      </c>
      <c r="R534" s="437">
        <v>157.67799999988657</v>
      </c>
      <c r="S534" s="437">
        <v>31.729000001016896</v>
      </c>
      <c r="T534" s="437">
        <f>SUM(Q534:S534)</f>
        <v>272.88500000097861</v>
      </c>
      <c r="U534" s="437"/>
      <c r="V534" s="437">
        <v>87.028999999680977</v>
      </c>
      <c r="W534" s="437">
        <v>163.4420000005245</v>
      </c>
      <c r="X534" s="437">
        <v>34.278000000673984</v>
      </c>
      <c r="Y534" s="437">
        <f>SUM(V534:X534)</f>
        <v>284.74900000087951</v>
      </c>
    </row>
    <row r="535" spans="1:25" x14ac:dyDescent="0.25">
      <c r="A535" s="382" t="s">
        <v>390</v>
      </c>
      <c r="B535" s="438">
        <v>90.752000000008067</v>
      </c>
      <c r="C535" s="438">
        <v>69.604000000064602</v>
      </c>
      <c r="D535" s="438">
        <v>35.371999999152692</v>
      </c>
      <c r="E535" s="438">
        <f t="shared" ref="E535:E536" si="1407">SUM(B535:D535)</f>
        <v>195.72799999922535</v>
      </c>
      <c r="F535" s="438"/>
      <c r="G535" s="438">
        <v>99.433999999951851</v>
      </c>
      <c r="H535" s="438">
        <v>85.862999999919083</v>
      </c>
      <c r="I535" s="438">
        <v>49.320999999647988</v>
      </c>
      <c r="J535" s="438">
        <f t="shared" ref="J535:J536" si="1408">SUM(G535:I535)</f>
        <v>234.61799999951893</v>
      </c>
      <c r="K535" s="438"/>
      <c r="L535" s="438">
        <v>107.1879999998262</v>
      </c>
      <c r="M535" s="438">
        <v>117.30500000015275</v>
      </c>
      <c r="N535" s="438">
        <v>52.334999998699502</v>
      </c>
      <c r="O535" s="438">
        <f t="shared" ref="O535:O536" si="1409">SUM(L535:N535)</f>
        <v>276.82799999867848</v>
      </c>
      <c r="P535" s="438"/>
      <c r="Q535" s="438">
        <v>115.76399999991519</v>
      </c>
      <c r="R535" s="438">
        <v>114.18999999957815</v>
      </c>
      <c r="S535" s="438">
        <v>51.901999998138464</v>
      </c>
      <c r="T535" s="438">
        <f t="shared" ref="T535:T536" si="1410">SUM(Q535:S535)</f>
        <v>281.85599999763178</v>
      </c>
      <c r="U535" s="438"/>
      <c r="V535" s="438">
        <v>124.17199999984491</v>
      </c>
      <c r="W535" s="438">
        <v>110.6769999996971</v>
      </c>
      <c r="X535" s="438">
        <v>50.953999998265594</v>
      </c>
      <c r="Y535" s="438">
        <f t="shared" ref="Y535:Y536" si="1411">SUM(V535:X535)</f>
        <v>285.8029999978076</v>
      </c>
    </row>
    <row r="536" spans="1:25" x14ac:dyDescent="0.25">
      <c r="A536" s="382" t="s">
        <v>389</v>
      </c>
      <c r="B536" s="438">
        <f>SUM(B534:B535)</f>
        <v>164.87099999980563</v>
      </c>
      <c r="C536" s="438">
        <f t="shared" ref="C536" si="1412">SUM(C534:C535)</f>
        <v>202.93900000008728</v>
      </c>
      <c r="D536" s="438">
        <f t="shared" ref="D536" si="1413">SUM(D534:D535)</f>
        <v>59.21599999949153</v>
      </c>
      <c r="E536" s="438">
        <f t="shared" si="1407"/>
        <v>427.02599999938445</v>
      </c>
      <c r="F536" s="438"/>
      <c r="G536" s="438">
        <f>SUM(G534:G535)</f>
        <v>179.46299999950838</v>
      </c>
      <c r="H536" s="438">
        <f t="shared" ref="H536" si="1414">SUM(H534:H535)</f>
        <v>224.5649999999998</v>
      </c>
      <c r="I536" s="438">
        <f t="shared" ref="I536" si="1415">SUM(I534:I535)</f>
        <v>71.526999999915162</v>
      </c>
      <c r="J536" s="438">
        <f t="shared" si="1408"/>
        <v>475.55499999942339</v>
      </c>
      <c r="K536" s="438"/>
      <c r="L536" s="438">
        <f>SUM(L534:L535)</f>
        <v>187.34099999917561</v>
      </c>
      <c r="M536" s="438">
        <f t="shared" ref="M536" si="1416">SUM(M534:M535)</f>
        <v>268.54300000093752</v>
      </c>
      <c r="N536" s="438">
        <f t="shared" ref="N536" si="1417">SUM(N534:N535)</f>
        <v>81.185999998935898</v>
      </c>
      <c r="O536" s="438">
        <f t="shared" si="1409"/>
        <v>537.06999999904906</v>
      </c>
      <c r="P536" s="438"/>
      <c r="Q536" s="438">
        <f>SUM(Q534:Q535)</f>
        <v>199.24199999999036</v>
      </c>
      <c r="R536" s="438">
        <f t="shared" ref="R536" si="1418">SUM(R534:R535)</f>
        <v>271.8679999994647</v>
      </c>
      <c r="S536" s="438">
        <f t="shared" ref="S536" si="1419">SUM(S534:S535)</f>
        <v>83.630999999155364</v>
      </c>
      <c r="T536" s="438">
        <f t="shared" si="1410"/>
        <v>554.74099999861039</v>
      </c>
      <c r="U536" s="438"/>
      <c r="V536" s="438">
        <f>SUM(V534:V535)</f>
        <v>211.20099999952589</v>
      </c>
      <c r="W536" s="438">
        <f t="shared" ref="W536" si="1420">SUM(W534:W535)</f>
        <v>274.1190000002216</v>
      </c>
      <c r="X536" s="438">
        <f t="shared" ref="X536" si="1421">SUM(X534:X535)</f>
        <v>85.231999998939585</v>
      </c>
      <c r="Y536" s="438">
        <f t="shared" si="1411"/>
        <v>570.55199999868705</v>
      </c>
    </row>
    <row r="537" spans="1:25" x14ac:dyDescent="0.25">
      <c r="A537" s="383"/>
    </row>
    <row r="538" spans="1:25" x14ac:dyDescent="0.25">
      <c r="A538" s="383" t="s">
        <v>393</v>
      </c>
    </row>
    <row r="539" spans="1:25" x14ac:dyDescent="0.25">
      <c r="A539" s="377" t="s">
        <v>391</v>
      </c>
      <c r="B539" s="437">
        <f>SUM(B519,B524,B529,B534)</f>
        <v>147.35799999961733</v>
      </c>
      <c r="C539" s="437">
        <f t="shared" ref="C539:D540" si="1422">SUM(C519,C524,C529,C534)</f>
        <v>212.64500000005393</v>
      </c>
      <c r="D539" s="437">
        <f t="shared" si="1422"/>
        <v>80.362000001127839</v>
      </c>
      <c r="E539" s="437">
        <f>SUM(B539:D539)</f>
        <v>440.36500000079911</v>
      </c>
      <c r="F539" s="437"/>
      <c r="G539" s="437">
        <f>SUM(G519,G524,G529,G534)</f>
        <v>144.77399999932584</v>
      </c>
      <c r="H539" s="437">
        <f t="shared" ref="H539:I539" si="1423">SUM(H519,H524,H529,H534)</f>
        <v>213.23100000006775</v>
      </c>
      <c r="I539" s="437">
        <f t="shared" si="1423"/>
        <v>77.062000001301143</v>
      </c>
      <c r="J539" s="437">
        <f>SUM(G539:I539)</f>
        <v>435.06700000069475</v>
      </c>
      <c r="K539" s="437"/>
      <c r="L539" s="437">
        <f>SUM(L519,L524,L529,L534)</f>
        <v>147.6139999986857</v>
      </c>
      <c r="M539" s="437">
        <f t="shared" ref="M539:N539" si="1424">SUM(M519,M524,M529,M534)</f>
        <v>229.51700000115653</v>
      </c>
      <c r="N539" s="437">
        <f t="shared" si="1424"/>
        <v>93.633000000640351</v>
      </c>
      <c r="O539" s="437">
        <f>SUM(L539:N539)</f>
        <v>470.76400000048261</v>
      </c>
      <c r="P539" s="437"/>
      <c r="Q539" s="437">
        <f>SUM(Q519,Q524,Q529,Q534)</f>
        <v>156.45100000019664</v>
      </c>
      <c r="R539" s="437">
        <f t="shared" ref="R539:S539" si="1425">SUM(R519,R524,R529,R534)</f>
        <v>240.46999999980372</v>
      </c>
      <c r="S539" s="437">
        <f t="shared" si="1425"/>
        <v>106.32000000355848</v>
      </c>
      <c r="T539" s="437">
        <f>SUM(Q539:S539)</f>
        <v>503.24100000355884</v>
      </c>
      <c r="U539" s="437"/>
      <c r="V539" s="437">
        <f>SUM(V519,V524,V529,V534)</f>
        <v>163.02799999930608</v>
      </c>
      <c r="W539" s="437">
        <f t="shared" ref="W539:X539" si="1426">SUM(W519,W524,W529,W534)</f>
        <v>247.57100000082346</v>
      </c>
      <c r="X539" s="437">
        <f t="shared" si="1426"/>
        <v>111.01600000208667</v>
      </c>
      <c r="Y539" s="437">
        <f>SUM(V539:X539)</f>
        <v>521.61500000221622</v>
      </c>
    </row>
    <row r="540" spans="1:25" x14ac:dyDescent="0.25">
      <c r="A540" s="377" t="s">
        <v>390</v>
      </c>
      <c r="B540" s="437">
        <f>SUM(B520,B525,B530,B535)</f>
        <v>194.08800000020602</v>
      </c>
      <c r="C540" s="437">
        <f t="shared" si="1422"/>
        <v>118.90900000005351</v>
      </c>
      <c r="D540" s="437">
        <f t="shared" si="1422"/>
        <v>115.63899999739262</v>
      </c>
      <c r="E540" s="437">
        <f t="shared" ref="E540:E541" si="1427">SUM(B540:D540)</f>
        <v>428.63599999765211</v>
      </c>
      <c r="F540" s="437"/>
      <c r="G540" s="437">
        <f>SUM(G520,G525,G530,G535)</f>
        <v>194.34100000012745</v>
      </c>
      <c r="H540" s="437">
        <f t="shared" ref="H540:I540" si="1428">SUM(H520,H525,H530,H535)</f>
        <v>131.60599999979081</v>
      </c>
      <c r="I540" s="437">
        <f t="shared" si="1428"/>
        <v>139.99099999927267</v>
      </c>
      <c r="J540" s="437">
        <f t="shared" ref="J540:J541" si="1429">SUM(G540:I540)</f>
        <v>465.93799999919094</v>
      </c>
      <c r="K540" s="437"/>
      <c r="L540" s="437">
        <f>SUM(L520,L525,L530,L535)</f>
        <v>202.93499999965456</v>
      </c>
      <c r="M540" s="437">
        <f t="shared" ref="M540:N540" si="1430">SUM(M520,M525,M530,M535)</f>
        <v>166.9590000002791</v>
      </c>
      <c r="N540" s="437">
        <f t="shared" si="1430"/>
        <v>140.36799999647161</v>
      </c>
      <c r="O540" s="437">
        <f t="shared" ref="O540:O541" si="1431">SUM(L540:N540)</f>
        <v>510.26199999640528</v>
      </c>
      <c r="P540" s="437"/>
      <c r="Q540" s="437">
        <f>SUM(Q520,Q525,Q530,Q535)</f>
        <v>222.24899999980516</v>
      </c>
      <c r="R540" s="437">
        <f t="shared" ref="R540:S540" si="1432">SUM(R520,R525,R530,R535)</f>
        <v>165.76499999948896</v>
      </c>
      <c r="S540" s="437">
        <f t="shared" si="1432"/>
        <v>150.14999999417256</v>
      </c>
      <c r="T540" s="437">
        <f t="shared" ref="T540:T541" si="1433">SUM(Q540:S540)</f>
        <v>538.16399999346663</v>
      </c>
      <c r="U540" s="437"/>
      <c r="V540" s="437">
        <f>SUM(V520,V525,V530,V535)</f>
        <v>237.48699999963696</v>
      </c>
      <c r="W540" s="437">
        <f t="shared" ref="W540:X540" si="1434">SUM(W520,W525,W530,W535)</f>
        <v>162.48099999964347</v>
      </c>
      <c r="X540" s="437">
        <f t="shared" si="1434"/>
        <v>148.94699999460227</v>
      </c>
      <c r="Y540" s="437">
        <f t="shared" ref="Y540:Y541" si="1435">SUM(V540:X540)</f>
        <v>548.9149999938827</v>
      </c>
    </row>
    <row r="541" spans="1:25" x14ac:dyDescent="0.25">
      <c r="A541" s="381" t="s">
        <v>389</v>
      </c>
      <c r="B541" s="439">
        <f>SUM(B539:B540)</f>
        <v>341.44599999982336</v>
      </c>
      <c r="C541" s="439">
        <f t="shared" ref="C541" si="1436">SUM(C539:C540)</f>
        <v>331.55400000010741</v>
      </c>
      <c r="D541" s="439">
        <f t="shared" ref="D541" si="1437">SUM(D539:D540)</f>
        <v>196.00099999852046</v>
      </c>
      <c r="E541" s="439">
        <f t="shared" si="1427"/>
        <v>869.00099999845122</v>
      </c>
      <c r="F541" s="439"/>
      <c r="G541" s="439">
        <f>SUM(G539:G540)</f>
        <v>339.11499999945329</v>
      </c>
      <c r="H541" s="439">
        <f t="shared" ref="H541" si="1438">SUM(H539:H540)</f>
        <v>344.83699999985856</v>
      </c>
      <c r="I541" s="439">
        <f t="shared" ref="I541" si="1439">SUM(I539:I540)</f>
        <v>217.05300000057383</v>
      </c>
      <c r="J541" s="439">
        <f t="shared" si="1429"/>
        <v>901.00499999988574</v>
      </c>
      <c r="K541" s="439"/>
      <c r="L541" s="439">
        <f>SUM(L539:L540)</f>
        <v>350.54899999834026</v>
      </c>
      <c r="M541" s="439">
        <f t="shared" ref="M541" si="1440">SUM(M539:M540)</f>
        <v>396.47600000143564</v>
      </c>
      <c r="N541" s="439">
        <f t="shared" ref="N541" si="1441">SUM(N539:N540)</f>
        <v>234.00099999711196</v>
      </c>
      <c r="O541" s="439">
        <f t="shared" si="1431"/>
        <v>981.02599999688789</v>
      </c>
      <c r="P541" s="439"/>
      <c r="Q541" s="439">
        <f>SUM(Q539:Q540)</f>
        <v>378.70000000000181</v>
      </c>
      <c r="R541" s="439">
        <f t="shared" ref="R541" si="1442">SUM(R539:R540)</f>
        <v>406.23499999929265</v>
      </c>
      <c r="S541" s="439">
        <f t="shared" ref="S541" si="1443">SUM(S539:S540)</f>
        <v>256.46999999773107</v>
      </c>
      <c r="T541" s="439">
        <f t="shared" si="1433"/>
        <v>1041.4049999970255</v>
      </c>
      <c r="U541" s="439"/>
      <c r="V541" s="439">
        <f>SUM(V539:V540)</f>
        <v>400.51499999894304</v>
      </c>
      <c r="W541" s="439">
        <f t="shared" ref="W541" si="1444">SUM(W539:W540)</f>
        <v>410.05200000046693</v>
      </c>
      <c r="X541" s="439">
        <f t="shared" ref="X541" si="1445">SUM(X539:X540)</f>
        <v>259.96299999668895</v>
      </c>
      <c r="Y541" s="439">
        <f t="shared" si="1435"/>
        <v>1070.5299999960989</v>
      </c>
    </row>
    <row r="545" spans="1:25" ht="13.8" x14ac:dyDescent="0.25">
      <c r="A545" s="385" t="str">
        <f>"Industry 22 : "&amp; name!B25</f>
        <v>Industry 22 : Other services</v>
      </c>
      <c r="B545" s="514">
        <f>$B$5</f>
        <v>2007</v>
      </c>
      <c r="C545" s="514"/>
      <c r="D545" s="514"/>
      <c r="E545" s="514"/>
      <c r="F545" s="461"/>
      <c r="G545" s="514">
        <f>$G$5</f>
        <v>2012</v>
      </c>
      <c r="H545" s="514"/>
      <c r="I545" s="514"/>
      <c r="J545" s="514"/>
      <c r="K545" s="461"/>
      <c r="L545" s="514">
        <f>$L$5</f>
        <v>2017</v>
      </c>
      <c r="M545" s="514"/>
      <c r="N545" s="514"/>
      <c r="O545" s="514"/>
      <c r="P545" s="459"/>
      <c r="Q545" s="514">
        <f>$Q$5</f>
        <v>2022</v>
      </c>
      <c r="R545" s="514"/>
      <c r="S545" s="514"/>
      <c r="T545" s="514"/>
      <c r="U545" s="461"/>
      <c r="V545" s="514">
        <f>$V$5</f>
        <v>2027</v>
      </c>
      <c r="W545" s="514"/>
      <c r="X545" s="514"/>
      <c r="Y545" s="514"/>
    </row>
    <row r="546" spans="1:25" x14ac:dyDescent="0.25">
      <c r="A546" s="381"/>
      <c r="B546" s="388" t="str">
        <f>$B$6</f>
        <v>FT</v>
      </c>
      <c r="C546" s="388" t="str">
        <f>$C$6</f>
        <v>PT</v>
      </c>
      <c r="D546" s="388" t="str">
        <f>$D$6</f>
        <v>SE</v>
      </c>
      <c r="E546" s="388" t="str">
        <f>$E$6</f>
        <v>Total</v>
      </c>
      <c r="F546" s="388"/>
      <c r="G546" s="388" t="str">
        <f>$B$6</f>
        <v>FT</v>
      </c>
      <c r="H546" s="388" t="str">
        <f>$C$6</f>
        <v>PT</v>
      </c>
      <c r="I546" s="388" t="str">
        <f>$D$6</f>
        <v>SE</v>
      </c>
      <c r="J546" s="388" t="str">
        <f>$E$6</f>
        <v>Total</v>
      </c>
      <c r="K546" s="388"/>
      <c r="L546" s="388" t="str">
        <f>$L$6</f>
        <v>FT</v>
      </c>
      <c r="M546" s="388" t="str">
        <f>$M$6</f>
        <v>PT</v>
      </c>
      <c r="N546" s="388" t="str">
        <f>$N$6</f>
        <v>SE</v>
      </c>
      <c r="O546" s="388" t="str">
        <f>$O$6</f>
        <v>Total</v>
      </c>
      <c r="P546" s="388"/>
      <c r="Q546" s="388" t="str">
        <f>$L$6</f>
        <v>FT</v>
      </c>
      <c r="R546" s="388" t="str">
        <f>$M$6</f>
        <v>PT</v>
      </c>
      <c r="S546" s="388" t="str">
        <f>$N$6</f>
        <v>SE</v>
      </c>
      <c r="T546" s="388" t="str">
        <f>$O$6</f>
        <v>Total</v>
      </c>
      <c r="U546" s="388"/>
      <c r="V546" s="388" t="str">
        <f>$V$6</f>
        <v>FT</v>
      </c>
      <c r="W546" s="388" t="str">
        <f>$W$6</f>
        <v>PT</v>
      </c>
      <c r="X546" s="388" t="str">
        <f>$X$6</f>
        <v>SE</v>
      </c>
      <c r="Y546" s="388" t="str">
        <f>$Y$6</f>
        <v>Total</v>
      </c>
    </row>
    <row r="547" spans="1:25" x14ac:dyDescent="0.25">
      <c r="B547" s="380"/>
      <c r="C547" s="460"/>
      <c r="D547" s="460"/>
      <c r="E547" s="460"/>
      <c r="F547" s="460"/>
      <c r="G547" s="460"/>
      <c r="H547" s="460"/>
      <c r="I547" s="460"/>
      <c r="J547" s="460"/>
      <c r="K547" s="460"/>
      <c r="L547" s="460"/>
      <c r="M547" s="460"/>
      <c r="N547" s="460"/>
      <c r="O547" s="460"/>
      <c r="P547" s="460"/>
      <c r="Q547" s="460"/>
      <c r="R547" s="460"/>
      <c r="S547" s="460"/>
      <c r="T547" s="460"/>
      <c r="U547" s="460"/>
      <c r="V547" s="460"/>
      <c r="W547" s="460"/>
      <c r="X547" s="460"/>
      <c r="Y547" s="460"/>
    </row>
    <row r="548" spans="1:25" x14ac:dyDescent="0.25">
      <c r="A548" s="378" t="str">
        <f>name!A76</f>
        <v>Membership organisations</v>
      </c>
      <c r="C548" s="380"/>
      <c r="D548" s="380"/>
      <c r="E548" s="380"/>
      <c r="F548" s="380"/>
      <c r="G548" s="380"/>
      <c r="H548" s="380"/>
      <c r="I548" s="380"/>
      <c r="J548" s="380"/>
      <c r="K548" s="380"/>
      <c r="L548" s="380"/>
      <c r="M548" s="380"/>
      <c r="N548" s="380"/>
      <c r="O548" s="380"/>
      <c r="P548" s="380"/>
      <c r="Q548" s="380"/>
      <c r="R548" s="380"/>
      <c r="S548" s="380"/>
      <c r="T548" s="380"/>
      <c r="U548" s="380"/>
      <c r="V548" s="380"/>
      <c r="W548" s="380"/>
      <c r="X548" s="380"/>
      <c r="Y548" s="380"/>
    </row>
    <row r="549" spans="1:25" x14ac:dyDescent="0.25">
      <c r="A549" s="382" t="s">
        <v>391</v>
      </c>
      <c r="B549" s="437">
        <v>87.498999999986935</v>
      </c>
      <c r="C549" s="437">
        <v>99.310999999736964</v>
      </c>
      <c r="D549" s="437">
        <v>55.93600000048248</v>
      </c>
      <c r="E549" s="437">
        <f>SUM(B549:D549)</f>
        <v>242.74600000020638</v>
      </c>
      <c r="F549" s="437"/>
      <c r="G549" s="437">
        <v>92.692999999806432</v>
      </c>
      <c r="H549" s="437">
        <v>104.55499999966761</v>
      </c>
      <c r="I549" s="437">
        <v>70.124000000562106</v>
      </c>
      <c r="J549" s="437">
        <f>SUM(G549:I549)</f>
        <v>267.37200000003617</v>
      </c>
      <c r="K549" s="437"/>
      <c r="L549" s="437">
        <v>112.26399999880144</v>
      </c>
      <c r="M549" s="437">
        <v>98.824999999780232</v>
      </c>
      <c r="N549" s="437">
        <v>86.887000000466685</v>
      </c>
      <c r="O549" s="437">
        <f>SUM(L549:N549)</f>
        <v>297.97599999904833</v>
      </c>
      <c r="P549" s="437"/>
      <c r="Q549" s="437">
        <v>114.49600000054981</v>
      </c>
      <c r="R549" s="437">
        <v>101.15699999994889</v>
      </c>
      <c r="S549" s="437">
        <v>89.358000002192753</v>
      </c>
      <c r="T549" s="437">
        <f>SUM(Q549:S549)</f>
        <v>305.01100000269145</v>
      </c>
      <c r="U549" s="437"/>
      <c r="V549" s="437">
        <v>114.26699999943889</v>
      </c>
      <c r="W549" s="437">
        <v>101.54700000015123</v>
      </c>
      <c r="X549" s="437">
        <v>88.802000001215248</v>
      </c>
      <c r="Y549" s="437">
        <f>SUM(V549:X549)</f>
        <v>304.61600000080534</v>
      </c>
    </row>
    <row r="550" spans="1:25" x14ac:dyDescent="0.25">
      <c r="A550" s="382" t="s">
        <v>390</v>
      </c>
      <c r="B550" s="438">
        <v>61.881000000505011</v>
      </c>
      <c r="C550" s="438">
        <v>25.7090000001884</v>
      </c>
      <c r="D550" s="438">
        <v>40.91899999937695</v>
      </c>
      <c r="E550" s="438">
        <f t="shared" ref="E550:E551" si="1446">SUM(B550:D550)</f>
        <v>128.50900000007036</v>
      </c>
      <c r="F550" s="438"/>
      <c r="G550" s="438">
        <v>54.068000000611029</v>
      </c>
      <c r="H550" s="438">
        <v>25.01700000017755</v>
      </c>
      <c r="I550" s="438">
        <v>36.56399999988799</v>
      </c>
      <c r="J550" s="438">
        <f t="shared" ref="J550:J551" si="1447">SUM(G550:I550)</f>
        <v>115.64900000067658</v>
      </c>
      <c r="K550" s="438"/>
      <c r="L550" s="438">
        <v>58.674999999374585</v>
      </c>
      <c r="M550" s="438">
        <v>20.630000000090146</v>
      </c>
      <c r="N550" s="438">
        <v>42.458999999017799</v>
      </c>
      <c r="O550" s="438">
        <f t="shared" ref="O550:O551" si="1448">SUM(L550:N550)</f>
        <v>121.76399999848252</v>
      </c>
      <c r="P550" s="438"/>
      <c r="Q550" s="438">
        <v>65.214000000076666</v>
      </c>
      <c r="R550" s="438">
        <v>20.77700000006822</v>
      </c>
      <c r="S550" s="438">
        <v>42.047999998537932</v>
      </c>
      <c r="T550" s="438">
        <f t="shared" ref="T550:T551" si="1449">SUM(Q550:S550)</f>
        <v>128.03899999868281</v>
      </c>
      <c r="U550" s="438"/>
      <c r="V550" s="438">
        <v>70.524999999673696</v>
      </c>
      <c r="W550" s="438">
        <v>20.71300000006066</v>
      </c>
      <c r="X550" s="438">
        <v>40.980999998698522</v>
      </c>
      <c r="Y550" s="438">
        <f t="shared" ref="Y550:Y551" si="1450">SUM(V550:X550)</f>
        <v>132.21899999843288</v>
      </c>
    </row>
    <row r="551" spans="1:25" x14ac:dyDescent="0.25">
      <c r="A551" s="382" t="s">
        <v>389</v>
      </c>
      <c r="B551" s="438">
        <f>SUM(B549:B550)</f>
        <v>149.38000000049195</v>
      </c>
      <c r="C551" s="438">
        <f t="shared" ref="C551" si="1451">SUM(C549:C550)</f>
        <v>125.01999999992536</v>
      </c>
      <c r="D551" s="438">
        <f t="shared" ref="D551" si="1452">SUM(D549:D550)</f>
        <v>96.85499999985943</v>
      </c>
      <c r="E551" s="438">
        <f t="shared" si="1446"/>
        <v>371.25500000027677</v>
      </c>
      <c r="F551" s="438"/>
      <c r="G551" s="438">
        <f>SUM(G549:G550)</f>
        <v>146.76100000041745</v>
      </c>
      <c r="H551" s="438">
        <f t="shared" ref="H551" si="1453">SUM(H549:H550)</f>
        <v>129.57199999984516</v>
      </c>
      <c r="I551" s="438">
        <f t="shared" ref="I551" si="1454">SUM(I549:I550)</f>
        <v>106.6880000004501</v>
      </c>
      <c r="J551" s="438">
        <f t="shared" si="1447"/>
        <v>383.02100000071266</v>
      </c>
      <c r="K551" s="438"/>
      <c r="L551" s="438">
        <f>SUM(L549:L550)</f>
        <v>170.93899999817603</v>
      </c>
      <c r="M551" s="438">
        <f t="shared" ref="M551" si="1455">SUM(M549:M550)</f>
        <v>119.45499999987038</v>
      </c>
      <c r="N551" s="438">
        <f t="shared" ref="N551" si="1456">SUM(N549:N550)</f>
        <v>129.34599999948449</v>
      </c>
      <c r="O551" s="438">
        <f t="shared" si="1448"/>
        <v>419.7399999975309</v>
      </c>
      <c r="P551" s="438"/>
      <c r="Q551" s="438">
        <f>SUM(Q549:Q550)</f>
        <v>179.71000000062648</v>
      </c>
      <c r="R551" s="438">
        <f t="shared" ref="R551" si="1457">SUM(R549:R550)</f>
        <v>121.93400000001711</v>
      </c>
      <c r="S551" s="438">
        <f t="shared" ref="S551" si="1458">SUM(S549:S550)</f>
        <v>131.40600000073067</v>
      </c>
      <c r="T551" s="438">
        <f t="shared" si="1449"/>
        <v>433.05000000137426</v>
      </c>
      <c r="U551" s="438"/>
      <c r="V551" s="438">
        <f>SUM(V549:V550)</f>
        <v>184.79199999911259</v>
      </c>
      <c r="W551" s="438">
        <f t="shared" ref="W551" si="1459">SUM(W549:W550)</f>
        <v>122.26000000021189</v>
      </c>
      <c r="X551" s="438">
        <f t="shared" ref="X551" si="1460">SUM(X549:X550)</f>
        <v>129.78299999991378</v>
      </c>
      <c r="Y551" s="438">
        <f t="shared" si="1450"/>
        <v>436.83499999923828</v>
      </c>
    </row>
    <row r="552" spans="1:25" x14ac:dyDescent="0.25">
      <c r="B552" s="380"/>
      <c r="C552" s="460"/>
      <c r="D552" s="460"/>
      <c r="E552" s="460"/>
      <c r="F552" s="460"/>
      <c r="G552" s="460"/>
      <c r="H552" s="460"/>
      <c r="I552" s="460"/>
      <c r="J552" s="460"/>
      <c r="K552" s="460"/>
      <c r="L552" s="460"/>
      <c r="M552" s="460"/>
      <c r="N552" s="460"/>
      <c r="O552" s="460"/>
      <c r="P552" s="460"/>
      <c r="Q552" s="460"/>
      <c r="R552" s="460"/>
      <c r="S552" s="460"/>
      <c r="T552" s="460"/>
      <c r="U552" s="460"/>
      <c r="V552" s="460"/>
      <c r="W552" s="460"/>
      <c r="X552" s="460"/>
      <c r="Y552" s="460"/>
    </row>
    <row r="553" spans="1:25" x14ac:dyDescent="0.25">
      <c r="A553" s="378" t="str">
        <f>name!A77</f>
        <v>Repair of goods</v>
      </c>
      <c r="C553" s="380"/>
      <c r="D553" s="380"/>
      <c r="E553" s="380"/>
      <c r="F553" s="380"/>
      <c r="G553" s="380"/>
      <c r="H553" s="380"/>
      <c r="I553" s="380"/>
      <c r="J553" s="380"/>
      <c r="K553" s="380"/>
      <c r="L553" s="380"/>
      <c r="M553" s="380"/>
      <c r="N553" s="380"/>
      <c r="O553" s="380"/>
      <c r="P553" s="380"/>
      <c r="Q553" s="380"/>
      <c r="R553" s="380"/>
      <c r="S553" s="380"/>
      <c r="T553" s="380"/>
      <c r="U553" s="380"/>
      <c r="V553" s="380"/>
      <c r="W553" s="380"/>
      <c r="X553" s="380"/>
      <c r="Y553" s="380"/>
    </row>
    <row r="554" spans="1:25" x14ac:dyDescent="0.25">
      <c r="A554" s="382" t="s">
        <v>391</v>
      </c>
      <c r="B554" s="437">
        <v>5.2459999999382934</v>
      </c>
      <c r="C554" s="437">
        <v>5.0510000001307116</v>
      </c>
      <c r="D554" s="437">
        <v>6.1490000000758362</v>
      </c>
      <c r="E554" s="437">
        <f>SUM(B554:D554)</f>
        <v>16.446000000144842</v>
      </c>
      <c r="F554" s="437"/>
      <c r="G554" s="437">
        <v>5.6999999999330697</v>
      </c>
      <c r="H554" s="437">
        <v>4.0320000001556879</v>
      </c>
      <c r="I554" s="437">
        <v>9.9470000001349401</v>
      </c>
      <c r="J554" s="437">
        <f>SUM(G554:I554)</f>
        <v>19.679000000223695</v>
      </c>
      <c r="K554" s="437"/>
      <c r="L554" s="437">
        <v>6.3769999999425844</v>
      </c>
      <c r="M554" s="437">
        <v>3.3980000001858088</v>
      </c>
      <c r="N554" s="437">
        <v>9.6220000001302921</v>
      </c>
      <c r="O554" s="437">
        <f>SUM(L554:N554)</f>
        <v>19.397000000258686</v>
      </c>
      <c r="P554" s="437"/>
      <c r="Q554" s="437">
        <v>6.4809999999476506</v>
      </c>
      <c r="R554" s="437">
        <v>3.5060000000253404</v>
      </c>
      <c r="S554" s="437">
        <v>9.8980000001886719</v>
      </c>
      <c r="T554" s="437">
        <f>SUM(Q554:S554)</f>
        <v>19.885000000161661</v>
      </c>
      <c r="U554" s="437"/>
      <c r="V554" s="437">
        <v>6.4379999999532709</v>
      </c>
      <c r="W554" s="437">
        <v>3.5610000000984452</v>
      </c>
      <c r="X554" s="437">
        <v>9.8400000001357046</v>
      </c>
      <c r="Y554" s="437">
        <f>SUM(V554:X554)</f>
        <v>19.839000000187418</v>
      </c>
    </row>
    <row r="555" spans="1:25" x14ac:dyDescent="0.25">
      <c r="A555" s="382" t="s">
        <v>390</v>
      </c>
      <c r="B555" s="438">
        <v>25.425999999962304</v>
      </c>
      <c r="C555" s="438">
        <v>2.223999999966459</v>
      </c>
      <c r="D555" s="438">
        <v>13.026999999880857</v>
      </c>
      <c r="E555" s="438">
        <f t="shared" ref="E555:E556" si="1461">SUM(B555:D555)</f>
        <v>40.676999999809624</v>
      </c>
      <c r="F555" s="438"/>
      <c r="G555" s="438">
        <v>23.115999999933955</v>
      </c>
      <c r="H555" s="438">
        <v>2.0209999999812958</v>
      </c>
      <c r="I555" s="438">
        <v>13.250999999928375</v>
      </c>
      <c r="J555" s="438">
        <f t="shared" ref="J555:J556" si="1462">SUM(G555:I555)</f>
        <v>38.387999999843629</v>
      </c>
      <c r="K555" s="438"/>
      <c r="L555" s="438">
        <v>23.219999999882017</v>
      </c>
      <c r="M555" s="438">
        <v>1.2869999999965751</v>
      </c>
      <c r="N555" s="438">
        <v>12.593999999886721</v>
      </c>
      <c r="O555" s="438">
        <f t="shared" ref="O555:O556" si="1463">SUM(L555:N555)</f>
        <v>37.100999999765314</v>
      </c>
      <c r="P555" s="438"/>
      <c r="Q555" s="438">
        <v>25.661000000089196</v>
      </c>
      <c r="R555" s="438">
        <v>1.2999999999850411</v>
      </c>
      <c r="S555" s="438">
        <v>12.430999999854608</v>
      </c>
      <c r="T555" s="438">
        <f t="shared" ref="T555:T556" si="1464">SUM(Q555:S555)</f>
        <v>39.391999999928842</v>
      </c>
      <c r="U555" s="438"/>
      <c r="V555" s="438">
        <v>27.55000000003918</v>
      </c>
      <c r="W555" s="438">
        <v>1.3009999999892043</v>
      </c>
      <c r="X555" s="438">
        <v>12.059999999904827</v>
      </c>
      <c r="Y555" s="438">
        <f t="shared" ref="Y555:Y556" si="1465">SUM(V555:X555)</f>
        <v>40.91099999993321</v>
      </c>
    </row>
    <row r="556" spans="1:25" x14ac:dyDescent="0.25">
      <c r="A556" s="382" t="s">
        <v>389</v>
      </c>
      <c r="B556" s="438">
        <f>SUM(B554:B555)</f>
        <v>30.671999999900599</v>
      </c>
      <c r="C556" s="438">
        <f t="shared" ref="C556" si="1466">SUM(C554:C555)</f>
        <v>7.2750000000971706</v>
      </c>
      <c r="D556" s="438">
        <f t="shared" ref="D556" si="1467">SUM(D554:D555)</f>
        <v>19.175999999956694</v>
      </c>
      <c r="E556" s="438">
        <f t="shared" si="1461"/>
        <v>57.122999999954466</v>
      </c>
      <c r="F556" s="438"/>
      <c r="G556" s="438">
        <f>SUM(G554:G555)</f>
        <v>28.815999999867024</v>
      </c>
      <c r="H556" s="438">
        <f t="shared" ref="H556" si="1468">SUM(H554:H555)</f>
        <v>6.0530000001369837</v>
      </c>
      <c r="I556" s="438">
        <f t="shared" ref="I556" si="1469">SUM(I554:I555)</f>
        <v>23.198000000063317</v>
      </c>
      <c r="J556" s="438">
        <f t="shared" si="1462"/>
        <v>58.067000000067324</v>
      </c>
      <c r="K556" s="438"/>
      <c r="L556" s="438">
        <f>SUM(L554:L555)</f>
        <v>29.5969999998246</v>
      </c>
      <c r="M556" s="438">
        <f t="shared" ref="M556" si="1470">SUM(M554:M555)</f>
        <v>4.6850000001823844</v>
      </c>
      <c r="N556" s="438">
        <f t="shared" ref="N556" si="1471">SUM(N554:N555)</f>
        <v>22.216000000017011</v>
      </c>
      <c r="O556" s="438">
        <f t="shared" si="1463"/>
        <v>56.498000000024</v>
      </c>
      <c r="P556" s="438"/>
      <c r="Q556" s="438">
        <f>SUM(Q554:Q555)</f>
        <v>32.142000000036845</v>
      </c>
      <c r="R556" s="438">
        <f t="shared" ref="R556" si="1472">SUM(R554:R555)</f>
        <v>4.806000000010382</v>
      </c>
      <c r="S556" s="438">
        <f t="shared" ref="S556" si="1473">SUM(S554:S555)</f>
        <v>22.32900000004328</v>
      </c>
      <c r="T556" s="438">
        <f t="shared" si="1464"/>
        <v>59.27700000009051</v>
      </c>
      <c r="U556" s="438"/>
      <c r="V556" s="438">
        <f>SUM(V554:V555)</f>
        <v>33.987999999992454</v>
      </c>
      <c r="W556" s="438">
        <f t="shared" ref="W556" si="1474">SUM(W554:W555)</f>
        <v>4.8620000000876491</v>
      </c>
      <c r="X556" s="438">
        <f t="shared" ref="X556" si="1475">SUM(X554:X555)</f>
        <v>21.900000000040531</v>
      </c>
      <c r="Y556" s="438">
        <f t="shared" si="1465"/>
        <v>60.750000000120636</v>
      </c>
    </row>
    <row r="557" spans="1:25" x14ac:dyDescent="0.25">
      <c r="B557" s="380"/>
      <c r="C557" s="460"/>
      <c r="D557" s="460"/>
      <c r="E557" s="460"/>
      <c r="F557" s="460"/>
      <c r="G557" s="460"/>
      <c r="H557" s="460"/>
      <c r="I557" s="460"/>
      <c r="J557" s="460"/>
      <c r="K557" s="460"/>
      <c r="L557" s="460"/>
      <c r="M557" s="460"/>
      <c r="N557" s="460"/>
      <c r="O557" s="460"/>
      <c r="P557" s="460"/>
      <c r="Q557" s="460"/>
      <c r="R557" s="460"/>
      <c r="S557" s="460"/>
      <c r="T557" s="460"/>
      <c r="U557" s="460"/>
      <c r="V557" s="460"/>
      <c r="W557" s="460"/>
      <c r="X557" s="460"/>
      <c r="Y557" s="460"/>
    </row>
    <row r="558" spans="1:25" x14ac:dyDescent="0.25">
      <c r="A558" s="378" t="str">
        <f>name!A78</f>
        <v>Other personal service</v>
      </c>
      <c r="C558" s="380"/>
      <c r="D558" s="380"/>
      <c r="E558" s="380"/>
      <c r="F558" s="380"/>
      <c r="G558" s="380"/>
      <c r="H558" s="380"/>
      <c r="I558" s="380"/>
      <c r="J558" s="380"/>
      <c r="K558" s="380"/>
      <c r="L558" s="380"/>
      <c r="M558" s="380"/>
      <c r="N558" s="380"/>
      <c r="O558" s="380"/>
      <c r="P558" s="380"/>
      <c r="Q558" s="380"/>
      <c r="R558" s="380"/>
      <c r="S558" s="380"/>
      <c r="T558" s="380"/>
      <c r="U558" s="380"/>
      <c r="V558" s="380"/>
      <c r="W558" s="380"/>
      <c r="X558" s="380"/>
      <c r="Y558" s="380"/>
    </row>
    <row r="559" spans="1:25" x14ac:dyDescent="0.25">
      <c r="A559" s="382" t="s">
        <v>391</v>
      </c>
      <c r="B559" s="437">
        <v>103.69699999897303</v>
      </c>
      <c r="C559" s="437">
        <v>100.17800000021838</v>
      </c>
      <c r="D559" s="437">
        <v>96.075000001292523</v>
      </c>
      <c r="E559" s="437">
        <f>SUM(B559:D559)</f>
        <v>299.9500000004839</v>
      </c>
      <c r="F559" s="437"/>
      <c r="G559" s="437">
        <v>78.406999999313385</v>
      </c>
      <c r="H559" s="437">
        <v>91.322000000187629</v>
      </c>
      <c r="I559" s="437">
        <v>97.089000001776341</v>
      </c>
      <c r="J559" s="437">
        <f>SUM(G559:I559)</f>
        <v>266.81800000127737</v>
      </c>
      <c r="K559" s="437"/>
      <c r="L559" s="437">
        <v>97.160999999177832</v>
      </c>
      <c r="M559" s="437">
        <v>114.63000000162495</v>
      </c>
      <c r="N559" s="437">
        <v>126.91900000309134</v>
      </c>
      <c r="O559" s="437">
        <f>SUM(L559:N559)</f>
        <v>338.71000000389415</v>
      </c>
      <c r="P559" s="437"/>
      <c r="Q559" s="437">
        <v>98.76399999865464</v>
      </c>
      <c r="R559" s="437">
        <v>117.57999999972735</v>
      </c>
      <c r="S559" s="437">
        <v>130.50400000277034</v>
      </c>
      <c r="T559" s="437">
        <f>SUM(Q559:S559)</f>
        <v>346.84800000115234</v>
      </c>
      <c r="U559" s="437"/>
      <c r="V559" s="437">
        <v>98.161999998957214</v>
      </c>
      <c r="W559" s="437">
        <v>118.40400000102589</v>
      </c>
      <c r="X559" s="437">
        <v>129.67700000229954</v>
      </c>
      <c r="Y559" s="437">
        <f>SUM(V559:X559)</f>
        <v>346.24300000228266</v>
      </c>
    </row>
    <row r="560" spans="1:25" x14ac:dyDescent="0.25">
      <c r="A560" s="382" t="s">
        <v>390</v>
      </c>
      <c r="B560" s="438">
        <v>145.63799999992534</v>
      </c>
      <c r="C560" s="438">
        <v>37.141000000048109</v>
      </c>
      <c r="D560" s="438">
        <v>67.893999998875813</v>
      </c>
      <c r="E560" s="438">
        <f t="shared" ref="E560:E561" si="1476">SUM(B560:D560)</f>
        <v>250.67299999884926</v>
      </c>
      <c r="F560" s="438"/>
      <c r="G560" s="438">
        <v>96.047999999788473</v>
      </c>
      <c r="H560" s="438">
        <v>31.982000000027149</v>
      </c>
      <c r="I560" s="438">
        <v>47.085999999724059</v>
      </c>
      <c r="J560" s="438">
        <f t="shared" ref="J560:J561" si="1477">SUM(G560:I560)</f>
        <v>175.1159999995397</v>
      </c>
      <c r="K560" s="438"/>
      <c r="L560" s="438">
        <v>102.35499999999678</v>
      </c>
      <c r="M560" s="438">
        <v>30.203000000093041</v>
      </c>
      <c r="N560" s="438">
        <v>59.519999999389377</v>
      </c>
      <c r="O560" s="438">
        <f t="shared" ref="O560:O561" si="1478">SUM(L560:N560)</f>
        <v>192.07799999947918</v>
      </c>
      <c r="P560" s="438"/>
      <c r="Q560" s="438">
        <v>113.30099999976537</v>
      </c>
      <c r="R560" s="438">
        <v>30.460999999963338</v>
      </c>
      <c r="S560" s="438">
        <v>58.822999998488392</v>
      </c>
      <c r="T560" s="438">
        <f t="shared" ref="T560:T561" si="1479">SUM(Q560:S560)</f>
        <v>202.58499999821711</v>
      </c>
      <c r="U560" s="438"/>
      <c r="V560" s="438">
        <v>121.91699999984174</v>
      </c>
      <c r="W560" s="438">
        <v>30.42499999996744</v>
      </c>
      <c r="X560" s="438">
        <v>57.165999998867306</v>
      </c>
      <c r="Y560" s="438">
        <f t="shared" ref="Y560:Y561" si="1480">SUM(V560:X560)</f>
        <v>209.50799999867647</v>
      </c>
    </row>
    <row r="561" spans="1:25" x14ac:dyDescent="0.25">
      <c r="A561" s="382" t="s">
        <v>389</v>
      </c>
      <c r="B561" s="438">
        <f>SUM(B559:B560)</f>
        <v>249.33499999889835</v>
      </c>
      <c r="C561" s="438">
        <f t="shared" ref="C561" si="1481">SUM(C559:C560)</f>
        <v>137.3190000002665</v>
      </c>
      <c r="D561" s="438">
        <f t="shared" ref="D561" si="1482">SUM(D559:D560)</f>
        <v>163.96900000016834</v>
      </c>
      <c r="E561" s="438">
        <f t="shared" si="1476"/>
        <v>550.62299999933316</v>
      </c>
      <c r="F561" s="438"/>
      <c r="G561" s="438">
        <f>SUM(G559:G560)</f>
        <v>174.45499999910186</v>
      </c>
      <c r="H561" s="438">
        <f t="shared" ref="H561" si="1483">SUM(H559:H560)</f>
        <v>123.30400000021478</v>
      </c>
      <c r="I561" s="438">
        <f t="shared" ref="I561" si="1484">SUM(I559:I560)</f>
        <v>144.17500000150039</v>
      </c>
      <c r="J561" s="438">
        <f t="shared" si="1477"/>
        <v>441.93400000081704</v>
      </c>
      <c r="K561" s="438"/>
      <c r="L561" s="438">
        <f>SUM(L559:L560)</f>
        <v>199.5159999991746</v>
      </c>
      <c r="M561" s="438">
        <f t="shared" ref="M561" si="1485">SUM(M559:M560)</f>
        <v>144.83300000171801</v>
      </c>
      <c r="N561" s="438">
        <f t="shared" ref="N561" si="1486">SUM(N559:N560)</f>
        <v>186.43900000248073</v>
      </c>
      <c r="O561" s="438">
        <f t="shared" si="1478"/>
        <v>530.78800000337333</v>
      </c>
      <c r="P561" s="438"/>
      <c r="Q561" s="438">
        <f>SUM(Q559:Q560)</f>
        <v>212.06499999842001</v>
      </c>
      <c r="R561" s="438">
        <f t="shared" ref="R561" si="1487">SUM(R559:R560)</f>
        <v>148.04099999969068</v>
      </c>
      <c r="S561" s="438">
        <f t="shared" ref="S561" si="1488">SUM(S559:S560)</f>
        <v>189.32700000125874</v>
      </c>
      <c r="T561" s="438">
        <f t="shared" si="1479"/>
        <v>549.43299999936949</v>
      </c>
      <c r="U561" s="438"/>
      <c r="V561" s="438">
        <f>SUM(V559:V560)</f>
        <v>220.07899999879896</v>
      </c>
      <c r="W561" s="438">
        <f t="shared" ref="W561" si="1489">SUM(W559:W560)</f>
        <v>148.82900000099335</v>
      </c>
      <c r="X561" s="438">
        <f t="shared" ref="X561" si="1490">SUM(X559:X560)</f>
        <v>186.84300000116684</v>
      </c>
      <c r="Y561" s="438">
        <f t="shared" si="1480"/>
        <v>555.75100000095915</v>
      </c>
    </row>
    <row r="562" spans="1:25" x14ac:dyDescent="0.25">
      <c r="A562" s="383"/>
      <c r="C562" s="453"/>
    </row>
    <row r="563" spans="1:25" x14ac:dyDescent="0.25">
      <c r="A563" s="383" t="s">
        <v>392</v>
      </c>
      <c r="C563" s="453"/>
    </row>
    <row r="564" spans="1:25" x14ac:dyDescent="0.25">
      <c r="A564" s="377" t="s">
        <v>391</v>
      </c>
      <c r="B564" s="437">
        <f>SUM(B549,B554,B559)</f>
        <v>196.44199999889827</v>
      </c>
      <c r="C564" s="437">
        <f t="shared" ref="C564:D564" si="1491">SUM(C549,C554,C559)</f>
        <v>204.54000000008605</v>
      </c>
      <c r="D564" s="437">
        <f t="shared" si="1491"/>
        <v>158.16000000185085</v>
      </c>
      <c r="E564" s="437">
        <f>SUM(B564:D564)</f>
        <v>559.1420000008352</v>
      </c>
      <c r="F564" s="437"/>
      <c r="G564" s="437">
        <f>SUM(G549,G554,G559)</f>
        <v>176.79999999905289</v>
      </c>
      <c r="H564" s="437">
        <f t="shared" ref="H564:I564" si="1492">SUM(H549,H554,H559)</f>
        <v>199.90900000001093</v>
      </c>
      <c r="I564" s="437">
        <f t="shared" si="1492"/>
        <v>177.1600000024734</v>
      </c>
      <c r="J564" s="437">
        <f>SUM(G564:I564)</f>
        <v>553.86900000153719</v>
      </c>
      <c r="K564" s="437"/>
      <c r="L564" s="437">
        <f>SUM(L549,L554,L559)</f>
        <v>215.80199999792185</v>
      </c>
      <c r="M564" s="437">
        <f t="shared" ref="M564" si="1493">SUM(M549,M554,M559)</f>
        <v>216.853000001591</v>
      </c>
      <c r="N564" s="437">
        <f>SUM(N549,N554,N559)</f>
        <v>223.42800000368834</v>
      </c>
      <c r="O564" s="437">
        <f>SUM(L564:N564)</f>
        <v>656.08300000320116</v>
      </c>
      <c r="P564" s="437"/>
      <c r="Q564" s="437">
        <f>SUM(Q549,Q554,Q559)</f>
        <v>219.74099999915211</v>
      </c>
      <c r="R564" s="437">
        <f t="shared" ref="R564:S564" si="1494">SUM(R549,R554,R559)</f>
        <v>222.24299999970157</v>
      </c>
      <c r="S564" s="437">
        <f t="shared" si="1494"/>
        <v>229.76000000515177</v>
      </c>
      <c r="T564" s="437">
        <f>SUM(Q564:S564)</f>
        <v>671.74400000400544</v>
      </c>
      <c r="U564" s="437"/>
      <c r="V564" s="437">
        <f>SUM(V549,V554,V559)</f>
        <v>218.8669999983494</v>
      </c>
      <c r="W564" s="437">
        <f t="shared" ref="W564:X564" si="1495">SUM(W549,W554,W559)</f>
        <v>223.51200000127557</v>
      </c>
      <c r="X564" s="437">
        <f t="shared" si="1495"/>
        <v>228.3190000036505</v>
      </c>
      <c r="Y564" s="437">
        <f>SUM(V564:X564)</f>
        <v>670.69800000327541</v>
      </c>
    </row>
    <row r="565" spans="1:25" x14ac:dyDescent="0.25">
      <c r="A565" s="377" t="s">
        <v>390</v>
      </c>
      <c r="B565" s="437">
        <f>SUM(B550,B555,B560)</f>
        <v>232.94500000039267</v>
      </c>
      <c r="C565" s="437">
        <f t="shared" ref="C565:D565" si="1496">SUM(C550,C555,C560)</f>
        <v>65.074000000202972</v>
      </c>
      <c r="D565" s="437">
        <f t="shared" si="1496"/>
        <v>121.83999999813362</v>
      </c>
      <c r="E565" s="437">
        <f t="shared" ref="E565:E566" si="1497">SUM(B565:D565)</f>
        <v>419.85899999872925</v>
      </c>
      <c r="F565" s="437"/>
      <c r="G565" s="437">
        <f>SUM(G550,G555,G560)</f>
        <v>173.23200000033347</v>
      </c>
      <c r="H565" s="437">
        <f t="shared" ref="H565:I565" si="1498">SUM(H550,H555,H560)</f>
        <v>59.020000000185995</v>
      </c>
      <c r="I565" s="437">
        <f t="shared" si="1498"/>
        <v>96.900999999540431</v>
      </c>
      <c r="J565" s="437">
        <f t="shared" ref="J565:J566" si="1499">SUM(G565:I565)</f>
        <v>329.15300000005993</v>
      </c>
      <c r="K565" s="437"/>
      <c r="L565" s="437">
        <f>SUM(L550,L555,L560)</f>
        <v>184.24999999925336</v>
      </c>
      <c r="M565" s="437">
        <f t="shared" ref="M565:N565" si="1500">SUM(M550,M555,M560)</f>
        <v>52.120000000179758</v>
      </c>
      <c r="N565" s="437">
        <f t="shared" si="1500"/>
        <v>114.57299999829389</v>
      </c>
      <c r="O565" s="437">
        <f t="shared" ref="O565:O566" si="1501">SUM(L565:N565)</f>
        <v>350.94299999772699</v>
      </c>
      <c r="P565" s="437"/>
      <c r="Q565" s="437">
        <f>SUM(Q550,Q555,Q560)</f>
        <v>204.17599999993124</v>
      </c>
      <c r="R565" s="437">
        <f t="shared" ref="R565:S565" si="1502">SUM(R550,R555,R560)</f>
        <v>52.538000000016595</v>
      </c>
      <c r="S565" s="437">
        <f t="shared" si="1502"/>
        <v>113.30199999688094</v>
      </c>
      <c r="T565" s="437">
        <f t="shared" ref="T565:T566" si="1503">SUM(Q565:S565)</f>
        <v>370.01599999682878</v>
      </c>
      <c r="U565" s="437"/>
      <c r="V565" s="437">
        <f>SUM(V550,V555,V560)</f>
        <v>219.99199999955459</v>
      </c>
      <c r="W565" s="437">
        <f t="shared" ref="W565:X565" si="1504">SUM(W550,W555,W560)</f>
        <v>52.439000000017302</v>
      </c>
      <c r="X565" s="437">
        <f t="shared" si="1504"/>
        <v>110.20699999747066</v>
      </c>
      <c r="Y565" s="437">
        <f t="shared" ref="Y565:Y566" si="1505">SUM(V565:X565)</f>
        <v>382.63799999704258</v>
      </c>
    </row>
    <row r="566" spans="1:25" x14ac:dyDescent="0.25">
      <c r="A566" s="381" t="s">
        <v>389</v>
      </c>
      <c r="B566" s="439">
        <f>SUM(B564:B565)</f>
        <v>429.38699999929094</v>
      </c>
      <c r="C566" s="439">
        <f t="shared" ref="C566" si="1506">SUM(C564:C565)</f>
        <v>269.61400000028902</v>
      </c>
      <c r="D566" s="439">
        <f t="shared" ref="D566" si="1507">SUM(D564:D565)</f>
        <v>279.99999999998448</v>
      </c>
      <c r="E566" s="439">
        <f t="shared" si="1497"/>
        <v>979.00099999956456</v>
      </c>
      <c r="F566" s="439"/>
      <c r="G566" s="439">
        <f>SUM(G564:G565)</f>
        <v>350.03199999938636</v>
      </c>
      <c r="H566" s="439">
        <f t="shared" ref="H566" si="1508">SUM(H564:H565)</f>
        <v>258.92900000019694</v>
      </c>
      <c r="I566" s="439">
        <f t="shared" ref="I566" si="1509">SUM(I564:I565)</f>
        <v>274.06100000201383</v>
      </c>
      <c r="J566" s="439">
        <f t="shared" si="1499"/>
        <v>883.02200000159701</v>
      </c>
      <c r="K566" s="439"/>
      <c r="L566" s="439">
        <f>SUM(L564:L565)</f>
        <v>400.05199999717524</v>
      </c>
      <c r="M566" s="439">
        <f t="shared" ref="M566" si="1510">SUM(M564:M565)</f>
        <v>268.97300000177074</v>
      </c>
      <c r="N566" s="439">
        <f t="shared" ref="N566" si="1511">SUM(N564:N565)</f>
        <v>338.00100000198222</v>
      </c>
      <c r="O566" s="439">
        <f t="shared" si="1501"/>
        <v>1007.0260000009282</v>
      </c>
      <c r="P566" s="439"/>
      <c r="Q566" s="439">
        <f>SUM(Q564:Q565)</f>
        <v>423.91699999908337</v>
      </c>
      <c r="R566" s="439">
        <f t="shared" ref="R566" si="1512">SUM(R564:R565)</f>
        <v>274.78099999971818</v>
      </c>
      <c r="S566" s="439">
        <f t="shared" ref="S566" si="1513">SUM(S564:S565)</f>
        <v>343.06200000203273</v>
      </c>
      <c r="T566" s="439">
        <f t="shared" si="1503"/>
        <v>1041.7600000008342</v>
      </c>
      <c r="U566" s="439"/>
      <c r="V566" s="439">
        <f>SUM(V564:V565)</f>
        <v>438.85899999790399</v>
      </c>
      <c r="W566" s="439">
        <f t="shared" ref="W566" si="1514">SUM(W564:W565)</f>
        <v>275.95100000129287</v>
      </c>
      <c r="X566" s="439">
        <f t="shared" ref="X566" si="1515">SUM(X564:X565)</f>
        <v>338.52600000112113</v>
      </c>
      <c r="Y566" s="439">
        <f t="shared" si="1505"/>
        <v>1053.3360000003181</v>
      </c>
    </row>
    <row r="578" spans="1:25" x14ac:dyDescent="0.25">
      <c r="A578" s="378"/>
      <c r="B578" s="380"/>
      <c r="C578" s="455"/>
      <c r="D578" s="380"/>
      <c r="E578" s="380"/>
      <c r="F578" s="380"/>
      <c r="G578" s="380"/>
      <c r="H578" s="380"/>
      <c r="I578" s="380"/>
      <c r="J578" s="380"/>
      <c r="K578" s="380"/>
      <c r="L578" s="380"/>
      <c r="M578" s="380"/>
      <c r="N578" s="380"/>
      <c r="O578" s="380"/>
      <c r="P578" s="380"/>
      <c r="Q578" s="380"/>
      <c r="R578" s="380"/>
      <c r="S578" s="380"/>
      <c r="T578" s="380"/>
      <c r="U578" s="380"/>
      <c r="V578" s="380"/>
      <c r="W578" s="380"/>
      <c r="X578" s="380"/>
      <c r="Y578" s="380"/>
    </row>
    <row r="579" spans="1:25" x14ac:dyDescent="0.25">
      <c r="A579" s="377"/>
      <c r="B579" s="380"/>
      <c r="C579" s="380"/>
      <c r="D579" s="380"/>
      <c r="E579" s="380"/>
      <c r="F579" s="380"/>
      <c r="G579" s="380"/>
      <c r="H579" s="380"/>
      <c r="I579" s="380"/>
      <c r="J579" s="380"/>
      <c r="K579" s="380"/>
      <c r="L579" s="380"/>
      <c r="M579" s="380"/>
      <c r="N579" s="380"/>
      <c r="O579" s="380"/>
      <c r="P579" s="380"/>
      <c r="Q579" s="380"/>
      <c r="R579" s="380"/>
      <c r="S579" s="380"/>
      <c r="T579" s="380"/>
      <c r="U579" s="380"/>
      <c r="V579" s="380"/>
      <c r="W579" s="380"/>
      <c r="X579" s="380"/>
      <c r="Y579" s="380"/>
    </row>
    <row r="580" spans="1:25" x14ac:dyDescent="0.25">
      <c r="A580" s="377"/>
      <c r="B580" s="380"/>
      <c r="C580" s="380"/>
      <c r="D580" s="380"/>
      <c r="E580" s="380"/>
      <c r="F580" s="380"/>
      <c r="G580" s="380"/>
      <c r="H580" s="380"/>
      <c r="I580" s="380"/>
      <c r="J580" s="380"/>
      <c r="K580" s="380"/>
      <c r="L580" s="380"/>
      <c r="M580" s="380"/>
      <c r="N580" s="380"/>
      <c r="O580" s="380"/>
      <c r="P580" s="380"/>
      <c r="Q580" s="380"/>
      <c r="R580" s="380"/>
      <c r="S580" s="380"/>
      <c r="T580" s="380"/>
      <c r="U580" s="380"/>
      <c r="V580" s="380"/>
      <c r="W580" s="380"/>
      <c r="X580" s="380"/>
      <c r="Y580" s="380"/>
    </row>
    <row r="581" spans="1:25" x14ac:dyDescent="0.25">
      <c r="A581" s="377"/>
      <c r="B581" s="380"/>
      <c r="C581" s="380"/>
      <c r="D581" s="380"/>
      <c r="E581" s="380"/>
      <c r="F581" s="380"/>
      <c r="G581" s="380"/>
      <c r="H581" s="380"/>
      <c r="I581" s="380"/>
      <c r="J581" s="380"/>
      <c r="K581" s="380"/>
      <c r="L581" s="380"/>
      <c r="M581" s="380"/>
      <c r="N581" s="380"/>
      <c r="O581" s="380"/>
      <c r="P581" s="380"/>
      <c r="Q581" s="380"/>
      <c r="R581" s="380"/>
      <c r="S581" s="380"/>
      <c r="T581" s="380"/>
      <c r="U581" s="380"/>
      <c r="V581" s="380"/>
      <c r="W581" s="380"/>
      <c r="X581" s="380"/>
      <c r="Y581" s="380"/>
    </row>
    <row r="582" spans="1:25" x14ac:dyDescent="0.25">
      <c r="A582" s="377"/>
      <c r="B582" s="380"/>
      <c r="C582" s="380"/>
      <c r="D582" s="380"/>
      <c r="E582" s="380"/>
      <c r="F582" s="380"/>
      <c r="G582" s="380"/>
      <c r="H582" s="380"/>
      <c r="I582" s="380"/>
      <c r="J582" s="380"/>
      <c r="K582" s="380"/>
      <c r="L582" s="380"/>
      <c r="M582" s="380"/>
      <c r="N582" s="380"/>
      <c r="O582" s="380"/>
      <c r="P582" s="380"/>
      <c r="Q582" s="380"/>
      <c r="R582" s="380"/>
      <c r="S582" s="380"/>
      <c r="T582" s="380"/>
      <c r="U582" s="380"/>
      <c r="V582" s="380"/>
      <c r="W582" s="380"/>
      <c r="X582" s="380"/>
      <c r="Y582" s="380"/>
    </row>
    <row r="583" spans="1:25" x14ac:dyDescent="0.25">
      <c r="A583" s="377"/>
      <c r="B583" s="380"/>
      <c r="C583" s="455"/>
      <c r="D583" s="380"/>
      <c r="E583" s="380"/>
      <c r="F583" s="380"/>
      <c r="G583" s="380"/>
      <c r="H583" s="380"/>
      <c r="I583" s="380"/>
      <c r="J583" s="380"/>
      <c r="K583" s="380"/>
      <c r="L583" s="380"/>
      <c r="M583" s="380"/>
      <c r="N583" s="380"/>
      <c r="O583" s="380"/>
      <c r="P583" s="380"/>
      <c r="Q583" s="380"/>
      <c r="R583" s="380"/>
      <c r="S583" s="380"/>
      <c r="T583" s="380"/>
      <c r="U583" s="380"/>
      <c r="V583" s="380"/>
      <c r="W583" s="380"/>
      <c r="X583" s="380"/>
      <c r="Y583" s="380"/>
    </row>
    <row r="584" spans="1:25" x14ac:dyDescent="0.25">
      <c r="A584" s="377"/>
      <c r="B584" s="380"/>
      <c r="C584" s="455"/>
      <c r="D584" s="380"/>
      <c r="E584" s="380"/>
      <c r="F584" s="380"/>
      <c r="G584" s="380"/>
      <c r="H584" s="380"/>
      <c r="I584" s="380"/>
      <c r="J584" s="380"/>
      <c r="K584" s="380"/>
      <c r="L584" s="380"/>
      <c r="M584" s="380"/>
      <c r="N584" s="380"/>
      <c r="O584" s="380"/>
      <c r="P584" s="380"/>
      <c r="Q584" s="380"/>
      <c r="R584" s="380"/>
      <c r="S584" s="380"/>
      <c r="T584" s="380"/>
      <c r="U584" s="380"/>
      <c r="V584" s="380"/>
      <c r="W584" s="380"/>
      <c r="X584" s="380"/>
      <c r="Y584" s="380"/>
    </row>
    <row r="585" spans="1:25" x14ac:dyDescent="0.25">
      <c r="A585" s="377"/>
      <c r="B585" s="380"/>
      <c r="C585" s="455"/>
      <c r="D585" s="380"/>
      <c r="E585" s="380"/>
      <c r="F585" s="380"/>
      <c r="G585" s="380"/>
      <c r="H585" s="380"/>
      <c r="I585" s="380"/>
      <c r="J585" s="380"/>
      <c r="K585" s="380"/>
      <c r="L585" s="380"/>
      <c r="M585" s="380"/>
      <c r="N585" s="380"/>
      <c r="O585" s="380"/>
      <c r="P585" s="380"/>
      <c r="Q585" s="380"/>
      <c r="R585" s="380"/>
      <c r="S585" s="380"/>
      <c r="T585" s="380"/>
      <c r="U585" s="380"/>
      <c r="V585" s="380"/>
      <c r="W585" s="380"/>
      <c r="X585" s="380"/>
      <c r="Y585" s="380"/>
    </row>
    <row r="586" spans="1:25" x14ac:dyDescent="0.25">
      <c r="A586" s="377"/>
      <c r="B586" s="380"/>
      <c r="C586" s="455"/>
      <c r="D586" s="380"/>
      <c r="E586" s="380"/>
      <c r="F586" s="380"/>
      <c r="G586" s="380"/>
      <c r="H586" s="380"/>
      <c r="I586" s="380"/>
      <c r="J586" s="380"/>
      <c r="K586" s="380"/>
      <c r="L586" s="380"/>
      <c r="M586" s="380"/>
      <c r="N586" s="380"/>
      <c r="O586" s="380"/>
      <c r="P586" s="380"/>
      <c r="Q586" s="380"/>
      <c r="R586" s="380"/>
      <c r="S586" s="380"/>
      <c r="T586" s="380"/>
      <c r="U586" s="380"/>
      <c r="V586" s="380"/>
      <c r="W586" s="380"/>
      <c r="X586" s="380"/>
      <c r="Y586" s="380"/>
    </row>
    <row r="587" spans="1:25" x14ac:dyDescent="0.25">
      <c r="A587" s="377"/>
      <c r="B587" s="380"/>
      <c r="C587" s="380"/>
      <c r="D587" s="380"/>
      <c r="E587" s="380"/>
      <c r="F587" s="380"/>
      <c r="G587" s="380"/>
      <c r="H587" s="380"/>
      <c r="I587" s="380"/>
      <c r="J587" s="380"/>
      <c r="K587" s="380"/>
      <c r="L587" s="380"/>
      <c r="M587" s="380"/>
      <c r="N587" s="380"/>
      <c r="O587" s="380"/>
      <c r="P587" s="380"/>
      <c r="Q587" s="380"/>
      <c r="R587" s="380"/>
      <c r="S587" s="380"/>
      <c r="T587" s="380"/>
      <c r="U587" s="380"/>
      <c r="V587" s="380"/>
      <c r="W587" s="380"/>
      <c r="X587" s="380"/>
      <c r="Y587" s="380"/>
    </row>
    <row r="588" spans="1:25" x14ac:dyDescent="0.25">
      <c r="A588" s="379"/>
      <c r="B588" s="380"/>
      <c r="C588" s="455"/>
      <c r="D588" s="380"/>
      <c r="E588" s="380"/>
      <c r="F588" s="380"/>
      <c r="G588" s="380"/>
      <c r="H588" s="380"/>
      <c r="I588" s="380"/>
      <c r="J588" s="380"/>
      <c r="K588" s="380"/>
      <c r="L588" s="380"/>
      <c r="M588" s="380"/>
      <c r="N588" s="380"/>
      <c r="O588" s="380"/>
      <c r="P588" s="380"/>
      <c r="Q588" s="380"/>
      <c r="R588" s="380"/>
      <c r="S588" s="380"/>
      <c r="T588" s="380"/>
      <c r="U588" s="380"/>
      <c r="V588" s="380"/>
      <c r="W588" s="380"/>
      <c r="X588" s="380"/>
      <c r="Y588" s="380"/>
    </row>
    <row r="589" spans="1:25" x14ac:dyDescent="0.25">
      <c r="A589" s="378"/>
      <c r="B589" s="380"/>
      <c r="C589" s="455"/>
      <c r="D589" s="380"/>
      <c r="E589" s="380"/>
      <c r="F589" s="380"/>
      <c r="G589" s="380"/>
      <c r="H589" s="380"/>
      <c r="I589" s="380"/>
      <c r="J589" s="380"/>
      <c r="K589" s="380"/>
      <c r="L589" s="380"/>
      <c r="M589" s="380"/>
      <c r="N589" s="380"/>
      <c r="O589" s="380"/>
      <c r="P589" s="380"/>
      <c r="Q589" s="380"/>
      <c r="R589" s="380"/>
      <c r="S589" s="380"/>
      <c r="T589" s="380"/>
      <c r="U589" s="380"/>
      <c r="V589" s="380"/>
      <c r="W589" s="380"/>
      <c r="X589" s="380"/>
      <c r="Y589" s="380"/>
    </row>
    <row r="590" spans="1:25" x14ac:dyDescent="0.25">
      <c r="A590" s="377"/>
      <c r="B590" s="380"/>
      <c r="C590" s="455"/>
      <c r="D590" s="380"/>
      <c r="E590" s="380"/>
      <c r="F590" s="380"/>
      <c r="G590" s="380"/>
      <c r="H590" s="380"/>
      <c r="I590" s="380"/>
      <c r="J590" s="380"/>
      <c r="K590" s="380"/>
      <c r="L590" s="380"/>
      <c r="M590" s="380"/>
      <c r="N590" s="380"/>
      <c r="O590" s="380"/>
      <c r="P590" s="380"/>
      <c r="Q590" s="380"/>
      <c r="R590" s="380"/>
      <c r="S590" s="380"/>
      <c r="T590" s="380"/>
      <c r="U590" s="380"/>
      <c r="V590" s="380"/>
      <c r="W590" s="380"/>
      <c r="X590" s="380"/>
      <c r="Y590" s="380"/>
    </row>
    <row r="591" spans="1:25" x14ac:dyDescent="0.25">
      <c r="A591" s="377"/>
      <c r="B591" s="380"/>
      <c r="C591" s="455"/>
      <c r="D591" s="380"/>
      <c r="E591" s="380"/>
      <c r="F591" s="380"/>
      <c r="G591" s="380"/>
      <c r="H591" s="380"/>
      <c r="I591" s="380"/>
      <c r="J591" s="380"/>
      <c r="K591" s="380"/>
      <c r="L591" s="380"/>
      <c r="M591" s="380"/>
      <c r="N591" s="380"/>
      <c r="O591" s="380"/>
      <c r="P591" s="380"/>
      <c r="Q591" s="380"/>
      <c r="R591" s="380"/>
      <c r="S591" s="380"/>
      <c r="T591" s="380"/>
      <c r="U591" s="380"/>
      <c r="V591" s="380"/>
      <c r="W591" s="380"/>
      <c r="X591" s="380"/>
      <c r="Y591" s="380"/>
    </row>
    <row r="592" spans="1:25" x14ac:dyDescent="0.25">
      <c r="A592" s="377"/>
      <c r="B592" s="380"/>
      <c r="C592" s="380"/>
      <c r="D592" s="380"/>
      <c r="E592" s="380"/>
      <c r="F592" s="380"/>
      <c r="G592" s="380"/>
      <c r="H592" s="380"/>
      <c r="I592" s="380"/>
      <c r="J592" s="380"/>
      <c r="K592" s="380"/>
      <c r="L592" s="380"/>
      <c r="M592" s="380"/>
      <c r="N592" s="380"/>
      <c r="O592" s="380"/>
      <c r="P592" s="380"/>
      <c r="Q592" s="380"/>
      <c r="R592" s="380"/>
      <c r="S592" s="380"/>
      <c r="T592" s="380"/>
      <c r="U592" s="380"/>
      <c r="V592" s="380"/>
      <c r="W592" s="380"/>
      <c r="X592" s="380"/>
      <c r="Y592" s="380"/>
    </row>
    <row r="593" spans="1:25" x14ac:dyDescent="0.25">
      <c r="A593" s="378"/>
      <c r="B593" s="380"/>
      <c r="C593" s="455"/>
      <c r="D593" s="380"/>
      <c r="E593" s="380"/>
      <c r="F593" s="380"/>
      <c r="G593" s="380"/>
      <c r="H593" s="380"/>
      <c r="I593" s="380"/>
      <c r="J593" s="380"/>
      <c r="K593" s="380"/>
      <c r="L593" s="380"/>
      <c r="M593" s="380"/>
      <c r="N593" s="380"/>
      <c r="O593" s="380"/>
      <c r="P593" s="380"/>
      <c r="Q593" s="380"/>
      <c r="R593" s="380"/>
      <c r="S593" s="380"/>
      <c r="T593" s="380"/>
      <c r="U593" s="380"/>
      <c r="V593" s="380"/>
      <c r="W593" s="380"/>
      <c r="X593" s="380"/>
      <c r="Y593" s="380"/>
    </row>
    <row r="594" spans="1:25" x14ac:dyDescent="0.25">
      <c r="A594" s="377"/>
      <c r="B594" s="380"/>
      <c r="C594" s="380"/>
      <c r="D594" s="380"/>
      <c r="E594" s="380"/>
      <c r="F594" s="380"/>
      <c r="G594" s="380"/>
      <c r="H594" s="380"/>
      <c r="I594" s="380"/>
      <c r="J594" s="380"/>
      <c r="K594" s="380"/>
      <c r="L594" s="380"/>
      <c r="M594" s="380"/>
      <c r="N594" s="380"/>
      <c r="O594" s="380"/>
      <c r="P594" s="380"/>
      <c r="Q594" s="380"/>
      <c r="R594" s="380"/>
      <c r="S594" s="380"/>
      <c r="T594" s="380"/>
      <c r="U594" s="380"/>
      <c r="V594" s="380"/>
      <c r="W594" s="380"/>
      <c r="X594" s="380"/>
      <c r="Y594" s="380"/>
    </row>
    <row r="595" spans="1:25" x14ac:dyDescent="0.25">
      <c r="A595" s="377"/>
      <c r="B595" s="380"/>
      <c r="C595" s="380"/>
      <c r="D595" s="380"/>
      <c r="E595" s="380"/>
      <c r="F595" s="380"/>
      <c r="G595" s="380"/>
      <c r="H595" s="380"/>
      <c r="I595" s="380"/>
      <c r="J595" s="380"/>
      <c r="K595" s="380"/>
      <c r="L595" s="380"/>
      <c r="M595" s="380"/>
      <c r="N595" s="380"/>
      <c r="O595" s="380"/>
      <c r="P595" s="380"/>
      <c r="Q595" s="380"/>
      <c r="R595" s="380"/>
      <c r="S595" s="380"/>
      <c r="T595" s="380"/>
      <c r="U595" s="380"/>
      <c r="V595" s="380"/>
      <c r="W595" s="380"/>
      <c r="X595" s="380"/>
      <c r="Y595" s="380"/>
    </row>
    <row r="596" spans="1:25" x14ac:dyDescent="0.25">
      <c r="A596" s="377"/>
      <c r="B596" s="380"/>
      <c r="C596" s="380"/>
      <c r="D596" s="380"/>
      <c r="E596" s="380"/>
      <c r="F596" s="380"/>
      <c r="G596" s="380"/>
      <c r="H596" s="380"/>
      <c r="I596" s="380"/>
      <c r="J596" s="380"/>
      <c r="K596" s="380"/>
      <c r="L596" s="380"/>
      <c r="M596" s="380"/>
      <c r="N596" s="380"/>
      <c r="O596" s="380"/>
      <c r="P596" s="380"/>
      <c r="Q596" s="380"/>
      <c r="R596" s="380"/>
      <c r="S596" s="380"/>
      <c r="T596" s="380"/>
      <c r="U596" s="380"/>
      <c r="V596" s="380"/>
      <c r="W596" s="380"/>
      <c r="X596" s="380"/>
      <c r="Y596" s="380"/>
    </row>
    <row r="597" spans="1:25" x14ac:dyDescent="0.25">
      <c r="A597" s="377"/>
      <c r="B597" s="380"/>
      <c r="C597" s="455"/>
      <c r="D597" s="380"/>
      <c r="E597" s="380"/>
      <c r="F597" s="380"/>
      <c r="G597" s="380"/>
      <c r="H597" s="380"/>
      <c r="I597" s="380"/>
      <c r="J597" s="380"/>
      <c r="K597" s="380"/>
      <c r="L597" s="380"/>
      <c r="M597" s="380"/>
      <c r="N597" s="380"/>
      <c r="O597" s="380"/>
      <c r="P597" s="380"/>
      <c r="Q597" s="380"/>
      <c r="R597" s="380"/>
      <c r="S597" s="380"/>
      <c r="T597" s="380"/>
      <c r="U597" s="380"/>
      <c r="V597" s="380"/>
      <c r="W597" s="380"/>
      <c r="X597" s="380"/>
      <c r="Y597" s="380"/>
    </row>
    <row r="598" spans="1:25" x14ac:dyDescent="0.25">
      <c r="A598" s="378"/>
      <c r="B598" s="380"/>
      <c r="C598" s="455"/>
      <c r="D598" s="380"/>
      <c r="E598" s="380"/>
      <c r="F598" s="380"/>
      <c r="G598" s="380"/>
      <c r="H598" s="380"/>
      <c r="I598" s="380"/>
      <c r="J598" s="380"/>
      <c r="K598" s="380"/>
      <c r="L598" s="380"/>
      <c r="M598" s="380"/>
      <c r="N598" s="380"/>
      <c r="O598" s="380"/>
      <c r="P598" s="380"/>
      <c r="Q598" s="380"/>
      <c r="R598" s="380"/>
      <c r="S598" s="380"/>
      <c r="T598" s="380"/>
      <c r="U598" s="380"/>
      <c r="V598" s="380"/>
      <c r="W598" s="380"/>
      <c r="X598" s="380"/>
      <c r="Y598" s="380"/>
    </row>
    <row r="599" spans="1:25" x14ac:dyDescent="0.25">
      <c r="A599" s="377"/>
      <c r="B599" s="380"/>
      <c r="C599" s="380"/>
      <c r="D599" s="380"/>
      <c r="E599" s="380"/>
      <c r="F599" s="380"/>
      <c r="G599" s="380"/>
      <c r="H599" s="380"/>
      <c r="I599" s="380"/>
      <c r="J599" s="380"/>
      <c r="K599" s="380"/>
      <c r="L599" s="380"/>
      <c r="M599" s="380"/>
      <c r="N599" s="380"/>
      <c r="O599" s="380"/>
      <c r="P599" s="380"/>
      <c r="Q599" s="380"/>
      <c r="R599" s="380"/>
      <c r="S599" s="380"/>
      <c r="T599" s="380"/>
      <c r="U599" s="380"/>
      <c r="V599" s="380"/>
      <c r="W599" s="380"/>
      <c r="X599" s="380"/>
      <c r="Y599" s="380"/>
    </row>
    <row r="600" spans="1:25" x14ac:dyDescent="0.25">
      <c r="A600" s="377"/>
      <c r="B600" s="380"/>
      <c r="C600" s="380"/>
      <c r="D600" s="380"/>
      <c r="E600" s="380"/>
      <c r="F600" s="380"/>
      <c r="G600" s="380"/>
      <c r="H600" s="380"/>
      <c r="I600" s="380"/>
      <c r="J600" s="380"/>
      <c r="K600" s="380"/>
      <c r="L600" s="380"/>
      <c r="M600" s="380"/>
      <c r="N600" s="380"/>
      <c r="O600" s="380"/>
      <c r="P600" s="380"/>
      <c r="Q600" s="380"/>
      <c r="R600" s="380"/>
      <c r="S600" s="380"/>
      <c r="T600" s="380"/>
      <c r="U600" s="380"/>
      <c r="V600" s="380"/>
      <c r="W600" s="380"/>
      <c r="X600" s="380"/>
      <c r="Y600" s="380"/>
    </row>
    <row r="601" spans="1:25" x14ac:dyDescent="0.25">
      <c r="A601" s="377"/>
      <c r="B601" s="380"/>
      <c r="C601" s="380"/>
      <c r="D601" s="380"/>
      <c r="E601" s="380"/>
      <c r="F601" s="380"/>
      <c r="G601" s="380"/>
      <c r="H601" s="380"/>
      <c r="I601" s="380"/>
      <c r="J601" s="380"/>
      <c r="K601" s="380"/>
      <c r="L601" s="380"/>
      <c r="M601" s="380"/>
      <c r="N601" s="380"/>
      <c r="O601" s="380"/>
      <c r="P601" s="380"/>
      <c r="Q601" s="380"/>
      <c r="R601" s="380"/>
      <c r="S601" s="380"/>
      <c r="T601" s="380"/>
      <c r="U601" s="380"/>
      <c r="V601" s="380"/>
      <c r="W601" s="380"/>
      <c r="X601" s="380"/>
      <c r="Y601" s="380"/>
    </row>
    <row r="602" spans="1:25" x14ac:dyDescent="0.25">
      <c r="A602" s="377"/>
      <c r="B602" s="380"/>
      <c r="C602" s="380"/>
      <c r="D602" s="380"/>
      <c r="E602" s="380"/>
      <c r="F602" s="380"/>
      <c r="G602" s="380"/>
      <c r="H602" s="380"/>
      <c r="I602" s="380"/>
      <c r="J602" s="380"/>
      <c r="K602" s="380"/>
      <c r="L602" s="380"/>
      <c r="M602" s="380"/>
      <c r="N602" s="380"/>
      <c r="O602" s="380"/>
      <c r="P602" s="380"/>
      <c r="Q602" s="380"/>
      <c r="R602" s="380"/>
      <c r="S602" s="380"/>
      <c r="T602" s="380"/>
      <c r="U602" s="380"/>
      <c r="V602" s="380"/>
      <c r="W602" s="380"/>
      <c r="X602" s="380"/>
      <c r="Y602" s="380"/>
    </row>
    <row r="603" spans="1:25" x14ac:dyDescent="0.25">
      <c r="C603" s="453"/>
    </row>
    <row r="604" spans="1:25" x14ac:dyDescent="0.25">
      <c r="C604" s="453"/>
    </row>
    <row r="605" spans="1:25" x14ac:dyDescent="0.25">
      <c r="C605" s="453"/>
    </row>
    <row r="606" spans="1:25" x14ac:dyDescent="0.25">
      <c r="C606" s="453"/>
    </row>
    <row r="607" spans="1:25" x14ac:dyDescent="0.25">
      <c r="A607" s="383"/>
    </row>
    <row r="608" spans="1:25" x14ac:dyDescent="0.25">
      <c r="C608" s="453"/>
    </row>
    <row r="609" spans="1:3" x14ac:dyDescent="0.25">
      <c r="C609" s="453"/>
    </row>
    <row r="610" spans="1:3" x14ac:dyDescent="0.25">
      <c r="A610" s="383"/>
    </row>
    <row r="611" spans="1:3" x14ac:dyDescent="0.25">
      <c r="C611" s="453"/>
    </row>
    <row r="612" spans="1:3" x14ac:dyDescent="0.25">
      <c r="C612" s="453"/>
    </row>
    <row r="613" spans="1:3" x14ac:dyDescent="0.25">
      <c r="C613" s="453"/>
    </row>
    <row r="638" spans="1:3" x14ac:dyDescent="0.25">
      <c r="A638" s="383"/>
    </row>
    <row r="639" spans="1:3" x14ac:dyDescent="0.25">
      <c r="C639" s="453"/>
    </row>
    <row r="640" spans="1:3" x14ac:dyDescent="0.25">
      <c r="C640" s="453"/>
    </row>
    <row r="641" spans="1:3" x14ac:dyDescent="0.25">
      <c r="C641" s="453"/>
    </row>
    <row r="643" spans="1:3" x14ac:dyDescent="0.25">
      <c r="A643" s="383"/>
    </row>
    <row r="644" spans="1:3" x14ac:dyDescent="0.25">
      <c r="C644" s="453"/>
    </row>
    <row r="645" spans="1:3" x14ac:dyDescent="0.25">
      <c r="C645" s="453"/>
    </row>
    <row r="646" spans="1:3" x14ac:dyDescent="0.25">
      <c r="C646" s="453"/>
    </row>
    <row r="647" spans="1:3" x14ac:dyDescent="0.25">
      <c r="C647" s="453"/>
    </row>
    <row r="648" spans="1:3" x14ac:dyDescent="0.25">
      <c r="A648" s="383"/>
    </row>
    <row r="649" spans="1:3" x14ac:dyDescent="0.25">
      <c r="C649" s="453"/>
    </row>
    <row r="650" spans="1:3" x14ac:dyDescent="0.25">
      <c r="C650" s="453"/>
    </row>
    <row r="651" spans="1:3" x14ac:dyDescent="0.25">
      <c r="C651" s="453"/>
    </row>
    <row r="652" spans="1:3" x14ac:dyDescent="0.25">
      <c r="A652" s="384"/>
    </row>
    <row r="653" spans="1:3" x14ac:dyDescent="0.25">
      <c r="A653" s="383"/>
    </row>
    <row r="654" spans="1:3" x14ac:dyDescent="0.25">
      <c r="C654" s="453"/>
    </row>
    <row r="655" spans="1:3" x14ac:dyDescent="0.25">
      <c r="C655" s="453"/>
    </row>
    <row r="656" spans="1:3" x14ac:dyDescent="0.25">
      <c r="C656" s="453"/>
    </row>
    <row r="658" spans="1:3" x14ac:dyDescent="0.25">
      <c r="A658" s="383"/>
    </row>
    <row r="659" spans="1:3" x14ac:dyDescent="0.25">
      <c r="C659" s="453"/>
    </row>
    <row r="660" spans="1:3" x14ac:dyDescent="0.25">
      <c r="C660" s="453"/>
    </row>
    <row r="661" spans="1:3" x14ac:dyDescent="0.25">
      <c r="C661" s="453"/>
    </row>
    <row r="662" spans="1:3" x14ac:dyDescent="0.25">
      <c r="C662" s="453"/>
    </row>
    <row r="663" spans="1:3" x14ac:dyDescent="0.25">
      <c r="A663" s="383"/>
    </row>
    <row r="664" spans="1:3" x14ac:dyDescent="0.25">
      <c r="C664" s="453"/>
    </row>
    <row r="665" spans="1:3" x14ac:dyDescent="0.25">
      <c r="C665" s="453"/>
    </row>
    <row r="666" spans="1:3" x14ac:dyDescent="0.25">
      <c r="A666" s="383"/>
    </row>
    <row r="667" spans="1:3" x14ac:dyDescent="0.25">
      <c r="C667" s="453"/>
    </row>
    <row r="668" spans="1:3" x14ac:dyDescent="0.25">
      <c r="C668" s="453"/>
    </row>
    <row r="669" spans="1:3" x14ac:dyDescent="0.25">
      <c r="C669" s="453"/>
    </row>
    <row r="670" spans="1:3" x14ac:dyDescent="0.25">
      <c r="C670" s="453"/>
    </row>
    <row r="671" spans="1:3" x14ac:dyDescent="0.25">
      <c r="C671" s="453"/>
    </row>
    <row r="672" spans="1:3" x14ac:dyDescent="0.25">
      <c r="C672" s="453"/>
    </row>
    <row r="673" spans="1:3" x14ac:dyDescent="0.25">
      <c r="A673" s="383"/>
      <c r="C673" s="453"/>
    </row>
    <row r="674" spans="1:3" x14ac:dyDescent="0.25">
      <c r="C674" s="453"/>
    </row>
    <row r="675" spans="1:3" x14ac:dyDescent="0.25">
      <c r="C675" s="453"/>
    </row>
    <row r="676" spans="1:3" x14ac:dyDescent="0.25">
      <c r="C676" s="453"/>
    </row>
    <row r="677" spans="1:3" x14ac:dyDescent="0.25">
      <c r="A677" s="384"/>
    </row>
    <row r="678" spans="1:3" x14ac:dyDescent="0.25">
      <c r="A678" s="383"/>
    </row>
    <row r="679" spans="1:3" x14ac:dyDescent="0.25">
      <c r="C679" s="453"/>
    </row>
    <row r="680" spans="1:3" x14ac:dyDescent="0.25">
      <c r="C680" s="453"/>
    </row>
    <row r="681" spans="1:3" x14ac:dyDescent="0.25">
      <c r="C681" s="453"/>
    </row>
    <row r="683" spans="1:3" x14ac:dyDescent="0.25">
      <c r="A683" s="383"/>
    </row>
    <row r="684" spans="1:3" x14ac:dyDescent="0.25">
      <c r="C684" s="453"/>
    </row>
    <row r="685" spans="1:3" x14ac:dyDescent="0.25">
      <c r="C685" s="453"/>
    </row>
    <row r="686" spans="1:3" x14ac:dyDescent="0.25">
      <c r="C686" s="453"/>
    </row>
    <row r="687" spans="1:3" x14ac:dyDescent="0.25">
      <c r="A687" s="384"/>
    </row>
    <row r="688" spans="1:3" x14ac:dyDescent="0.25">
      <c r="A688" s="383"/>
    </row>
    <row r="689" spans="1:3" x14ac:dyDescent="0.25">
      <c r="C689" s="453"/>
    </row>
    <row r="690" spans="1:3" x14ac:dyDescent="0.25">
      <c r="C690" s="453"/>
    </row>
    <row r="691" spans="1:3" x14ac:dyDescent="0.25">
      <c r="C691" s="453"/>
    </row>
    <row r="693" spans="1:3" x14ac:dyDescent="0.25">
      <c r="A693" s="383"/>
    </row>
    <row r="694" spans="1:3" x14ac:dyDescent="0.25">
      <c r="A694" s="383"/>
    </row>
    <row r="695" spans="1:3" x14ac:dyDescent="0.25">
      <c r="C695" s="453"/>
    </row>
    <row r="696" spans="1:3" x14ac:dyDescent="0.25">
      <c r="C696" s="453"/>
    </row>
    <row r="697" spans="1:3" x14ac:dyDescent="0.25">
      <c r="C697" s="453"/>
    </row>
    <row r="699" spans="1:3" x14ac:dyDescent="0.25">
      <c r="A699" s="383"/>
    </row>
    <row r="700" spans="1:3" x14ac:dyDescent="0.25">
      <c r="C700" s="453"/>
    </row>
    <row r="701" spans="1:3" x14ac:dyDescent="0.25">
      <c r="C701" s="453"/>
    </row>
    <row r="702" spans="1:3" x14ac:dyDescent="0.25">
      <c r="C702" s="453"/>
    </row>
    <row r="703" spans="1:3" x14ac:dyDescent="0.25">
      <c r="C703" s="453"/>
    </row>
    <row r="704" spans="1:3" x14ac:dyDescent="0.25">
      <c r="A704" s="383"/>
    </row>
    <row r="705" spans="1:3" x14ac:dyDescent="0.25">
      <c r="C705" s="453"/>
    </row>
    <row r="706" spans="1:3" x14ac:dyDescent="0.25">
      <c r="C706" s="453"/>
    </row>
    <row r="707" spans="1:3" x14ac:dyDescent="0.25">
      <c r="C707" s="453"/>
    </row>
    <row r="708" spans="1:3" x14ac:dyDescent="0.25">
      <c r="A708" s="384"/>
    </row>
    <row r="709" spans="1:3" x14ac:dyDescent="0.25">
      <c r="A709" s="383"/>
    </row>
    <row r="710" spans="1:3" x14ac:dyDescent="0.25">
      <c r="C710" s="453"/>
    </row>
    <row r="711" spans="1:3" x14ac:dyDescent="0.25">
      <c r="C711" s="453"/>
    </row>
    <row r="712" spans="1:3" x14ac:dyDescent="0.25">
      <c r="C712" s="453"/>
    </row>
    <row r="714" spans="1:3" x14ac:dyDescent="0.25">
      <c r="A714" s="383"/>
    </row>
    <row r="715" spans="1:3" x14ac:dyDescent="0.25">
      <c r="C715" s="453"/>
    </row>
    <row r="716" spans="1:3" x14ac:dyDescent="0.25">
      <c r="C716" s="453"/>
    </row>
    <row r="717" spans="1:3" x14ac:dyDescent="0.25">
      <c r="C717" s="453"/>
    </row>
    <row r="718" spans="1:3" x14ac:dyDescent="0.25">
      <c r="C718" s="453"/>
    </row>
    <row r="719" spans="1:3" x14ac:dyDescent="0.25">
      <c r="A719" s="383"/>
    </row>
    <row r="720" spans="1:3" x14ac:dyDescent="0.25">
      <c r="C720" s="453"/>
    </row>
    <row r="721" spans="1:3" x14ac:dyDescent="0.25">
      <c r="C721" s="453"/>
    </row>
    <row r="722" spans="1:3" x14ac:dyDescent="0.25">
      <c r="A722" s="383"/>
    </row>
    <row r="723" spans="1:3" x14ac:dyDescent="0.25">
      <c r="C723" s="453"/>
    </row>
    <row r="724" spans="1:3" x14ac:dyDescent="0.25">
      <c r="C724" s="453"/>
    </row>
    <row r="725" spans="1:3" x14ac:dyDescent="0.25">
      <c r="C725" s="453"/>
    </row>
    <row r="726" spans="1:3" x14ac:dyDescent="0.25">
      <c r="C726" s="453"/>
    </row>
    <row r="728" spans="1:3" x14ac:dyDescent="0.25">
      <c r="A728" s="383"/>
    </row>
    <row r="729" spans="1:3" x14ac:dyDescent="0.25">
      <c r="C729" s="453"/>
    </row>
    <row r="730" spans="1:3" x14ac:dyDescent="0.25">
      <c r="C730" s="453"/>
    </row>
    <row r="731" spans="1:3" x14ac:dyDescent="0.25">
      <c r="C731" s="453"/>
    </row>
    <row r="732" spans="1:3" x14ac:dyDescent="0.25">
      <c r="A732" s="384"/>
    </row>
    <row r="733" spans="1:3" x14ac:dyDescent="0.25">
      <c r="A733" s="383"/>
    </row>
    <row r="734" spans="1:3" x14ac:dyDescent="0.25">
      <c r="C734" s="453"/>
    </row>
    <row r="735" spans="1:3" x14ac:dyDescent="0.25">
      <c r="C735" s="453"/>
    </row>
    <row r="736" spans="1:3" x14ac:dyDescent="0.25">
      <c r="C736" s="453"/>
    </row>
    <row r="738" spans="1:3" x14ac:dyDescent="0.25">
      <c r="A738" s="383"/>
    </row>
    <row r="739" spans="1:3" x14ac:dyDescent="0.25">
      <c r="C739" s="453"/>
    </row>
    <row r="740" spans="1:3" x14ac:dyDescent="0.25">
      <c r="C740" s="453"/>
    </row>
    <row r="741" spans="1:3" x14ac:dyDescent="0.25">
      <c r="C741" s="453"/>
    </row>
    <row r="743" spans="1:3" x14ac:dyDescent="0.25">
      <c r="A743" s="383"/>
    </row>
    <row r="744" spans="1:3" x14ac:dyDescent="0.25">
      <c r="C744" s="453"/>
    </row>
    <row r="745" spans="1:3" x14ac:dyDescent="0.25">
      <c r="C745" s="453"/>
    </row>
    <row r="746" spans="1:3" x14ac:dyDescent="0.25">
      <c r="C746" s="453"/>
    </row>
    <row r="747" spans="1:3" x14ac:dyDescent="0.25">
      <c r="C747" s="453"/>
    </row>
    <row r="748" spans="1:3" x14ac:dyDescent="0.25">
      <c r="A748" s="383"/>
    </row>
    <row r="749" spans="1:3" x14ac:dyDescent="0.25">
      <c r="C749" s="453"/>
    </row>
    <row r="750" spans="1:3" x14ac:dyDescent="0.25">
      <c r="A750" s="383"/>
    </row>
    <row r="751" spans="1:3" x14ac:dyDescent="0.25">
      <c r="C751" s="453"/>
    </row>
    <row r="752" spans="1:3" x14ac:dyDescent="0.25">
      <c r="C752" s="453"/>
    </row>
    <row r="753" spans="1:3" x14ac:dyDescent="0.25">
      <c r="C753" s="453"/>
    </row>
    <row r="755" spans="1:3" x14ac:dyDescent="0.25">
      <c r="A755" s="383"/>
    </row>
    <row r="756" spans="1:3" x14ac:dyDescent="0.25">
      <c r="C756" s="453"/>
    </row>
    <row r="757" spans="1:3" x14ac:dyDescent="0.25">
      <c r="C757" s="453"/>
    </row>
    <row r="758" spans="1:3" x14ac:dyDescent="0.25">
      <c r="C758" s="453"/>
    </row>
    <row r="759" spans="1:3" x14ac:dyDescent="0.25">
      <c r="C759" s="453"/>
    </row>
    <row r="760" spans="1:3" x14ac:dyDescent="0.25">
      <c r="A760" s="383"/>
    </row>
    <row r="761" spans="1:3" x14ac:dyDescent="0.25">
      <c r="C761" s="453"/>
    </row>
    <row r="762" spans="1:3" x14ac:dyDescent="0.25">
      <c r="C762" s="453"/>
    </row>
    <row r="763" spans="1:3" x14ac:dyDescent="0.25">
      <c r="C763" s="453"/>
    </row>
    <row r="764" spans="1:3" x14ac:dyDescent="0.25">
      <c r="A764" s="384"/>
    </row>
    <row r="765" spans="1:3" x14ac:dyDescent="0.25">
      <c r="A765" s="383"/>
    </row>
    <row r="766" spans="1:3" x14ac:dyDescent="0.25">
      <c r="C766" s="453"/>
    </row>
    <row r="767" spans="1:3" x14ac:dyDescent="0.25">
      <c r="C767" s="453"/>
    </row>
    <row r="768" spans="1:3" x14ac:dyDescent="0.25">
      <c r="C768" s="453"/>
    </row>
    <row r="770" spans="1:3" x14ac:dyDescent="0.25">
      <c r="A770" s="383"/>
    </row>
    <row r="771" spans="1:3" x14ac:dyDescent="0.25">
      <c r="C771" s="453"/>
    </row>
    <row r="772" spans="1:3" x14ac:dyDescent="0.25">
      <c r="C772" s="453"/>
    </row>
    <row r="773" spans="1:3" x14ac:dyDescent="0.25">
      <c r="C773" s="453"/>
    </row>
    <row r="774" spans="1:3" x14ac:dyDescent="0.25">
      <c r="C774" s="453"/>
    </row>
    <row r="775" spans="1:3" x14ac:dyDescent="0.25">
      <c r="A775" s="383"/>
    </row>
    <row r="776" spans="1:3" x14ac:dyDescent="0.25">
      <c r="C776" s="453"/>
    </row>
    <row r="777" spans="1:3" x14ac:dyDescent="0.25">
      <c r="C777" s="453"/>
    </row>
    <row r="778" spans="1:3" x14ac:dyDescent="0.25">
      <c r="A778" s="383"/>
    </row>
    <row r="779" spans="1:3" x14ac:dyDescent="0.25">
      <c r="C779" s="453"/>
    </row>
    <row r="780" spans="1:3" x14ac:dyDescent="0.25">
      <c r="C780" s="453"/>
    </row>
    <row r="781" spans="1:3" x14ac:dyDescent="0.25">
      <c r="C781" s="453"/>
    </row>
    <row r="782" spans="1:3" x14ac:dyDescent="0.25">
      <c r="C782" s="453"/>
    </row>
    <row r="783" spans="1:3" x14ac:dyDescent="0.25">
      <c r="C783" s="453"/>
    </row>
    <row r="784" spans="1:3" x14ac:dyDescent="0.25">
      <c r="C784" s="453"/>
    </row>
    <row r="785" spans="1:3" x14ac:dyDescent="0.25">
      <c r="A785" s="383"/>
      <c r="C785" s="453"/>
    </row>
    <row r="786" spans="1:3" x14ac:dyDescent="0.25">
      <c r="C786" s="453"/>
    </row>
    <row r="787" spans="1:3" x14ac:dyDescent="0.25">
      <c r="C787" s="453"/>
    </row>
    <row r="788" spans="1:3" x14ac:dyDescent="0.25">
      <c r="C788" s="453"/>
    </row>
    <row r="789" spans="1:3" x14ac:dyDescent="0.25">
      <c r="A789" s="384"/>
    </row>
    <row r="790" spans="1:3" x14ac:dyDescent="0.25">
      <c r="A790" s="383"/>
    </row>
    <row r="791" spans="1:3" x14ac:dyDescent="0.25">
      <c r="C791" s="453"/>
    </row>
    <row r="792" spans="1:3" x14ac:dyDescent="0.25">
      <c r="C792" s="453"/>
    </row>
    <row r="793" spans="1:3" x14ac:dyDescent="0.25">
      <c r="C793" s="453"/>
    </row>
    <row r="795" spans="1:3" x14ac:dyDescent="0.25">
      <c r="A795" s="383"/>
    </row>
    <row r="796" spans="1:3" x14ac:dyDescent="0.25">
      <c r="C796" s="453"/>
    </row>
    <row r="797" spans="1:3" x14ac:dyDescent="0.25">
      <c r="C797" s="453"/>
    </row>
    <row r="798" spans="1:3" x14ac:dyDescent="0.25">
      <c r="C798" s="453"/>
    </row>
    <row r="799" spans="1:3" x14ac:dyDescent="0.25">
      <c r="A799" s="384"/>
    </row>
    <row r="800" spans="1:3" x14ac:dyDescent="0.25">
      <c r="A800" s="383"/>
    </row>
    <row r="801" spans="1:3" x14ac:dyDescent="0.25">
      <c r="C801" s="453"/>
    </row>
    <row r="802" spans="1:3" x14ac:dyDescent="0.25">
      <c r="C802" s="453"/>
    </row>
    <row r="803" spans="1:3" x14ac:dyDescent="0.25">
      <c r="C803" s="453"/>
    </row>
    <row r="805" spans="1:3" x14ac:dyDescent="0.25">
      <c r="A805" s="383"/>
    </row>
    <row r="806" spans="1:3" x14ac:dyDescent="0.25">
      <c r="A806" s="383"/>
    </row>
    <row r="807" spans="1:3" x14ac:dyDescent="0.25">
      <c r="C807" s="453"/>
    </row>
    <row r="808" spans="1:3" x14ac:dyDescent="0.25">
      <c r="C808" s="453"/>
    </row>
    <row r="809" spans="1:3" x14ac:dyDescent="0.25">
      <c r="C809" s="453"/>
    </row>
    <row r="811" spans="1:3" x14ac:dyDescent="0.25">
      <c r="A811" s="383"/>
    </row>
    <row r="812" spans="1:3" x14ac:dyDescent="0.25">
      <c r="C812" s="453"/>
    </row>
    <row r="813" spans="1:3" x14ac:dyDescent="0.25">
      <c r="C813" s="453"/>
    </row>
    <row r="814" spans="1:3" x14ac:dyDescent="0.25">
      <c r="C814" s="453"/>
    </row>
    <row r="815" spans="1:3" x14ac:dyDescent="0.25">
      <c r="C815" s="453"/>
    </row>
    <row r="816" spans="1:3" x14ac:dyDescent="0.25">
      <c r="A816" s="383"/>
    </row>
    <row r="817" spans="1:3" x14ac:dyDescent="0.25">
      <c r="C817" s="453"/>
    </row>
    <row r="818" spans="1:3" x14ac:dyDescent="0.25">
      <c r="C818" s="453"/>
    </row>
    <row r="819" spans="1:3" x14ac:dyDescent="0.25">
      <c r="C819" s="453"/>
    </row>
    <row r="820" spans="1:3" x14ac:dyDescent="0.25">
      <c r="A820" s="384"/>
    </row>
    <row r="821" spans="1:3" x14ac:dyDescent="0.25">
      <c r="A821" s="383"/>
    </row>
    <row r="822" spans="1:3" x14ac:dyDescent="0.25">
      <c r="C822" s="453"/>
    </row>
    <row r="823" spans="1:3" x14ac:dyDescent="0.25">
      <c r="C823" s="453"/>
    </row>
    <row r="824" spans="1:3" x14ac:dyDescent="0.25">
      <c r="C824" s="453"/>
    </row>
    <row r="826" spans="1:3" x14ac:dyDescent="0.25">
      <c r="A826" s="383"/>
    </row>
    <row r="827" spans="1:3" x14ac:dyDescent="0.25">
      <c r="C827" s="453"/>
    </row>
    <row r="828" spans="1:3" x14ac:dyDescent="0.25">
      <c r="C828" s="453"/>
    </row>
    <row r="829" spans="1:3" x14ac:dyDescent="0.25">
      <c r="C829" s="453"/>
    </row>
    <row r="830" spans="1:3" x14ac:dyDescent="0.25">
      <c r="C830" s="453"/>
    </row>
    <row r="831" spans="1:3" x14ac:dyDescent="0.25">
      <c r="A831" s="383"/>
    </row>
    <row r="832" spans="1:3" x14ac:dyDescent="0.25">
      <c r="C832" s="453"/>
    </row>
    <row r="833" spans="1:25" x14ac:dyDescent="0.25">
      <c r="C833" s="453"/>
    </row>
    <row r="834" spans="1:25" x14ac:dyDescent="0.25">
      <c r="A834" s="383"/>
    </row>
    <row r="835" spans="1:25" x14ac:dyDescent="0.25">
      <c r="C835" s="453"/>
    </row>
    <row r="836" spans="1:25" x14ac:dyDescent="0.25">
      <c r="C836" s="453"/>
    </row>
    <row r="837" spans="1:25" x14ac:dyDescent="0.25">
      <c r="C837" s="453"/>
    </row>
    <row r="838" spans="1:25" x14ac:dyDescent="0.25">
      <c r="A838" s="383"/>
    </row>
    <row r="839" spans="1:25" x14ac:dyDescent="0.25">
      <c r="C839" s="453"/>
    </row>
    <row r="840" spans="1:25" x14ac:dyDescent="0.25">
      <c r="C840" s="453"/>
    </row>
    <row r="841" spans="1:25" x14ac:dyDescent="0.25">
      <c r="A841" s="381"/>
      <c r="B841" s="456"/>
      <c r="C841" s="456"/>
      <c r="D841" s="456"/>
      <c r="E841" s="456"/>
      <c r="F841" s="456"/>
      <c r="G841" s="456"/>
      <c r="H841" s="456"/>
      <c r="I841" s="456"/>
      <c r="J841" s="456"/>
      <c r="K841" s="456"/>
      <c r="L841" s="456"/>
      <c r="M841" s="456"/>
      <c r="N841" s="456"/>
      <c r="O841" s="456"/>
      <c r="P841" s="456"/>
      <c r="Q841" s="456"/>
      <c r="R841" s="456"/>
      <c r="S841" s="456"/>
      <c r="T841" s="456"/>
      <c r="U841" s="456"/>
      <c r="V841" s="456"/>
      <c r="W841" s="456"/>
      <c r="X841" s="456"/>
      <c r="Y841" s="456"/>
    </row>
    <row r="842" spans="1:25" x14ac:dyDescent="0.25">
      <c r="A842" s="384"/>
    </row>
    <row r="843" spans="1:25" x14ac:dyDescent="0.25">
      <c r="A843" s="383"/>
    </row>
    <row r="844" spans="1:25" x14ac:dyDescent="0.25">
      <c r="C844" s="453"/>
    </row>
    <row r="845" spans="1:25" x14ac:dyDescent="0.25">
      <c r="C845" s="453"/>
    </row>
    <row r="846" spans="1:25" x14ac:dyDescent="0.25">
      <c r="A846" s="381"/>
      <c r="B846" s="456"/>
      <c r="C846" s="456"/>
      <c r="D846" s="456"/>
      <c r="E846" s="456"/>
      <c r="F846" s="456"/>
      <c r="G846" s="456"/>
      <c r="H846" s="456"/>
      <c r="I846" s="456"/>
      <c r="J846" s="456"/>
      <c r="K846" s="456"/>
      <c r="L846" s="456"/>
      <c r="M846" s="456"/>
      <c r="N846" s="456"/>
      <c r="O846" s="456"/>
      <c r="P846" s="456"/>
      <c r="Q846" s="456"/>
      <c r="R846" s="456"/>
      <c r="S846" s="456"/>
      <c r="T846" s="456"/>
      <c r="U846" s="456"/>
      <c r="V846" s="456"/>
      <c r="W846" s="456"/>
      <c r="X846" s="456"/>
      <c r="Y846" s="456"/>
    </row>
    <row r="847" spans="1:25" x14ac:dyDescent="0.25">
      <c r="A847" s="384"/>
    </row>
    <row r="848" spans="1:25" x14ac:dyDescent="0.25">
      <c r="A848" s="383"/>
    </row>
    <row r="849" spans="1:3" x14ac:dyDescent="0.25">
      <c r="C849" s="453"/>
    </row>
    <row r="850" spans="1:3" x14ac:dyDescent="0.25">
      <c r="C850" s="453"/>
    </row>
    <row r="851" spans="1:3" x14ac:dyDescent="0.25">
      <c r="C851" s="453"/>
    </row>
    <row r="853" spans="1:3" x14ac:dyDescent="0.25">
      <c r="A853" s="383"/>
    </row>
    <row r="854" spans="1:3" x14ac:dyDescent="0.25">
      <c r="C854" s="453"/>
    </row>
    <row r="855" spans="1:3" x14ac:dyDescent="0.25">
      <c r="C855" s="453"/>
    </row>
    <row r="856" spans="1:3" x14ac:dyDescent="0.25">
      <c r="C856" s="453"/>
    </row>
    <row r="857" spans="1:3" x14ac:dyDescent="0.25">
      <c r="C857" s="453"/>
    </row>
    <row r="858" spans="1:3" x14ac:dyDescent="0.25">
      <c r="A858" s="383"/>
    </row>
    <row r="859" spans="1:3" x14ac:dyDescent="0.25">
      <c r="C859" s="453"/>
    </row>
    <row r="860" spans="1:3" x14ac:dyDescent="0.25">
      <c r="C860" s="453"/>
    </row>
    <row r="861" spans="1:3" x14ac:dyDescent="0.25">
      <c r="C861" s="453"/>
    </row>
    <row r="862" spans="1:3" x14ac:dyDescent="0.25">
      <c r="A862" s="383"/>
    </row>
    <row r="863" spans="1:3" x14ac:dyDescent="0.25">
      <c r="C863" s="453"/>
    </row>
    <row r="864" spans="1:3" x14ac:dyDescent="0.25">
      <c r="C864" s="453"/>
    </row>
    <row r="865" spans="1:3" x14ac:dyDescent="0.25">
      <c r="C865" s="453"/>
    </row>
    <row r="867" spans="1:3" x14ac:dyDescent="0.25">
      <c r="A867" s="383"/>
    </row>
    <row r="868" spans="1:3" x14ac:dyDescent="0.25">
      <c r="C868" s="453"/>
    </row>
    <row r="869" spans="1:3" x14ac:dyDescent="0.25">
      <c r="C869" s="453"/>
    </row>
    <row r="870" spans="1:3" x14ac:dyDescent="0.25">
      <c r="C870" s="453"/>
    </row>
    <row r="871" spans="1:3" x14ac:dyDescent="0.25">
      <c r="C871" s="453"/>
    </row>
    <row r="872" spans="1:3" x14ac:dyDescent="0.25">
      <c r="A872" s="383"/>
    </row>
    <row r="873" spans="1:3" x14ac:dyDescent="0.25">
      <c r="C873" s="453"/>
    </row>
    <row r="874" spans="1:3" x14ac:dyDescent="0.25">
      <c r="C874" s="453"/>
    </row>
    <row r="875" spans="1:3" x14ac:dyDescent="0.25">
      <c r="C875" s="453"/>
    </row>
    <row r="876" spans="1:3" x14ac:dyDescent="0.25">
      <c r="A876" s="384"/>
    </row>
    <row r="877" spans="1:3" x14ac:dyDescent="0.25">
      <c r="A877" s="383"/>
    </row>
    <row r="878" spans="1:3" x14ac:dyDescent="0.25">
      <c r="C878" s="453"/>
    </row>
    <row r="879" spans="1:3" x14ac:dyDescent="0.25">
      <c r="C879" s="453"/>
    </row>
    <row r="880" spans="1:3" x14ac:dyDescent="0.25">
      <c r="C880" s="453"/>
    </row>
    <row r="882" spans="1:3" x14ac:dyDescent="0.25">
      <c r="A882" s="383"/>
    </row>
    <row r="883" spans="1:3" x14ac:dyDescent="0.25">
      <c r="C883" s="453"/>
    </row>
    <row r="884" spans="1:3" x14ac:dyDescent="0.25">
      <c r="C884" s="453"/>
    </row>
    <row r="885" spans="1:3" x14ac:dyDescent="0.25">
      <c r="C885" s="453"/>
    </row>
    <row r="886" spans="1:3" x14ac:dyDescent="0.25">
      <c r="C886" s="453"/>
    </row>
    <row r="887" spans="1:3" x14ac:dyDescent="0.25">
      <c r="A887" s="383"/>
    </row>
    <row r="888" spans="1:3" x14ac:dyDescent="0.25">
      <c r="C888" s="453"/>
    </row>
    <row r="889" spans="1:3" x14ac:dyDescent="0.25">
      <c r="C889" s="453"/>
    </row>
    <row r="890" spans="1:3" x14ac:dyDescent="0.25">
      <c r="A890" s="383"/>
    </row>
    <row r="891" spans="1:3" x14ac:dyDescent="0.25">
      <c r="C891" s="453"/>
    </row>
    <row r="892" spans="1:3" x14ac:dyDescent="0.25">
      <c r="C892" s="453"/>
    </row>
    <row r="893" spans="1:3" x14ac:dyDescent="0.25">
      <c r="C893" s="453"/>
    </row>
    <row r="894" spans="1:3" x14ac:dyDescent="0.25">
      <c r="C894" s="453"/>
    </row>
    <row r="895" spans="1:3" x14ac:dyDescent="0.25">
      <c r="C895" s="453"/>
    </row>
    <row r="896" spans="1:3" x14ac:dyDescent="0.25">
      <c r="C896" s="453"/>
    </row>
    <row r="897" spans="1:3" x14ac:dyDescent="0.25">
      <c r="A897" s="383"/>
      <c r="C897" s="453"/>
    </row>
    <row r="898" spans="1:3" x14ac:dyDescent="0.25">
      <c r="C898" s="453"/>
    </row>
    <row r="899" spans="1:3" x14ac:dyDescent="0.25">
      <c r="C899" s="453"/>
    </row>
    <row r="900" spans="1:3" x14ac:dyDescent="0.25">
      <c r="C900" s="453"/>
    </row>
    <row r="901" spans="1:3" x14ac:dyDescent="0.25">
      <c r="A901" s="384"/>
    </row>
    <row r="902" spans="1:3" x14ac:dyDescent="0.25">
      <c r="A902" s="383"/>
    </row>
    <row r="903" spans="1:3" x14ac:dyDescent="0.25">
      <c r="C903" s="453"/>
    </row>
    <row r="904" spans="1:3" x14ac:dyDescent="0.25">
      <c r="C904" s="453"/>
    </row>
    <row r="905" spans="1:3" x14ac:dyDescent="0.25">
      <c r="C905" s="453"/>
    </row>
    <row r="907" spans="1:3" x14ac:dyDescent="0.25">
      <c r="A907" s="383"/>
    </row>
    <row r="908" spans="1:3" x14ac:dyDescent="0.25">
      <c r="C908" s="453"/>
    </row>
    <row r="909" spans="1:3" x14ac:dyDescent="0.25">
      <c r="C909" s="453"/>
    </row>
    <row r="910" spans="1:3" x14ac:dyDescent="0.25">
      <c r="C910" s="453"/>
    </row>
    <row r="911" spans="1:3" x14ac:dyDescent="0.25">
      <c r="A911" s="384"/>
    </row>
    <row r="912" spans="1:3" x14ac:dyDescent="0.25">
      <c r="A912" s="383"/>
    </row>
    <row r="913" spans="1:3" x14ac:dyDescent="0.25">
      <c r="C913" s="453"/>
    </row>
    <row r="914" spans="1:3" x14ac:dyDescent="0.25">
      <c r="C914" s="453"/>
    </row>
    <row r="915" spans="1:3" x14ac:dyDescent="0.25">
      <c r="C915" s="453"/>
    </row>
    <row r="917" spans="1:3" x14ac:dyDescent="0.25">
      <c r="A917" s="383"/>
    </row>
    <row r="918" spans="1:3" x14ac:dyDescent="0.25">
      <c r="A918" s="383"/>
    </row>
    <row r="919" spans="1:3" x14ac:dyDescent="0.25">
      <c r="C919" s="453"/>
    </row>
    <row r="920" spans="1:3" x14ac:dyDescent="0.25">
      <c r="C920" s="453"/>
    </row>
    <row r="921" spans="1:3" x14ac:dyDescent="0.25">
      <c r="C921" s="453"/>
    </row>
    <row r="923" spans="1:3" x14ac:dyDescent="0.25">
      <c r="A923" s="383"/>
    </row>
    <row r="924" spans="1:3" x14ac:dyDescent="0.25">
      <c r="C924" s="453"/>
    </row>
    <row r="925" spans="1:3" x14ac:dyDescent="0.25">
      <c r="C925" s="453"/>
    </row>
    <row r="926" spans="1:3" x14ac:dyDescent="0.25">
      <c r="C926" s="453"/>
    </row>
    <row r="927" spans="1:3" x14ac:dyDescent="0.25">
      <c r="C927" s="453"/>
    </row>
    <row r="928" spans="1:3" x14ac:dyDescent="0.25">
      <c r="A928" s="383"/>
    </row>
    <row r="929" spans="1:3" x14ac:dyDescent="0.25">
      <c r="C929" s="453"/>
    </row>
    <row r="930" spans="1:3" x14ac:dyDescent="0.25">
      <c r="C930" s="453"/>
    </row>
    <row r="931" spans="1:3" x14ac:dyDescent="0.25">
      <c r="C931" s="453"/>
    </row>
    <row r="932" spans="1:3" x14ac:dyDescent="0.25">
      <c r="A932" s="384"/>
    </row>
    <row r="933" spans="1:3" x14ac:dyDescent="0.25">
      <c r="A933" s="383"/>
    </row>
    <row r="934" spans="1:3" x14ac:dyDescent="0.25">
      <c r="C934" s="453"/>
    </row>
    <row r="935" spans="1:3" x14ac:dyDescent="0.25">
      <c r="C935" s="453"/>
    </row>
    <row r="936" spans="1:3" x14ac:dyDescent="0.25">
      <c r="C936" s="453"/>
    </row>
    <row r="938" spans="1:3" x14ac:dyDescent="0.25">
      <c r="A938" s="383"/>
    </row>
    <row r="939" spans="1:3" x14ac:dyDescent="0.25">
      <c r="C939" s="453"/>
    </row>
    <row r="940" spans="1:3" x14ac:dyDescent="0.25">
      <c r="C940" s="453"/>
    </row>
    <row r="941" spans="1:3" x14ac:dyDescent="0.25">
      <c r="C941" s="453"/>
    </row>
    <row r="942" spans="1:3" x14ac:dyDescent="0.25">
      <c r="C942" s="453"/>
    </row>
    <row r="943" spans="1:3" x14ac:dyDescent="0.25">
      <c r="A943" s="383"/>
    </row>
    <row r="944" spans="1:3" x14ac:dyDescent="0.25">
      <c r="C944" s="453"/>
    </row>
    <row r="945" spans="1:3" x14ac:dyDescent="0.25">
      <c r="C945" s="453"/>
    </row>
    <row r="946" spans="1:3" x14ac:dyDescent="0.25">
      <c r="A946" s="383"/>
    </row>
    <row r="947" spans="1:3" x14ac:dyDescent="0.25">
      <c r="C947" s="453"/>
    </row>
    <row r="948" spans="1:3" x14ac:dyDescent="0.25">
      <c r="C948" s="453"/>
    </row>
    <row r="949" spans="1:3" x14ac:dyDescent="0.25">
      <c r="C949" s="453"/>
    </row>
    <row r="950" spans="1:3" x14ac:dyDescent="0.25">
      <c r="C950" s="453"/>
    </row>
    <row r="952" spans="1:3" x14ac:dyDescent="0.25">
      <c r="A952" s="383"/>
    </row>
    <row r="953" spans="1:3" x14ac:dyDescent="0.25">
      <c r="C953" s="453"/>
    </row>
    <row r="954" spans="1:3" x14ac:dyDescent="0.25">
      <c r="C954" s="453"/>
    </row>
    <row r="955" spans="1:3" x14ac:dyDescent="0.25">
      <c r="C955" s="453"/>
    </row>
    <row r="956" spans="1:3" x14ac:dyDescent="0.25">
      <c r="A956" s="384"/>
    </row>
    <row r="957" spans="1:3" x14ac:dyDescent="0.25">
      <c r="A957" s="383"/>
    </row>
    <row r="958" spans="1:3" x14ac:dyDescent="0.25">
      <c r="C958" s="453"/>
    </row>
    <row r="959" spans="1:3" x14ac:dyDescent="0.25">
      <c r="C959" s="453"/>
    </row>
    <row r="960" spans="1:3" x14ac:dyDescent="0.25">
      <c r="C960" s="453"/>
    </row>
    <row r="962" spans="1:3" x14ac:dyDescent="0.25">
      <c r="A962" s="383"/>
    </row>
    <row r="963" spans="1:3" x14ac:dyDescent="0.25">
      <c r="C963" s="453"/>
    </row>
    <row r="964" spans="1:3" x14ac:dyDescent="0.25">
      <c r="C964" s="453"/>
    </row>
    <row r="965" spans="1:3" x14ac:dyDescent="0.25">
      <c r="C965" s="453"/>
    </row>
    <row r="967" spans="1:3" x14ac:dyDescent="0.25">
      <c r="A967" s="383"/>
    </row>
    <row r="968" spans="1:3" x14ac:dyDescent="0.25">
      <c r="C968" s="453"/>
    </row>
    <row r="969" spans="1:3" x14ac:dyDescent="0.25">
      <c r="C969" s="453"/>
    </row>
    <row r="970" spans="1:3" x14ac:dyDescent="0.25">
      <c r="C970" s="453"/>
    </row>
    <row r="971" spans="1:3" x14ac:dyDescent="0.25">
      <c r="C971" s="453"/>
    </row>
    <row r="972" spans="1:3" x14ac:dyDescent="0.25">
      <c r="A972" s="383"/>
    </row>
    <row r="973" spans="1:3" x14ac:dyDescent="0.25">
      <c r="C973" s="453"/>
    </row>
    <row r="974" spans="1:3" x14ac:dyDescent="0.25">
      <c r="A974" s="383"/>
    </row>
    <row r="975" spans="1:3" x14ac:dyDescent="0.25">
      <c r="C975" s="453"/>
    </row>
    <row r="976" spans="1:3" x14ac:dyDescent="0.25">
      <c r="C976" s="453"/>
    </row>
    <row r="977" spans="1:3" x14ac:dyDescent="0.25">
      <c r="C977" s="453"/>
    </row>
    <row r="979" spans="1:3" x14ac:dyDescent="0.25">
      <c r="A979" s="383"/>
    </row>
    <row r="980" spans="1:3" x14ac:dyDescent="0.25">
      <c r="C980" s="453"/>
    </row>
    <row r="981" spans="1:3" x14ac:dyDescent="0.25">
      <c r="C981" s="453"/>
    </row>
    <row r="982" spans="1:3" x14ac:dyDescent="0.25">
      <c r="C982" s="453"/>
    </row>
    <row r="983" spans="1:3" x14ac:dyDescent="0.25">
      <c r="C983" s="453"/>
    </row>
    <row r="984" spans="1:3" x14ac:dyDescent="0.25">
      <c r="A984" s="383"/>
    </row>
    <row r="985" spans="1:3" x14ac:dyDescent="0.25">
      <c r="C985" s="453"/>
    </row>
    <row r="986" spans="1:3" x14ac:dyDescent="0.25">
      <c r="C986" s="453"/>
    </row>
    <row r="987" spans="1:3" x14ac:dyDescent="0.25">
      <c r="C987" s="453"/>
    </row>
    <row r="988" spans="1:3" x14ac:dyDescent="0.25">
      <c r="A988" s="384"/>
    </row>
    <row r="989" spans="1:3" x14ac:dyDescent="0.25">
      <c r="A989" s="383"/>
    </row>
    <row r="990" spans="1:3" x14ac:dyDescent="0.25">
      <c r="C990" s="453"/>
    </row>
    <row r="991" spans="1:3" x14ac:dyDescent="0.25">
      <c r="C991" s="453"/>
    </row>
    <row r="992" spans="1:3" x14ac:dyDescent="0.25">
      <c r="C992" s="453"/>
    </row>
    <row r="994" spans="1:3" x14ac:dyDescent="0.25">
      <c r="A994" s="383"/>
    </row>
    <row r="995" spans="1:3" x14ac:dyDescent="0.25">
      <c r="C995" s="453"/>
    </row>
    <row r="996" spans="1:3" x14ac:dyDescent="0.25">
      <c r="C996" s="453"/>
    </row>
    <row r="997" spans="1:3" x14ac:dyDescent="0.25">
      <c r="C997" s="453"/>
    </row>
    <row r="998" spans="1:3" x14ac:dyDescent="0.25">
      <c r="C998" s="453"/>
    </row>
    <row r="999" spans="1:3" x14ac:dyDescent="0.25">
      <c r="A999" s="383"/>
    </row>
    <row r="1000" spans="1:3" x14ac:dyDescent="0.25">
      <c r="C1000" s="453"/>
    </row>
    <row r="1001" spans="1:3" x14ac:dyDescent="0.25">
      <c r="C1001" s="453"/>
    </row>
    <row r="1002" spans="1:3" x14ac:dyDescent="0.25">
      <c r="A1002" s="383"/>
    </row>
    <row r="1003" spans="1:3" x14ac:dyDescent="0.25">
      <c r="C1003" s="453"/>
    </row>
    <row r="1004" spans="1:3" x14ac:dyDescent="0.25">
      <c r="C1004" s="453"/>
    </row>
    <row r="1005" spans="1:3" x14ac:dyDescent="0.25">
      <c r="C1005" s="453"/>
    </row>
    <row r="1006" spans="1:3" x14ac:dyDescent="0.25">
      <c r="C1006" s="453"/>
    </row>
    <row r="1007" spans="1:3" x14ac:dyDescent="0.25">
      <c r="C1007" s="453"/>
    </row>
    <row r="1008" spans="1:3" x14ac:dyDescent="0.25">
      <c r="C1008" s="453"/>
    </row>
    <row r="1009" spans="1:3" x14ac:dyDescent="0.25">
      <c r="A1009" s="383"/>
      <c r="C1009" s="453"/>
    </row>
    <row r="1010" spans="1:3" x14ac:dyDescent="0.25">
      <c r="C1010" s="453"/>
    </row>
    <row r="1011" spans="1:3" x14ac:dyDescent="0.25">
      <c r="C1011" s="453"/>
    </row>
    <row r="1012" spans="1:3" x14ac:dyDescent="0.25">
      <c r="C1012" s="453"/>
    </row>
    <row r="1013" spans="1:3" x14ac:dyDescent="0.25">
      <c r="A1013" s="384"/>
    </row>
    <row r="1014" spans="1:3" x14ac:dyDescent="0.25">
      <c r="A1014" s="383"/>
    </row>
    <row r="1015" spans="1:3" x14ac:dyDescent="0.25">
      <c r="C1015" s="453"/>
    </row>
    <row r="1016" spans="1:3" x14ac:dyDescent="0.25">
      <c r="C1016" s="453"/>
    </row>
    <row r="1017" spans="1:3" x14ac:dyDescent="0.25">
      <c r="C1017" s="453"/>
    </row>
    <row r="1019" spans="1:3" x14ac:dyDescent="0.25">
      <c r="A1019" s="383"/>
    </row>
    <row r="1020" spans="1:3" x14ac:dyDescent="0.25">
      <c r="C1020" s="453"/>
    </row>
    <row r="1021" spans="1:3" x14ac:dyDescent="0.25">
      <c r="C1021" s="453"/>
    </row>
    <row r="1022" spans="1:3" x14ac:dyDescent="0.25">
      <c r="C1022" s="453"/>
    </row>
    <row r="1023" spans="1:3" x14ac:dyDescent="0.25">
      <c r="A1023" s="384"/>
    </row>
    <row r="1024" spans="1:3" x14ac:dyDescent="0.25">
      <c r="A1024" s="383"/>
    </row>
    <row r="1025" spans="1:3" x14ac:dyDescent="0.25">
      <c r="C1025" s="453"/>
    </row>
    <row r="1026" spans="1:3" x14ac:dyDescent="0.25">
      <c r="C1026" s="453"/>
    </row>
    <row r="1027" spans="1:3" x14ac:dyDescent="0.25">
      <c r="C1027" s="453"/>
    </row>
    <row r="1029" spans="1:3" x14ac:dyDescent="0.25">
      <c r="A1029" s="383"/>
    </row>
    <row r="1030" spans="1:3" x14ac:dyDescent="0.25">
      <c r="A1030" s="383"/>
    </row>
    <row r="1031" spans="1:3" x14ac:dyDescent="0.25">
      <c r="C1031" s="453"/>
    </row>
    <row r="1032" spans="1:3" x14ac:dyDescent="0.25">
      <c r="C1032" s="453"/>
    </row>
    <row r="1033" spans="1:3" x14ac:dyDescent="0.25">
      <c r="C1033" s="453"/>
    </row>
    <row r="1035" spans="1:3" x14ac:dyDescent="0.25">
      <c r="A1035" s="383"/>
    </row>
    <row r="1036" spans="1:3" x14ac:dyDescent="0.25">
      <c r="C1036" s="453"/>
    </row>
    <row r="1037" spans="1:3" x14ac:dyDescent="0.25">
      <c r="C1037" s="453"/>
    </row>
    <row r="1038" spans="1:3" x14ac:dyDescent="0.25">
      <c r="C1038" s="453"/>
    </row>
    <row r="1039" spans="1:3" x14ac:dyDescent="0.25">
      <c r="C1039" s="453"/>
    </row>
    <row r="1040" spans="1:3" x14ac:dyDescent="0.25">
      <c r="A1040" s="383"/>
    </row>
    <row r="1041" spans="1:3" x14ac:dyDescent="0.25">
      <c r="C1041" s="453"/>
    </row>
    <row r="1042" spans="1:3" x14ac:dyDescent="0.25">
      <c r="C1042" s="453"/>
    </row>
    <row r="1043" spans="1:3" x14ac:dyDescent="0.25">
      <c r="C1043" s="453"/>
    </row>
    <row r="1044" spans="1:3" x14ac:dyDescent="0.25">
      <c r="A1044" s="384"/>
    </row>
    <row r="1045" spans="1:3" x14ac:dyDescent="0.25">
      <c r="A1045" s="383"/>
    </row>
    <row r="1046" spans="1:3" x14ac:dyDescent="0.25">
      <c r="C1046" s="453"/>
    </row>
    <row r="1047" spans="1:3" x14ac:dyDescent="0.25">
      <c r="C1047" s="453"/>
    </row>
    <row r="1048" spans="1:3" x14ac:dyDescent="0.25">
      <c r="C1048" s="453"/>
    </row>
    <row r="1050" spans="1:3" x14ac:dyDescent="0.25">
      <c r="A1050" s="383"/>
    </row>
    <row r="1051" spans="1:3" x14ac:dyDescent="0.25">
      <c r="C1051" s="453"/>
    </row>
    <row r="1052" spans="1:3" x14ac:dyDescent="0.25">
      <c r="C1052" s="453"/>
    </row>
    <row r="1053" spans="1:3" x14ac:dyDescent="0.25">
      <c r="C1053" s="453"/>
    </row>
    <row r="1054" spans="1:3" x14ac:dyDescent="0.25">
      <c r="C1054" s="453"/>
    </row>
    <row r="1055" spans="1:3" x14ac:dyDescent="0.25">
      <c r="A1055" s="383"/>
    </row>
    <row r="1056" spans="1:3" x14ac:dyDescent="0.25">
      <c r="C1056" s="453"/>
    </row>
    <row r="1057" spans="1:3" x14ac:dyDescent="0.25">
      <c r="C1057" s="453"/>
    </row>
    <row r="1058" spans="1:3" x14ac:dyDescent="0.25">
      <c r="A1058" s="383"/>
    </row>
    <row r="1059" spans="1:3" x14ac:dyDescent="0.25">
      <c r="C1059" s="453"/>
    </row>
    <row r="1060" spans="1:3" x14ac:dyDescent="0.25">
      <c r="C1060" s="453"/>
    </row>
    <row r="1061" spans="1:3" x14ac:dyDescent="0.25">
      <c r="C1061" s="453"/>
    </row>
  </sheetData>
  <mergeCells count="110">
    <mergeCell ref="B5:E5"/>
    <mergeCell ref="L5:O5"/>
    <mergeCell ref="V5:Y5"/>
    <mergeCell ref="B170:E170"/>
    <mergeCell ref="L170:O170"/>
    <mergeCell ref="V170:Y170"/>
    <mergeCell ref="B45:E45"/>
    <mergeCell ref="L45:O45"/>
    <mergeCell ref="V45:Y45"/>
    <mergeCell ref="B15:E15"/>
    <mergeCell ref="G5:J5"/>
    <mergeCell ref="Q5:T5"/>
    <mergeCell ref="G25:J25"/>
    <mergeCell ref="Q25:T25"/>
    <mergeCell ref="G45:J45"/>
    <mergeCell ref="Q45:T45"/>
    <mergeCell ref="B195:E195"/>
    <mergeCell ref="L195:O195"/>
    <mergeCell ref="V195:Y195"/>
    <mergeCell ref="L15:O15"/>
    <mergeCell ref="V15:Y15"/>
    <mergeCell ref="B25:E25"/>
    <mergeCell ref="L25:O25"/>
    <mergeCell ref="V25:Y25"/>
    <mergeCell ref="B70:E70"/>
    <mergeCell ref="L70:O70"/>
    <mergeCell ref="V70:Y70"/>
    <mergeCell ref="B160:E160"/>
    <mergeCell ref="L160:O160"/>
    <mergeCell ref="V160:Y160"/>
    <mergeCell ref="G15:J15"/>
    <mergeCell ref="Q15:T15"/>
    <mergeCell ref="G195:J195"/>
    <mergeCell ref="Q195:T195"/>
    <mergeCell ref="G70:J70"/>
    <mergeCell ref="Q70:T70"/>
    <mergeCell ref="G160:J160"/>
    <mergeCell ref="Q160:T160"/>
    <mergeCell ref="G170:J170"/>
    <mergeCell ref="Q170:T170"/>
    <mergeCell ref="G375:J375"/>
    <mergeCell ref="Q375:T375"/>
    <mergeCell ref="G385:J385"/>
    <mergeCell ref="Q385:T385"/>
    <mergeCell ref="G430:J430"/>
    <mergeCell ref="Q430:T430"/>
    <mergeCell ref="V280:Y280"/>
    <mergeCell ref="B300:E300"/>
    <mergeCell ref="B220:E220"/>
    <mergeCell ref="L220:O220"/>
    <mergeCell ref="V220:Y220"/>
    <mergeCell ref="B245:E245"/>
    <mergeCell ref="L245:O245"/>
    <mergeCell ref="V245:Y245"/>
    <mergeCell ref="B280:E280"/>
    <mergeCell ref="L280:O280"/>
    <mergeCell ref="G280:J280"/>
    <mergeCell ref="Q280:T280"/>
    <mergeCell ref="G220:J220"/>
    <mergeCell ref="Q220:T220"/>
    <mergeCell ref="G245:J245"/>
    <mergeCell ref="Q245:T245"/>
    <mergeCell ref="B545:E545"/>
    <mergeCell ref="B350:E350"/>
    <mergeCell ref="L350:O350"/>
    <mergeCell ref="V350:Y350"/>
    <mergeCell ref="L300:O300"/>
    <mergeCell ref="V300:Y300"/>
    <mergeCell ref="B325:E325"/>
    <mergeCell ref="L325:O325"/>
    <mergeCell ref="V325:Y325"/>
    <mergeCell ref="G300:J300"/>
    <mergeCell ref="Q300:T300"/>
    <mergeCell ref="G325:J325"/>
    <mergeCell ref="Q325:T325"/>
    <mergeCell ref="G350:J350"/>
    <mergeCell ref="Q350:T350"/>
    <mergeCell ref="V385:Y385"/>
    <mergeCell ref="B375:E375"/>
    <mergeCell ref="L375:O375"/>
    <mergeCell ref="V375:Y375"/>
    <mergeCell ref="B430:E430"/>
    <mergeCell ref="L430:O430"/>
    <mergeCell ref="V430:Y430"/>
    <mergeCell ref="B385:E385"/>
    <mergeCell ref="L385:O385"/>
    <mergeCell ref="L545:O545"/>
    <mergeCell ref="V545:Y545"/>
    <mergeCell ref="B470:E470"/>
    <mergeCell ref="L470:O470"/>
    <mergeCell ref="V470:Y470"/>
    <mergeCell ref="B515:E515"/>
    <mergeCell ref="L515:O515"/>
    <mergeCell ref="V515:Y515"/>
    <mergeCell ref="B480:E480"/>
    <mergeCell ref="L480:O480"/>
    <mergeCell ref="V480:Y480"/>
    <mergeCell ref="B490:E490"/>
    <mergeCell ref="L490:O490"/>
    <mergeCell ref="V490:Y490"/>
    <mergeCell ref="G470:J470"/>
    <mergeCell ref="G515:J515"/>
    <mergeCell ref="Q515:T515"/>
    <mergeCell ref="Q490:T490"/>
    <mergeCell ref="G545:J545"/>
    <mergeCell ref="Q545:T545"/>
    <mergeCell ref="Q470:T470"/>
    <mergeCell ref="G480:J480"/>
    <mergeCell ref="Q480:T480"/>
    <mergeCell ref="G490:J490"/>
  </mergeCells>
  <pageMargins left="0.7" right="0.7" top="0.75" bottom="0.75" header="0.3" footer="0.3"/>
  <pageSetup paperSize="9" scale="75" fitToWidth="0" fitToHeight="0" orientation="landscape" r:id="rId1"/>
  <rowBreaks count="14" manualBreakCount="14">
    <brk id="44" max="24" man="1"/>
    <brk id="69" max="24" man="1"/>
    <brk id="117" max="24" man="1"/>
    <brk id="156" max="24" man="1"/>
    <brk id="194" max="24" man="1"/>
    <brk id="241" max="24" man="1"/>
    <brk id="279" max="24" man="1"/>
    <brk id="324" max="24" man="1"/>
    <brk id="374" max="24" man="1"/>
    <brk id="426" max="24" man="1"/>
    <brk id="469" max="24" man="1"/>
    <brk id="514" max="24" man="1"/>
    <brk id="566" max="24" man="1"/>
    <brk id="671" max="24" man="1"/>
  </rowBreaks>
  <colBreaks count="1" manualBreakCount="1">
    <brk id="25" max="1048575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3"/>
  <sheetViews>
    <sheetView zoomScale="75" zoomScaleNormal="75" workbookViewId="0"/>
  </sheetViews>
  <sheetFormatPr defaultRowHeight="13.2" x14ac:dyDescent="0.25"/>
  <cols>
    <col min="1" max="1" width="11" style="104" bestFit="1" customWidth="1"/>
    <col min="2" max="9" width="9.109375" style="104"/>
    <col min="10" max="10" width="17.5546875" style="104" customWidth="1"/>
    <col min="11" max="11" width="8.33203125" style="104" customWidth="1"/>
    <col min="12" max="12" width="28.109375" customWidth="1"/>
    <col min="13" max="14" width="10.109375" customWidth="1"/>
  </cols>
  <sheetData>
    <row r="1" spans="1:16" ht="15.6" x14ac:dyDescent="0.3">
      <c r="A1" s="103" t="str">
        <f>CONCATENATE("Industry Figure 1  Growth in Employment by Industry Group (SIC 2007), ",M6," and ",N6)</f>
        <v>Industry Figure 1  Growth in Employment by Industry Group (SIC 2007), 2007-2017 and 2017-2027</v>
      </c>
    </row>
    <row r="3" spans="1:16" x14ac:dyDescent="0.25">
      <c r="L3" s="56" t="s">
        <v>501</v>
      </c>
    </row>
    <row r="5" spans="1:16" x14ac:dyDescent="0.25">
      <c r="L5" s="34" t="s">
        <v>464</v>
      </c>
    </row>
    <row r="6" spans="1:16" x14ac:dyDescent="0.25">
      <c r="L6" s="15"/>
      <c r="M6" s="19" t="str">
        <f>'Ind T4'!B87</f>
        <v>2007-2017</v>
      </c>
      <c r="N6" s="19" t="str">
        <f>'Ind T4'!C87</f>
        <v>2017-2027</v>
      </c>
      <c r="O6" s="19"/>
      <c r="P6" s="19"/>
    </row>
    <row r="7" spans="1:16" x14ac:dyDescent="0.25">
      <c r="L7" s="1" t="str">
        <f>'Ind T4'!A83</f>
        <v>All industries</v>
      </c>
      <c r="M7" s="286">
        <f>'Ind T4'!B122</f>
        <v>0.92266577864266175</v>
      </c>
      <c r="N7" s="286">
        <f>'Ind T4'!C122</f>
        <v>0.27575434824573808</v>
      </c>
    </row>
    <row r="8" spans="1:16" x14ac:dyDescent="0.25">
      <c r="L8" s="15"/>
      <c r="M8" s="286"/>
      <c r="N8" s="286"/>
    </row>
    <row r="9" spans="1:16" x14ac:dyDescent="0.25">
      <c r="L9" s="15" t="str">
        <f>'Ind T4'!A81</f>
        <v>Health and social work</v>
      </c>
      <c r="M9" s="286">
        <f>'Ind T4'!B120</f>
        <v>1.9916238517653229</v>
      </c>
      <c r="N9" s="286">
        <f>'Ind T4'!C120</f>
        <v>0.93413610867760788</v>
      </c>
    </row>
    <row r="10" spans="1:16" x14ac:dyDescent="0.25">
      <c r="L10" s="15" t="str">
        <f>'Ind T4'!A80</f>
        <v>Education</v>
      </c>
      <c r="M10" s="286">
        <f>'Ind T4'!B119</f>
        <v>1.2236621189735786</v>
      </c>
      <c r="N10" s="286">
        <f>'Ind T4'!C119</f>
        <v>3.2402170969048072E-2</v>
      </c>
    </row>
    <row r="11" spans="1:16" x14ac:dyDescent="0.25">
      <c r="L11" s="15" t="str">
        <f>'Ind T4'!A79</f>
        <v>Public admin. and defence</v>
      </c>
      <c r="M11" s="286">
        <f>'Ind T4'!B118</f>
        <v>-1.6574472783925542</v>
      </c>
      <c r="N11" s="286">
        <f>'Ind T4'!C118</f>
        <v>-5.1961566286617966E-2</v>
      </c>
    </row>
    <row r="12" spans="1:16" x14ac:dyDescent="0.25">
      <c r="L12" s="1" t="str">
        <f>CONCATENATE("[",'Ind T4'!A78,"]")</f>
        <v>[Non-marketed services]</v>
      </c>
      <c r="M12" s="286">
        <f>'Ind T4'!B117</f>
        <v>1.0767902626444892</v>
      </c>
      <c r="N12" s="286">
        <f>'Ind T4'!C117</f>
        <v>0.48647062668596419</v>
      </c>
    </row>
    <row r="13" spans="1:16" x14ac:dyDescent="0.25">
      <c r="L13" s="15"/>
      <c r="M13" s="286"/>
      <c r="N13" s="286"/>
    </row>
    <row r="14" spans="1:16" x14ac:dyDescent="0.25">
      <c r="L14" s="15" t="str">
        <f>'Ind T4'!A76</f>
        <v>Other services</v>
      </c>
      <c r="M14" s="106">
        <f>'Ind T4'!B115</f>
        <v>0.28263915013098106</v>
      </c>
      <c r="N14" s="106">
        <f>'Ind T4'!C115</f>
        <v>0.45062063400695962</v>
      </c>
    </row>
    <row r="15" spans="1:16" x14ac:dyDescent="0.25">
      <c r="L15" s="15" t="str">
        <f>'Ind T4'!A75</f>
        <v>Arts and entertainment</v>
      </c>
      <c r="M15" s="106">
        <f>'Ind T4'!B114</f>
        <v>1.2199280203521568</v>
      </c>
      <c r="N15" s="106">
        <f>'Ind T4'!C114</f>
        <v>0.87692434134936104</v>
      </c>
    </row>
    <row r="16" spans="1:16" x14ac:dyDescent="0.25">
      <c r="L16" s="15" t="str">
        <f>'Ind T4'!A74</f>
        <v>Support services</v>
      </c>
      <c r="M16" s="106">
        <f>'Ind T4'!B113</f>
        <v>1.6445346611248635</v>
      </c>
      <c r="N16" s="106">
        <f>'Ind T4'!C113</f>
        <v>0.63755183790674685</v>
      </c>
    </row>
    <row r="17" spans="12:14" x14ac:dyDescent="0.25">
      <c r="L17" s="15" t="str">
        <f>'Ind T4'!A73</f>
        <v>Professional services</v>
      </c>
      <c r="M17" s="106">
        <f>'Ind T4'!B112</f>
        <v>2.8802858706074908</v>
      </c>
      <c r="N17" s="106">
        <f>'Ind T4'!C112</f>
        <v>0.71353082728253803</v>
      </c>
    </row>
    <row r="18" spans="12:14" x14ac:dyDescent="0.25">
      <c r="L18" s="15" t="str">
        <f>'Ind T4'!A72</f>
        <v>Real estate</v>
      </c>
      <c r="M18" s="106">
        <f>'Ind T4'!B111</f>
        <v>2.1129203863991863</v>
      </c>
      <c r="N18" s="106">
        <f>'Ind T4'!C111</f>
        <v>0.43267130051107827</v>
      </c>
    </row>
    <row r="19" spans="12:14" x14ac:dyDescent="0.25">
      <c r="L19" s="286" t="str">
        <f>'Ind T4'!A71</f>
        <v>Finance and insurance</v>
      </c>
      <c r="M19" s="286">
        <f>'Ind T4'!B110</f>
        <v>-0.3965087169445769</v>
      </c>
      <c r="N19" s="286">
        <f>'Ind T4'!C110</f>
        <v>-0.10104559324469742</v>
      </c>
    </row>
    <row r="20" spans="12:14" x14ac:dyDescent="0.25">
      <c r="L20" s="286" t="str">
        <f>'Ind T4'!A70</f>
        <v>Information technology</v>
      </c>
      <c r="M20" s="286">
        <f>'Ind T4'!B109</f>
        <v>2.1201982248843398</v>
      </c>
      <c r="N20" s="286">
        <f>'Ind T4'!C109</f>
        <v>0.74986408581805275</v>
      </c>
    </row>
    <row r="21" spans="12:14" x14ac:dyDescent="0.25">
      <c r="L21" s="286" t="str">
        <f>'Ind T4'!A69</f>
        <v>Media</v>
      </c>
      <c r="M21" s="286">
        <f>'Ind T4'!B108</f>
        <v>0.99963071103863488</v>
      </c>
      <c r="N21" s="286">
        <f>'Ind T4'!C108</f>
        <v>0.23243364878116068</v>
      </c>
    </row>
    <row r="22" spans="12:14" x14ac:dyDescent="0.25">
      <c r="L22" s="1" t="str">
        <f>CONCATENATE("[",'Ind T4'!A68,"]")</f>
        <v>[Business and other services]</v>
      </c>
      <c r="M22" s="286">
        <f>'Ind T4'!B107</f>
        <v>1.5988294666661629</v>
      </c>
      <c r="N22" s="286">
        <f>'Ind T4'!C107</f>
        <v>0.57715251908569964</v>
      </c>
    </row>
    <row r="23" spans="12:14" x14ac:dyDescent="0.25">
      <c r="L23" s="15"/>
      <c r="M23" s="286"/>
      <c r="N23" s="286"/>
    </row>
    <row r="24" spans="12:14" x14ac:dyDescent="0.25">
      <c r="L24" s="15" t="str">
        <f>'Ind T4'!A66</f>
        <v>Accommodation and food</v>
      </c>
      <c r="M24" s="286">
        <f>'Ind T4'!B105</f>
        <v>1.9268253115098277</v>
      </c>
      <c r="N24" s="286">
        <f>'Ind T4'!C105</f>
        <v>0.29526838844271541</v>
      </c>
    </row>
    <row r="25" spans="12:14" x14ac:dyDescent="0.25">
      <c r="L25" s="15" t="str">
        <f>'Ind T4'!A65</f>
        <v>Transport and storage</v>
      </c>
      <c r="M25" s="286">
        <f>'Ind T4'!B104</f>
        <v>1.8299986856803452</v>
      </c>
      <c r="N25" s="286">
        <f>'Ind T4'!C104</f>
        <v>-0.18768484154019216</v>
      </c>
    </row>
    <row r="26" spans="12:14" x14ac:dyDescent="0.25">
      <c r="L26" s="15" t="str">
        <f>'Ind T4'!A64</f>
        <v>Wholesale and retail trade</v>
      </c>
      <c r="M26" s="286">
        <f>'Ind T4'!B103</f>
        <v>-6.5723717200649734E-2</v>
      </c>
      <c r="N26" s="286">
        <f>'Ind T4'!C103</f>
        <v>0.1311153983161617</v>
      </c>
    </row>
    <row r="27" spans="12:14" x14ac:dyDescent="0.25">
      <c r="L27" s="1" t="str">
        <f>CONCATENATE("[",'Ind T4'!A63,"]")</f>
        <v>[Trade, accomod. and transport]</v>
      </c>
      <c r="M27" s="286">
        <f>'Ind T4'!B102</f>
        <v>0.78017837831834136</v>
      </c>
      <c r="N27" s="286">
        <f>'Ind T4'!C102</f>
        <v>0.11331497209003949</v>
      </c>
    </row>
    <row r="28" spans="12:14" x14ac:dyDescent="0.25">
      <c r="L28" s="15"/>
      <c r="M28" s="286"/>
      <c r="N28" s="286"/>
    </row>
    <row r="29" spans="12:14" x14ac:dyDescent="0.25">
      <c r="L29" s="1" t="str">
        <f>CONCATENATE("[",'Ind T4'!A61,"]")</f>
        <v>[Construction]</v>
      </c>
      <c r="M29" s="286">
        <f>'Ind T4'!B100</f>
        <v>-6.518426890419482E-2</v>
      </c>
      <c r="N29" s="286">
        <f>'Ind T4'!C100</f>
        <v>0.21650034953812902</v>
      </c>
    </row>
    <row r="30" spans="12:14" x14ac:dyDescent="0.25">
      <c r="L30" s="15"/>
      <c r="M30" s="286"/>
      <c r="N30" s="286"/>
    </row>
    <row r="31" spans="12:14" x14ac:dyDescent="0.25">
      <c r="L31" s="15" t="str">
        <f>'Ind T4'!A59</f>
        <v>Rest of manufacturing</v>
      </c>
      <c r="M31" s="286">
        <f>'Ind T4'!B98</f>
        <v>-1.0791237187338543</v>
      </c>
      <c r="N31" s="286">
        <f>'Ind T4'!C98</f>
        <v>-1.1701899406481142</v>
      </c>
    </row>
    <row r="32" spans="12:14" x14ac:dyDescent="0.25">
      <c r="L32" s="15" t="str">
        <f>'Ind T4'!A58</f>
        <v>Engineering</v>
      </c>
      <c r="M32" s="286">
        <f>'Ind T4'!B97</f>
        <v>-2.1997924747194308</v>
      </c>
      <c r="N32" s="286">
        <f>'Ind T4'!C97</f>
        <v>-0.51624566374116609</v>
      </c>
    </row>
    <row r="33" spans="12:14" x14ac:dyDescent="0.25">
      <c r="L33" s="15" t="str">
        <f>'Ind T4'!A57</f>
        <v>Food drink and tobacco</v>
      </c>
      <c r="M33" s="286">
        <f>'Ind T4'!B96</f>
        <v>0.10608868741903699</v>
      </c>
      <c r="N33" s="286">
        <f>'Ind T4'!C96</f>
        <v>-0.79373783833593947</v>
      </c>
    </row>
    <row r="34" spans="12:14" x14ac:dyDescent="0.25">
      <c r="L34" s="1" t="str">
        <f>CONCATENATE("[",'Ind T4'!A56,"]")</f>
        <v>[Manufacturing]</v>
      </c>
      <c r="M34" s="286">
        <f>'Ind T4'!B95</f>
        <v>-1.0748531256248084</v>
      </c>
      <c r="N34" s="286">
        <f>'Ind T4'!C95</f>
        <v>-1.0086791491408564</v>
      </c>
    </row>
    <row r="35" spans="12:14" x14ac:dyDescent="0.25">
      <c r="L35" s="15"/>
      <c r="M35" s="286"/>
      <c r="N35" s="286"/>
    </row>
    <row r="36" spans="12:14" x14ac:dyDescent="0.25">
      <c r="L36" s="15" t="str">
        <f>'Ind T4'!A54</f>
        <v>Water and sewerage</v>
      </c>
      <c r="M36" s="286">
        <f>'Ind T4'!B93</f>
        <v>2.723392209432518</v>
      </c>
      <c r="N36" s="286">
        <f>'Ind T4'!C93</f>
        <v>0.63241647001266443</v>
      </c>
    </row>
    <row r="37" spans="12:14" x14ac:dyDescent="0.25">
      <c r="L37" s="15" t="str">
        <f>'Ind T4'!A53</f>
        <v>Electricity and gas</v>
      </c>
      <c r="M37" s="286">
        <f>'Ind T4'!B92</f>
        <v>5.4138394411137769</v>
      </c>
      <c r="N37" s="286">
        <f>'Ind T4'!C92</f>
        <v>8.1230770129403496E-2</v>
      </c>
    </row>
    <row r="38" spans="12:14" x14ac:dyDescent="0.25">
      <c r="L38" s="15" t="str">
        <f>'Ind T4'!A52</f>
        <v>Mining and quarrying</v>
      </c>
      <c r="M38" s="286">
        <f>'Ind T4'!B91</f>
        <v>-0.60437571352749409</v>
      </c>
      <c r="N38" s="286">
        <f>'Ind T4'!C91</f>
        <v>-1.339748716290079</v>
      </c>
    </row>
    <row r="39" spans="12:14" x14ac:dyDescent="0.25">
      <c r="L39" s="55" t="str">
        <f>'Ind T4'!A51</f>
        <v>Agriculture</v>
      </c>
      <c r="M39" s="286">
        <f>'Ind T4'!B90</f>
        <v>1.6849614072946162</v>
      </c>
      <c r="N39" s="286">
        <f>'Ind T4'!C90</f>
        <v>-0.52296130725189016</v>
      </c>
    </row>
    <row r="40" spans="12:14" x14ac:dyDescent="0.25">
      <c r="L40" s="1" t="str">
        <f>CONCATENATE("[",'Ind T4'!A50,"]")</f>
        <v>[Primary sector and utilities]</v>
      </c>
      <c r="M40" s="286">
        <f>'Ind T4'!B89</f>
        <v>2.2629143637966642</v>
      </c>
      <c r="N40" s="286">
        <f>'Ind T4'!C89</f>
        <v>-0.18742060078488221</v>
      </c>
    </row>
    <row r="43" spans="12:14" x14ac:dyDescent="0.25">
      <c r="L43" t="str">
        <f>REPT(" ",11)</f>
        <v xml:space="preserve">           </v>
      </c>
    </row>
  </sheetData>
  <phoneticPr fontId="4" type="noConversion"/>
  <conditionalFormatting sqref="L6 L8 L13 O18:P18 L23 L28 O25:P25 L30 O23:P23 O13:P13 O8:P8 O6:P6">
    <cfRule type="cellIs" dxfId="12" priority="2" stopIfTrue="1" operator="equal">
      <formula>0</formula>
    </cfRule>
  </conditionalFormatting>
  <conditionalFormatting sqref="M6:N6 M8:N8 M13:N13 M23:N23 M28:N28 M30:N30">
    <cfRule type="cellIs" dxfId="11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R268"/>
  <sheetViews>
    <sheetView zoomScale="75" zoomScaleNormal="75" workbookViewId="0"/>
  </sheetViews>
  <sheetFormatPr defaultRowHeight="13.2" x14ac:dyDescent="0.25"/>
  <cols>
    <col min="1" max="1" width="17" style="104" customWidth="1"/>
    <col min="2" max="11" width="9.109375" style="104"/>
    <col min="12" max="12" width="25.5546875" customWidth="1"/>
    <col min="13" max="33" width="6.77734375" customWidth="1"/>
    <col min="34" max="35" width="2.44140625" customWidth="1"/>
    <col min="36" max="37" width="6.33203125" customWidth="1"/>
    <col min="38" max="38" width="30.88671875" customWidth="1"/>
    <col min="39" max="40" width="7.5546875" customWidth="1"/>
    <col min="41" max="41" width="6.88671875" customWidth="1"/>
    <col min="42" max="42" width="7.109375" customWidth="1"/>
    <col min="43" max="43" width="7.5546875" customWidth="1"/>
    <col min="44" max="44" width="7.109375" customWidth="1"/>
    <col min="45" max="47" width="7.5546875" customWidth="1"/>
    <col min="48" max="48" width="7.109375" customWidth="1"/>
    <col min="49" max="52" width="7.5546875" customWidth="1"/>
    <col min="53" max="53" width="6.88671875" customWidth="1"/>
    <col min="54" max="57" width="7.5546875" customWidth="1"/>
    <col min="58" max="58" width="7.109375" customWidth="1"/>
    <col min="59" max="59" width="7.5546875" customWidth="1"/>
    <col min="60" max="60" width="6.5546875" customWidth="1"/>
    <col min="61" max="63" width="7.5546875" customWidth="1"/>
    <col min="64" max="64" width="2.44140625" customWidth="1"/>
    <col min="65" max="65" width="6.33203125" customWidth="1"/>
    <col min="66" max="66" width="19.44140625" customWidth="1"/>
  </cols>
  <sheetData>
    <row r="1" spans="1:96" ht="15.6" x14ac:dyDescent="0.3">
      <c r="A1" s="103" t="str">
        <f>CONCATENATE("Industry Figure 2  Employment by Industry (SIC 2007), ",$M$2,"-",$O$2)</f>
        <v>Industry Figure 2  Employment by Industry (SIC 2007), 2007-2027</v>
      </c>
      <c r="L1" s="56"/>
    </row>
    <row r="2" spans="1:96" x14ac:dyDescent="0.25">
      <c r="L2" s="19" t="s">
        <v>28</v>
      </c>
      <c r="M2" s="59">
        <f>M4</f>
        <v>2007</v>
      </c>
      <c r="N2" s="58" t="s">
        <v>27</v>
      </c>
      <c r="O2" s="59">
        <f>MAX(Q4:BQ4)</f>
        <v>2027</v>
      </c>
    </row>
    <row r="3" spans="1:96" x14ac:dyDescent="0.25">
      <c r="L3" s="19"/>
      <c r="M3" s="19"/>
      <c r="N3" s="58"/>
      <c r="O3" s="19"/>
    </row>
    <row r="4" spans="1:96" x14ac:dyDescent="0.25">
      <c r="L4" s="15"/>
      <c r="M4" s="59">
        <v>2007</v>
      </c>
      <c r="N4" s="59">
        <v>2008</v>
      </c>
      <c r="O4" s="59">
        <v>2009</v>
      </c>
      <c r="P4" s="59">
        <v>2010</v>
      </c>
      <c r="Q4" s="59">
        <v>2011</v>
      </c>
      <c r="R4" s="59">
        <v>2012</v>
      </c>
      <c r="S4" s="59">
        <v>2013</v>
      </c>
      <c r="T4" s="59">
        <v>2014</v>
      </c>
      <c r="U4" s="59">
        <v>2015</v>
      </c>
      <c r="V4" s="59">
        <v>2016</v>
      </c>
      <c r="W4" s="59">
        <v>2017</v>
      </c>
      <c r="X4" s="59">
        <v>2018</v>
      </c>
      <c r="Y4" s="59">
        <v>2019</v>
      </c>
      <c r="Z4" s="59">
        <v>2020</v>
      </c>
      <c r="AA4" s="59">
        <v>2021</v>
      </c>
      <c r="AB4" s="59">
        <v>2022</v>
      </c>
      <c r="AC4" s="59">
        <v>2023</v>
      </c>
      <c r="AD4" s="59">
        <v>2024</v>
      </c>
      <c r="AE4" s="59">
        <v>2025</v>
      </c>
      <c r="AF4" s="59">
        <v>2026</v>
      </c>
      <c r="AG4" s="59">
        <v>2027</v>
      </c>
      <c r="AH4" s="59"/>
      <c r="AI4" s="59"/>
      <c r="AJ4" s="59"/>
      <c r="AK4" s="59"/>
      <c r="AL4" s="59"/>
      <c r="AM4" s="59">
        <f t="shared" ref="AM4" si="0">BP4</f>
        <v>0</v>
      </c>
      <c r="AN4" s="12"/>
      <c r="AO4" s="12"/>
      <c r="AP4" s="12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12"/>
      <c r="BS4" s="59"/>
      <c r="BT4" s="59"/>
      <c r="BU4" s="59"/>
      <c r="BV4" s="59"/>
      <c r="BW4" s="59"/>
      <c r="BX4" s="59"/>
      <c r="BY4" s="59"/>
      <c r="BZ4" s="59"/>
      <c r="CA4" s="59"/>
      <c r="CB4" s="59"/>
      <c r="CC4" s="59"/>
      <c r="CD4" s="59"/>
      <c r="CE4" s="59"/>
      <c r="CF4" s="59"/>
      <c r="CG4" s="59"/>
      <c r="CH4" s="59"/>
      <c r="CI4" s="59"/>
      <c r="CJ4" s="59"/>
      <c r="CK4" s="59"/>
      <c r="CL4" s="59"/>
      <c r="CM4" s="59"/>
      <c r="CN4" s="59"/>
      <c r="CO4" s="59"/>
      <c r="CP4" s="59"/>
      <c r="CQ4" s="59"/>
      <c r="CR4" s="59"/>
    </row>
    <row r="5" spans="1:96" x14ac:dyDescent="0.25">
      <c r="L5" s="21" t="str">
        <f>'Ind T4'!A7</f>
        <v>Primary sector and utilities</v>
      </c>
      <c r="M5" s="13">
        <f>SUM(M6:M9)</f>
        <v>685.98199999852397</v>
      </c>
      <c r="N5" s="13">
        <f t="shared" ref="N5:AG5" si="1">SUM(N6:N9)</f>
        <v>720.9959999987143</v>
      </c>
      <c r="O5" s="13">
        <f t="shared" si="1"/>
        <v>722.00500000029251</v>
      </c>
      <c r="P5" s="13">
        <f t="shared" si="1"/>
        <v>784.15999999746555</v>
      </c>
      <c r="Q5" s="13">
        <f t="shared" si="1"/>
        <v>771.91899999620011</v>
      </c>
      <c r="R5" s="13">
        <f t="shared" si="1"/>
        <v>815.00399999710453</v>
      </c>
      <c r="S5" s="13">
        <f t="shared" si="1"/>
        <v>756.89599999911195</v>
      </c>
      <c r="T5" s="13">
        <f t="shared" si="1"/>
        <v>811.98199999595784</v>
      </c>
      <c r="U5" s="13">
        <f t="shared" si="1"/>
        <v>794.0639999975109</v>
      </c>
      <c r="V5" s="13">
        <f t="shared" si="1"/>
        <v>797.96999999704155</v>
      </c>
      <c r="W5" s="13">
        <f t="shared" si="1"/>
        <v>858.01399999967498</v>
      </c>
      <c r="X5" s="13">
        <f t="shared" si="1"/>
        <v>844.17699999742172</v>
      </c>
      <c r="Y5" s="13">
        <f t="shared" si="1"/>
        <v>844.80999999721644</v>
      </c>
      <c r="Z5" s="13">
        <f t="shared" si="1"/>
        <v>846.34999999818206</v>
      </c>
      <c r="AA5" s="13">
        <f t="shared" si="1"/>
        <v>845.89299999751051</v>
      </c>
      <c r="AB5" s="13">
        <f t="shared" si="1"/>
        <v>845.00699999766653</v>
      </c>
      <c r="AC5" s="13">
        <f t="shared" si="1"/>
        <v>844.82799999772033</v>
      </c>
      <c r="AD5" s="13">
        <f t="shared" si="1"/>
        <v>844.60999999820319</v>
      </c>
      <c r="AE5" s="13">
        <f t="shared" si="1"/>
        <v>843.87299999800666</v>
      </c>
      <c r="AF5" s="13">
        <f t="shared" si="1"/>
        <v>842.89299999874208</v>
      </c>
      <c r="AG5" s="13">
        <f t="shared" si="1"/>
        <v>842.06799999951704</v>
      </c>
      <c r="AH5" s="13"/>
      <c r="AI5" s="13"/>
      <c r="AJ5" s="13"/>
      <c r="AK5" s="246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286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</row>
    <row r="6" spans="1:96" x14ac:dyDescent="0.25">
      <c r="L6" s="247" t="str">
        <f>'Ind T4'!A8</f>
        <v>Agriculture</v>
      </c>
      <c r="M6" s="13">
        <v>373.99499999928747</v>
      </c>
      <c r="N6" s="13">
        <v>398.99900000015208</v>
      </c>
      <c r="O6" s="13">
        <v>386.03900000151663</v>
      </c>
      <c r="P6" s="13">
        <v>415.15199999876148</v>
      </c>
      <c r="Q6" s="13">
        <v>402.9149999977584</v>
      </c>
      <c r="R6" s="13">
        <v>422.03399999891894</v>
      </c>
      <c r="S6" s="13">
        <v>375.94100000019267</v>
      </c>
      <c r="T6" s="13">
        <v>434.99999999766254</v>
      </c>
      <c r="U6" s="13">
        <v>387.0639999991489</v>
      </c>
      <c r="V6" s="13">
        <v>394.99299999902343</v>
      </c>
      <c r="W6" s="13">
        <v>442.01100000123665</v>
      </c>
      <c r="X6" s="13">
        <v>432.3209999992323</v>
      </c>
      <c r="Y6" s="13">
        <v>427.79599999905076</v>
      </c>
      <c r="Z6" s="13">
        <v>426.71999999960309</v>
      </c>
      <c r="AA6" s="13">
        <v>425.76099999919455</v>
      </c>
      <c r="AB6" s="13">
        <v>424.82499999934765</v>
      </c>
      <c r="AC6" s="13">
        <v>424.0689999995252</v>
      </c>
      <c r="AD6" s="13">
        <v>423.26999999994899</v>
      </c>
      <c r="AE6" s="13">
        <v>422.2589999999862</v>
      </c>
      <c r="AF6" s="13">
        <v>420.805000000495</v>
      </c>
      <c r="AG6" s="13">
        <v>419.4320000009501</v>
      </c>
      <c r="AH6" s="13"/>
      <c r="AI6" s="13"/>
      <c r="AJ6" s="13"/>
      <c r="AK6" s="246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286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</row>
    <row r="7" spans="1:96" x14ac:dyDescent="0.25">
      <c r="L7" s="247" t="str">
        <f>'Ind T4'!A9</f>
        <v>Mining and quarrying</v>
      </c>
      <c r="M7" s="13">
        <v>68.00399999997606</v>
      </c>
      <c r="N7" s="13">
        <v>66.999999999832241</v>
      </c>
      <c r="O7" s="13">
        <v>61.992999999515341</v>
      </c>
      <c r="P7" s="13">
        <v>60.001000000038594</v>
      </c>
      <c r="Q7" s="13">
        <v>60.999999999904006</v>
      </c>
      <c r="R7" s="13">
        <v>77.000999999858578</v>
      </c>
      <c r="S7" s="13">
        <v>69.990999999883357</v>
      </c>
      <c r="T7" s="13">
        <v>65.995999999894224</v>
      </c>
      <c r="U7" s="13">
        <v>74.006999999934294</v>
      </c>
      <c r="V7" s="13">
        <v>63.998999999792773</v>
      </c>
      <c r="W7" s="13">
        <v>64.003999999661374</v>
      </c>
      <c r="X7" s="13">
        <v>63.251999999751618</v>
      </c>
      <c r="Y7" s="13">
        <v>63.425999999720339</v>
      </c>
      <c r="Z7" s="13">
        <v>64.029999999837017</v>
      </c>
      <c r="AA7" s="13">
        <v>62.472999999878908</v>
      </c>
      <c r="AB7" s="13">
        <v>61.19099999992126</v>
      </c>
      <c r="AC7" s="13">
        <v>59.987999999862325</v>
      </c>
      <c r="AD7" s="13">
        <v>58.848999999840629</v>
      </c>
      <c r="AE7" s="13">
        <v>57.794999999875856</v>
      </c>
      <c r="AF7" s="13">
        <v>56.831999999882306</v>
      </c>
      <c r="AG7" s="13">
        <v>55.927999999928552</v>
      </c>
      <c r="AH7" s="13"/>
      <c r="AI7" s="13"/>
      <c r="AJ7" s="13"/>
      <c r="AK7" s="246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286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</row>
    <row r="8" spans="1:96" x14ac:dyDescent="0.25">
      <c r="L8" s="247" t="str">
        <f>'Ind T4'!A10</f>
        <v>Electricity and gas</v>
      </c>
      <c r="M8" s="13">
        <v>84.992999999709241</v>
      </c>
      <c r="N8" s="13">
        <v>85.998999999838475</v>
      </c>
      <c r="O8" s="13">
        <v>107.98599999949914</v>
      </c>
      <c r="P8" s="13">
        <v>132.00099999954736</v>
      </c>
      <c r="Q8" s="13">
        <v>119.00499999966901</v>
      </c>
      <c r="R8" s="13">
        <v>121.98799999957234</v>
      </c>
      <c r="S8" s="13">
        <v>121.98699999954243</v>
      </c>
      <c r="T8" s="13">
        <v>113.99399999973332</v>
      </c>
      <c r="U8" s="13">
        <v>133.00199999954054</v>
      </c>
      <c r="V8" s="13">
        <v>139.99099999948751</v>
      </c>
      <c r="W8" s="13">
        <v>143.9989999994973</v>
      </c>
      <c r="X8" s="13">
        <v>143.60099999972576</v>
      </c>
      <c r="Y8" s="13">
        <v>143.60799999977033</v>
      </c>
      <c r="Z8" s="13">
        <v>144.60700000004107</v>
      </c>
      <c r="AA8" s="13">
        <v>144.49199999989938</v>
      </c>
      <c r="AB8" s="13">
        <v>144.44599999965675</v>
      </c>
      <c r="AC8" s="13">
        <v>144.52599999993942</v>
      </c>
      <c r="AD8" s="13">
        <v>144.67599999991518</v>
      </c>
      <c r="AE8" s="13">
        <v>144.81199999956866</v>
      </c>
      <c r="AF8" s="13">
        <v>144.94799999941529</v>
      </c>
      <c r="AG8" s="13">
        <v>145.17299999955003</v>
      </c>
      <c r="AH8" s="13"/>
      <c r="AI8" s="13"/>
      <c r="AJ8" s="13"/>
      <c r="AK8" s="246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286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</row>
    <row r="9" spans="1:96" s="286" customFormat="1" x14ac:dyDescent="0.25">
      <c r="A9" s="104"/>
      <c r="B9" s="104"/>
      <c r="C9" s="104"/>
      <c r="D9" s="104"/>
      <c r="E9" s="104"/>
      <c r="F9" s="104"/>
      <c r="G9" s="104"/>
      <c r="H9" s="104"/>
      <c r="I9" s="104"/>
      <c r="J9" s="104"/>
      <c r="K9" s="104"/>
      <c r="L9" s="247" t="str">
        <f>'Ind T4'!A11</f>
        <v>Water and sewerage</v>
      </c>
      <c r="M9" s="13">
        <v>158.9899999995512</v>
      </c>
      <c r="N9" s="13">
        <v>168.99799999889149</v>
      </c>
      <c r="O9" s="13">
        <v>165.98699999976139</v>
      </c>
      <c r="P9" s="13">
        <v>177.00599999911816</v>
      </c>
      <c r="Q9" s="13">
        <v>188.99899999886875</v>
      </c>
      <c r="R9" s="13">
        <v>193.98099999875464</v>
      </c>
      <c r="S9" s="13">
        <v>188.97699999949353</v>
      </c>
      <c r="T9" s="13">
        <v>196.99199999866781</v>
      </c>
      <c r="U9" s="13">
        <v>199.99099999888713</v>
      </c>
      <c r="V9" s="13">
        <v>198.98699999873779</v>
      </c>
      <c r="W9" s="13">
        <v>207.99999999927968</v>
      </c>
      <c r="X9" s="13">
        <v>205.00299999871206</v>
      </c>
      <c r="Y9" s="13">
        <v>209.97999999867503</v>
      </c>
      <c r="Z9" s="13">
        <v>210.99299999870098</v>
      </c>
      <c r="AA9" s="13">
        <v>213.16699999853762</v>
      </c>
      <c r="AB9" s="13">
        <v>214.54499999874091</v>
      </c>
      <c r="AC9" s="13">
        <v>216.24499999839341</v>
      </c>
      <c r="AD9" s="13">
        <v>217.81499999849842</v>
      </c>
      <c r="AE9" s="13">
        <v>219.00699999857588</v>
      </c>
      <c r="AF9" s="13">
        <v>220.30799999894941</v>
      </c>
      <c r="AG9" s="13">
        <v>221.53499999908828</v>
      </c>
      <c r="AH9" s="13"/>
      <c r="AI9" s="13"/>
      <c r="AJ9" s="13"/>
      <c r="AK9" s="246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</row>
    <row r="10" spans="1:96" x14ac:dyDescent="0.25">
      <c r="L10" s="60"/>
      <c r="M10" s="286"/>
      <c r="N10" s="286"/>
      <c r="O10" s="286"/>
      <c r="P10" s="286"/>
      <c r="AK10" s="246"/>
      <c r="AP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286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</row>
    <row r="11" spans="1:96" x14ac:dyDescent="0.25">
      <c r="L11" s="21" t="str">
        <f>'Ind T4'!A13</f>
        <v>Manufacturing</v>
      </c>
      <c r="M11" s="13">
        <f t="shared" ref="M11:P11" si="2">SUM(M12:M14)</f>
        <v>2977.0189999889822</v>
      </c>
      <c r="N11" s="13">
        <f t="shared" si="2"/>
        <v>2878.9889999852176</v>
      </c>
      <c r="O11" s="13">
        <f t="shared" si="2"/>
        <v>2642.8619999925422</v>
      </c>
      <c r="P11" s="13">
        <f t="shared" si="2"/>
        <v>2567.1419999880686</v>
      </c>
      <c r="Q11" s="13">
        <f>SUM(Q12:Q14)</f>
        <v>2560.1159999867018</v>
      </c>
      <c r="R11" s="13">
        <f t="shared" ref="R11" si="3">SUM(R12:R14)</f>
        <v>2599.8869999849676</v>
      </c>
      <c r="S11" s="13">
        <f t="shared" ref="S11" si="4">SUM(S12:S14)</f>
        <v>2558.7759999947539</v>
      </c>
      <c r="T11" s="13">
        <f t="shared" ref="T11" si="5">SUM(T12:T14)</f>
        <v>2611.9979999823263</v>
      </c>
      <c r="U11" s="13">
        <f t="shared" ref="U11" si="6">SUM(U12:U14)</f>
        <v>2638.0219999847582</v>
      </c>
      <c r="V11" s="13">
        <f t="shared" ref="V11" si="7">SUM(V12:V14)</f>
        <v>2659.9169999847545</v>
      </c>
      <c r="W11" s="13">
        <f t="shared" ref="W11" si="8">SUM(W12:W14)</f>
        <v>2672.074999992044</v>
      </c>
      <c r="X11" s="13">
        <f t="shared" ref="X11" si="9">SUM(X12:X14)</f>
        <v>2636.4499999855952</v>
      </c>
      <c r="Y11" s="13">
        <f t="shared" ref="Y11" si="10">SUM(Y12:Y14)</f>
        <v>2605.8969999845476</v>
      </c>
      <c r="Z11" s="13">
        <f t="shared" ref="Z11" si="11">SUM(Z12:Z14)</f>
        <v>2600.5739999886596</v>
      </c>
      <c r="AA11" s="13">
        <f t="shared" ref="AA11" si="12">SUM(AA12:AA14)</f>
        <v>2564.4299999857703</v>
      </c>
      <c r="AB11" s="13">
        <f t="shared" ref="AB11" si="13">SUM(AB12:AB14)</f>
        <v>2535.298999986137</v>
      </c>
      <c r="AC11" s="13">
        <f t="shared" ref="AC11" si="14">SUM(AC12:AC14)</f>
        <v>2507.4079999854348</v>
      </c>
      <c r="AD11" s="13">
        <f>SUM(AD12:AD14)</f>
        <v>2483.2149999855301</v>
      </c>
      <c r="AE11" s="13">
        <f t="shared" ref="AE11" si="15">SUM(AE12:AE14)</f>
        <v>2458.5919999872121</v>
      </c>
      <c r="AF11" s="13">
        <f t="shared" ref="AF11" si="16">SUM(AF12:AF14)</f>
        <v>2436.4909999888546</v>
      </c>
      <c r="AG11" s="13">
        <f t="shared" ref="AG11" si="17">SUM(AG12:AG14)</f>
        <v>2414.4589999918871</v>
      </c>
      <c r="AH11" s="13"/>
      <c r="AI11" s="13"/>
      <c r="AJ11" s="13"/>
      <c r="AK11" s="246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286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</row>
    <row r="12" spans="1:96" x14ac:dyDescent="0.25">
      <c r="L12" s="247" t="str">
        <f>'Ind T4'!A14</f>
        <v>Food drink and tobacco</v>
      </c>
      <c r="M12" s="13">
        <v>432.28399999739617</v>
      </c>
      <c r="N12" s="13">
        <v>418.87599999647847</v>
      </c>
      <c r="O12" s="13">
        <v>398.08999999932297</v>
      </c>
      <c r="P12" s="13">
        <v>410.95099999740557</v>
      </c>
      <c r="Q12" s="13">
        <v>394.86699999672004</v>
      </c>
      <c r="R12" s="13">
        <v>403.12399999634022</v>
      </c>
      <c r="S12" s="13">
        <v>414.09599999909801</v>
      </c>
      <c r="T12" s="13">
        <v>415.03899999558212</v>
      </c>
      <c r="U12" s="13">
        <v>426.66299999622311</v>
      </c>
      <c r="V12" s="13">
        <v>442.25999999605841</v>
      </c>
      <c r="W12" s="13">
        <v>436.89199999930241</v>
      </c>
      <c r="X12" s="13">
        <v>423.76099999690661</v>
      </c>
      <c r="Y12" s="13">
        <v>420.09199999674854</v>
      </c>
      <c r="Z12" s="13">
        <v>422.30899999709868</v>
      </c>
      <c r="AA12" s="13">
        <v>418.8059999963682</v>
      </c>
      <c r="AB12" s="13">
        <v>415.71299999578639</v>
      </c>
      <c r="AC12" s="13">
        <v>413.01999999603254</v>
      </c>
      <c r="AD12" s="13">
        <v>410.60899999610172</v>
      </c>
      <c r="AE12" s="13">
        <v>408.17399999680941</v>
      </c>
      <c r="AF12" s="13">
        <v>405.78999999755803</v>
      </c>
      <c r="AG12" s="13">
        <v>403.42699999834389</v>
      </c>
      <c r="AH12" s="13"/>
      <c r="AI12" s="13"/>
      <c r="AJ12" s="13"/>
      <c r="AK12" s="246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286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</row>
    <row r="13" spans="1:96" x14ac:dyDescent="0.25">
      <c r="L13" s="247" t="str">
        <f>'Ind T4'!A15</f>
        <v>Engineering</v>
      </c>
      <c r="M13" s="13">
        <v>495.81599999827216</v>
      </c>
      <c r="N13" s="13">
        <v>467.02699999828383</v>
      </c>
      <c r="O13" s="13">
        <v>387.62299999858811</v>
      </c>
      <c r="P13" s="13">
        <v>391.02899999836484</v>
      </c>
      <c r="Q13" s="13">
        <v>422.8559999983836</v>
      </c>
      <c r="R13" s="13">
        <v>422.07399999810605</v>
      </c>
      <c r="S13" s="13">
        <v>423.09599999879055</v>
      </c>
      <c r="T13" s="13">
        <v>395.01699999835853</v>
      </c>
      <c r="U13" s="13">
        <v>394.69499999841025</v>
      </c>
      <c r="V13" s="13">
        <v>388.23699999845689</v>
      </c>
      <c r="W13" s="13">
        <v>396.93399999873714</v>
      </c>
      <c r="X13" s="13">
        <v>410.04399999856633</v>
      </c>
      <c r="Y13" s="13">
        <v>409.29499999844143</v>
      </c>
      <c r="Z13" s="13">
        <v>408.00799999894423</v>
      </c>
      <c r="AA13" s="13">
        <v>403.31599999864056</v>
      </c>
      <c r="AB13" s="13">
        <v>398.75099999858509</v>
      </c>
      <c r="AC13" s="13">
        <v>393.99099999858527</v>
      </c>
      <c r="AD13" s="13">
        <v>389.48499999859229</v>
      </c>
      <c r="AE13" s="13">
        <v>385.26999999858418</v>
      </c>
      <c r="AF13" s="13">
        <v>380.9569999986623</v>
      </c>
      <c r="AG13" s="13">
        <v>376.91199999897333</v>
      </c>
      <c r="AH13" s="13"/>
      <c r="AI13" s="13"/>
      <c r="AJ13" s="13"/>
      <c r="AK13" s="246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286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</row>
    <row r="14" spans="1:96" x14ac:dyDescent="0.25">
      <c r="L14" s="247" t="str">
        <f>'Ind T4'!A16</f>
        <v>Rest of manufacturing</v>
      </c>
      <c r="M14" s="13">
        <v>2048.9189999933137</v>
      </c>
      <c r="N14" s="13">
        <v>1993.0859999904553</v>
      </c>
      <c r="O14" s="13">
        <v>1857.1489999946314</v>
      </c>
      <c r="P14" s="13">
        <v>1765.1619999922982</v>
      </c>
      <c r="Q14" s="13">
        <v>1742.3929999915981</v>
      </c>
      <c r="R14" s="13">
        <v>1774.6889999905216</v>
      </c>
      <c r="S14" s="13">
        <v>1721.5839999968653</v>
      </c>
      <c r="T14" s="13">
        <v>1801.9419999883855</v>
      </c>
      <c r="U14" s="13">
        <v>1816.6639999901247</v>
      </c>
      <c r="V14" s="13">
        <v>1829.4199999902391</v>
      </c>
      <c r="W14" s="13">
        <v>1838.2489999940044</v>
      </c>
      <c r="X14" s="13">
        <v>1802.6449999901222</v>
      </c>
      <c r="Y14" s="13">
        <v>1776.5099999893578</v>
      </c>
      <c r="Z14" s="13">
        <v>1770.2569999926166</v>
      </c>
      <c r="AA14" s="13">
        <v>1742.3079999907613</v>
      </c>
      <c r="AB14" s="13">
        <v>1720.8349999917655</v>
      </c>
      <c r="AC14" s="13">
        <v>1700.3969999908172</v>
      </c>
      <c r="AD14" s="13">
        <v>1683.1209999908363</v>
      </c>
      <c r="AE14" s="13">
        <v>1665.1479999918183</v>
      </c>
      <c r="AF14" s="13">
        <v>1649.7439999926344</v>
      </c>
      <c r="AG14" s="13">
        <v>1634.1199999945698</v>
      </c>
      <c r="AH14" s="13"/>
      <c r="AI14" s="13"/>
      <c r="AJ14" s="13"/>
      <c r="AK14" s="246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286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</row>
    <row r="15" spans="1:96" x14ac:dyDescent="0.25">
      <c r="L15" s="60"/>
      <c r="M15" s="286"/>
      <c r="N15" s="286"/>
      <c r="O15" s="286"/>
      <c r="P15" s="286"/>
      <c r="AK15" s="246"/>
      <c r="AP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286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</row>
    <row r="16" spans="1:96" x14ac:dyDescent="0.25">
      <c r="L16" s="21" t="str">
        <f>'Ind T4'!A18</f>
        <v>Construction</v>
      </c>
      <c r="M16" s="13">
        <v>2301.0030000110032</v>
      </c>
      <c r="N16" s="13">
        <v>2282.002999977884</v>
      </c>
      <c r="O16" s="13">
        <v>2248.0959999873171</v>
      </c>
      <c r="P16" s="13">
        <v>2091.606999984263</v>
      </c>
      <c r="Q16" s="13">
        <v>2057.6939999782503</v>
      </c>
      <c r="R16" s="13">
        <v>2056.0949999815562</v>
      </c>
      <c r="S16" s="13">
        <v>2039.7159999887833</v>
      </c>
      <c r="T16" s="13">
        <v>2116.9989999878908</v>
      </c>
      <c r="U16" s="13">
        <v>2121.3120000146869</v>
      </c>
      <c r="V16" s="13">
        <v>2235.9579999905864</v>
      </c>
      <c r="W16" s="13">
        <v>2286.0480000047291</v>
      </c>
      <c r="X16" s="13">
        <v>2271.6999999985387</v>
      </c>
      <c r="Y16" s="13">
        <v>2286.6280000059296</v>
      </c>
      <c r="Z16" s="13">
        <v>2301.7510000066532</v>
      </c>
      <c r="AA16" s="13">
        <v>2302.0160000171791</v>
      </c>
      <c r="AB16" s="13">
        <v>2306.6340000232308</v>
      </c>
      <c r="AC16" s="13">
        <v>2312.6330000145108</v>
      </c>
      <c r="AD16" s="13">
        <v>2318.2110000281314</v>
      </c>
      <c r="AE16" s="13">
        <v>2323.4830000224897</v>
      </c>
      <c r="AF16" s="13">
        <v>2331.4020000402179</v>
      </c>
      <c r="AG16" s="13">
        <v>2336.0260000307353</v>
      </c>
      <c r="AH16" s="13"/>
      <c r="AI16" s="13"/>
      <c r="AJ16" s="13"/>
      <c r="AK16" s="246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286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</row>
    <row r="17" spans="1:96" x14ac:dyDescent="0.25">
      <c r="L17" s="60"/>
      <c r="M17" s="286"/>
      <c r="N17" s="286"/>
      <c r="O17" s="286"/>
      <c r="P17" s="286"/>
      <c r="AK17" s="246"/>
      <c r="AP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286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</row>
    <row r="18" spans="1:96" x14ac:dyDescent="0.25">
      <c r="L18" s="21" t="str">
        <f>'Ind T4'!A20</f>
        <v>Trade, accomod. and transport</v>
      </c>
      <c r="M18" s="13">
        <f t="shared" ref="M18:P18" si="18">SUM(M19:M21)</f>
        <v>8528.9969999945952</v>
      </c>
      <c r="N18" s="13">
        <f t="shared" si="18"/>
        <v>8627.0029999909493</v>
      </c>
      <c r="O18" s="13">
        <f t="shared" si="18"/>
        <v>8387.6240000787038</v>
      </c>
      <c r="P18" s="13">
        <f t="shared" si="18"/>
        <v>8209.583999990884</v>
      </c>
      <c r="Q18" s="13">
        <f>SUM(Q19:Q21)</f>
        <v>8259.1620000092098</v>
      </c>
      <c r="R18" s="13">
        <f t="shared" ref="R18" si="19">SUM(R19:R21)</f>
        <v>8402.642000000862</v>
      </c>
      <c r="S18" s="13">
        <f t="shared" ref="S18" si="20">SUM(S19:S21)</f>
        <v>8377.2700000371497</v>
      </c>
      <c r="T18" s="13">
        <f t="shared" ref="T18" si="21">SUM(T19:T21)</f>
        <v>8599.0069999871048</v>
      </c>
      <c r="U18" s="13">
        <f t="shared" ref="U18" si="22">SUM(U19:U21)</f>
        <v>8823.0859999998193</v>
      </c>
      <c r="V18" s="13">
        <f t="shared" ref="V18" si="23">SUM(V19:V21)</f>
        <v>9054.723999993641</v>
      </c>
      <c r="W18" s="13">
        <f t="shared" ref="W18" si="24">SUM(W19:W21)</f>
        <v>9218.2650000927588</v>
      </c>
      <c r="X18" s="13">
        <f t="shared" ref="X18" si="25">SUM(X19:X21)</f>
        <v>9141.1640000048355</v>
      </c>
      <c r="Y18" s="13">
        <f t="shared" ref="Y18" si="26">SUM(Y19:Y21)</f>
        <v>9118.4000000084998</v>
      </c>
      <c r="Z18" s="13">
        <f t="shared" ref="Z18" si="27">SUM(Z19:Z21)</f>
        <v>9123.7779999943759</v>
      </c>
      <c r="AA18" s="13">
        <f t="shared" ref="AA18" si="28">SUM(AA19:AA21)</f>
        <v>9138.2729999707299</v>
      </c>
      <c r="AB18" s="13">
        <f t="shared" ref="AB18" si="29">SUM(AB19:AB21)</f>
        <v>9163.5969999395293</v>
      </c>
      <c r="AC18" s="13">
        <f t="shared" ref="AC18" si="30">SUM(AC19:AC21)</f>
        <v>9195.8819999602529</v>
      </c>
      <c r="AD18" s="13">
        <f>SUM(AD19:AD21)</f>
        <v>9228.2319999780266</v>
      </c>
      <c r="AE18" s="13">
        <f t="shared" ref="AE18" si="31">SUM(AE19:AE21)</f>
        <v>9262.2099999914662</v>
      </c>
      <c r="AF18" s="13">
        <f t="shared" ref="AF18" si="32">SUM(AF19:AF21)</f>
        <v>9294.1740000139471</v>
      </c>
      <c r="AG18" s="13">
        <f t="shared" ref="AG18" si="33">SUM(AG19:AG21)</f>
        <v>9323.2560000011599</v>
      </c>
      <c r="AH18" s="13"/>
      <c r="AI18" s="13"/>
      <c r="AJ18" s="13"/>
      <c r="AK18" s="246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286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</row>
    <row r="19" spans="1:96" x14ac:dyDescent="0.25">
      <c r="L19" s="247" t="str">
        <f>'Ind T4'!A21</f>
        <v>Wholesale and retail trade</v>
      </c>
      <c r="M19" s="13">
        <v>5012.9960000061101</v>
      </c>
      <c r="N19" s="13">
        <v>5053.0050000002775</v>
      </c>
      <c r="O19" s="13">
        <v>4883.7690000565381</v>
      </c>
      <c r="P19" s="13">
        <v>4791.2880000018185</v>
      </c>
      <c r="Q19" s="13">
        <v>4768.1400000154381</v>
      </c>
      <c r="R19" s="13">
        <v>4840.7770000078972</v>
      </c>
      <c r="S19" s="13">
        <v>4797.5890000341606</v>
      </c>
      <c r="T19" s="13">
        <v>4889.9999999944821</v>
      </c>
      <c r="U19" s="13">
        <v>4971.0150000047497</v>
      </c>
      <c r="V19" s="13">
        <v>4992.8440000020209</v>
      </c>
      <c r="W19" s="13">
        <v>4980.1460000528386</v>
      </c>
      <c r="X19" s="13">
        <v>4980.1010000008564</v>
      </c>
      <c r="Y19" s="13">
        <v>4981.6030000041519</v>
      </c>
      <c r="Z19" s="13">
        <v>4988.3620000011906</v>
      </c>
      <c r="AA19" s="13">
        <v>4989.4739999855774</v>
      </c>
      <c r="AB19" s="13">
        <v>4996.6649999680012</v>
      </c>
      <c r="AC19" s="13">
        <v>5006.7249999828528</v>
      </c>
      <c r="AD19" s="13">
        <v>5016.9849999901444</v>
      </c>
      <c r="AE19" s="13">
        <v>5027.2180000003918</v>
      </c>
      <c r="AF19" s="13">
        <v>5036.2580000110756</v>
      </c>
      <c r="AG19" s="13">
        <v>5045.8300000027439</v>
      </c>
      <c r="AH19" s="13"/>
      <c r="AI19" s="13"/>
      <c r="AJ19" s="13"/>
      <c r="AK19" s="246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286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</row>
    <row r="20" spans="1:96" x14ac:dyDescent="0.25">
      <c r="L20" s="247" t="str">
        <f>'Ind T4'!A22</f>
        <v>Transport and storage</v>
      </c>
      <c r="M20" s="13">
        <v>1504.0029999935571</v>
      </c>
      <c r="N20" s="13">
        <v>1516.9950000012284</v>
      </c>
      <c r="O20" s="13">
        <v>1499.9610000144876</v>
      </c>
      <c r="P20" s="13">
        <v>1460.1790000035558</v>
      </c>
      <c r="Q20" s="13">
        <v>1489.9600000023013</v>
      </c>
      <c r="R20" s="13">
        <v>1507.967000000627</v>
      </c>
      <c r="S20" s="13">
        <v>1484.8510000053332</v>
      </c>
      <c r="T20" s="13">
        <v>1508.0110000030518</v>
      </c>
      <c r="U20" s="13">
        <v>1609.0769999978552</v>
      </c>
      <c r="V20" s="13">
        <v>1709.9510000010932</v>
      </c>
      <c r="W20" s="13">
        <v>1803.0430000179442</v>
      </c>
      <c r="X20" s="13">
        <v>1780.4600000026983</v>
      </c>
      <c r="Y20" s="13">
        <v>1777.6990000011981</v>
      </c>
      <c r="Z20" s="13">
        <v>1774.28299999454</v>
      </c>
      <c r="AA20" s="13">
        <v>1771.3529999921564</v>
      </c>
      <c r="AB20" s="13">
        <v>1768.9199999875452</v>
      </c>
      <c r="AC20" s="13">
        <v>1767.8519999847574</v>
      </c>
      <c r="AD20" s="13">
        <v>1768.1919999877689</v>
      </c>
      <c r="AE20" s="13">
        <v>1768.5929999877517</v>
      </c>
      <c r="AF20" s="13">
        <v>1768.8319999940697</v>
      </c>
      <c r="AG20" s="13">
        <v>1769.4869999931366</v>
      </c>
      <c r="AH20" s="13"/>
      <c r="AI20" s="13"/>
      <c r="AJ20" s="13"/>
      <c r="AK20" s="246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286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</row>
    <row r="21" spans="1:96" x14ac:dyDescent="0.25">
      <c r="L21" s="247" t="str">
        <f>'Ind T4'!A23</f>
        <v>Accommodation and food</v>
      </c>
      <c r="M21" s="13">
        <v>2011.9979999949289</v>
      </c>
      <c r="N21" s="13">
        <v>2057.0029999894423</v>
      </c>
      <c r="O21" s="13">
        <v>2003.8940000076786</v>
      </c>
      <c r="P21" s="13">
        <v>1958.1169999855097</v>
      </c>
      <c r="Q21" s="13">
        <v>2001.0619999914702</v>
      </c>
      <c r="R21" s="13">
        <v>2053.8979999923381</v>
      </c>
      <c r="S21" s="13">
        <v>2094.8299999976557</v>
      </c>
      <c r="T21" s="13">
        <v>2200.9959999895714</v>
      </c>
      <c r="U21" s="13">
        <v>2242.9939999972135</v>
      </c>
      <c r="V21" s="13">
        <v>2351.9289999905268</v>
      </c>
      <c r="W21" s="13">
        <v>2435.0760000219766</v>
      </c>
      <c r="X21" s="13">
        <v>2380.6030000012811</v>
      </c>
      <c r="Y21" s="13">
        <v>2359.0980000031504</v>
      </c>
      <c r="Z21" s="13">
        <v>2361.1329999986456</v>
      </c>
      <c r="AA21" s="13">
        <v>2377.4459999929968</v>
      </c>
      <c r="AB21" s="13">
        <v>2398.0119999839822</v>
      </c>
      <c r="AC21" s="13">
        <v>2421.304999992642</v>
      </c>
      <c r="AD21" s="13">
        <v>2443.0550000001135</v>
      </c>
      <c r="AE21" s="13">
        <v>2466.3990000033232</v>
      </c>
      <c r="AF21" s="13">
        <v>2489.0840000088024</v>
      </c>
      <c r="AG21" s="13">
        <v>2507.9390000052795</v>
      </c>
      <c r="AH21" s="13"/>
      <c r="AI21" s="13"/>
      <c r="AJ21" s="13"/>
      <c r="AK21" s="246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286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</row>
    <row r="22" spans="1:96" x14ac:dyDescent="0.25">
      <c r="L22" s="60"/>
      <c r="M22" s="286"/>
      <c r="N22" s="286"/>
      <c r="O22" s="286"/>
      <c r="P22" s="286"/>
      <c r="AK22" s="246"/>
      <c r="AP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</row>
    <row r="23" spans="1:96" x14ac:dyDescent="0.25">
      <c r="L23" s="21" t="str">
        <f>'Ind T4'!A25</f>
        <v>Business and other services</v>
      </c>
      <c r="M23" s="13">
        <f>SUM(M24:M31)</f>
        <v>9537.0059999813766</v>
      </c>
      <c r="N23" s="13">
        <f t="shared" ref="N23:AG23" si="34">SUM(N24:N31)</f>
        <v>9731.9689999994753</v>
      </c>
      <c r="O23" s="13">
        <f t="shared" si="34"/>
        <v>9395.7589999661195</v>
      </c>
      <c r="P23" s="13">
        <f t="shared" si="34"/>
        <v>9377.1040000001049</v>
      </c>
      <c r="Q23" s="13">
        <f t="shared" si="34"/>
        <v>9472.8260000042192</v>
      </c>
      <c r="R23" s="13">
        <f t="shared" si="34"/>
        <v>9786.795000000282</v>
      </c>
      <c r="S23" s="13">
        <f t="shared" si="34"/>
        <v>9951.0360000000546</v>
      </c>
      <c r="T23" s="13">
        <f t="shared" si="34"/>
        <v>10594.009999990036</v>
      </c>
      <c r="U23" s="13">
        <f t="shared" si="34"/>
        <v>10763.517999965698</v>
      </c>
      <c r="V23" s="13">
        <f t="shared" si="34"/>
        <v>11067.715999995029</v>
      </c>
      <c r="W23" s="13">
        <f t="shared" si="34"/>
        <v>11176.326999948447</v>
      </c>
      <c r="X23" s="13">
        <f t="shared" si="34"/>
        <v>11382.790999973895</v>
      </c>
      <c r="Y23" s="13">
        <f t="shared" si="34"/>
        <v>11462.168999968861</v>
      </c>
      <c r="Z23" s="13">
        <f t="shared" si="34"/>
        <v>11532.876999990474</v>
      </c>
      <c r="AA23" s="13">
        <f t="shared" si="34"/>
        <v>11570.329999981444</v>
      </c>
      <c r="AB23" s="13">
        <f t="shared" si="34"/>
        <v>11609.434999982173</v>
      </c>
      <c r="AC23" s="13">
        <f t="shared" si="34"/>
        <v>11653.592999987966</v>
      </c>
      <c r="AD23" s="13">
        <f t="shared" si="34"/>
        <v>11701.327999967749</v>
      </c>
      <c r="AE23" s="13">
        <f t="shared" si="34"/>
        <v>11749.18099997583</v>
      </c>
      <c r="AF23" s="13">
        <f t="shared" si="34"/>
        <v>11793.894999946411</v>
      </c>
      <c r="AG23" s="13">
        <f t="shared" si="34"/>
        <v>11838.384999964906</v>
      </c>
      <c r="AH23" s="13"/>
      <c r="AI23" s="13"/>
      <c r="AJ23" s="13"/>
      <c r="AK23" s="246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</row>
    <row r="24" spans="1:96" x14ac:dyDescent="0.25">
      <c r="L24" s="247" t="str">
        <f>'Ind T4'!A26</f>
        <v>Media</v>
      </c>
      <c r="M24" s="13">
        <v>356.91699999919734</v>
      </c>
      <c r="N24" s="13">
        <v>345.3640000010223</v>
      </c>
      <c r="O24" s="13">
        <v>330.99499999819511</v>
      </c>
      <c r="P24" s="13">
        <v>328.80200000069743</v>
      </c>
      <c r="Q24" s="13">
        <v>351.97400000030382</v>
      </c>
      <c r="R24" s="13">
        <v>373.49800000086208</v>
      </c>
      <c r="S24" s="13">
        <v>340.96100000084965</v>
      </c>
      <c r="T24" s="13">
        <v>377.51599999895865</v>
      </c>
      <c r="U24" s="13">
        <v>364.78299999831023</v>
      </c>
      <c r="V24" s="13">
        <v>361.76600000017953</v>
      </c>
      <c r="W24" s="13">
        <v>394.24399999736488</v>
      </c>
      <c r="X24" s="13">
        <v>391.69199999805227</v>
      </c>
      <c r="Y24" s="13">
        <v>396.03899999765611</v>
      </c>
      <c r="Z24" s="13">
        <v>397.4089999990631</v>
      </c>
      <c r="AA24" s="13">
        <v>398.09699999831508</v>
      </c>
      <c r="AB24" s="13">
        <v>398.85199999881922</v>
      </c>
      <c r="AC24" s="13">
        <v>399.75499999876627</v>
      </c>
      <c r="AD24" s="13">
        <v>400.95199999702243</v>
      </c>
      <c r="AE24" s="13">
        <v>401.86799999749576</v>
      </c>
      <c r="AF24" s="13">
        <v>402.70599999622885</v>
      </c>
      <c r="AG24" s="13">
        <v>403.50399999736345</v>
      </c>
      <c r="AH24" s="13"/>
      <c r="AI24" s="13"/>
      <c r="AJ24" s="13"/>
      <c r="AK24" s="246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</row>
    <row r="25" spans="1:96" x14ac:dyDescent="0.25">
      <c r="L25" s="247" t="str">
        <f>'Ind T4'!A27</f>
        <v>Information technology</v>
      </c>
      <c r="M25" s="13">
        <v>894.08799999886196</v>
      </c>
      <c r="N25" s="13">
        <v>888.62900000038405</v>
      </c>
      <c r="O25" s="13">
        <v>883.959999994246</v>
      </c>
      <c r="P25" s="13">
        <v>842.32000000327889</v>
      </c>
      <c r="Q25" s="13">
        <v>877.00900000388083</v>
      </c>
      <c r="R25" s="13">
        <v>849.47700000136092</v>
      </c>
      <c r="S25" s="13">
        <v>928.91600000193296</v>
      </c>
      <c r="T25" s="13">
        <v>979.48400000259744</v>
      </c>
      <c r="U25" s="13">
        <v>1025.2649999958433</v>
      </c>
      <c r="V25" s="13">
        <v>1074.1960000012159</v>
      </c>
      <c r="W25" s="13">
        <v>1102.7999999907265</v>
      </c>
      <c r="X25" s="13">
        <v>1117.5350000008987</v>
      </c>
      <c r="Y25" s="13">
        <v>1126.8500000002011</v>
      </c>
      <c r="Z25" s="13">
        <v>1131.9990000030989</v>
      </c>
      <c r="AA25" s="13">
        <v>1138.7380000032508</v>
      </c>
      <c r="AB25" s="13">
        <v>1147.5530000012718</v>
      </c>
      <c r="AC25" s="13">
        <v>1157.9600000038745</v>
      </c>
      <c r="AD25" s="13">
        <v>1167.5210000003506</v>
      </c>
      <c r="AE25" s="13">
        <v>1175.369000000383</v>
      </c>
      <c r="AF25" s="13">
        <v>1181.6289999933599</v>
      </c>
      <c r="AG25" s="13">
        <v>1188.3419999957662</v>
      </c>
      <c r="AH25" s="13"/>
      <c r="AI25" s="13"/>
      <c r="AJ25" s="13"/>
      <c r="AK25" s="246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</row>
    <row r="26" spans="1:96" x14ac:dyDescent="0.25">
      <c r="L26" s="247" t="str">
        <f>'Ind T4'!A28</f>
        <v>Finance and insurance</v>
      </c>
      <c r="M26" s="13">
        <v>1180.0009999978142</v>
      </c>
      <c r="N26" s="13">
        <v>1199.9960000001001</v>
      </c>
      <c r="O26" s="13">
        <v>1191.9359999929559</v>
      </c>
      <c r="P26" s="13">
        <v>1124.0579999985716</v>
      </c>
      <c r="Q26" s="13">
        <v>1132.0440000003614</v>
      </c>
      <c r="R26" s="13">
        <v>1144.9430000015018</v>
      </c>
      <c r="S26" s="13">
        <v>1113.9089999985656</v>
      </c>
      <c r="T26" s="13">
        <v>1133.0049999964303</v>
      </c>
      <c r="U26" s="13">
        <v>1112.0009999936228</v>
      </c>
      <c r="V26" s="13">
        <v>1121.9649999992268</v>
      </c>
      <c r="W26" s="13">
        <v>1134.0389999918809</v>
      </c>
      <c r="X26" s="13">
        <v>1129.6799999940317</v>
      </c>
      <c r="Y26" s="13">
        <v>1134.7359999940804</v>
      </c>
      <c r="Z26" s="13">
        <v>1142.8779999968397</v>
      </c>
      <c r="AA26" s="13">
        <v>1139.9879999972709</v>
      </c>
      <c r="AB26" s="13">
        <v>1136.6719999969075</v>
      </c>
      <c r="AC26" s="13">
        <v>1133.528999996752</v>
      </c>
      <c r="AD26" s="13">
        <v>1130.6109999936432</v>
      </c>
      <c r="AE26" s="13">
        <v>1127.7909999951873</v>
      </c>
      <c r="AF26" s="13">
        <v>1124.9479999907776</v>
      </c>
      <c r="AG26" s="13">
        <v>1122.6319999933098</v>
      </c>
      <c r="AH26" s="13"/>
      <c r="AI26" s="13"/>
      <c r="AJ26" s="13"/>
      <c r="AK26" s="246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</row>
    <row r="27" spans="1:96" s="286" customFormat="1" x14ac:dyDescent="0.25">
      <c r="A27" s="104"/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247" t="str">
        <f>'Ind T4'!A29</f>
        <v>Real estate</v>
      </c>
      <c r="M27" s="13">
        <v>442.99699999944011</v>
      </c>
      <c r="N27" s="13">
        <v>474.99899999976003</v>
      </c>
      <c r="O27" s="13">
        <v>487.98199999817354</v>
      </c>
      <c r="P27" s="13">
        <v>483.04599999917434</v>
      </c>
      <c r="Q27" s="13">
        <v>464.00399999983961</v>
      </c>
      <c r="R27" s="13">
        <v>491.98299999944902</v>
      </c>
      <c r="S27" s="13">
        <v>536.94899999952111</v>
      </c>
      <c r="T27" s="13">
        <v>546.99799999885238</v>
      </c>
      <c r="U27" s="13">
        <v>565.02799999826038</v>
      </c>
      <c r="V27" s="13">
        <v>577.98499999908597</v>
      </c>
      <c r="W27" s="13">
        <v>546.01899999880891</v>
      </c>
      <c r="X27" s="13">
        <v>548.8549999990264</v>
      </c>
      <c r="Y27" s="13">
        <v>550.66099999912808</v>
      </c>
      <c r="Z27" s="13">
        <v>552.91599999939058</v>
      </c>
      <c r="AA27" s="13">
        <v>554.72299999922257</v>
      </c>
      <c r="AB27" s="13">
        <v>556.52799999846707</v>
      </c>
      <c r="AC27" s="13">
        <v>558.66499999895984</v>
      </c>
      <c r="AD27" s="13">
        <v>561.14599999948075</v>
      </c>
      <c r="AE27" s="13">
        <v>563.81599999969285</v>
      </c>
      <c r="AF27" s="13">
        <v>566.78699999946662</v>
      </c>
      <c r="AG27" s="13">
        <v>570.10899999955313</v>
      </c>
      <c r="AH27" s="13"/>
      <c r="AI27" s="13"/>
      <c r="AJ27" s="13"/>
      <c r="AK27" s="246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</row>
    <row r="28" spans="1:96" s="286" customFormat="1" x14ac:dyDescent="0.25">
      <c r="A28" s="104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247" t="str">
        <f>'Ind T4'!A30</f>
        <v>Professional services</v>
      </c>
      <c r="M28" s="13">
        <v>2268.9989999969366</v>
      </c>
      <c r="N28" s="13">
        <v>2329.9930000068371</v>
      </c>
      <c r="O28" s="13">
        <v>2363.9699999821205</v>
      </c>
      <c r="P28" s="13">
        <v>2417.3520000074282</v>
      </c>
      <c r="Q28" s="13">
        <v>2426.9120000067596</v>
      </c>
      <c r="R28" s="13">
        <v>2528.9640000045051</v>
      </c>
      <c r="S28" s="13">
        <v>2627.7420000005227</v>
      </c>
      <c r="T28" s="13">
        <v>2821.9990000032199</v>
      </c>
      <c r="U28" s="13">
        <v>2906.1679999894081</v>
      </c>
      <c r="V28" s="13">
        <v>3016.9270000054612</v>
      </c>
      <c r="W28" s="13">
        <v>3014.0879999685353</v>
      </c>
      <c r="X28" s="13">
        <v>3079.4539999916915</v>
      </c>
      <c r="Y28" s="13">
        <v>3102.889999990191</v>
      </c>
      <c r="Z28" s="13">
        <v>3133.2110000034218</v>
      </c>
      <c r="AA28" s="13">
        <v>3151.0870000015088</v>
      </c>
      <c r="AB28" s="13">
        <v>3166.5210000062616</v>
      </c>
      <c r="AC28" s="13">
        <v>3181.4570000073986</v>
      </c>
      <c r="AD28" s="13">
        <v>3195.6279999922644</v>
      </c>
      <c r="AE28" s="13">
        <v>3209.8339999948071</v>
      </c>
      <c r="AF28" s="13">
        <v>3223.5569999760146</v>
      </c>
      <c r="AG28" s="13">
        <v>3236.19099998703</v>
      </c>
      <c r="AH28" s="13"/>
      <c r="AI28" s="13"/>
      <c r="AJ28" s="13"/>
      <c r="AK28" s="246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</row>
    <row r="29" spans="1:96" s="286" customFormat="1" x14ac:dyDescent="0.25">
      <c r="A29" s="104"/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247" t="str">
        <f>'Ind T4'!A31</f>
        <v>Support services</v>
      </c>
      <c r="M29" s="13">
        <v>2546.0019999911128</v>
      </c>
      <c r="N29" s="13">
        <v>2622.9979999876805</v>
      </c>
      <c r="O29" s="13">
        <v>2385.9010000007797</v>
      </c>
      <c r="P29" s="13">
        <v>2423.1949999889703</v>
      </c>
      <c r="Q29" s="13">
        <v>2437.0229999910052</v>
      </c>
      <c r="R29" s="13">
        <v>2613.9029999911177</v>
      </c>
      <c r="S29" s="13">
        <v>2587.7619999950193</v>
      </c>
      <c r="T29" s="13">
        <v>2808.0059999881796</v>
      </c>
      <c r="U29" s="13">
        <v>2846.0659999921381</v>
      </c>
      <c r="V29" s="13">
        <v>2953.9159999885578</v>
      </c>
      <c r="W29" s="13">
        <v>2997.0850000033129</v>
      </c>
      <c r="X29" s="13">
        <v>3072.3589999923611</v>
      </c>
      <c r="Y29" s="13">
        <v>3088.1079999924445</v>
      </c>
      <c r="Z29" s="13">
        <v>3101.6529999901136</v>
      </c>
      <c r="AA29" s="13">
        <v>3109.1719999866223</v>
      </c>
      <c r="AB29" s="13">
        <v>3120.143999982587</v>
      </c>
      <c r="AC29" s="13">
        <v>3133.5019999839237</v>
      </c>
      <c r="AD29" s="13">
        <v>3148.1209999887628</v>
      </c>
      <c r="AE29" s="13">
        <v>3163.3299999906708</v>
      </c>
      <c r="AF29" s="13">
        <v>3178.4449999952985</v>
      </c>
      <c r="AG29" s="13">
        <v>3193.7409999954666</v>
      </c>
      <c r="AH29" s="13"/>
      <c r="AI29" s="13"/>
      <c r="AJ29" s="13"/>
      <c r="AK29" s="246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</row>
    <row r="30" spans="1:96" s="286" customFormat="1" x14ac:dyDescent="0.25">
      <c r="A30" s="104"/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247" t="str">
        <f>'Ind T4'!A32</f>
        <v>Arts and entertainment</v>
      </c>
      <c r="M30" s="13">
        <v>869.0009999984519</v>
      </c>
      <c r="N30" s="13">
        <v>901.99800000166704</v>
      </c>
      <c r="O30" s="13">
        <v>846.99899999919353</v>
      </c>
      <c r="P30" s="13">
        <v>859.13599999994574</v>
      </c>
      <c r="Q30" s="13">
        <v>877.94900000053542</v>
      </c>
      <c r="R30" s="13">
        <v>901.00499999988642</v>
      </c>
      <c r="S30" s="13">
        <v>912.90400000059685</v>
      </c>
      <c r="T30" s="13">
        <v>941.00099999972645</v>
      </c>
      <c r="U30" s="13">
        <v>982.09999999721867</v>
      </c>
      <c r="V30" s="13">
        <v>968.98499999950639</v>
      </c>
      <c r="W30" s="13">
        <v>981.02599999688755</v>
      </c>
      <c r="X30" s="13">
        <v>1022.1959999967758</v>
      </c>
      <c r="Y30" s="13">
        <v>1033.622999995232</v>
      </c>
      <c r="Z30" s="13">
        <v>1035.8039999971925</v>
      </c>
      <c r="AA30" s="13">
        <v>1039.0959999951165</v>
      </c>
      <c r="AB30" s="13">
        <v>1041.4049999970252</v>
      </c>
      <c r="AC30" s="13">
        <v>1045.1819999973222</v>
      </c>
      <c r="AD30" s="13">
        <v>1051.3819999956345</v>
      </c>
      <c r="AE30" s="13">
        <v>1058.7609999966189</v>
      </c>
      <c r="AF30" s="13">
        <v>1065.0709999949934</v>
      </c>
      <c r="AG30" s="13">
        <v>1070.5299999960994</v>
      </c>
      <c r="AH30" s="13"/>
      <c r="AI30" s="13"/>
      <c r="AJ30" s="13"/>
      <c r="AK30" s="246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</row>
    <row r="31" spans="1:96" s="286" customFormat="1" x14ac:dyDescent="0.25">
      <c r="A31" s="104"/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247" t="str">
        <f>'Ind T4'!A33</f>
        <v>Other services</v>
      </c>
      <c r="M31" s="13">
        <v>979.00099999956251</v>
      </c>
      <c r="N31" s="13">
        <v>967.99200000202461</v>
      </c>
      <c r="O31" s="13">
        <v>904.01600000045494</v>
      </c>
      <c r="P31" s="13">
        <v>899.195000002038</v>
      </c>
      <c r="Q31" s="13">
        <v>905.91100000153415</v>
      </c>
      <c r="R31" s="13">
        <v>883.02200000159814</v>
      </c>
      <c r="S31" s="13">
        <v>901.89300000304627</v>
      </c>
      <c r="T31" s="13">
        <v>986.00100000207271</v>
      </c>
      <c r="U31" s="13">
        <v>962.10700000089571</v>
      </c>
      <c r="V31" s="13">
        <v>991.97600000179534</v>
      </c>
      <c r="W31" s="13">
        <v>1007.0260000009291</v>
      </c>
      <c r="X31" s="13">
        <v>1021.0200000010599</v>
      </c>
      <c r="Y31" s="13">
        <v>1029.2619999999281</v>
      </c>
      <c r="Z31" s="13">
        <v>1037.0070000013529</v>
      </c>
      <c r="AA31" s="13">
        <v>1039.4290000001376</v>
      </c>
      <c r="AB31" s="13">
        <v>1041.7600000008347</v>
      </c>
      <c r="AC31" s="13">
        <v>1043.5430000009699</v>
      </c>
      <c r="AD31" s="13">
        <v>1045.9670000005895</v>
      </c>
      <c r="AE31" s="13">
        <v>1048.4120000009736</v>
      </c>
      <c r="AF31" s="13">
        <v>1050.7520000002719</v>
      </c>
      <c r="AG31" s="13">
        <v>1053.3360000003177</v>
      </c>
      <c r="AH31" s="13"/>
      <c r="AI31" s="13"/>
      <c r="AJ31" s="13"/>
      <c r="AK31" s="246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</row>
    <row r="32" spans="1:96" x14ac:dyDescent="0.25">
      <c r="L32" s="15"/>
      <c r="M32" s="286"/>
      <c r="N32" s="286"/>
      <c r="O32" s="286"/>
      <c r="P32" s="286"/>
      <c r="AK32" s="246"/>
      <c r="AP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</row>
    <row r="33" spans="1:72" x14ac:dyDescent="0.25">
      <c r="L33" s="21" t="str">
        <f>'Ind T4'!A35</f>
        <v>Non-marketed services</v>
      </c>
      <c r="M33" s="13">
        <f>SUM(M34:M36)</f>
        <v>7760.0000000255804</v>
      </c>
      <c r="N33" s="13">
        <f t="shared" ref="N33:P33" si="35">SUM(N34:N36)</f>
        <v>7825.9900000477101</v>
      </c>
      <c r="O33" s="13">
        <f t="shared" si="35"/>
        <v>8058.5899999748299</v>
      </c>
      <c r="P33" s="13">
        <f t="shared" si="35"/>
        <v>8224.4200000390611</v>
      </c>
      <c r="Q33" s="13">
        <f>SUM(Q34:Q36)</f>
        <v>8172.2630000254612</v>
      </c>
      <c r="R33" s="13">
        <f t="shared" ref="R33" si="36">SUM(R34:R36)</f>
        <v>8139.5900000354741</v>
      </c>
      <c r="S33" s="13">
        <f t="shared" ref="S33" si="37">SUM(S34:S36)</f>
        <v>8287.295999980166</v>
      </c>
      <c r="T33" s="13">
        <f t="shared" ref="T33" si="38">SUM(T34:T36)</f>
        <v>8457.002000056571</v>
      </c>
      <c r="U33" s="13">
        <f t="shared" ref="U33" si="39">SUM(U34:U36)</f>
        <v>8515.0450000374422</v>
      </c>
      <c r="V33" s="13">
        <f t="shared" ref="V33" si="40">SUM(V34:V36)</f>
        <v>8570.7400000388516</v>
      </c>
      <c r="W33" s="13">
        <f t="shared" ref="W33" si="41">SUM(W34:W36)</f>
        <v>8637.2629999623387</v>
      </c>
      <c r="X33" s="13">
        <f t="shared" ref="X33" si="42">SUM(X34:X36)</f>
        <v>8651.9840000396216</v>
      </c>
      <c r="Y33" s="13">
        <f t="shared" ref="Y33" si="43">SUM(Y34:Y36)</f>
        <v>8679.498000034735</v>
      </c>
      <c r="Z33" s="13">
        <f t="shared" ref="Z33" si="44">SUM(Z34:Z36)</f>
        <v>8715.131000021518</v>
      </c>
      <c r="AA33" s="13">
        <f t="shared" ref="AA33" si="45">SUM(AA34:AA36)</f>
        <v>8750.9850000472543</v>
      </c>
      <c r="AB33" s="13">
        <f t="shared" ref="AB33" si="46">SUM(AB34:AB36)</f>
        <v>8790.4760000712104</v>
      </c>
      <c r="AC33" s="13">
        <f t="shared" ref="AC33" si="47">SUM(AC34:AC36)</f>
        <v>8845.2970000540245</v>
      </c>
      <c r="AD33" s="13">
        <f t="shared" ref="AD33" si="48">SUM(AD34:AD36)</f>
        <v>8902.4970000424037</v>
      </c>
      <c r="AE33" s="13">
        <f t="shared" ref="AE33" si="49">SUM(AE34:AE36)</f>
        <v>8959.7720000248355</v>
      </c>
      <c r="AF33" s="13">
        <f t="shared" ref="AF33" si="50">SUM(AF34:AF36)</f>
        <v>9012.9910000117088</v>
      </c>
      <c r="AG33" s="13">
        <f t="shared" ref="AG33" si="51">SUM(AG34:AG36)</f>
        <v>9066.7590000119435</v>
      </c>
      <c r="AH33" s="13"/>
      <c r="AI33" s="13"/>
      <c r="AJ33" s="13"/>
      <c r="AK33" s="246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</row>
    <row r="34" spans="1:72" x14ac:dyDescent="0.25">
      <c r="L34" s="247" t="str">
        <f>'Ind T4'!A36</f>
        <v>Public admin. and defence</v>
      </c>
      <c r="M34" s="13">
        <v>1571.9999999991799</v>
      </c>
      <c r="N34" s="13">
        <v>1541.9960000034046</v>
      </c>
      <c r="O34" s="13">
        <v>1554.8959999930717</v>
      </c>
      <c r="P34" s="13">
        <v>1541.0239999992828</v>
      </c>
      <c r="Q34" s="13">
        <v>1442.0909999987166</v>
      </c>
      <c r="R34" s="13">
        <v>1389.9119999994225</v>
      </c>
      <c r="S34" s="13">
        <v>1380.8939999958075</v>
      </c>
      <c r="T34" s="13">
        <v>1375.0030000015315</v>
      </c>
      <c r="U34" s="13">
        <v>1330.9759999996966</v>
      </c>
      <c r="V34" s="13">
        <v>1318.9600000013425</v>
      </c>
      <c r="W34" s="13">
        <v>1330.0479999937118</v>
      </c>
      <c r="X34" s="13">
        <v>1322.1759999983024</v>
      </c>
      <c r="Y34" s="13">
        <v>1320.4679999987363</v>
      </c>
      <c r="Z34" s="13">
        <v>1316.2470000003016</v>
      </c>
      <c r="AA34" s="13">
        <v>1311.2820000019326</v>
      </c>
      <c r="AB34" s="13">
        <v>1306.8430000034846</v>
      </c>
      <c r="AC34" s="13">
        <v>1310.3100000026186</v>
      </c>
      <c r="AD34" s="13">
        <v>1313.6710000013782</v>
      </c>
      <c r="AE34" s="13">
        <v>1316.893000001553</v>
      </c>
      <c r="AF34" s="13">
        <v>1320.0539999994974</v>
      </c>
      <c r="AG34" s="13">
        <v>1323.1529999996937</v>
      </c>
      <c r="AH34" s="13"/>
      <c r="AI34" s="13"/>
      <c r="AJ34" s="13"/>
      <c r="AK34" s="246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</row>
    <row r="35" spans="1:72" x14ac:dyDescent="0.25">
      <c r="L35" s="247" t="str">
        <f>'Ind T4'!A37</f>
        <v>Education</v>
      </c>
      <c r="M35" s="13">
        <v>2590.9980000533205</v>
      </c>
      <c r="N35" s="13">
        <v>2605.9970000644421</v>
      </c>
      <c r="O35" s="13">
        <v>2715.8750000279133</v>
      </c>
      <c r="P35" s="13">
        <v>2758.165000063454</v>
      </c>
      <c r="Q35" s="13">
        <v>2743.0640000570675</v>
      </c>
      <c r="R35" s="13">
        <v>2764.8700000620011</v>
      </c>
      <c r="S35" s="13">
        <v>2813.7560000331596</v>
      </c>
      <c r="T35" s="13">
        <v>2888.9960000820101</v>
      </c>
      <c r="U35" s="13">
        <v>2956.0470000663827</v>
      </c>
      <c r="V35" s="13">
        <v>2962.912000069186</v>
      </c>
      <c r="W35" s="13">
        <v>2926.0890000192853</v>
      </c>
      <c r="X35" s="13">
        <v>2902.0810000717938</v>
      </c>
      <c r="Y35" s="13">
        <v>2890.6410000631449</v>
      </c>
      <c r="Z35" s="13">
        <v>2882.0270000534524</v>
      </c>
      <c r="AA35" s="13">
        <v>2883.8630000657367</v>
      </c>
      <c r="AB35" s="13">
        <v>2888.1510000897474</v>
      </c>
      <c r="AC35" s="13">
        <v>2896.7170000749675</v>
      </c>
      <c r="AD35" s="13">
        <v>2907.9410000650669</v>
      </c>
      <c r="AE35" s="13">
        <v>2920.4430000501729</v>
      </c>
      <c r="AF35" s="13">
        <v>2927.8690000405959</v>
      </c>
      <c r="AG35" s="13">
        <v>2935.584000038913</v>
      </c>
      <c r="AH35" s="13"/>
      <c r="AI35" s="13"/>
      <c r="AJ35" s="13"/>
      <c r="AK35" s="246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</row>
    <row r="36" spans="1:72" x14ac:dyDescent="0.25">
      <c r="L36" s="247" t="str">
        <f>'Ind T4'!A38</f>
        <v>Health and social work</v>
      </c>
      <c r="M36" s="13">
        <v>3597.0019999730803</v>
      </c>
      <c r="N36" s="13">
        <v>3677.9969999798627</v>
      </c>
      <c r="O36" s="13">
        <v>3787.8189999538454</v>
      </c>
      <c r="P36" s="13">
        <v>3925.2309999763233</v>
      </c>
      <c r="Q36" s="13">
        <v>3987.1079999696776</v>
      </c>
      <c r="R36" s="13">
        <v>3984.8079999740507</v>
      </c>
      <c r="S36" s="13">
        <v>4092.6459999511985</v>
      </c>
      <c r="T36" s="13">
        <v>4193.0029999730295</v>
      </c>
      <c r="U36" s="13">
        <v>4228.0219999713627</v>
      </c>
      <c r="V36" s="13">
        <v>4288.8679999683227</v>
      </c>
      <c r="W36" s="13">
        <v>4381.1259999493423</v>
      </c>
      <c r="X36" s="13">
        <v>4427.7269999695254</v>
      </c>
      <c r="Y36" s="13">
        <v>4468.3889999728544</v>
      </c>
      <c r="Z36" s="13">
        <v>4516.8569999677638</v>
      </c>
      <c r="AA36" s="13">
        <v>4555.8399999795847</v>
      </c>
      <c r="AB36" s="13">
        <v>4595.4819999779784</v>
      </c>
      <c r="AC36" s="13">
        <v>4638.2699999764382</v>
      </c>
      <c r="AD36" s="13">
        <v>4680.8849999759586</v>
      </c>
      <c r="AE36" s="13">
        <v>4722.4359999731096</v>
      </c>
      <c r="AF36" s="13">
        <v>4765.0679999716167</v>
      </c>
      <c r="AG36" s="13">
        <v>4808.0219999733363</v>
      </c>
      <c r="AH36" s="13"/>
      <c r="AI36" s="13"/>
      <c r="AJ36" s="13"/>
      <c r="AK36" s="246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</row>
    <row r="37" spans="1:72" x14ac:dyDescent="0.25">
      <c r="L37" s="55"/>
      <c r="M37" s="286"/>
      <c r="N37" s="286"/>
      <c r="O37" s="286"/>
      <c r="P37" s="286"/>
      <c r="AH37" s="13"/>
      <c r="AI37" s="13"/>
      <c r="AJ37" s="13"/>
      <c r="AK37" s="246"/>
      <c r="AL37" s="13"/>
      <c r="AM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</row>
    <row r="38" spans="1:72" x14ac:dyDescent="0.25">
      <c r="L38" s="21" t="str">
        <f>'Ind T4'!A40</f>
        <v>All industries</v>
      </c>
      <c r="M38" s="13">
        <f>SUM(M5,M11,M16,M18,M23,M33)</f>
        <v>31790.007000000063</v>
      </c>
      <c r="N38" s="13">
        <f t="shared" ref="N38:P38" si="52">SUM(N5,N11,N16,N18,N23,N33)</f>
        <v>32066.94999999995</v>
      </c>
      <c r="O38" s="13">
        <f t="shared" si="52"/>
        <v>31454.935999999805</v>
      </c>
      <c r="P38" s="13">
        <f t="shared" si="52"/>
        <v>31254.016999999847</v>
      </c>
      <c r="Q38" s="13">
        <f>SUM(Q5,Q11,Q16,Q18,Q23,Q33)</f>
        <v>31293.980000000043</v>
      </c>
      <c r="R38" s="13">
        <f t="shared" ref="R38:AG38" si="53">SUM(R5,R11,R16,R18,R23,R33)</f>
        <v>31800.013000000246</v>
      </c>
      <c r="S38" s="13">
        <f t="shared" si="53"/>
        <v>31970.99000000002</v>
      </c>
      <c r="T38" s="13">
        <f t="shared" si="53"/>
        <v>33190.99799999989</v>
      </c>
      <c r="U38" s="13">
        <f t="shared" si="53"/>
        <v>33655.046999999911</v>
      </c>
      <c r="V38" s="13">
        <f t="shared" si="53"/>
        <v>34387.024999999907</v>
      </c>
      <c r="W38" s="13">
        <f t="shared" si="53"/>
        <v>34847.991999999991</v>
      </c>
      <c r="X38" s="13">
        <f t="shared" si="53"/>
        <v>34928.265999999909</v>
      </c>
      <c r="Y38" s="13">
        <f t="shared" si="53"/>
        <v>34997.401999999791</v>
      </c>
      <c r="Z38" s="13">
        <f t="shared" si="53"/>
        <v>35120.460999999865</v>
      </c>
      <c r="AA38" s="13">
        <f t="shared" si="53"/>
        <v>35171.926999999894</v>
      </c>
      <c r="AB38" s="13">
        <f t="shared" si="53"/>
        <v>35250.447999999946</v>
      </c>
      <c r="AC38" s="13">
        <f t="shared" si="53"/>
        <v>35359.640999999909</v>
      </c>
      <c r="AD38" s="13">
        <f>SUM(AD5,AD11,AD16,AD18,AD23,AD33)</f>
        <v>35478.093000000044</v>
      </c>
      <c r="AE38" s="13">
        <f t="shared" si="53"/>
        <v>35597.110999999844</v>
      </c>
      <c r="AF38" s="13">
        <f t="shared" si="53"/>
        <v>35711.845999999881</v>
      </c>
      <c r="AG38" s="13">
        <f t="shared" si="53"/>
        <v>35820.953000000147</v>
      </c>
      <c r="AH38" s="13"/>
      <c r="AI38" s="13"/>
      <c r="AJ38" s="13"/>
      <c r="AK38" s="246"/>
      <c r="AL38" s="13"/>
      <c r="AM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</row>
    <row r="39" spans="1:72" x14ac:dyDescent="0.25">
      <c r="AD39" s="13"/>
      <c r="AE39" s="13"/>
      <c r="AF39" s="13"/>
      <c r="AG39" s="13"/>
      <c r="AH39" s="13"/>
      <c r="AI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</row>
    <row r="40" spans="1:72" x14ac:dyDescent="0.25">
      <c r="AD40" s="13"/>
      <c r="AE40" s="13"/>
      <c r="AF40" s="13"/>
      <c r="AG40" s="13"/>
      <c r="AH40" s="13"/>
      <c r="AI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</row>
    <row r="41" spans="1:72" x14ac:dyDescent="0.25">
      <c r="L41" t="str">
        <f>REPT(" ",11)</f>
        <v xml:space="preserve">           </v>
      </c>
      <c r="AF41" s="13"/>
      <c r="AG41" s="13"/>
      <c r="AH41" s="13"/>
      <c r="AI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</row>
    <row r="42" spans="1:72" x14ac:dyDescent="0.25"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</row>
    <row r="43" spans="1:72" x14ac:dyDescent="0.25"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</row>
    <row r="44" spans="1:72" x14ac:dyDescent="0.25"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</row>
    <row r="45" spans="1:72" x14ac:dyDescent="0.25">
      <c r="O45" s="286"/>
      <c r="P45" s="286"/>
      <c r="Q45" s="286"/>
      <c r="R45" s="286"/>
      <c r="S45" s="286"/>
      <c r="T45" s="286"/>
      <c r="U45" s="286"/>
      <c r="V45" s="286"/>
      <c r="W45" s="286"/>
      <c r="X45" s="286"/>
      <c r="Y45" s="286"/>
      <c r="Z45" s="286"/>
      <c r="AA45" s="286"/>
      <c r="AB45" s="286"/>
      <c r="AC45" s="286"/>
      <c r="AD45" s="286"/>
      <c r="AE45" s="286"/>
      <c r="AF45" s="286"/>
      <c r="AG45" s="286"/>
      <c r="AH45" s="286"/>
      <c r="AI45" s="286"/>
      <c r="AJ45" s="286"/>
      <c r="AK45" s="286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</row>
    <row r="46" spans="1:72" x14ac:dyDescent="0.25"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</row>
    <row r="47" spans="1:72" ht="15.6" x14ac:dyDescent="0.3">
      <c r="A47" s="103" t="str">
        <f>CONCATENATE("Industry Figure 2.1  Change in Employment in ",$L$5,", ",$M$2,"-",$O$2)</f>
        <v>Industry Figure 2.1  Change in Employment in Primary sector and utilities, 2007-2027</v>
      </c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</row>
    <row r="48" spans="1:72" x14ac:dyDescent="0.25"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</row>
    <row r="49" spans="38:68" x14ac:dyDescent="0.25"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</row>
    <row r="50" spans="38:68" x14ac:dyDescent="0.25"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</row>
    <row r="51" spans="38:68" x14ac:dyDescent="0.25"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</row>
    <row r="52" spans="38:68" x14ac:dyDescent="0.25"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</row>
    <row r="53" spans="38:68" x14ac:dyDescent="0.25"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</row>
    <row r="54" spans="38:68" x14ac:dyDescent="0.25"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</row>
    <row r="55" spans="38:68" x14ac:dyDescent="0.25"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</row>
    <row r="56" spans="38:68" x14ac:dyDescent="0.25"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</row>
    <row r="57" spans="38:68" x14ac:dyDescent="0.25"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</row>
    <row r="58" spans="38:68" x14ac:dyDescent="0.25"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</row>
    <row r="59" spans="38:68" x14ac:dyDescent="0.25"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</row>
    <row r="60" spans="38:68" x14ac:dyDescent="0.25"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</row>
    <row r="61" spans="38:68" x14ac:dyDescent="0.25"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</row>
    <row r="62" spans="38:68" x14ac:dyDescent="0.25"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</row>
    <row r="63" spans="38:68" x14ac:dyDescent="0.25"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</row>
    <row r="64" spans="38:68" x14ac:dyDescent="0.25"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</row>
    <row r="65" spans="1:68" x14ac:dyDescent="0.25"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</row>
    <row r="66" spans="1:68" x14ac:dyDescent="0.25"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</row>
    <row r="67" spans="1:68" x14ac:dyDescent="0.25"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</row>
    <row r="68" spans="1:68" x14ac:dyDescent="0.25"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</row>
    <row r="69" spans="1:68" x14ac:dyDescent="0.25"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</row>
    <row r="70" spans="1:68" x14ac:dyDescent="0.25"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</row>
    <row r="71" spans="1:68" x14ac:dyDescent="0.25"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</row>
    <row r="72" spans="1:68" x14ac:dyDescent="0.25"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</row>
    <row r="73" spans="1:68" x14ac:dyDescent="0.25"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</row>
    <row r="74" spans="1:68" x14ac:dyDescent="0.25"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</row>
    <row r="75" spans="1:68" x14ac:dyDescent="0.25"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</row>
    <row r="76" spans="1:68" x14ac:dyDescent="0.25"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</row>
    <row r="77" spans="1:68" ht="15.6" x14ac:dyDescent="0.3">
      <c r="A77" s="103" t="str">
        <f>CONCATENATE("Industry Figure 2.2  Change in Employment in ",$L$11,", ",$M$2,"-",$O$2)</f>
        <v>Industry Figure 2.2  Change in Employment in Manufacturing, 2007-2027</v>
      </c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</row>
    <row r="78" spans="1:68" x14ac:dyDescent="0.25"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</row>
    <row r="79" spans="1:68" x14ac:dyDescent="0.25">
      <c r="AL79" s="13"/>
    </row>
    <row r="107" spans="1:1" ht="15.6" x14ac:dyDescent="0.3">
      <c r="A107" s="103" t="str">
        <f>CONCATENATE("Industry Figure 2.3  Change in Employment in ",$L$16,", ",$M$2,"-",$O$2)</f>
        <v>Industry Figure 2.3  Change in Employment in Construction, 2007-2027</v>
      </c>
    </row>
    <row r="137" spans="1:1" ht="15.6" x14ac:dyDescent="0.3">
      <c r="A137" s="103" t="str">
        <f>CONCATENATE("Industry Figure 2.4  Change in Employment in ",$L$18,", ",$M$2,"-",$O$2)</f>
        <v>Industry Figure 2.4  Change in Employment in Trade, accomod. and transport, 2007-2027</v>
      </c>
    </row>
    <row r="167" spans="1:1" ht="15.6" x14ac:dyDescent="0.3">
      <c r="A167" s="103" t="str">
        <f>CONCATENATE("Industry Figure 2.5  Change in Employment in ",$L$23,", ",$M$2,"- ",$O$2)</f>
        <v>Industry Figure 2.5  Change in Employment in Business and other services, 2007- 2027</v>
      </c>
    </row>
    <row r="197" spans="1:1" ht="15.6" x14ac:dyDescent="0.3">
      <c r="A197" s="103" t="str">
        <f>CONCATENATE("Industry Figure 2.6  Change in Employment in ",$L$33,", ",$M$2,"-",$O$2)</f>
        <v>Industry Figure 2.6  Change in Employment in Non-marketed services, 2007-2027</v>
      </c>
    </row>
    <row r="227" spans="1:15" ht="15.6" x14ac:dyDescent="0.3">
      <c r="A227" s="103" t="str">
        <f>CONCATENATE("Industry Figure 2.7  Employment trends by broad sector (SIC 2007), shares in %, ",$M$230,"-",$O$230)</f>
        <v>Industry Figure 2.7  Employment trends by broad sector (SIC 2007), shares in %, 2007-2027</v>
      </c>
      <c r="L227" s="56" t="s">
        <v>487</v>
      </c>
    </row>
    <row r="228" spans="1:15" x14ac:dyDescent="0.25">
      <c r="L228" s="34" t="s">
        <v>467</v>
      </c>
    </row>
    <row r="230" spans="1:15" x14ac:dyDescent="0.25">
      <c r="M230" s="12">
        <f>'Ind T1'!B19</f>
        <v>2007</v>
      </c>
      <c r="N230" s="12">
        <f>'Ind T1'!D19</f>
        <v>2017</v>
      </c>
      <c r="O230" s="12">
        <f>'Ind T1'!F19</f>
        <v>2027</v>
      </c>
    </row>
    <row r="231" spans="1:15" x14ac:dyDescent="0.25">
      <c r="L231" t="str">
        <f>L33</f>
        <v>Non-marketed services</v>
      </c>
      <c r="M231" s="49">
        <f>'Ind T1'!B25</f>
        <v>24.410186509319001</v>
      </c>
      <c r="N231" s="49">
        <f>'Ind T1'!D25</f>
        <v>24.785540010346484</v>
      </c>
      <c r="O231" s="49">
        <f>'Ind T1'!F25</f>
        <v>25.311328260897763</v>
      </c>
    </row>
    <row r="232" spans="1:15" x14ac:dyDescent="0.25">
      <c r="L232" t="str">
        <f>L23</f>
        <v>Business and other services</v>
      </c>
      <c r="M232" s="49">
        <f>'Ind T1'!B24</f>
        <v>30.000012267947461</v>
      </c>
      <c r="N232" s="49">
        <f>'Ind T1'!D24</f>
        <v>32.071652794079071</v>
      </c>
      <c r="O232" s="49">
        <f>'Ind T1'!F24</f>
        <v>33.048771762060206</v>
      </c>
    </row>
    <row r="233" spans="1:15" x14ac:dyDescent="0.25">
      <c r="L233" t="str">
        <f>L18</f>
        <v>Trade, accomod. and transport</v>
      </c>
      <c r="M233" s="49">
        <f>'Ind T1'!B23</f>
        <v>26.829176225077838</v>
      </c>
      <c r="N233" s="49">
        <f>'Ind T1'!D23</f>
        <v>26.452786720373332</v>
      </c>
      <c r="O233" s="49">
        <f>'Ind T1'!F23</f>
        <v>26.027381236900986</v>
      </c>
    </row>
    <row r="234" spans="1:15" x14ac:dyDescent="0.25">
      <c r="L234" t="str">
        <f>L16</f>
        <v>Construction</v>
      </c>
      <c r="M234" s="49">
        <f>'Ind T1'!B22</f>
        <v>7.2381330397662342</v>
      </c>
      <c r="N234" s="49">
        <f>'Ind T1'!D22</f>
        <v>6.560056602414079</v>
      </c>
      <c r="O234" s="49">
        <f>'Ind T1'!F22</f>
        <v>6.5213954526299895</v>
      </c>
    </row>
    <row r="235" spans="1:15" x14ac:dyDescent="0.25">
      <c r="L235" t="str">
        <f>L11</f>
        <v>Manufacturing</v>
      </c>
      <c r="M235" s="49">
        <f>'Ind T1'!B21</f>
        <v>9.3646377617626069</v>
      </c>
      <c r="N235" s="49">
        <f>'Ind T1'!D21</f>
        <v>7.667801920960164</v>
      </c>
      <c r="O235" s="49">
        <f>'Ind T1'!F21</f>
        <v>6.7403538928511395</v>
      </c>
    </row>
    <row r="236" spans="1:15" x14ac:dyDescent="0.25">
      <c r="L236" t="str">
        <f>L5</f>
        <v>Primary sector and utilities</v>
      </c>
      <c r="M236" s="49">
        <f>'Ind T1'!B20</f>
        <v>2.1578541961268605</v>
      </c>
      <c r="N236" s="49">
        <f>'Ind T1'!D20</f>
        <v>2.4621619518268809</v>
      </c>
      <c r="O236" s="49">
        <f>'Ind T1'!F20</f>
        <v>2.3507693946599177</v>
      </c>
    </row>
    <row r="257" spans="1:16" ht="15.6" x14ac:dyDescent="0.3">
      <c r="A257" s="103" t="str">
        <f>CONCATENATE("Industry Figure 2.8  Employment trends by broad sector (SIC 2007), change in thousands, ",$M$230,"-",$O$230)</f>
        <v>Industry Figure 2.8  Employment trends by broad sector (SIC 2007), change in thousands, 2007-2027</v>
      </c>
      <c r="L257" s="56" t="s">
        <v>488</v>
      </c>
    </row>
    <row r="258" spans="1:16" x14ac:dyDescent="0.25">
      <c r="L258" s="34" t="s">
        <v>466</v>
      </c>
      <c r="M258" s="12"/>
      <c r="N258" s="12"/>
      <c r="O258" s="12"/>
    </row>
    <row r="259" spans="1:16" x14ac:dyDescent="0.25">
      <c r="P259" s="12"/>
    </row>
    <row r="260" spans="1:16" x14ac:dyDescent="0.25">
      <c r="N260" s="12" t="str">
        <f>'Ind T1'!R4</f>
        <v>2007-2017</v>
      </c>
      <c r="O260" s="12" t="str">
        <f>'Ind T1'!F44</f>
        <v>2017-2027</v>
      </c>
      <c r="P260" s="13"/>
    </row>
    <row r="261" spans="1:16" x14ac:dyDescent="0.25">
      <c r="L261" t="str">
        <f t="shared" ref="L261:L266" si="54">L231</f>
        <v>Non-marketed services</v>
      </c>
      <c r="N261" s="13">
        <f>'Ind T1'!D12-'Ind T1'!B12</f>
        <v>877.26299993675912</v>
      </c>
      <c r="O261" s="13">
        <f>'Ind T1'!F50</f>
        <v>429.49600004960303</v>
      </c>
      <c r="P261" s="13"/>
    </row>
    <row r="262" spans="1:16" x14ac:dyDescent="0.25">
      <c r="L262" t="str">
        <f t="shared" si="54"/>
        <v>Business and other services</v>
      </c>
      <c r="N262" s="13">
        <f>'Ind T1'!D11-'Ind T1'!B11</f>
        <v>1639.3209999670707</v>
      </c>
      <c r="O262" s="13">
        <f>'Ind T1'!F49</f>
        <v>662.0580000164573</v>
      </c>
      <c r="P262" s="13"/>
    </row>
    <row r="263" spans="1:16" x14ac:dyDescent="0.25">
      <c r="L263" t="str">
        <f t="shared" si="54"/>
        <v>Trade, accomod. and transport</v>
      </c>
      <c r="N263" s="13">
        <f>'Ind T1'!D10-'Ind T1'!B10</f>
        <v>689.26800009816179</v>
      </c>
      <c r="O263" s="13">
        <f>'Ind T1'!F48</f>
        <v>104.99099990840114</v>
      </c>
      <c r="P263" s="13"/>
    </row>
    <row r="264" spans="1:16" x14ac:dyDescent="0.25">
      <c r="L264" t="str">
        <f t="shared" si="54"/>
        <v>Construction</v>
      </c>
      <c r="N264" s="13">
        <f>'Ind T1'!D9-'Ind T1'!B9</f>
        <v>-14.955000006274076</v>
      </c>
      <c r="O264" s="13">
        <f>'Ind T1'!F47</f>
        <v>49.978000026006157</v>
      </c>
      <c r="P264" s="13"/>
    </row>
    <row r="265" spans="1:16" x14ac:dyDescent="0.25">
      <c r="L265" t="str">
        <f t="shared" si="54"/>
        <v>Manufacturing</v>
      </c>
      <c r="N265" s="13">
        <f>'Ind T1'!D8-'Ind T1'!B8</f>
        <v>-304.94399999693815</v>
      </c>
      <c r="O265" s="13">
        <f>'Ind T1'!F46</f>
        <v>-257.61600000015687</v>
      </c>
      <c r="P265" s="13"/>
    </row>
    <row r="266" spans="1:16" x14ac:dyDescent="0.25">
      <c r="L266" t="str">
        <f t="shared" si="54"/>
        <v>Primary sector and utilities</v>
      </c>
      <c r="N266" s="13">
        <f>'Ind T1'!D7-'Ind T1'!B7</f>
        <v>172.032000001151</v>
      </c>
      <c r="O266" s="13">
        <f>'Ind T1'!F45</f>
        <v>-15.946000000157937</v>
      </c>
    </row>
    <row r="268" spans="1:16" x14ac:dyDescent="0.25">
      <c r="L268" t="str">
        <f>L38</f>
        <v>All industries</v>
      </c>
      <c r="N268" s="13">
        <f>'Ind T1'!D14-'Ind T1'!B14</f>
        <v>3057.9849999999278</v>
      </c>
      <c r="O268" s="13">
        <f>SUM(O261:O266)</f>
        <v>972.96100000015281</v>
      </c>
    </row>
  </sheetData>
  <phoneticPr fontId="4" type="noConversion"/>
  <conditionalFormatting sqref="L4:AM4 L22:AM22 L17:AM17">
    <cfRule type="cellIs" dxfId="10" priority="3" stopIfTrue="1" operator="equal">
      <formula>0</formula>
    </cfRule>
  </conditionalFormatting>
  <conditionalFormatting sqref="AQ4:BP4">
    <cfRule type="cellIs" dxfId="9" priority="2" stopIfTrue="1" operator="equal">
      <formula>0</formula>
    </cfRule>
  </conditionalFormatting>
  <conditionalFormatting sqref="BS4:CR4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R1295"/>
  <sheetViews>
    <sheetView showGridLines="0" zoomScale="85" zoomScaleNormal="85" workbookViewId="0"/>
  </sheetViews>
  <sheetFormatPr defaultRowHeight="13.2" x14ac:dyDescent="0.25"/>
  <cols>
    <col min="1" max="1" width="33.109375" bestFit="1" customWidth="1"/>
    <col min="2" max="12" width="7.33203125" customWidth="1"/>
    <col min="257" max="257" width="33.109375" bestFit="1" customWidth="1"/>
    <col min="258" max="260" width="7.109375" customWidth="1"/>
    <col min="261" max="261" width="5" customWidth="1"/>
    <col min="262" max="264" width="7.109375" customWidth="1"/>
    <col min="265" max="265" width="5" customWidth="1"/>
    <col min="266" max="268" width="7.109375" customWidth="1"/>
    <col min="513" max="513" width="33.109375" bestFit="1" customWidth="1"/>
    <col min="514" max="516" width="7.109375" customWidth="1"/>
    <col min="517" max="517" width="5" customWidth="1"/>
    <col min="518" max="520" width="7.109375" customWidth="1"/>
    <col min="521" max="521" width="5" customWidth="1"/>
    <col min="522" max="524" width="7.109375" customWidth="1"/>
    <col min="769" max="769" width="33.109375" bestFit="1" customWidth="1"/>
    <col min="770" max="772" width="7.109375" customWidth="1"/>
    <col min="773" max="773" width="5" customWidth="1"/>
    <col min="774" max="776" width="7.109375" customWidth="1"/>
    <col min="777" max="777" width="5" customWidth="1"/>
    <col min="778" max="780" width="7.109375" customWidth="1"/>
    <col min="1025" max="1025" width="33.109375" bestFit="1" customWidth="1"/>
    <col min="1026" max="1028" width="7.109375" customWidth="1"/>
    <col min="1029" max="1029" width="5" customWidth="1"/>
    <col min="1030" max="1032" width="7.109375" customWidth="1"/>
    <col min="1033" max="1033" width="5" customWidth="1"/>
    <col min="1034" max="1036" width="7.109375" customWidth="1"/>
    <col min="1281" max="1281" width="33.109375" bestFit="1" customWidth="1"/>
    <col min="1282" max="1284" width="7.109375" customWidth="1"/>
    <col min="1285" max="1285" width="5" customWidth="1"/>
    <col min="1286" max="1288" width="7.109375" customWidth="1"/>
    <col min="1289" max="1289" width="5" customWidth="1"/>
    <col min="1290" max="1292" width="7.109375" customWidth="1"/>
    <col min="1537" max="1537" width="33.109375" bestFit="1" customWidth="1"/>
    <col min="1538" max="1540" width="7.109375" customWidth="1"/>
    <col min="1541" max="1541" width="5" customWidth="1"/>
    <col min="1542" max="1544" width="7.109375" customWidth="1"/>
    <col min="1545" max="1545" width="5" customWidth="1"/>
    <col min="1546" max="1548" width="7.109375" customWidth="1"/>
    <col min="1793" max="1793" width="33.109375" bestFit="1" customWidth="1"/>
    <col min="1794" max="1796" width="7.109375" customWidth="1"/>
    <col min="1797" max="1797" width="5" customWidth="1"/>
    <col min="1798" max="1800" width="7.109375" customWidth="1"/>
    <col min="1801" max="1801" width="5" customWidth="1"/>
    <col min="1802" max="1804" width="7.109375" customWidth="1"/>
    <col min="2049" max="2049" width="33.109375" bestFit="1" customWidth="1"/>
    <col min="2050" max="2052" width="7.109375" customWidth="1"/>
    <col min="2053" max="2053" width="5" customWidth="1"/>
    <col min="2054" max="2056" width="7.109375" customWidth="1"/>
    <col min="2057" max="2057" width="5" customWidth="1"/>
    <col min="2058" max="2060" width="7.109375" customWidth="1"/>
    <col min="2305" max="2305" width="33.109375" bestFit="1" customWidth="1"/>
    <col min="2306" max="2308" width="7.109375" customWidth="1"/>
    <col min="2309" max="2309" width="5" customWidth="1"/>
    <col min="2310" max="2312" width="7.109375" customWidth="1"/>
    <col min="2313" max="2313" width="5" customWidth="1"/>
    <col min="2314" max="2316" width="7.109375" customWidth="1"/>
    <col min="2561" max="2561" width="33.109375" bestFit="1" customWidth="1"/>
    <col min="2562" max="2564" width="7.109375" customWidth="1"/>
    <col min="2565" max="2565" width="5" customWidth="1"/>
    <col min="2566" max="2568" width="7.109375" customWidth="1"/>
    <col min="2569" max="2569" width="5" customWidth="1"/>
    <col min="2570" max="2572" width="7.109375" customWidth="1"/>
    <col min="2817" max="2817" width="33.109375" bestFit="1" customWidth="1"/>
    <col min="2818" max="2820" width="7.109375" customWidth="1"/>
    <col min="2821" max="2821" width="5" customWidth="1"/>
    <col min="2822" max="2824" width="7.109375" customWidth="1"/>
    <col min="2825" max="2825" width="5" customWidth="1"/>
    <col min="2826" max="2828" width="7.109375" customWidth="1"/>
    <col min="3073" max="3073" width="33.109375" bestFit="1" customWidth="1"/>
    <col min="3074" max="3076" width="7.109375" customWidth="1"/>
    <col min="3077" max="3077" width="5" customWidth="1"/>
    <col min="3078" max="3080" width="7.109375" customWidth="1"/>
    <col min="3081" max="3081" width="5" customWidth="1"/>
    <col min="3082" max="3084" width="7.109375" customWidth="1"/>
    <col min="3329" max="3329" width="33.109375" bestFit="1" customWidth="1"/>
    <col min="3330" max="3332" width="7.109375" customWidth="1"/>
    <col min="3333" max="3333" width="5" customWidth="1"/>
    <col min="3334" max="3336" width="7.109375" customWidth="1"/>
    <col min="3337" max="3337" width="5" customWidth="1"/>
    <col min="3338" max="3340" width="7.109375" customWidth="1"/>
    <col min="3585" max="3585" width="33.109375" bestFit="1" customWidth="1"/>
    <col min="3586" max="3588" width="7.109375" customWidth="1"/>
    <col min="3589" max="3589" width="5" customWidth="1"/>
    <col min="3590" max="3592" width="7.109375" customWidth="1"/>
    <col min="3593" max="3593" width="5" customWidth="1"/>
    <col min="3594" max="3596" width="7.109375" customWidth="1"/>
    <col min="3841" max="3841" width="33.109375" bestFit="1" customWidth="1"/>
    <col min="3842" max="3844" width="7.109375" customWidth="1"/>
    <col min="3845" max="3845" width="5" customWidth="1"/>
    <col min="3846" max="3848" width="7.109375" customWidth="1"/>
    <col min="3849" max="3849" width="5" customWidth="1"/>
    <col min="3850" max="3852" width="7.109375" customWidth="1"/>
    <col min="4097" max="4097" width="33.109375" bestFit="1" customWidth="1"/>
    <col min="4098" max="4100" width="7.109375" customWidth="1"/>
    <col min="4101" max="4101" width="5" customWidth="1"/>
    <col min="4102" max="4104" width="7.109375" customWidth="1"/>
    <col min="4105" max="4105" width="5" customWidth="1"/>
    <col min="4106" max="4108" width="7.109375" customWidth="1"/>
    <col min="4353" max="4353" width="33.109375" bestFit="1" customWidth="1"/>
    <col min="4354" max="4356" width="7.109375" customWidth="1"/>
    <col min="4357" max="4357" width="5" customWidth="1"/>
    <col min="4358" max="4360" width="7.109375" customWidth="1"/>
    <col min="4361" max="4361" width="5" customWidth="1"/>
    <col min="4362" max="4364" width="7.109375" customWidth="1"/>
    <col min="4609" max="4609" width="33.109375" bestFit="1" customWidth="1"/>
    <col min="4610" max="4612" width="7.109375" customWidth="1"/>
    <col min="4613" max="4613" width="5" customWidth="1"/>
    <col min="4614" max="4616" width="7.109375" customWidth="1"/>
    <col min="4617" max="4617" width="5" customWidth="1"/>
    <col min="4618" max="4620" width="7.109375" customWidth="1"/>
    <col min="4865" max="4865" width="33.109375" bestFit="1" customWidth="1"/>
    <col min="4866" max="4868" width="7.109375" customWidth="1"/>
    <col min="4869" max="4869" width="5" customWidth="1"/>
    <col min="4870" max="4872" width="7.109375" customWidth="1"/>
    <col min="4873" max="4873" width="5" customWidth="1"/>
    <col min="4874" max="4876" width="7.109375" customWidth="1"/>
    <col min="5121" max="5121" width="33.109375" bestFit="1" customWidth="1"/>
    <col min="5122" max="5124" width="7.109375" customWidth="1"/>
    <col min="5125" max="5125" width="5" customWidth="1"/>
    <col min="5126" max="5128" width="7.109375" customWidth="1"/>
    <col min="5129" max="5129" width="5" customWidth="1"/>
    <col min="5130" max="5132" width="7.109375" customWidth="1"/>
    <col min="5377" max="5377" width="33.109375" bestFit="1" customWidth="1"/>
    <col min="5378" max="5380" width="7.109375" customWidth="1"/>
    <col min="5381" max="5381" width="5" customWidth="1"/>
    <col min="5382" max="5384" width="7.109375" customWidth="1"/>
    <col min="5385" max="5385" width="5" customWidth="1"/>
    <col min="5386" max="5388" width="7.109375" customWidth="1"/>
    <col min="5633" max="5633" width="33.109375" bestFit="1" customWidth="1"/>
    <col min="5634" max="5636" width="7.109375" customWidth="1"/>
    <col min="5637" max="5637" width="5" customWidth="1"/>
    <col min="5638" max="5640" width="7.109375" customWidth="1"/>
    <col min="5641" max="5641" width="5" customWidth="1"/>
    <col min="5642" max="5644" width="7.109375" customWidth="1"/>
    <col min="5889" max="5889" width="33.109375" bestFit="1" customWidth="1"/>
    <col min="5890" max="5892" width="7.109375" customWidth="1"/>
    <col min="5893" max="5893" width="5" customWidth="1"/>
    <col min="5894" max="5896" width="7.109375" customWidth="1"/>
    <col min="5897" max="5897" width="5" customWidth="1"/>
    <col min="5898" max="5900" width="7.109375" customWidth="1"/>
    <col min="6145" max="6145" width="33.109375" bestFit="1" customWidth="1"/>
    <col min="6146" max="6148" width="7.109375" customWidth="1"/>
    <col min="6149" max="6149" width="5" customWidth="1"/>
    <col min="6150" max="6152" width="7.109375" customWidth="1"/>
    <col min="6153" max="6153" width="5" customWidth="1"/>
    <col min="6154" max="6156" width="7.109375" customWidth="1"/>
    <col min="6401" max="6401" width="33.109375" bestFit="1" customWidth="1"/>
    <col min="6402" max="6404" width="7.109375" customWidth="1"/>
    <col min="6405" max="6405" width="5" customWidth="1"/>
    <col min="6406" max="6408" width="7.109375" customWidth="1"/>
    <col min="6409" max="6409" width="5" customWidth="1"/>
    <col min="6410" max="6412" width="7.109375" customWidth="1"/>
    <col min="6657" max="6657" width="33.109375" bestFit="1" customWidth="1"/>
    <col min="6658" max="6660" width="7.109375" customWidth="1"/>
    <col min="6661" max="6661" width="5" customWidth="1"/>
    <col min="6662" max="6664" width="7.109375" customWidth="1"/>
    <col min="6665" max="6665" width="5" customWidth="1"/>
    <col min="6666" max="6668" width="7.109375" customWidth="1"/>
    <col min="6913" max="6913" width="33.109375" bestFit="1" customWidth="1"/>
    <col min="6914" max="6916" width="7.109375" customWidth="1"/>
    <col min="6917" max="6917" width="5" customWidth="1"/>
    <col min="6918" max="6920" width="7.109375" customWidth="1"/>
    <col min="6921" max="6921" width="5" customWidth="1"/>
    <col min="6922" max="6924" width="7.109375" customWidth="1"/>
    <col min="7169" max="7169" width="33.109375" bestFit="1" customWidth="1"/>
    <col min="7170" max="7172" width="7.109375" customWidth="1"/>
    <col min="7173" max="7173" width="5" customWidth="1"/>
    <col min="7174" max="7176" width="7.109375" customWidth="1"/>
    <col min="7177" max="7177" width="5" customWidth="1"/>
    <col min="7178" max="7180" width="7.109375" customWidth="1"/>
    <col min="7425" max="7425" width="33.109375" bestFit="1" customWidth="1"/>
    <col min="7426" max="7428" width="7.109375" customWidth="1"/>
    <col min="7429" max="7429" width="5" customWidth="1"/>
    <col min="7430" max="7432" width="7.109375" customWidth="1"/>
    <col min="7433" max="7433" width="5" customWidth="1"/>
    <col min="7434" max="7436" width="7.109375" customWidth="1"/>
    <col min="7681" max="7681" width="33.109375" bestFit="1" customWidth="1"/>
    <col min="7682" max="7684" width="7.109375" customWidth="1"/>
    <col min="7685" max="7685" width="5" customWidth="1"/>
    <col min="7686" max="7688" width="7.109375" customWidth="1"/>
    <col min="7689" max="7689" width="5" customWidth="1"/>
    <col min="7690" max="7692" width="7.109375" customWidth="1"/>
    <col min="7937" max="7937" width="33.109375" bestFit="1" customWidth="1"/>
    <col min="7938" max="7940" width="7.109375" customWidth="1"/>
    <col min="7941" max="7941" width="5" customWidth="1"/>
    <col min="7942" max="7944" width="7.109375" customWidth="1"/>
    <col min="7945" max="7945" width="5" customWidth="1"/>
    <col min="7946" max="7948" width="7.109375" customWidth="1"/>
    <col min="8193" max="8193" width="33.109375" bestFit="1" customWidth="1"/>
    <col min="8194" max="8196" width="7.109375" customWidth="1"/>
    <col min="8197" max="8197" width="5" customWidth="1"/>
    <col min="8198" max="8200" width="7.109375" customWidth="1"/>
    <col min="8201" max="8201" width="5" customWidth="1"/>
    <col min="8202" max="8204" width="7.109375" customWidth="1"/>
    <col min="8449" max="8449" width="33.109375" bestFit="1" customWidth="1"/>
    <col min="8450" max="8452" width="7.109375" customWidth="1"/>
    <col min="8453" max="8453" width="5" customWidth="1"/>
    <col min="8454" max="8456" width="7.109375" customWidth="1"/>
    <col min="8457" max="8457" width="5" customWidth="1"/>
    <col min="8458" max="8460" width="7.109375" customWidth="1"/>
    <col min="8705" max="8705" width="33.109375" bestFit="1" customWidth="1"/>
    <col min="8706" max="8708" width="7.109375" customWidth="1"/>
    <col min="8709" max="8709" width="5" customWidth="1"/>
    <col min="8710" max="8712" width="7.109375" customWidth="1"/>
    <col min="8713" max="8713" width="5" customWidth="1"/>
    <col min="8714" max="8716" width="7.109375" customWidth="1"/>
    <col min="8961" max="8961" width="33.109375" bestFit="1" customWidth="1"/>
    <col min="8962" max="8964" width="7.109375" customWidth="1"/>
    <col min="8965" max="8965" width="5" customWidth="1"/>
    <col min="8966" max="8968" width="7.109375" customWidth="1"/>
    <col min="8969" max="8969" width="5" customWidth="1"/>
    <col min="8970" max="8972" width="7.109375" customWidth="1"/>
    <col min="9217" max="9217" width="33.109375" bestFit="1" customWidth="1"/>
    <col min="9218" max="9220" width="7.109375" customWidth="1"/>
    <col min="9221" max="9221" width="5" customWidth="1"/>
    <col min="9222" max="9224" width="7.109375" customWidth="1"/>
    <col min="9225" max="9225" width="5" customWidth="1"/>
    <col min="9226" max="9228" width="7.109375" customWidth="1"/>
    <col min="9473" max="9473" width="33.109375" bestFit="1" customWidth="1"/>
    <col min="9474" max="9476" width="7.109375" customWidth="1"/>
    <col min="9477" max="9477" width="5" customWidth="1"/>
    <col min="9478" max="9480" width="7.109375" customWidth="1"/>
    <col min="9481" max="9481" width="5" customWidth="1"/>
    <col min="9482" max="9484" width="7.109375" customWidth="1"/>
    <col min="9729" max="9729" width="33.109375" bestFit="1" customWidth="1"/>
    <col min="9730" max="9732" width="7.109375" customWidth="1"/>
    <col min="9733" max="9733" width="5" customWidth="1"/>
    <col min="9734" max="9736" width="7.109375" customWidth="1"/>
    <col min="9737" max="9737" width="5" customWidth="1"/>
    <col min="9738" max="9740" width="7.109375" customWidth="1"/>
    <col min="9985" max="9985" width="33.109375" bestFit="1" customWidth="1"/>
    <col min="9986" max="9988" width="7.109375" customWidth="1"/>
    <col min="9989" max="9989" width="5" customWidth="1"/>
    <col min="9990" max="9992" width="7.109375" customWidth="1"/>
    <col min="9993" max="9993" width="5" customWidth="1"/>
    <col min="9994" max="9996" width="7.109375" customWidth="1"/>
    <col min="10241" max="10241" width="33.109375" bestFit="1" customWidth="1"/>
    <col min="10242" max="10244" width="7.109375" customWidth="1"/>
    <col min="10245" max="10245" width="5" customWidth="1"/>
    <col min="10246" max="10248" width="7.109375" customWidth="1"/>
    <col min="10249" max="10249" width="5" customWidth="1"/>
    <col min="10250" max="10252" width="7.109375" customWidth="1"/>
    <col min="10497" max="10497" width="33.109375" bestFit="1" customWidth="1"/>
    <col min="10498" max="10500" width="7.109375" customWidth="1"/>
    <col min="10501" max="10501" width="5" customWidth="1"/>
    <col min="10502" max="10504" width="7.109375" customWidth="1"/>
    <col min="10505" max="10505" width="5" customWidth="1"/>
    <col min="10506" max="10508" width="7.109375" customWidth="1"/>
    <col min="10753" max="10753" width="33.109375" bestFit="1" customWidth="1"/>
    <col min="10754" max="10756" width="7.109375" customWidth="1"/>
    <col min="10757" max="10757" width="5" customWidth="1"/>
    <col min="10758" max="10760" width="7.109375" customWidth="1"/>
    <col min="10761" max="10761" width="5" customWidth="1"/>
    <col min="10762" max="10764" width="7.109375" customWidth="1"/>
    <col min="11009" max="11009" width="33.109375" bestFit="1" customWidth="1"/>
    <col min="11010" max="11012" width="7.109375" customWidth="1"/>
    <col min="11013" max="11013" width="5" customWidth="1"/>
    <col min="11014" max="11016" width="7.109375" customWidth="1"/>
    <col min="11017" max="11017" width="5" customWidth="1"/>
    <col min="11018" max="11020" width="7.109375" customWidth="1"/>
    <col min="11265" max="11265" width="33.109375" bestFit="1" customWidth="1"/>
    <col min="11266" max="11268" width="7.109375" customWidth="1"/>
    <col min="11269" max="11269" width="5" customWidth="1"/>
    <col min="11270" max="11272" width="7.109375" customWidth="1"/>
    <col min="11273" max="11273" width="5" customWidth="1"/>
    <col min="11274" max="11276" width="7.109375" customWidth="1"/>
    <col min="11521" max="11521" width="33.109375" bestFit="1" customWidth="1"/>
    <col min="11522" max="11524" width="7.109375" customWidth="1"/>
    <col min="11525" max="11525" width="5" customWidth="1"/>
    <col min="11526" max="11528" width="7.109375" customWidth="1"/>
    <col min="11529" max="11529" width="5" customWidth="1"/>
    <col min="11530" max="11532" width="7.109375" customWidth="1"/>
    <col min="11777" max="11777" width="33.109375" bestFit="1" customWidth="1"/>
    <col min="11778" max="11780" width="7.109375" customWidth="1"/>
    <col min="11781" max="11781" width="5" customWidth="1"/>
    <col min="11782" max="11784" width="7.109375" customWidth="1"/>
    <col min="11785" max="11785" width="5" customWidth="1"/>
    <col min="11786" max="11788" width="7.109375" customWidth="1"/>
    <col min="12033" max="12033" width="33.109375" bestFit="1" customWidth="1"/>
    <col min="12034" max="12036" width="7.109375" customWidth="1"/>
    <col min="12037" max="12037" width="5" customWidth="1"/>
    <col min="12038" max="12040" width="7.109375" customWidth="1"/>
    <col min="12041" max="12041" width="5" customWidth="1"/>
    <col min="12042" max="12044" width="7.109375" customWidth="1"/>
    <col min="12289" max="12289" width="33.109375" bestFit="1" customWidth="1"/>
    <col min="12290" max="12292" width="7.109375" customWidth="1"/>
    <col min="12293" max="12293" width="5" customWidth="1"/>
    <col min="12294" max="12296" width="7.109375" customWidth="1"/>
    <col min="12297" max="12297" width="5" customWidth="1"/>
    <col min="12298" max="12300" width="7.109375" customWidth="1"/>
    <col min="12545" max="12545" width="33.109375" bestFit="1" customWidth="1"/>
    <col min="12546" max="12548" width="7.109375" customWidth="1"/>
    <col min="12549" max="12549" width="5" customWidth="1"/>
    <col min="12550" max="12552" width="7.109375" customWidth="1"/>
    <col min="12553" max="12553" width="5" customWidth="1"/>
    <col min="12554" max="12556" width="7.109375" customWidth="1"/>
    <col min="12801" max="12801" width="33.109375" bestFit="1" customWidth="1"/>
    <col min="12802" max="12804" width="7.109375" customWidth="1"/>
    <col min="12805" max="12805" width="5" customWidth="1"/>
    <col min="12806" max="12808" width="7.109375" customWidth="1"/>
    <col min="12809" max="12809" width="5" customWidth="1"/>
    <col min="12810" max="12812" width="7.109375" customWidth="1"/>
    <col min="13057" max="13057" width="33.109375" bestFit="1" customWidth="1"/>
    <col min="13058" max="13060" width="7.109375" customWidth="1"/>
    <col min="13061" max="13061" width="5" customWidth="1"/>
    <col min="13062" max="13064" width="7.109375" customWidth="1"/>
    <col min="13065" max="13065" width="5" customWidth="1"/>
    <col min="13066" max="13068" width="7.109375" customWidth="1"/>
    <col min="13313" max="13313" width="33.109375" bestFit="1" customWidth="1"/>
    <col min="13314" max="13316" width="7.109375" customWidth="1"/>
    <col min="13317" max="13317" width="5" customWidth="1"/>
    <col min="13318" max="13320" width="7.109375" customWidth="1"/>
    <col min="13321" max="13321" width="5" customWidth="1"/>
    <col min="13322" max="13324" width="7.109375" customWidth="1"/>
    <col min="13569" max="13569" width="33.109375" bestFit="1" customWidth="1"/>
    <col min="13570" max="13572" width="7.109375" customWidth="1"/>
    <col min="13573" max="13573" width="5" customWidth="1"/>
    <col min="13574" max="13576" width="7.109375" customWidth="1"/>
    <col min="13577" max="13577" width="5" customWidth="1"/>
    <col min="13578" max="13580" width="7.109375" customWidth="1"/>
    <col min="13825" max="13825" width="33.109375" bestFit="1" customWidth="1"/>
    <col min="13826" max="13828" width="7.109375" customWidth="1"/>
    <col min="13829" max="13829" width="5" customWidth="1"/>
    <col min="13830" max="13832" width="7.109375" customWidth="1"/>
    <col min="13833" max="13833" width="5" customWidth="1"/>
    <col min="13834" max="13836" width="7.109375" customWidth="1"/>
    <col min="14081" max="14081" width="33.109375" bestFit="1" customWidth="1"/>
    <col min="14082" max="14084" width="7.109375" customWidth="1"/>
    <col min="14085" max="14085" width="5" customWidth="1"/>
    <col min="14086" max="14088" width="7.109375" customWidth="1"/>
    <col min="14089" max="14089" width="5" customWidth="1"/>
    <col min="14090" max="14092" width="7.109375" customWidth="1"/>
    <col min="14337" max="14337" width="33.109375" bestFit="1" customWidth="1"/>
    <col min="14338" max="14340" width="7.109375" customWidth="1"/>
    <col min="14341" max="14341" width="5" customWidth="1"/>
    <col min="14342" max="14344" width="7.109375" customWidth="1"/>
    <col min="14345" max="14345" width="5" customWidth="1"/>
    <col min="14346" max="14348" width="7.109375" customWidth="1"/>
    <col min="14593" max="14593" width="33.109375" bestFit="1" customWidth="1"/>
    <col min="14594" max="14596" width="7.109375" customWidth="1"/>
    <col min="14597" max="14597" width="5" customWidth="1"/>
    <col min="14598" max="14600" width="7.109375" customWidth="1"/>
    <col min="14601" max="14601" width="5" customWidth="1"/>
    <col min="14602" max="14604" width="7.109375" customWidth="1"/>
    <col min="14849" max="14849" width="33.109375" bestFit="1" customWidth="1"/>
    <col min="14850" max="14852" width="7.109375" customWidth="1"/>
    <col min="14853" max="14853" width="5" customWidth="1"/>
    <col min="14854" max="14856" width="7.109375" customWidth="1"/>
    <col min="14857" max="14857" width="5" customWidth="1"/>
    <col min="14858" max="14860" width="7.109375" customWidth="1"/>
    <col min="15105" max="15105" width="33.109375" bestFit="1" customWidth="1"/>
    <col min="15106" max="15108" width="7.109375" customWidth="1"/>
    <col min="15109" max="15109" width="5" customWidth="1"/>
    <col min="15110" max="15112" width="7.109375" customWidth="1"/>
    <col min="15113" max="15113" width="5" customWidth="1"/>
    <col min="15114" max="15116" width="7.109375" customWidth="1"/>
    <col min="15361" max="15361" width="33.109375" bestFit="1" customWidth="1"/>
    <col min="15362" max="15364" width="7.109375" customWidth="1"/>
    <col min="15365" max="15365" width="5" customWidth="1"/>
    <col min="15366" max="15368" width="7.109375" customWidth="1"/>
    <col min="15369" max="15369" width="5" customWidth="1"/>
    <col min="15370" max="15372" width="7.109375" customWidth="1"/>
    <col min="15617" max="15617" width="33.109375" bestFit="1" customWidth="1"/>
    <col min="15618" max="15620" width="7.109375" customWidth="1"/>
    <col min="15621" max="15621" width="5" customWidth="1"/>
    <col min="15622" max="15624" width="7.109375" customWidth="1"/>
    <col min="15625" max="15625" width="5" customWidth="1"/>
    <col min="15626" max="15628" width="7.109375" customWidth="1"/>
    <col min="15873" max="15873" width="33.109375" bestFit="1" customWidth="1"/>
    <col min="15874" max="15876" width="7.109375" customWidth="1"/>
    <col min="15877" max="15877" width="5" customWidth="1"/>
    <col min="15878" max="15880" width="7.109375" customWidth="1"/>
    <col min="15881" max="15881" width="5" customWidth="1"/>
    <col min="15882" max="15884" width="7.109375" customWidth="1"/>
    <col min="16129" max="16129" width="33.109375" bestFit="1" customWidth="1"/>
    <col min="16130" max="16132" width="7.109375" customWidth="1"/>
    <col min="16133" max="16133" width="5" customWidth="1"/>
    <col min="16134" max="16136" width="7.109375" customWidth="1"/>
    <col min="16137" max="16137" width="5" customWidth="1"/>
    <col min="16138" max="16140" width="7.109375" customWidth="1"/>
  </cols>
  <sheetData>
    <row r="1" spans="1:14" ht="15.6" x14ac:dyDescent="0.3">
      <c r="A1" s="265" t="str">
        <f>CONCATENATE("Industry and Occupation Table 1  Occuptation composition by gender, ",B$6,"-",J$6)</f>
        <v>Industry and Occupation Table 1  Occuptation composition by gender, 2007-2027</v>
      </c>
      <c r="B1" s="351"/>
      <c r="C1" s="351"/>
      <c r="D1" s="351"/>
      <c r="E1" s="351"/>
      <c r="F1" s="351"/>
      <c r="G1" s="351"/>
      <c r="H1" s="351"/>
      <c r="I1" s="351"/>
      <c r="J1" s="351"/>
      <c r="K1" s="351"/>
      <c r="L1" s="361"/>
      <c r="M1" s="347"/>
      <c r="N1" s="347"/>
    </row>
    <row r="2" spans="1:14" x14ac:dyDescent="0.25">
      <c r="A2" s="351"/>
      <c r="B2" s="351"/>
      <c r="C2" s="351"/>
      <c r="D2" s="351"/>
      <c r="E2" s="351"/>
      <c r="F2" s="351"/>
      <c r="G2" s="351"/>
      <c r="H2" s="351"/>
      <c r="I2" s="351"/>
      <c r="J2" s="351"/>
      <c r="K2" s="351"/>
      <c r="L2" s="361"/>
      <c r="M2" s="347"/>
      <c r="N2" s="347"/>
    </row>
    <row r="3" spans="1:14" x14ac:dyDescent="0.25">
      <c r="A3" s="351"/>
      <c r="B3" s="351"/>
      <c r="C3" s="351"/>
      <c r="D3" s="351"/>
      <c r="E3" s="351"/>
      <c r="F3" s="351"/>
      <c r="G3" s="351"/>
      <c r="H3" s="351"/>
      <c r="I3" s="351"/>
      <c r="J3" s="351"/>
      <c r="K3" s="351"/>
      <c r="L3" s="366"/>
      <c r="M3" s="347"/>
      <c r="N3" s="347"/>
    </row>
    <row r="4" spans="1:14" x14ac:dyDescent="0.25">
      <c r="A4" s="351"/>
      <c r="B4" s="351"/>
      <c r="C4" s="351"/>
      <c r="D4" s="351"/>
      <c r="E4" s="351"/>
      <c r="F4" s="351"/>
      <c r="G4" s="351"/>
      <c r="H4" s="351"/>
      <c r="I4" s="351"/>
      <c r="J4" s="351"/>
      <c r="K4" s="351"/>
      <c r="L4" s="367" t="s">
        <v>35</v>
      </c>
      <c r="M4" s="347"/>
      <c r="N4" s="347"/>
    </row>
    <row r="5" spans="1:14" x14ac:dyDescent="0.25">
      <c r="A5" s="355"/>
      <c r="B5" s="355"/>
      <c r="C5" s="356"/>
      <c r="D5" s="356"/>
      <c r="E5" s="356"/>
      <c r="F5" s="356"/>
      <c r="G5" s="356"/>
      <c r="H5" s="356"/>
      <c r="I5" s="356"/>
      <c r="J5" s="356"/>
      <c r="K5" s="356"/>
      <c r="L5" s="347"/>
      <c r="M5" s="347"/>
      <c r="N5" s="347"/>
    </row>
    <row r="6" spans="1:14" x14ac:dyDescent="0.25">
      <c r="A6" s="354" t="s">
        <v>0</v>
      </c>
      <c r="B6" s="515">
        <v>2007</v>
      </c>
      <c r="C6" s="516"/>
      <c r="D6" s="516"/>
      <c r="E6" s="359"/>
      <c r="F6" s="515">
        <v>2017</v>
      </c>
      <c r="G6" s="515"/>
      <c r="H6" s="515"/>
      <c r="I6" s="359"/>
      <c r="J6" s="515">
        <v>2027</v>
      </c>
      <c r="K6" s="515"/>
      <c r="L6" s="515"/>
      <c r="M6" s="347"/>
      <c r="N6" s="347"/>
    </row>
    <row r="7" spans="1:14" x14ac:dyDescent="0.25">
      <c r="A7" s="368"/>
      <c r="B7" s="358" t="s">
        <v>387</v>
      </c>
      <c r="C7" s="358" t="s">
        <v>388</v>
      </c>
      <c r="D7" s="358" t="s">
        <v>32</v>
      </c>
      <c r="E7" s="358"/>
      <c r="F7" s="358" t="s">
        <v>387</v>
      </c>
      <c r="G7" s="358" t="s">
        <v>388</v>
      </c>
      <c r="H7" s="358" t="s">
        <v>32</v>
      </c>
      <c r="I7" s="358"/>
      <c r="J7" s="358" t="s">
        <v>387</v>
      </c>
      <c r="K7" s="358" t="s">
        <v>388</v>
      </c>
      <c r="L7" s="358" t="s">
        <v>32</v>
      </c>
      <c r="M7" s="347"/>
      <c r="N7" s="347"/>
    </row>
    <row r="8" spans="1:14" s="286" customFormat="1" x14ac:dyDescent="0.25">
      <c r="A8" s="352"/>
      <c r="B8" s="373"/>
      <c r="C8" s="373"/>
      <c r="D8" s="373"/>
      <c r="E8" s="373"/>
      <c r="F8" s="373"/>
      <c r="G8" s="373"/>
      <c r="H8" s="373"/>
      <c r="I8" s="373"/>
      <c r="J8" s="373"/>
      <c r="K8" s="373"/>
      <c r="L8" s="373"/>
      <c r="M8" s="347"/>
      <c r="N8" s="347"/>
    </row>
    <row r="9" spans="1:14" x14ac:dyDescent="0.25">
      <c r="A9" s="362" t="str">
        <f>name!E$4</f>
        <v>Managers, directors and senior officials</v>
      </c>
      <c r="B9" s="363">
        <f>SUM(B26,B43,B60,B77,B94,B111,B128,B145,B162,B179,B196,B213,B230,B247,B264,B281,B298,B315,B332,B349,B366,B383,B400,B417,B434,B451,B468,B485,B502,B519,B536,B553,B570,B587,B604,B621,B638,B655,B672,B689,B706,B723,B740,B757,B774,B791,B808,B825,B842,B859,B876,B893,B910,B927,B944,B961,B978,B995,B1012,B1029,B1046,B1063,B1080,B1097,B1114,B1131,B1148,B1165,B1182,B1199,B1216,B1233,B1250,B1267,B1284)</f>
        <v>835.9469749483917</v>
      </c>
      <c r="C9" s="363">
        <f>SUM(C26,C43,C60,C77,C94,C111,C128,C145,C162,C179,C196,C213,C230,C247,C264,C281,C298,C315,C332,C349,C366,C383,C400,C417,C434,C451,C468,C485,C502,C519,C536,C553,C570,C587,C604,C621,C638,C655,C672,C689,C706,C723,C740,C757,C774,C791,C808,C825,C842,C859,C876,C893,C910,C927,C944,C961,C978,C995,C1012,C1029,C1046,C1063,C1080,C1097,C1114,C1131,C1148,C1165,C1182,C1199,C1216,C1233,C1250,C1267,C1284)</f>
        <v>1939.7252496281044</v>
      </c>
      <c r="D9" s="363">
        <f>SUM(B9:C9)</f>
        <v>2775.6722245764959</v>
      </c>
      <c r="E9" s="364"/>
      <c r="F9" s="363">
        <f>SUM(F26,F43,F60,F77,F94,F111,F128,F145,F162,F179,F196,F213,F230,F247,F264,F281,F298,F315,F332,F349,F366,F383,F400,F417,F434,F451,F468,F485,F502,F519,F536,F553,F570,F587,F604,F621,F638,F655,F672,F689,F706,F723,F740,F757,F774,F791,F808,F825,F842,F859,F876,F893,F910,F927,F944,F961,F978,F995,F1012,F1029,F1046,F1063,F1080,F1097,F1114,F1131,F1148,F1165,F1182,F1199,F1216,F1233,F1250,F1267,F1284)</f>
        <v>1279.0908431352257</v>
      </c>
      <c r="G9" s="363">
        <f>SUM(G26,G43,G60,G77,G94,G111,G128,G145,G162,G179,G196,G213,G230,G247,G264,G281,G298,G315,G332,G349,G366,G383,G400,G417,G434,G451,G468,G485,G502,G519,G536,G553,G570,G587,G604,G621,G638,G655,G672,G689,G706,G723,G740,G757,G774,G791,G808,G825,G842,G859,G876,G893,G910,G927,G944,G961,G978,G995,G1012,G1029,G1046,G1063,G1080,G1097,G1114,G1131,G1148,G1165,G1182,G1199,G1216,G1233,G1250,G1267,G1284)</f>
        <v>2287.3335136329611</v>
      </c>
      <c r="H9" s="363">
        <f>SUM(F9:G9)</f>
        <v>3566.424356768187</v>
      </c>
      <c r="I9" s="364"/>
      <c r="J9" s="363">
        <f>SUM(J26,J43,J60,J77,J94,J111,J128,J145,J162,J179,J196,J213,J230,J247,J264,J281,J298,J315,J332,J349,J366,J383,J400,J417,J434,J451,J468,J485,J502,J519,J536,J553,J570,J587,J604,J621,J638,J655,J672,J689,J706,J723,J740,J757,J774,J791,J808,J825,J842,J859,J876,J893,J910,J927,J944,J961,J978,J995,J1012,J1029,J1046,J1063,J1080,J1097,J1114,J1131,J1148,J1165,J1182,J1199,J1216,J1233,J1250,J1267,J1284)</f>
        <v>1568.6479864408143</v>
      </c>
      <c r="K9" s="363">
        <f>SUM(K26,K43,K60,K77,K94,K111,K128,K145,K162,K179,K196,K213,K230,K247,K264,K281,K298,K315,K332,K349,K366,K383,K400,K417,K434,K451,K468,K485,K502,K519,K536,K553,K570,K587,K604,K621,K638,K655,K672,K689,K706,K723,K740,K757,K774,K791,K808,K825,K842,K859,K876,K893,K910,K927,K944,K961,K978,K995,K1012,K1029,K1046,K1063,K1080,K1097,K1114,K1131,K1148,K1165,K1182,K1199,K1216,K1233,K1250,K1267,K1284)</f>
        <v>2436.3234255164657</v>
      </c>
      <c r="L9" s="363">
        <f>SUM(J9:K9)</f>
        <v>4004.97141195728</v>
      </c>
      <c r="M9" s="347"/>
      <c r="N9" s="347"/>
    </row>
    <row r="10" spans="1:14" x14ac:dyDescent="0.25">
      <c r="A10" s="362" t="str">
        <f>name!E$5</f>
        <v>Professional occupations</v>
      </c>
      <c r="B10" s="363">
        <f t="shared" ref="B10:C10" si="0">SUM(B27,B44,B61,B78,B95,B112,B129,B146,B163,B180,B197,B214,B231,B248,B265,B282,B299,B316,B333,B350,B367,B384,B401,B418,B435,B452,B469,B486,B503,B520,B537,B554,B571,B588,B605,B622,B639,B656,B673,B690,B707,B724,B741,B758,B775,B792,B809,B826,B843,B860,B877,B894,B911,B928,B945,B962,B979,B996,B1013,B1030,B1047,B1064,B1081,B1098,B1115,B1132,B1149,B1166,B1183,B1200,B1217,B1234,B1251,B1268,B1285)</f>
        <v>2691.2021977822224</v>
      </c>
      <c r="C10" s="363">
        <f t="shared" si="0"/>
        <v>2734.8495458400157</v>
      </c>
      <c r="D10" s="363">
        <f t="shared" ref="D10:D17" si="1">SUM(B10:C10)</f>
        <v>5426.0517436222381</v>
      </c>
      <c r="E10" s="364"/>
      <c r="F10" s="363">
        <f t="shared" ref="F10:G10" si="2">SUM(F27,F44,F61,F78,F95,F112,F129,F146,F163,F180,F197,F214,F231,F248,F265,F282,F299,F316,F333,F350,F367,F384,F401,F418,F435,F452,F469,F486,F503,F520,F537,F554,F571,F588,F605,F622,F639,F656,F673,F690,F707,F724,F741,F758,F775,F792,F809,F826,F843,F860,F877,F894,F911,F928,F945,F962,F979,F996,F1013,F1030,F1047,F1064,F1081,F1098,F1115,F1132,F1149,F1166,F1183,F1200,F1217,F1234,F1251,F1268,F1285)</f>
        <v>3487.4439351593664</v>
      </c>
      <c r="G10" s="363">
        <f t="shared" si="2"/>
        <v>3386.0479034048144</v>
      </c>
      <c r="H10" s="363">
        <f t="shared" ref="H10:H17" si="3">SUM(F10:G10)</f>
        <v>6873.4918385641813</v>
      </c>
      <c r="I10" s="364"/>
      <c r="J10" s="363">
        <f t="shared" ref="J10:K10" si="4">SUM(J27,J44,J61,J78,J95,J112,J129,J146,J163,J180,J197,J214,J231,J248,J265,J282,J299,J316,J333,J350,J367,J384,J401,J418,J435,J452,J469,J486,J503,J520,J537,J554,J571,J588,J605,J622,J639,J656,J673,J690,J707,J724,J741,J758,J775,J792,J809,J826,J843,J860,J877,J894,J911,J928,J945,J962,J979,J996,J1013,J1030,J1047,J1064,J1081,J1098,J1115,J1132,J1149,J1166,J1183,J1200,J1217,J1234,J1251,J1268,J1285)</f>
        <v>4154.6737773107452</v>
      </c>
      <c r="K10" s="363">
        <f t="shared" si="4"/>
        <v>3539.9451063571782</v>
      </c>
      <c r="L10" s="363">
        <f t="shared" ref="L10:L17" si="5">SUM(J10:K10)</f>
        <v>7694.618883667923</v>
      </c>
      <c r="M10" s="347"/>
      <c r="N10" s="347"/>
    </row>
    <row r="11" spans="1:14" x14ac:dyDescent="0.25">
      <c r="A11" s="362" t="str">
        <f>name!E$6</f>
        <v>Associate professional and technical</v>
      </c>
      <c r="B11" s="363">
        <f t="shared" ref="B11:C11" si="6">SUM(B28,B45,B62,B79,B96,B113,B130,B147,B164,B181,B198,B215,B232,B249,B266,B283,B300,B317,B334,B351,B368,B385,B402,B419,B436,B453,B470,B487,B504,B521,B538,B555,B572,B589,B606,B623,B640,B657,B674,B691,B708,B725,B742,B759,B776,B793,B810,B827,B844,B861,B878,B895,B912,B929,B946,B963,B980,B997,B1014,B1031,B1048,B1065,B1082,B1099,B1116,B1133,B1150,B1167,B1184,B1201,B1218,B1235,B1252,B1269,B1286)</f>
        <v>1708.4586823918296</v>
      </c>
      <c r="C11" s="363">
        <f t="shared" si="6"/>
        <v>2483.7302692027929</v>
      </c>
      <c r="D11" s="363">
        <f t="shared" si="1"/>
        <v>4192.1889515946223</v>
      </c>
      <c r="E11" s="364"/>
      <c r="F11" s="363">
        <f t="shared" ref="F11:G11" si="7">SUM(F28,F45,F62,F79,F96,F113,F130,F147,F164,F181,F198,F215,F232,F249,F266,F283,F300,F317,F334,F351,F368,F385,F402,F419,F436,F453,F470,F487,F504,F521,F538,F555,F572,F589,F606,F623,F640,F657,F674,F691,F708,F725,F742,F759,F776,F793,F810,F827,F844,F861,F878,F895,F912,F929,F946,F963,F980,F997,F1014,F1031,F1048,F1065,F1082,F1099,F1116,F1133,F1150,F1167,F1184,F1201,F1218,F1235,F1252,F1269,F1286)</f>
        <v>2134.5217035311716</v>
      </c>
      <c r="G11" s="363">
        <f t="shared" si="7"/>
        <v>2749.8619783908885</v>
      </c>
      <c r="H11" s="363">
        <f t="shared" si="3"/>
        <v>4884.3836819220596</v>
      </c>
      <c r="I11" s="364"/>
      <c r="J11" s="363">
        <f t="shared" ref="J11:K11" si="8">SUM(J28,J45,J62,J79,J96,J113,J130,J147,J164,J181,J198,J215,J232,J249,J266,J283,J300,J317,J334,J351,J368,J385,J402,J419,J436,J453,J470,J487,J504,J521,J538,J555,J572,J589,J606,J623,J640,J657,J674,J691,J708,J725,J742,J759,J776,J793,J810,J827,J844,J861,J878,J895,J912,J929,J946,J963,J980,J997,J1014,J1031,J1048,J1065,J1082,J1099,J1116,J1133,J1150,J1167,J1184,J1201,J1218,J1235,J1252,J1269,J1286)</f>
        <v>2492.9632674880909</v>
      </c>
      <c r="K11" s="363">
        <f t="shared" si="8"/>
        <v>2816.5586919139919</v>
      </c>
      <c r="L11" s="363">
        <f t="shared" si="5"/>
        <v>5309.5219594020828</v>
      </c>
      <c r="M11" s="347"/>
      <c r="N11" s="347"/>
    </row>
    <row r="12" spans="1:14" x14ac:dyDescent="0.25">
      <c r="A12" s="362" t="str">
        <f>name!E$7</f>
        <v>Administrative and secretarial</v>
      </c>
      <c r="B12" s="363">
        <f t="shared" ref="B12:C12" si="9">SUM(B29,B46,B63,B80,B97,B114,B131,B148,B165,B182,B199,B216,B233,B250,B267,B284,B301,B318,B335,B352,B369,B386,B403,B420,B437,B454,B471,B488,B505,B522,B539,B556,B573,B590,B607,B624,B641,B658,B675,B692,B709,B726,B743,B760,B777,B794,B811,B828,B845,B862,B879,B896,B913,B930,B947,B964,B981,B998,B1015,B1032,B1049,B1066,B1083,B1100,B1117,B1134,B1151,B1168,B1185,B1202,B1219,B1236,B1253,B1270,B1287)</f>
        <v>3146.3598785357062</v>
      </c>
      <c r="C12" s="363">
        <f t="shared" si="9"/>
        <v>877.01761417653233</v>
      </c>
      <c r="D12" s="363">
        <f t="shared" si="1"/>
        <v>4023.3774927122386</v>
      </c>
      <c r="E12" s="364"/>
      <c r="F12" s="363">
        <f t="shared" ref="F12:G12" si="10">SUM(F29,F46,F63,F80,F97,F114,F131,F148,F165,F182,F199,F216,F233,F250,F267,F284,F301,F318,F335,F352,F369,F386,F403,F420,F437,F454,F471,F488,F505,F522,F539,F556,F573,F590,F607,F624,F641,F658,F675,F692,F709,F726,F743,F760,F777,F794,F811,F828,F845,F862,F879,F896,F913,F930,F947,F964,F981,F998,F1015,F1032,F1049,F1066,F1083,F1100,F1117,F1134,F1151,F1168,F1185,F1202,F1219,F1236,F1253,F1270,F1287)</f>
        <v>2755.9131281441437</v>
      </c>
      <c r="G12" s="363">
        <f t="shared" si="10"/>
        <v>924.87326939791228</v>
      </c>
      <c r="H12" s="363">
        <f t="shared" si="3"/>
        <v>3680.786397542056</v>
      </c>
      <c r="I12" s="364"/>
      <c r="J12" s="363">
        <f t="shared" ref="J12:K12" si="11">SUM(J29,J46,J63,J80,J97,J114,J131,J148,J165,J182,J199,J216,J233,J250,J267,J284,J301,J318,J335,J352,J369,J386,J403,J420,J437,J454,J471,J488,J505,J522,J539,J556,J573,J590,J607,J624,J641,J658,J675,J692,J709,J726,J743,J760,J777,J794,J811,J828,J845,J862,J879,J896,J913,J930,J947,J964,J981,J998,J1015,J1032,J1049,J1066,J1083,J1100,J1117,J1134,J1151,J1168,J1185,J1202,J1219,J1236,J1253,J1270,J1287)</f>
        <v>2165.7026476282349</v>
      </c>
      <c r="K12" s="363">
        <f t="shared" si="11"/>
        <v>911.45242932193401</v>
      </c>
      <c r="L12" s="363">
        <f t="shared" si="5"/>
        <v>3077.1550769501691</v>
      </c>
      <c r="M12" s="347"/>
      <c r="N12" s="347"/>
    </row>
    <row r="13" spans="1:14" x14ac:dyDescent="0.25">
      <c r="A13" s="362" t="str">
        <f>name!E$8</f>
        <v>Skilled trades occupations</v>
      </c>
      <c r="B13" s="363">
        <f t="shared" ref="B13:C13" si="12">SUM(B30,B47,B64,B81,B98,B115,B132,B149,B166,B183,B200,B217,B234,B251,B268,B285,B302,B319,B336,B353,B370,B387,B404,B421,B438,B455,B472,B489,B506,B523,B540,B557,B574,B591,B608,B625,B642,B659,B676,B693,B710,B727,B744,B761,B778,B795,B812,B829,B846,B863,B880,B897,B914,B931,B948,B965,B982,B999,B1016,B1033,B1050,B1067,B1084,B1101,B1118,B1135,B1152,B1169,B1186,B1203,B1220,B1237,B1254,B1271,B1288)</f>
        <v>365.1517370351753</v>
      </c>
      <c r="C13" s="363">
        <f t="shared" si="12"/>
        <v>3218.463590693289</v>
      </c>
      <c r="D13" s="363">
        <f t="shared" si="1"/>
        <v>3583.6153277284643</v>
      </c>
      <c r="E13" s="364"/>
      <c r="F13" s="363">
        <f t="shared" ref="F13:G13" si="13">SUM(F30,F47,F64,F81,F98,F115,F132,F149,F166,F183,F200,F217,F234,F251,F268,F285,F302,F319,F336,F353,F370,F387,F404,F421,F438,F455,F472,F489,F506,F523,F540,F557,F574,F591,F608,F625,F642,F659,F676,F693,F710,F727,F744,F761,F778,F795,F812,F829,F846,F863,F880,F897,F914,F931,F948,F965,F982,F999,F1016,F1033,F1050,F1067,F1084,F1101,F1118,F1135,F1152,F1169,F1186,F1203,F1220,F1237,F1254,F1271,F1288)</f>
        <v>361.49629620817791</v>
      </c>
      <c r="G13" s="363">
        <f t="shared" si="13"/>
        <v>3071.3400626640159</v>
      </c>
      <c r="H13" s="363">
        <f t="shared" si="3"/>
        <v>3432.8363588721941</v>
      </c>
      <c r="I13" s="364"/>
      <c r="J13" s="363">
        <f t="shared" ref="J13:K13" si="14">SUM(J30,J47,J64,J81,J98,J115,J132,J149,J166,J183,J200,J217,J234,J251,J268,J285,J302,J319,J336,J353,J370,J387,J404,J421,J438,J455,J472,J489,J506,J523,J540,J557,J574,J591,J608,J625,J642,J659,J676,J693,J710,J727,J744,J761,J778,J795,J812,J829,J846,J863,J880,J897,J914,J931,J948,J965,J982,J999,J1016,J1033,J1050,J1067,J1084,J1101,J1118,J1135,J1152,J1169,J1186,J1203,J1220,J1237,J1254,J1271,J1288)</f>
        <v>345.3848362017402</v>
      </c>
      <c r="K13" s="363">
        <f t="shared" si="14"/>
        <v>2780.8007159738645</v>
      </c>
      <c r="L13" s="363">
        <f t="shared" si="5"/>
        <v>3126.1855521756047</v>
      </c>
      <c r="M13" s="347"/>
      <c r="N13" s="347"/>
    </row>
    <row r="14" spans="1:14" x14ac:dyDescent="0.25">
      <c r="A14" s="362" t="str">
        <f>name!E$9</f>
        <v>Caring, leisure and other service</v>
      </c>
      <c r="B14" s="363">
        <f t="shared" ref="B14:C14" si="15">SUM(B31,B48,B65,B82,B99,B116,B133,B150,B167,B184,B201,B218,B235,B252,B269,B286,B303,B320,B337,B354,B371,B388,B405,B422,B439,B456,B473,B490,B507,B524,B541,B558,B575,B592,B609,B626,B643,B660,B677,B694,B711,B728,B745,B762,B779,B796,B813,B830,B847,B864,B881,B898,B915,B932,B949,B966,B983,B1000,B1017,B1034,B1051,B1068,B1085,B1102,B1119,B1136,B1153,B1170,B1187,B1204,B1221,B1238,B1255,B1272,B1289)</f>
        <v>2122.7231821975943</v>
      </c>
      <c r="C14" s="363">
        <f t="shared" si="15"/>
        <v>522.82764052480707</v>
      </c>
      <c r="D14" s="363">
        <f t="shared" si="1"/>
        <v>2645.5508227224013</v>
      </c>
      <c r="E14" s="364"/>
      <c r="F14" s="363">
        <f t="shared" ref="F14:G14" si="16">SUM(F31,F48,F65,F82,F99,F116,F133,F150,F167,F184,F201,F218,F235,F252,F269,F286,F303,F320,F337,F354,F371,F388,F405,F422,F439,F456,F473,F490,F507,F524,F541,F558,F575,F592,F609,F626,F643,F660,F677,F694,F711,F728,F745,F762,F779,F796,F813,F830,F847,F864,F881,F898,F915,F932,F949,F966,F983,F1000,F1017,F1034,F1051,F1068,F1085,F1102,F1119,F1136,F1153,F1170,F1187,F1204,F1221,F1238,F1255,F1272,F1289)</f>
        <v>2708.0974338788196</v>
      </c>
      <c r="G14" s="363">
        <f t="shared" si="16"/>
        <v>636.98869184642842</v>
      </c>
      <c r="H14" s="363">
        <f t="shared" si="3"/>
        <v>3345.0861257252482</v>
      </c>
      <c r="I14" s="364"/>
      <c r="J14" s="363">
        <f t="shared" ref="J14:K14" si="17">SUM(J31,J48,J65,J82,J99,J116,J133,J150,J167,J184,J201,J218,J235,J252,J269,J286,J303,J320,J337,J354,J371,J388,J405,J422,J439,J456,J473,J490,J507,J524,J541,J558,J575,J592,J609,J626,J643,J660,J677,J694,J711,J728,J745,J762,J779,J796,J813,J830,J847,J864,J881,J898,J915,J932,J949,J966,J983,J1000,J1017,J1034,J1051,J1068,J1085,J1102,J1119,J1136,J1153,J1170,J1187,J1204,J1221,J1238,J1255,J1272,J1289)</f>
        <v>3061.3055041698663</v>
      </c>
      <c r="K14" s="363">
        <f t="shared" si="17"/>
        <v>749.50368947251559</v>
      </c>
      <c r="L14" s="363">
        <f t="shared" si="5"/>
        <v>3810.8091936423816</v>
      </c>
      <c r="M14" s="347"/>
      <c r="N14" s="347"/>
    </row>
    <row r="15" spans="1:14" x14ac:dyDescent="0.25">
      <c r="A15" s="362" t="str">
        <f>name!E$10</f>
        <v>Sales and customer service</v>
      </c>
      <c r="B15" s="363">
        <f t="shared" ref="B15:C15" si="18">SUM(B32,B49,B66,B83,B100,B117,B134,B151,B168,B185,B202,B219,B236,B253,B270,B287,B304,B321,B338,B355,B372,B389,B406,B423,B440,B457,B474,B491,B508,B525,B542,B559,B576,B593,B610,B627,B644,B661,B678,B695,B712,B729,B746,B763,B780,B797,B814,B831,B848,B865,B882,B899,B916,B933,B950,B967,B984,B1001,B1018,B1035,B1052,B1069,B1086,B1103,B1120,B1137,B1154,B1171,B1188,B1205,B1222,B1239,B1256,B1273,B1290)</f>
        <v>1758.8506351198591</v>
      </c>
      <c r="C15" s="363">
        <f t="shared" si="18"/>
        <v>1033.3332736951124</v>
      </c>
      <c r="D15" s="363">
        <f t="shared" si="1"/>
        <v>2792.1839088149718</v>
      </c>
      <c r="E15" s="364"/>
      <c r="F15" s="363">
        <f t="shared" ref="F15:G15" si="19">SUM(F32,F49,F66,F83,F100,F117,F134,F151,F168,F185,F202,F219,F236,F253,F270,F287,F304,F321,F338,F355,F372,F389,F406,F423,F440,F457,F474,F491,F508,F525,F542,F559,F576,F593,F610,F627,F644,F661,F678,F695,F712,F729,F746,F763,F780,F797,F814,F831,F848,F865,F882,F899,F916,F933,F950,F967,F984,F1001,F1018,F1035,F1052,F1069,F1086,F1103,F1120,F1137,F1154,F1171,F1188,F1205,F1222,F1239,F1256,F1273,F1290)</f>
        <v>1778.0557748473734</v>
      </c>
      <c r="G15" s="363">
        <f t="shared" si="19"/>
        <v>1150.9778159284522</v>
      </c>
      <c r="H15" s="363">
        <f t="shared" si="3"/>
        <v>2929.0335907758254</v>
      </c>
      <c r="I15" s="364"/>
      <c r="J15" s="363">
        <f t="shared" ref="J15:K15" si="20">SUM(J32,J49,J66,J83,J100,J117,J134,J151,J168,J185,J202,J219,J236,J253,J270,J287,J304,J321,J338,J355,J372,J389,J406,J423,J440,J457,J474,J491,J508,J525,J542,J559,J576,J593,J610,J627,J644,J661,J678,J695,J712,J729,J746,J763,J780,J797,J814,J831,J848,J865,J882,J899,J916,J933,J950,J967,J984,J1001,J1018,J1035,J1052,J1069,J1086,J1103,J1120,J1137,J1154,J1171,J1188,J1205,J1222,J1239,J1256,J1273,J1290)</f>
        <v>1694.5458789541112</v>
      </c>
      <c r="K15" s="363">
        <f t="shared" si="20"/>
        <v>1182.0678669419249</v>
      </c>
      <c r="L15" s="363">
        <f t="shared" si="5"/>
        <v>2876.6137458960361</v>
      </c>
      <c r="M15" s="347"/>
      <c r="N15" s="347"/>
    </row>
    <row r="16" spans="1:14" x14ac:dyDescent="0.25">
      <c r="A16" s="362" t="str">
        <f>name!E$11</f>
        <v>Process, plant and machine operatives</v>
      </c>
      <c r="B16" s="363">
        <f t="shared" ref="B16:C16" si="21">SUM(B33,B50,B67,B84,B101,B118,B135,B152,B169,B186,B203,B220,B237,B254,B271,B288,B305,B322,B339,B356,B373,B390,B407,B424,B441,B458,B475,B492,B509,B526,B543,B560,B577,B594,B611,B628,B645,B662,B679,B696,B713,B730,B747,B764,B781,B798,B815,B832,B849,B866,B883,B900,B917,B934,B951,B968,B985,B1002,B1019,B1036,B1053,B1070,B1087,B1104,B1121,B1138,B1155,B1172,B1189,B1206,B1223,B1240,B1257,B1274,B1291)</f>
        <v>293.20622815560216</v>
      </c>
      <c r="C16" s="363">
        <f t="shared" si="21"/>
        <v>2020.9429232003336</v>
      </c>
      <c r="D16" s="363">
        <f t="shared" si="1"/>
        <v>2314.1491513559358</v>
      </c>
      <c r="E16" s="364"/>
      <c r="F16" s="363">
        <f t="shared" ref="F16:G16" si="22">SUM(F33,F50,F67,F84,F101,F118,F135,F152,F169,F186,F203,F220,F237,F254,F271,F288,F305,F322,F339,F356,F373,F390,F407,F424,F441,F458,F475,F492,F509,F526,F543,F560,F577,F594,F611,F628,F645,F662,F679,F696,F713,F730,F747,F764,F781,F798,F815,F832,F849,F866,F883,F900,F917,F934,F951,F968,F985,F1002,F1019,F1036,F1053,F1070,F1087,F1104,F1121,F1138,F1155,F1172,F1189,F1206,F1223,F1240,F1257,F1274,F1291)</f>
        <v>250.7052404837186</v>
      </c>
      <c r="G16" s="363">
        <f t="shared" si="22"/>
        <v>1929.251298202048</v>
      </c>
      <c r="H16" s="363">
        <f t="shared" si="3"/>
        <v>2179.9565386857666</v>
      </c>
      <c r="I16" s="364"/>
      <c r="J16" s="363">
        <f t="shared" ref="J16:K16" si="23">SUM(J33,J50,J67,J84,J101,J118,J135,J152,J169,J186,J203,J220,J237,J254,J271,J288,J305,J322,J339,J356,J373,J390,J407,J424,J441,J458,J475,J492,J509,J526,J543,J560,J577,J594,J611,J628,J645,J662,J679,J696,J713,J730,J747,J764,J781,J798,J815,J832,J849,J866,J883,J900,J917,J934,J951,J968,J985,J1002,J1019,J1036,J1053,J1070,J1087,J1104,J1121,J1138,J1155,J1172,J1189,J1206,J1223,J1240,J1257,J1274,J1291)</f>
        <v>191.71545710260025</v>
      </c>
      <c r="K16" s="363">
        <f t="shared" si="23"/>
        <v>1782.4104566788249</v>
      </c>
      <c r="L16" s="363">
        <f t="shared" si="5"/>
        <v>1974.1259137814252</v>
      </c>
      <c r="M16" s="347"/>
      <c r="N16" s="347"/>
    </row>
    <row r="17" spans="1:14" x14ac:dyDescent="0.25">
      <c r="A17" s="362" t="str">
        <f>name!E$12</f>
        <v>Elementary occupations</v>
      </c>
      <c r="B17" s="363">
        <f t="shared" ref="B17:C17" si="24">SUM(B34,B51,B68,B85,B102,B119,B136,B153,B170,B187,B204,B221,B238,B255,B272,B289,B306,B323,B340,B357,B374,B391,B408,B425,B442,B459,B476,B493,B510,B527,B544,B561,B578,B595,B612,B629,B646,B663,B680,B697,B714,B731,B748,B765,B782,B799,B816,B833,B850,B867,B884,B901,B918,B935,B952,B969,B986,B1003,B1020,B1037,B1054,B1071,B1088,B1105,B1122,B1139,B1156,B1173,B1190,B1207,B1224,B1241,B1258,B1275,B1292)</f>
        <v>2081.9984838336923</v>
      </c>
      <c r="C17" s="363">
        <f t="shared" si="24"/>
        <v>1955.218893039015</v>
      </c>
      <c r="D17" s="363">
        <f t="shared" si="1"/>
        <v>4037.2173768727071</v>
      </c>
      <c r="E17" s="364"/>
      <c r="F17" s="363">
        <f t="shared" ref="F17:G17" si="25">SUM(F34,F51,F68,F85,F102,F119,F136,F153,F170,F187,F204,F221,F238,F255,F272,F289,F306,F323,F340,F357,F374,F391,F408,F425,F442,F459,F476,F493,F510,F527,F544,F561,F578,F595,F612,F629,F646,F663,F680,F697,F714,F731,F748,F765,F782,F799,F816,F833,F850,F867,F884,F901,F918,F935,F952,F969,F986,F1003,F1020,F1037,F1054,F1071,F1088,F1105,F1122,F1139,F1156,F1173,F1190,F1207,F1224,F1241,F1258,F1275,F1292)</f>
        <v>1860.7756446119515</v>
      </c>
      <c r="G17" s="363">
        <f t="shared" si="25"/>
        <v>2095.2174665325283</v>
      </c>
      <c r="H17" s="363">
        <f t="shared" si="3"/>
        <v>3955.9931111444798</v>
      </c>
      <c r="I17" s="364"/>
      <c r="J17" s="363">
        <f t="shared" ref="J17:K17" si="26">SUM(J34,J51,J68,J85,J102,J119,J136,J153,J170,J187,J204,J221,J238,J255,J272,J289,J306,J323,J340,J357,J374,J391,J408,J425,J442,J459,J476,J493,J510,J527,J544,J561,J578,J595,J612,J629,J646,J663,J680,J697,J714,J731,J748,J765,J782,J799,J816,J833,J850,J867,J884,J901,J918,J935,J952,J969,J986,J1003,J1020,J1037,J1054,J1071,J1088,J1105,J1122,J1139,J1156,J1173,J1190,J1207,J1224,J1241,J1258,J1275,J1292)</f>
        <v>1732.0286447038156</v>
      </c>
      <c r="K17" s="363">
        <f t="shared" si="26"/>
        <v>2214.9226178234335</v>
      </c>
      <c r="L17" s="363">
        <f t="shared" si="5"/>
        <v>3946.9512625272491</v>
      </c>
      <c r="M17" s="347"/>
      <c r="N17" s="347"/>
    </row>
    <row r="18" spans="1:14" x14ac:dyDescent="0.25">
      <c r="A18" s="362"/>
      <c r="B18" s="363"/>
      <c r="C18" s="363"/>
      <c r="D18" s="363"/>
      <c r="E18" s="364"/>
      <c r="F18" s="363"/>
      <c r="G18" s="363"/>
      <c r="H18" s="363"/>
      <c r="I18" s="364"/>
      <c r="J18" s="363"/>
      <c r="K18" s="363"/>
      <c r="L18" s="363"/>
      <c r="M18" s="347"/>
      <c r="N18" s="347"/>
    </row>
    <row r="19" spans="1:14" x14ac:dyDescent="0.25">
      <c r="A19" s="357" t="s">
        <v>32</v>
      </c>
      <c r="B19" s="360">
        <f>SUM(B9:B17)</f>
        <v>15003.898000000074</v>
      </c>
      <c r="C19" s="360">
        <f t="shared" ref="C19:L19" si="27">SUM(C9:C17)</f>
        <v>16786.109000000004</v>
      </c>
      <c r="D19" s="360">
        <f t="shared" si="27"/>
        <v>31790.007000000078</v>
      </c>
      <c r="E19" s="360"/>
      <c r="F19" s="360">
        <f t="shared" si="27"/>
        <v>16616.099999999948</v>
      </c>
      <c r="G19" s="360">
        <f t="shared" si="27"/>
        <v>18231.892000000051</v>
      </c>
      <c r="H19" s="360">
        <f t="shared" si="27"/>
        <v>34847.991999999998</v>
      </c>
      <c r="I19" s="360"/>
      <c r="J19" s="360">
        <f t="shared" si="27"/>
        <v>17406.968000000019</v>
      </c>
      <c r="K19" s="360">
        <f t="shared" si="27"/>
        <v>18413.985000000135</v>
      </c>
      <c r="L19" s="360">
        <f t="shared" si="27"/>
        <v>35820.953000000154</v>
      </c>
      <c r="M19" s="347"/>
      <c r="N19" s="347"/>
    </row>
    <row r="20" spans="1:14" x14ac:dyDescent="0.25">
      <c r="A20" s="348"/>
      <c r="B20" s="349"/>
      <c r="C20" s="349"/>
      <c r="D20" s="349"/>
      <c r="E20" s="349"/>
      <c r="F20" s="349"/>
      <c r="G20" s="349"/>
      <c r="H20" s="349"/>
      <c r="I20" s="349"/>
      <c r="J20" s="349"/>
      <c r="K20" s="349"/>
      <c r="L20" s="350"/>
      <c r="M20" s="351"/>
      <c r="N20" s="347"/>
    </row>
    <row r="21" spans="1:14" x14ac:dyDescent="0.25">
      <c r="A21" s="348"/>
      <c r="B21" s="348"/>
      <c r="C21" s="348"/>
      <c r="D21" s="348"/>
      <c r="E21" s="348"/>
      <c r="F21" s="348"/>
      <c r="G21" s="348"/>
      <c r="H21" s="348"/>
      <c r="I21" s="348"/>
      <c r="J21" s="348"/>
      <c r="K21" s="348"/>
      <c r="L21" s="372" t="s">
        <v>35</v>
      </c>
      <c r="M21" s="347"/>
      <c r="N21" s="347"/>
    </row>
    <row r="22" spans="1:14" x14ac:dyDescent="0.25">
      <c r="A22" s="355"/>
      <c r="B22" s="365"/>
      <c r="C22" s="365"/>
      <c r="D22" s="365"/>
      <c r="E22" s="365"/>
      <c r="F22" s="365"/>
      <c r="G22" s="365"/>
      <c r="H22" s="365"/>
      <c r="I22" s="365"/>
      <c r="J22" s="365"/>
      <c r="K22" s="365"/>
      <c r="L22" s="347"/>
      <c r="M22" s="347"/>
      <c r="N22" s="347"/>
    </row>
    <row r="23" spans="1:14" x14ac:dyDescent="0.25">
      <c r="A23" s="354" t="str">
        <f>name!A4</f>
        <v>Agriculture, etc</v>
      </c>
      <c r="B23" s="515">
        <f>B$6</f>
        <v>2007</v>
      </c>
      <c r="C23" s="515"/>
      <c r="D23" s="515"/>
      <c r="E23" s="369"/>
      <c r="F23" s="515">
        <f>F$6</f>
        <v>2017</v>
      </c>
      <c r="G23" s="515"/>
      <c r="H23" s="515"/>
      <c r="I23" s="369"/>
      <c r="J23" s="515">
        <f>J$6</f>
        <v>2027</v>
      </c>
      <c r="K23" s="515"/>
      <c r="L23" s="515"/>
      <c r="M23" s="347"/>
      <c r="N23" s="347"/>
    </row>
    <row r="24" spans="1:14" x14ac:dyDescent="0.25">
      <c r="A24" s="370"/>
      <c r="B24" s="371" t="s">
        <v>387</v>
      </c>
      <c r="C24" s="371" t="s">
        <v>388</v>
      </c>
      <c r="D24" s="371" t="s">
        <v>32</v>
      </c>
      <c r="E24" s="371"/>
      <c r="F24" s="371" t="s">
        <v>387</v>
      </c>
      <c r="G24" s="371" t="s">
        <v>388</v>
      </c>
      <c r="H24" s="371" t="s">
        <v>32</v>
      </c>
      <c r="I24" s="371"/>
      <c r="J24" s="371" t="s">
        <v>387</v>
      </c>
      <c r="K24" s="371" t="s">
        <v>388</v>
      </c>
      <c r="L24" s="371" t="s">
        <v>32</v>
      </c>
      <c r="M24" s="347"/>
      <c r="N24" s="347"/>
    </row>
    <row r="25" spans="1:14" s="286" customFormat="1" x14ac:dyDescent="0.25">
      <c r="A25" s="374"/>
      <c r="B25" s="375"/>
      <c r="C25" s="375"/>
      <c r="D25" s="375"/>
      <c r="E25" s="375"/>
      <c r="F25" s="375"/>
      <c r="G25" s="375"/>
      <c r="H25" s="375"/>
      <c r="I25" s="375"/>
      <c r="J25" s="375"/>
      <c r="K25" s="375"/>
      <c r="L25" s="375"/>
      <c r="M25" s="347"/>
      <c r="N25" s="347"/>
    </row>
    <row r="26" spans="1:14" x14ac:dyDescent="0.25">
      <c r="A26" s="362" t="str">
        <f>name!E$4</f>
        <v>Managers, directors and senior officials</v>
      </c>
      <c r="B26" s="440">
        <v>6.6037395579487406</v>
      </c>
      <c r="C26" s="440">
        <v>16.151036969906862</v>
      </c>
      <c r="D26" s="440">
        <f>SUM(B26:C26)</f>
        <v>22.754776527855604</v>
      </c>
      <c r="E26" s="441"/>
      <c r="F26" s="440">
        <v>8.7226801688109177</v>
      </c>
      <c r="G26" s="440">
        <v>23.569334654522752</v>
      </c>
      <c r="H26" s="440">
        <f>SUM(F26:G26)</f>
        <v>32.292014823333673</v>
      </c>
      <c r="I26" s="441"/>
      <c r="J26" s="440">
        <v>11.410183561353861</v>
      </c>
      <c r="K26" s="440">
        <v>22.408833789353309</v>
      </c>
      <c r="L26" s="440">
        <f>SUM(J26:K26)</f>
        <v>33.819017350707171</v>
      </c>
      <c r="M26" s="347"/>
      <c r="N26" s="347"/>
    </row>
    <row r="27" spans="1:14" x14ac:dyDescent="0.25">
      <c r="A27" s="362" t="str">
        <f>name!E$5</f>
        <v>Professional occupations</v>
      </c>
      <c r="B27" s="440">
        <v>4.5524671859637742</v>
      </c>
      <c r="C27" s="440">
        <v>11.195052468193833</v>
      </c>
      <c r="D27" s="440">
        <f t="shared" ref="D27:D34" si="28">SUM(B27:C27)</f>
        <v>15.747519654157607</v>
      </c>
      <c r="E27" s="441"/>
      <c r="F27" s="440">
        <v>6.4795016616878653</v>
      </c>
      <c r="G27" s="440">
        <v>14.988023682450352</v>
      </c>
      <c r="H27" s="440">
        <f t="shared" ref="H27:H34" si="29">SUM(F27:G27)</f>
        <v>21.467525344138217</v>
      </c>
      <c r="I27" s="441"/>
      <c r="J27" s="440">
        <v>9.8302958089349826</v>
      </c>
      <c r="K27" s="440">
        <v>16.029009301391824</v>
      </c>
      <c r="L27" s="440">
        <f t="shared" ref="L27:L34" si="30">SUM(J27:K27)</f>
        <v>25.859305110326808</v>
      </c>
      <c r="M27" s="347"/>
      <c r="N27" s="347"/>
    </row>
    <row r="28" spans="1:14" x14ac:dyDescent="0.25">
      <c r="A28" s="362" t="str">
        <f>name!E$6</f>
        <v>Associate professional and technical</v>
      </c>
      <c r="B28" s="440">
        <v>3.9605201988590903</v>
      </c>
      <c r="C28" s="440">
        <v>7.8081906336721101</v>
      </c>
      <c r="D28" s="440">
        <f t="shared" si="28"/>
        <v>11.7687108325312</v>
      </c>
      <c r="E28" s="441"/>
      <c r="F28" s="440">
        <v>5.5112963306185687</v>
      </c>
      <c r="G28" s="440">
        <v>12.079443862725686</v>
      </c>
      <c r="H28" s="440">
        <f t="shared" si="29"/>
        <v>17.590740193344253</v>
      </c>
      <c r="I28" s="441"/>
      <c r="J28" s="440">
        <v>7.7224375976347215</v>
      </c>
      <c r="K28" s="440">
        <v>12.448323087143331</v>
      </c>
      <c r="L28" s="440">
        <f t="shared" si="30"/>
        <v>20.170760684778053</v>
      </c>
      <c r="M28" s="347"/>
      <c r="N28" s="347"/>
    </row>
    <row r="29" spans="1:14" x14ac:dyDescent="0.25">
      <c r="A29" s="362" t="str">
        <f>name!E$7</f>
        <v>Administrative and secretarial</v>
      </c>
      <c r="B29" s="440">
        <v>17.644425170418081</v>
      </c>
      <c r="C29" s="440">
        <v>5.2682582327560787</v>
      </c>
      <c r="D29" s="440">
        <f t="shared" si="28"/>
        <v>22.91268340317416</v>
      </c>
      <c r="E29" s="441"/>
      <c r="F29" s="440">
        <v>16.606916228512418</v>
      </c>
      <c r="G29" s="440">
        <v>5.2311741293987382</v>
      </c>
      <c r="H29" s="440">
        <f t="shared" si="29"/>
        <v>21.838090357911156</v>
      </c>
      <c r="I29" s="441"/>
      <c r="J29" s="440">
        <v>14.112742734940149</v>
      </c>
      <c r="K29" s="440">
        <v>5.0958782516879664</v>
      </c>
      <c r="L29" s="440">
        <f t="shared" si="30"/>
        <v>19.208620986628116</v>
      </c>
      <c r="M29" s="347"/>
      <c r="N29" s="347"/>
    </row>
    <row r="30" spans="1:14" x14ac:dyDescent="0.25">
      <c r="A30" s="362" t="str">
        <f>name!E$8</f>
        <v>Skilled trades occupations</v>
      </c>
      <c r="B30" s="440">
        <v>27.704528816473978</v>
      </c>
      <c r="C30" s="440">
        <v>149.98281992720214</v>
      </c>
      <c r="D30" s="440">
        <f t="shared" si="28"/>
        <v>177.68734874367613</v>
      </c>
      <c r="E30" s="441"/>
      <c r="F30" s="440">
        <v>32.251303078221035</v>
      </c>
      <c r="G30" s="440">
        <v>182.65413011373295</v>
      </c>
      <c r="H30" s="440">
        <f t="shared" si="29"/>
        <v>214.90543319195399</v>
      </c>
      <c r="I30" s="441"/>
      <c r="J30" s="440">
        <v>31.379098883438271</v>
      </c>
      <c r="K30" s="440">
        <v>162.041063198133</v>
      </c>
      <c r="L30" s="440">
        <f t="shared" si="30"/>
        <v>193.42016208157128</v>
      </c>
      <c r="M30" s="347"/>
      <c r="N30" s="347"/>
    </row>
    <row r="31" spans="1:14" x14ac:dyDescent="0.25">
      <c r="A31" s="362" t="str">
        <f>name!E$9</f>
        <v>Caring, leisure and other service</v>
      </c>
      <c r="B31" s="440">
        <v>12.205990116785504</v>
      </c>
      <c r="C31" s="440">
        <v>5.4874106393797142</v>
      </c>
      <c r="D31" s="440">
        <f t="shared" si="28"/>
        <v>17.693400756165218</v>
      </c>
      <c r="E31" s="441"/>
      <c r="F31" s="440">
        <v>14.104442865876962</v>
      </c>
      <c r="G31" s="440">
        <v>9.2898623231879611</v>
      </c>
      <c r="H31" s="440">
        <f t="shared" si="29"/>
        <v>23.394305189064923</v>
      </c>
      <c r="I31" s="441"/>
      <c r="J31" s="440">
        <v>17.656928816311268</v>
      </c>
      <c r="K31" s="440">
        <v>9.3744566956793154</v>
      </c>
      <c r="L31" s="440">
        <f t="shared" si="30"/>
        <v>27.031385511990585</v>
      </c>
      <c r="M31" s="347"/>
      <c r="N31" s="347"/>
    </row>
    <row r="32" spans="1:14" x14ac:dyDescent="0.25">
      <c r="A32" s="362" t="str">
        <f>name!E$10</f>
        <v>Sales and customer service</v>
      </c>
      <c r="B32" s="440">
        <v>2.8661881609017223</v>
      </c>
      <c r="C32" s="440">
        <v>3.5458391459991581</v>
      </c>
      <c r="D32" s="440">
        <f t="shared" si="28"/>
        <v>6.41202730690088</v>
      </c>
      <c r="E32" s="441"/>
      <c r="F32" s="440">
        <v>3.4759034996660665</v>
      </c>
      <c r="G32" s="440">
        <v>4.0252060133305969</v>
      </c>
      <c r="H32" s="440">
        <f t="shared" si="29"/>
        <v>7.5011095129966634</v>
      </c>
      <c r="I32" s="441"/>
      <c r="J32" s="440">
        <v>4.0647509090102352</v>
      </c>
      <c r="K32" s="440">
        <v>3.119873870761682</v>
      </c>
      <c r="L32" s="440">
        <f t="shared" si="30"/>
        <v>7.1846247797719176</v>
      </c>
      <c r="M32" s="347"/>
      <c r="N32" s="347"/>
    </row>
    <row r="33" spans="1:18" x14ac:dyDescent="0.25">
      <c r="A33" s="362" t="str">
        <f>name!E$11</f>
        <v>Process, plant and machine operatives</v>
      </c>
      <c r="B33" s="440">
        <v>2.5404565883569967</v>
      </c>
      <c r="C33" s="440">
        <v>24.769295661815026</v>
      </c>
      <c r="D33" s="440">
        <f t="shared" si="28"/>
        <v>27.309752250172021</v>
      </c>
      <c r="E33" s="441"/>
      <c r="F33" s="440">
        <v>2.4819071791537395</v>
      </c>
      <c r="G33" s="440">
        <v>21.506788087755726</v>
      </c>
      <c r="H33" s="440">
        <f t="shared" si="29"/>
        <v>23.988695266909467</v>
      </c>
      <c r="I33" s="441"/>
      <c r="J33" s="440">
        <v>2.1139333047071371</v>
      </c>
      <c r="K33" s="440">
        <v>19.141493806792283</v>
      </c>
      <c r="L33" s="440">
        <f t="shared" si="30"/>
        <v>21.255427111499422</v>
      </c>
      <c r="M33" s="347"/>
      <c r="N33" s="347"/>
    </row>
    <row r="34" spans="1:18" x14ac:dyDescent="0.25">
      <c r="A34" s="362" t="str">
        <f>name!E$12</f>
        <v>Elementary occupations</v>
      </c>
      <c r="B34" s="440">
        <v>18.452684204771803</v>
      </c>
      <c r="C34" s="440">
        <v>53.256096319882978</v>
      </c>
      <c r="D34" s="440">
        <f t="shared" si="28"/>
        <v>71.708780524654784</v>
      </c>
      <c r="E34" s="441"/>
      <c r="F34" s="440">
        <v>23.654048988955967</v>
      </c>
      <c r="G34" s="440">
        <v>55.379037132629165</v>
      </c>
      <c r="H34" s="440">
        <f t="shared" si="29"/>
        <v>79.033086121585129</v>
      </c>
      <c r="I34" s="441"/>
      <c r="J34" s="440">
        <v>26.095628384896788</v>
      </c>
      <c r="K34" s="440">
        <v>45.387067998780608</v>
      </c>
      <c r="L34" s="440">
        <f t="shared" si="30"/>
        <v>71.482696383677393</v>
      </c>
      <c r="M34" s="347"/>
      <c r="N34" s="347"/>
    </row>
    <row r="35" spans="1:18" x14ac:dyDescent="0.25">
      <c r="A35" s="362"/>
      <c r="B35" s="440"/>
      <c r="C35" s="440"/>
      <c r="D35" s="440"/>
      <c r="E35" s="441"/>
      <c r="F35" s="440"/>
      <c r="G35" s="440"/>
      <c r="H35" s="440"/>
      <c r="I35" s="441"/>
      <c r="J35" s="440"/>
      <c r="K35" s="440"/>
      <c r="L35" s="440"/>
      <c r="M35" s="347"/>
      <c r="N35" s="451"/>
      <c r="R35" s="452"/>
    </row>
    <row r="36" spans="1:18" x14ac:dyDescent="0.25">
      <c r="A36" s="357" t="s">
        <v>32</v>
      </c>
      <c r="B36" s="450">
        <f>SUM(B26:B34)</f>
        <v>96.531000000479693</v>
      </c>
      <c r="C36" s="450">
        <f t="shared" ref="C36:K36" si="31">SUM(C26:C34)</f>
        <v>277.46399999880794</v>
      </c>
      <c r="D36" s="450">
        <f t="shared" si="31"/>
        <v>373.99499999928764</v>
      </c>
      <c r="E36" s="450"/>
      <c r="F36" s="450">
        <f t="shared" si="31"/>
        <v>113.28800000150353</v>
      </c>
      <c r="G36" s="450">
        <f t="shared" si="31"/>
        <v>328.72299999973393</v>
      </c>
      <c r="H36" s="450">
        <f t="shared" si="31"/>
        <v>442.01100000123751</v>
      </c>
      <c r="I36" s="450"/>
      <c r="J36" s="450">
        <f t="shared" si="31"/>
        <v>124.3860000012274</v>
      </c>
      <c r="K36" s="450">
        <f t="shared" si="31"/>
        <v>295.04599999972334</v>
      </c>
      <c r="L36" s="450">
        <f>SUM(L26:L34)</f>
        <v>419.43200000095078</v>
      </c>
      <c r="M36" s="347"/>
      <c r="N36" s="347"/>
    </row>
    <row r="37" spans="1:18" x14ac:dyDescent="0.25">
      <c r="A37" s="348"/>
      <c r="B37" s="348"/>
      <c r="C37" s="348"/>
      <c r="D37" s="348"/>
      <c r="E37" s="348"/>
      <c r="F37" s="348"/>
      <c r="G37" s="348"/>
      <c r="H37" s="348"/>
      <c r="I37" s="348"/>
      <c r="J37" s="348"/>
      <c r="K37" s="348"/>
      <c r="L37" s="353"/>
      <c r="M37" s="347"/>
      <c r="N37" s="347"/>
    </row>
    <row r="38" spans="1:18" x14ac:dyDescent="0.25">
      <c r="A38" s="348"/>
      <c r="B38" s="348"/>
      <c r="C38" s="348"/>
      <c r="D38" s="348"/>
      <c r="E38" s="348"/>
      <c r="F38" s="348"/>
      <c r="G38" s="348"/>
      <c r="H38" s="348"/>
      <c r="I38" s="348"/>
      <c r="J38" s="348"/>
      <c r="K38" s="348"/>
      <c r="L38" s="372" t="s">
        <v>35</v>
      </c>
      <c r="M38" s="347"/>
      <c r="N38" s="347"/>
    </row>
    <row r="39" spans="1:18" x14ac:dyDescent="0.25">
      <c r="A39" s="355"/>
      <c r="B39" s="365"/>
      <c r="C39" s="365"/>
      <c r="D39" s="365"/>
      <c r="E39" s="365"/>
      <c r="F39" s="365"/>
      <c r="G39" s="365"/>
      <c r="H39" s="365"/>
      <c r="I39" s="365"/>
      <c r="J39" s="365"/>
      <c r="K39" s="365"/>
      <c r="L39" s="347"/>
      <c r="M39" s="347"/>
      <c r="N39" s="347"/>
    </row>
    <row r="40" spans="1:18" x14ac:dyDescent="0.25">
      <c r="A40" s="354" t="str">
        <f>name!A5</f>
        <v>Coal, oil &amp; gas; Mining &amp; related</v>
      </c>
      <c r="B40" s="515">
        <f>B$6</f>
        <v>2007</v>
      </c>
      <c r="C40" s="515"/>
      <c r="D40" s="515"/>
      <c r="E40" s="369"/>
      <c r="F40" s="515">
        <f>F23</f>
        <v>2017</v>
      </c>
      <c r="G40" s="515"/>
      <c r="H40" s="515"/>
      <c r="I40" s="369"/>
      <c r="J40" s="515">
        <f>J23</f>
        <v>2027</v>
      </c>
      <c r="K40" s="515"/>
      <c r="L40" s="515"/>
      <c r="M40" s="347"/>
      <c r="N40" s="347"/>
    </row>
    <row r="41" spans="1:18" x14ac:dyDescent="0.25">
      <c r="A41" s="370"/>
      <c r="B41" s="371" t="s">
        <v>387</v>
      </c>
      <c r="C41" s="371" t="s">
        <v>388</v>
      </c>
      <c r="D41" s="371" t="s">
        <v>32</v>
      </c>
      <c r="E41" s="371"/>
      <c r="F41" s="371" t="s">
        <v>387</v>
      </c>
      <c r="G41" s="371" t="s">
        <v>388</v>
      </c>
      <c r="H41" s="371" t="s">
        <v>32</v>
      </c>
      <c r="I41" s="371"/>
      <c r="J41" s="371" t="s">
        <v>387</v>
      </c>
      <c r="K41" s="371" t="s">
        <v>388</v>
      </c>
      <c r="L41" s="371" t="s">
        <v>32</v>
      </c>
      <c r="M41" s="347"/>
      <c r="N41" s="347"/>
    </row>
    <row r="42" spans="1:18" s="286" customFormat="1" x14ac:dyDescent="0.25">
      <c r="A42" s="374"/>
      <c r="B42" s="375"/>
      <c r="C42" s="375"/>
      <c r="D42" s="375"/>
      <c r="E42" s="375"/>
      <c r="F42" s="375"/>
      <c r="G42" s="375"/>
      <c r="H42" s="375"/>
      <c r="I42" s="375"/>
      <c r="J42" s="375"/>
      <c r="K42" s="375"/>
      <c r="L42" s="375"/>
      <c r="M42" s="347"/>
      <c r="N42" s="347"/>
    </row>
    <row r="43" spans="1:18" x14ac:dyDescent="0.25">
      <c r="A43" s="362" t="str">
        <f>name!E$4</f>
        <v>Managers, directors and senior officials</v>
      </c>
      <c r="B43" s="440">
        <v>0.8302040134709725</v>
      </c>
      <c r="C43" s="440">
        <v>5.9349525355789847</v>
      </c>
      <c r="D43" s="440">
        <f>SUM(B43:C43)</f>
        <v>6.7651565490499568</v>
      </c>
      <c r="E43" s="441"/>
      <c r="F43" s="440">
        <v>0.9874962208045851</v>
      </c>
      <c r="G43" s="440">
        <v>6.2756314476283785</v>
      </c>
      <c r="H43" s="440">
        <f>SUM(F43:G43)</f>
        <v>7.263127668432964</v>
      </c>
      <c r="I43" s="441"/>
      <c r="J43" s="440">
        <v>1.0586652390436657</v>
      </c>
      <c r="K43" s="440">
        <v>6.0803608487624592</v>
      </c>
      <c r="L43" s="440">
        <f>SUM(J43:K43)</f>
        <v>7.1390260878061245</v>
      </c>
      <c r="M43" s="347"/>
      <c r="N43" s="347"/>
    </row>
    <row r="44" spans="1:18" x14ac:dyDescent="0.25">
      <c r="A44" s="362" t="str">
        <f>name!E$5</f>
        <v>Professional occupations</v>
      </c>
      <c r="B44" s="440">
        <v>1.6586902071085083</v>
      </c>
      <c r="C44" s="440">
        <v>10.179893468192772</v>
      </c>
      <c r="D44" s="440">
        <f t="shared" ref="D44:D51" si="32">SUM(B44:C44)</f>
        <v>11.83858367530128</v>
      </c>
      <c r="E44" s="441"/>
      <c r="F44" s="440">
        <v>2.5751460151195333</v>
      </c>
      <c r="G44" s="440">
        <v>10.939038649509527</v>
      </c>
      <c r="H44" s="440">
        <f t="shared" ref="H44:H51" si="33">SUM(F44:G44)</f>
        <v>13.51418466462906</v>
      </c>
      <c r="I44" s="441"/>
      <c r="J44" s="440">
        <v>2.7710785401640425</v>
      </c>
      <c r="K44" s="440">
        <v>10.358748173665521</v>
      </c>
      <c r="L44" s="440">
        <f t="shared" ref="L44:L51" si="34">SUM(J44:K44)</f>
        <v>13.129826713829564</v>
      </c>
      <c r="M44" s="347"/>
      <c r="N44" s="347"/>
    </row>
    <row r="45" spans="1:18" x14ac:dyDescent="0.25">
      <c r="A45" s="362" t="str">
        <f>name!E$6</f>
        <v>Associate professional and technical</v>
      </c>
      <c r="B45" s="440">
        <v>1.8496600075565275</v>
      </c>
      <c r="C45" s="440">
        <v>7.9707860724035999</v>
      </c>
      <c r="D45" s="440">
        <f t="shared" si="32"/>
        <v>9.8204460799601279</v>
      </c>
      <c r="E45" s="441"/>
      <c r="F45" s="440">
        <v>2.2250080633091951</v>
      </c>
      <c r="G45" s="440">
        <v>6.9490510833106356</v>
      </c>
      <c r="H45" s="440">
        <f t="shared" si="33"/>
        <v>9.1740591466198307</v>
      </c>
      <c r="I45" s="441"/>
      <c r="J45" s="440">
        <v>2.3260676462412855</v>
      </c>
      <c r="K45" s="440">
        <v>6.2049195162731499</v>
      </c>
      <c r="L45" s="440">
        <f t="shared" si="34"/>
        <v>8.5309871625144353</v>
      </c>
      <c r="M45" s="347"/>
      <c r="N45" s="347"/>
    </row>
    <row r="46" spans="1:18" x14ac:dyDescent="0.25">
      <c r="A46" s="362" t="str">
        <f>name!E$7</f>
        <v>Administrative and secretarial</v>
      </c>
      <c r="B46" s="440">
        <v>3.6729982373821817</v>
      </c>
      <c r="C46" s="440">
        <v>2.254484522537672</v>
      </c>
      <c r="D46" s="440">
        <f t="shared" si="32"/>
        <v>5.9274827599198536</v>
      </c>
      <c r="E46" s="441"/>
      <c r="F46" s="440">
        <v>3.4953573686814501</v>
      </c>
      <c r="G46" s="440">
        <v>2.123599236408261</v>
      </c>
      <c r="H46" s="440">
        <f t="shared" si="33"/>
        <v>5.6189566050897106</v>
      </c>
      <c r="I46" s="441"/>
      <c r="J46" s="440">
        <v>2.3211722704548396</v>
      </c>
      <c r="K46" s="440">
        <v>1.8557621226259793</v>
      </c>
      <c r="L46" s="440">
        <f t="shared" si="34"/>
        <v>4.1769343930808187</v>
      </c>
      <c r="M46" s="347"/>
      <c r="N46" s="347"/>
    </row>
    <row r="47" spans="1:18" x14ac:dyDescent="0.25">
      <c r="A47" s="362" t="str">
        <f>name!E$8</f>
        <v>Skilled trades occupations</v>
      </c>
      <c r="B47" s="440">
        <v>0.18391864472818789</v>
      </c>
      <c r="C47" s="440">
        <v>11.271864933591008</v>
      </c>
      <c r="D47" s="440">
        <f t="shared" si="32"/>
        <v>11.455783578319195</v>
      </c>
      <c r="E47" s="441"/>
      <c r="F47" s="440">
        <v>0.19147413732874269</v>
      </c>
      <c r="G47" s="440">
        <v>9.5624306063209641</v>
      </c>
      <c r="H47" s="440">
        <f>SUM(F47:G47)</f>
        <v>9.7539047436497075</v>
      </c>
      <c r="I47" s="441"/>
      <c r="J47" s="440">
        <v>0.1225657696462978</v>
      </c>
      <c r="K47" s="440">
        <v>7.3038722281902597</v>
      </c>
      <c r="L47" s="440">
        <f t="shared" si="34"/>
        <v>7.4264379978365573</v>
      </c>
      <c r="M47" s="347"/>
      <c r="N47" s="347"/>
    </row>
    <row r="48" spans="1:18" x14ac:dyDescent="0.25">
      <c r="A48" s="362" t="str">
        <f>name!E$9</f>
        <v>Caring, leisure and other service</v>
      </c>
      <c r="B48" s="440">
        <v>0.54857400937446255</v>
      </c>
      <c r="C48" s="440">
        <v>0.49306991805824724</v>
      </c>
      <c r="D48" s="440">
        <f t="shared" si="32"/>
        <v>1.0416439274327098</v>
      </c>
      <c r="E48" s="441"/>
      <c r="F48" s="440">
        <v>0.9042531463776895</v>
      </c>
      <c r="G48" s="440">
        <v>0.56564159675405268</v>
      </c>
      <c r="H48" s="440">
        <f t="shared" si="33"/>
        <v>1.4698947431317422</v>
      </c>
      <c r="I48" s="441"/>
      <c r="J48" s="440">
        <v>0.83019402929247266</v>
      </c>
      <c r="K48" s="440">
        <v>0.57463360166415123</v>
      </c>
      <c r="L48" s="440">
        <f t="shared" si="34"/>
        <v>1.4048276309566239</v>
      </c>
      <c r="M48" s="347"/>
      <c r="N48" s="347"/>
    </row>
    <row r="49" spans="1:14" x14ac:dyDescent="0.25">
      <c r="A49" s="362" t="str">
        <f>name!E$10</f>
        <v>Sales and customer service</v>
      </c>
      <c r="B49" s="440">
        <v>0.67811156273247453</v>
      </c>
      <c r="C49" s="440">
        <v>0.89035827374462528</v>
      </c>
      <c r="D49" s="440">
        <f t="shared" si="32"/>
        <v>1.5684698364770999</v>
      </c>
      <c r="E49" s="441"/>
      <c r="F49" s="440">
        <v>0.77278689486494179</v>
      </c>
      <c r="G49" s="440">
        <v>0.90442332478186871</v>
      </c>
      <c r="H49" s="440">
        <f t="shared" si="33"/>
        <v>1.6772102196468106</v>
      </c>
      <c r="I49" s="441"/>
      <c r="J49" s="440">
        <v>0.62546481431931045</v>
      </c>
      <c r="K49" s="440">
        <v>0.79110606039938147</v>
      </c>
      <c r="L49" s="440">
        <f t="shared" si="34"/>
        <v>1.4165708747186918</v>
      </c>
      <c r="M49" s="347"/>
      <c r="N49" s="347"/>
    </row>
    <row r="50" spans="1:14" x14ac:dyDescent="0.25">
      <c r="A50" s="362" t="str">
        <f>name!E$11</f>
        <v>Process, plant and machine operatives</v>
      </c>
      <c r="B50" s="440">
        <v>0.18533899691991682</v>
      </c>
      <c r="C50" s="440">
        <v>16.829750605669883</v>
      </c>
      <c r="D50" s="440">
        <f t="shared" si="32"/>
        <v>17.0150896025898</v>
      </c>
      <c r="E50" s="441"/>
      <c r="F50" s="440">
        <v>0.16255109599208667</v>
      </c>
      <c r="G50" s="440">
        <v>12.714289248483157</v>
      </c>
      <c r="H50" s="440">
        <f t="shared" si="33"/>
        <v>12.876840344475243</v>
      </c>
      <c r="I50" s="441"/>
      <c r="J50" s="440">
        <v>9.5437324661130696E-2</v>
      </c>
      <c r="K50" s="440">
        <v>10.393031163415388</v>
      </c>
      <c r="L50" s="440">
        <f t="shared" si="34"/>
        <v>10.488468488076519</v>
      </c>
      <c r="M50" s="347"/>
      <c r="N50" s="347"/>
    </row>
    <row r="51" spans="1:14" x14ac:dyDescent="0.25">
      <c r="A51" s="362" t="str">
        <f>name!E$12</f>
        <v>Elementary occupations</v>
      </c>
      <c r="B51" s="440">
        <v>0.42950432070790084</v>
      </c>
      <c r="C51" s="440">
        <v>2.1418396702181539</v>
      </c>
      <c r="D51" s="440">
        <f t="shared" si="32"/>
        <v>2.5713439909260547</v>
      </c>
      <c r="E51" s="441"/>
      <c r="F51" s="440">
        <v>0.42192705744536119</v>
      </c>
      <c r="G51" s="440">
        <v>2.2338948065409423</v>
      </c>
      <c r="H51" s="440">
        <f t="shared" si="33"/>
        <v>2.6558218639863034</v>
      </c>
      <c r="I51" s="441"/>
      <c r="J51" s="440">
        <v>0.27635436617552633</v>
      </c>
      <c r="K51" s="440">
        <v>1.9385662849337131</v>
      </c>
      <c r="L51" s="440">
        <f t="shared" si="34"/>
        <v>2.2149206511092396</v>
      </c>
      <c r="M51" s="347"/>
      <c r="N51" s="347"/>
    </row>
    <row r="52" spans="1:14" x14ac:dyDescent="0.25">
      <c r="A52" s="362"/>
      <c r="B52" s="440"/>
      <c r="C52" s="440"/>
      <c r="D52" s="440"/>
      <c r="E52" s="441"/>
      <c r="F52" s="440"/>
      <c r="G52" s="440"/>
      <c r="H52" s="440"/>
      <c r="I52" s="441"/>
      <c r="J52" s="440"/>
      <c r="K52" s="440"/>
      <c r="L52" s="440"/>
      <c r="M52" s="347"/>
      <c r="N52" s="347"/>
    </row>
    <row r="53" spans="1:14" x14ac:dyDescent="0.25">
      <c r="A53" s="357" t="s">
        <v>32</v>
      </c>
      <c r="B53" s="450">
        <f>SUM(B43:B51)</f>
        <v>10.036999999981132</v>
      </c>
      <c r="C53" s="450">
        <f t="shared" ref="C53:L53" si="35">SUM(C43:C51)</f>
        <v>57.966999999994947</v>
      </c>
      <c r="D53" s="450">
        <f t="shared" si="35"/>
        <v>68.003999999976074</v>
      </c>
      <c r="E53" s="450"/>
      <c r="F53" s="450">
        <f t="shared" si="35"/>
        <v>11.735999999923584</v>
      </c>
      <c r="G53" s="450">
        <f t="shared" si="35"/>
        <v>52.267999999737789</v>
      </c>
      <c r="H53" s="450">
        <f t="shared" si="35"/>
        <v>64.00399999966136</v>
      </c>
      <c r="I53" s="450"/>
      <c r="J53" s="450">
        <f t="shared" si="35"/>
        <v>10.426999999998571</v>
      </c>
      <c r="K53" s="450">
        <f t="shared" si="35"/>
        <v>45.500999999930002</v>
      </c>
      <c r="L53" s="450">
        <f t="shared" si="35"/>
        <v>55.927999999928581</v>
      </c>
      <c r="M53" s="347"/>
      <c r="N53" s="347"/>
    </row>
    <row r="54" spans="1:14" x14ac:dyDescent="0.25">
      <c r="A54" s="348"/>
      <c r="B54" s="348"/>
      <c r="C54" s="348"/>
      <c r="D54" s="348"/>
      <c r="E54" s="348"/>
      <c r="F54" s="348"/>
      <c r="G54" s="348"/>
      <c r="H54" s="348"/>
      <c r="I54" s="348"/>
      <c r="J54" s="348"/>
      <c r="K54" s="348"/>
      <c r="L54" s="353"/>
      <c r="M54" s="347"/>
      <c r="N54" s="347"/>
    </row>
    <row r="55" spans="1:14" x14ac:dyDescent="0.25">
      <c r="A55" s="348"/>
      <c r="B55" s="348"/>
      <c r="C55" s="348"/>
      <c r="D55" s="348"/>
      <c r="E55" s="348"/>
      <c r="F55" s="348"/>
      <c r="G55" s="348"/>
      <c r="H55" s="348"/>
      <c r="I55" s="348"/>
      <c r="J55" s="348"/>
      <c r="K55" s="348"/>
      <c r="L55" s="372" t="s">
        <v>35</v>
      </c>
      <c r="M55" s="347"/>
      <c r="N55" s="347"/>
    </row>
    <row r="56" spans="1:14" x14ac:dyDescent="0.25">
      <c r="A56" s="355"/>
      <c r="B56" s="365"/>
      <c r="C56" s="365"/>
      <c r="D56" s="365"/>
      <c r="E56" s="365"/>
      <c r="F56" s="365"/>
      <c r="G56" s="365"/>
      <c r="H56" s="365"/>
      <c r="I56" s="365"/>
      <c r="J56" s="365"/>
      <c r="K56" s="365"/>
      <c r="L56" s="347"/>
      <c r="M56" s="347"/>
      <c r="N56" s="347"/>
    </row>
    <row r="57" spans="1:14" x14ac:dyDescent="0.25">
      <c r="A57" s="354" t="str">
        <f>name!A6</f>
        <v>Food products</v>
      </c>
      <c r="B57" s="515">
        <f>B$6</f>
        <v>2007</v>
      </c>
      <c r="C57" s="515"/>
      <c r="D57" s="515"/>
      <c r="E57" s="369"/>
      <c r="F57" s="515">
        <f>F40</f>
        <v>2017</v>
      </c>
      <c r="G57" s="515"/>
      <c r="H57" s="515"/>
      <c r="I57" s="369"/>
      <c r="J57" s="515">
        <f>J40</f>
        <v>2027</v>
      </c>
      <c r="K57" s="515"/>
      <c r="L57" s="515"/>
      <c r="M57" s="347"/>
      <c r="N57" s="347"/>
    </row>
    <row r="58" spans="1:14" x14ac:dyDescent="0.25">
      <c r="A58" s="370"/>
      <c r="B58" s="371" t="s">
        <v>387</v>
      </c>
      <c r="C58" s="371" t="s">
        <v>388</v>
      </c>
      <c r="D58" s="371" t="s">
        <v>32</v>
      </c>
      <c r="E58" s="371"/>
      <c r="F58" s="371" t="s">
        <v>387</v>
      </c>
      <c r="G58" s="371" t="s">
        <v>388</v>
      </c>
      <c r="H58" s="371" t="s">
        <v>32</v>
      </c>
      <c r="I58" s="371"/>
      <c r="J58" s="371" t="s">
        <v>387</v>
      </c>
      <c r="K58" s="371" t="s">
        <v>388</v>
      </c>
      <c r="L58" s="371" t="s">
        <v>32</v>
      </c>
      <c r="M58" s="347"/>
      <c r="N58" s="347"/>
    </row>
    <row r="59" spans="1:14" s="286" customFormat="1" x14ac:dyDescent="0.25">
      <c r="A59" s="374"/>
      <c r="B59" s="375"/>
      <c r="C59" s="375"/>
      <c r="D59" s="375"/>
      <c r="E59" s="375"/>
      <c r="F59" s="375"/>
      <c r="G59" s="375"/>
      <c r="H59" s="375"/>
      <c r="I59" s="375"/>
      <c r="J59" s="375"/>
      <c r="K59" s="375"/>
      <c r="L59" s="375"/>
      <c r="M59" s="347"/>
      <c r="N59" s="347"/>
    </row>
    <row r="60" spans="1:14" x14ac:dyDescent="0.25">
      <c r="A60" s="362" t="str">
        <f>name!E$4</f>
        <v>Managers, directors and senior officials</v>
      </c>
      <c r="B60" s="440">
        <v>6.5563119201460509</v>
      </c>
      <c r="C60" s="440">
        <v>23.268798202375553</v>
      </c>
      <c r="D60" s="440">
        <f>SUM(B60:C60)</f>
        <v>29.825110122521604</v>
      </c>
      <c r="E60" s="441"/>
      <c r="F60" s="440">
        <v>11.427935371761421</v>
      </c>
      <c r="G60" s="440">
        <v>21.436354691976192</v>
      </c>
      <c r="H60" s="440">
        <f>SUM(F60:G60)</f>
        <v>32.864290063737613</v>
      </c>
      <c r="I60" s="441"/>
      <c r="J60" s="440">
        <v>14.611306023443834</v>
      </c>
      <c r="K60" s="440">
        <v>22.717494718501541</v>
      </c>
      <c r="L60" s="440">
        <f>SUM(J60:K60)</f>
        <v>37.328800741945372</v>
      </c>
      <c r="M60" s="347"/>
      <c r="N60" s="347"/>
    </row>
    <row r="61" spans="1:14" x14ac:dyDescent="0.25">
      <c r="A61" s="362" t="str">
        <f>name!E$5</f>
        <v>Professional occupations</v>
      </c>
      <c r="B61" s="440">
        <v>8.5563796445894074</v>
      </c>
      <c r="C61" s="440">
        <v>15.571899989660594</v>
      </c>
      <c r="D61" s="440">
        <f t="shared" ref="D61:D68" si="36">SUM(B61:C61)</f>
        <v>24.128279634249999</v>
      </c>
      <c r="E61" s="441"/>
      <c r="F61" s="440">
        <v>9.1853125483777998</v>
      </c>
      <c r="G61" s="440">
        <v>11.931828120175771</v>
      </c>
      <c r="H61" s="440">
        <f t="shared" ref="H61:H68" si="37">SUM(F61:G61)</f>
        <v>21.117140668553571</v>
      </c>
      <c r="I61" s="441"/>
      <c r="J61" s="440">
        <v>11.693655180728314</v>
      </c>
      <c r="K61" s="440">
        <v>12.67028606558752</v>
      </c>
      <c r="L61" s="440">
        <f t="shared" ref="L61:L68" si="38">SUM(J61:K61)</f>
        <v>24.363941246315832</v>
      </c>
      <c r="M61" s="347"/>
      <c r="N61" s="347"/>
    </row>
    <row r="62" spans="1:14" x14ac:dyDescent="0.25">
      <c r="A62" s="362" t="str">
        <f>name!E$6</f>
        <v>Associate professional and technical</v>
      </c>
      <c r="B62" s="440">
        <v>15.101003044513803</v>
      </c>
      <c r="C62" s="440">
        <v>14.3652924193575</v>
      </c>
      <c r="D62" s="440">
        <f t="shared" si="36"/>
        <v>29.466295463871305</v>
      </c>
      <c r="E62" s="441"/>
      <c r="F62" s="440">
        <v>17.38925491714684</v>
      </c>
      <c r="G62" s="440">
        <v>24.238252212881491</v>
      </c>
      <c r="H62" s="440">
        <f t="shared" si="37"/>
        <v>41.627507130028334</v>
      </c>
      <c r="I62" s="441"/>
      <c r="J62" s="440">
        <v>19.765408891661217</v>
      </c>
      <c r="K62" s="440">
        <v>24.497424389409499</v>
      </c>
      <c r="L62" s="440">
        <f t="shared" si="38"/>
        <v>44.262833281070712</v>
      </c>
      <c r="M62" s="347"/>
      <c r="N62" s="347"/>
    </row>
    <row r="63" spans="1:14" x14ac:dyDescent="0.25">
      <c r="A63" s="362" t="str">
        <f>name!E$7</f>
        <v>Administrative and secretarial</v>
      </c>
      <c r="B63" s="440">
        <v>17.674730348147268</v>
      </c>
      <c r="C63" s="440">
        <v>5.8564007847798614</v>
      </c>
      <c r="D63" s="440">
        <f t="shared" si="36"/>
        <v>23.531131132927129</v>
      </c>
      <c r="E63" s="441"/>
      <c r="F63" s="440">
        <v>18.366518009677598</v>
      </c>
      <c r="G63" s="440">
        <v>10.994179917059874</v>
      </c>
      <c r="H63" s="440">
        <f t="shared" si="37"/>
        <v>29.360697926737473</v>
      </c>
      <c r="I63" s="441"/>
      <c r="J63" s="440">
        <v>17.613102092667557</v>
      </c>
      <c r="K63" s="440">
        <v>10.030658801988837</v>
      </c>
      <c r="L63" s="440">
        <f t="shared" si="38"/>
        <v>27.643760894656396</v>
      </c>
      <c r="M63" s="347"/>
      <c r="N63" s="347"/>
    </row>
    <row r="64" spans="1:14" x14ac:dyDescent="0.25">
      <c r="A64" s="362" t="str">
        <f>name!E$8</f>
        <v>Skilled trades occupations</v>
      </c>
      <c r="B64" s="440">
        <v>7.4173215541711794</v>
      </c>
      <c r="C64" s="440">
        <v>61.433114238024864</v>
      </c>
      <c r="D64" s="440">
        <f t="shared" si="36"/>
        <v>68.850435792196038</v>
      </c>
      <c r="E64" s="441"/>
      <c r="F64" s="440">
        <v>12.453257485532401</v>
      </c>
      <c r="G64" s="440">
        <v>44.61986026760345</v>
      </c>
      <c r="H64" s="440">
        <f t="shared" si="37"/>
        <v>57.073117753135847</v>
      </c>
      <c r="I64" s="441"/>
      <c r="J64" s="440">
        <v>8.7520911070138734</v>
      </c>
      <c r="K64" s="440">
        <v>37.016613691436625</v>
      </c>
      <c r="L64" s="440">
        <f t="shared" si="38"/>
        <v>45.7687047984505</v>
      </c>
      <c r="M64" s="347"/>
      <c r="N64" s="347"/>
    </row>
    <row r="65" spans="1:14" x14ac:dyDescent="0.25">
      <c r="A65" s="362" t="str">
        <f>name!E$9</f>
        <v>Caring, leisure and other service</v>
      </c>
      <c r="B65" s="440">
        <v>1.0341250250714979</v>
      </c>
      <c r="C65" s="440">
        <v>1.0143474006477169</v>
      </c>
      <c r="D65" s="440">
        <f t="shared" si="36"/>
        <v>2.0484724257192148</v>
      </c>
      <c r="E65" s="441"/>
      <c r="F65" s="440">
        <v>1.5463030578442645</v>
      </c>
      <c r="G65" s="440">
        <v>1.2693075936141753</v>
      </c>
      <c r="H65" s="440">
        <f t="shared" si="37"/>
        <v>2.8156106514584396</v>
      </c>
      <c r="I65" s="441"/>
      <c r="J65" s="440">
        <v>1.6843321302845797</v>
      </c>
      <c r="K65" s="440">
        <v>1.3080273613489182</v>
      </c>
      <c r="L65" s="440">
        <f t="shared" si="38"/>
        <v>2.9923594916334979</v>
      </c>
      <c r="M65" s="347"/>
      <c r="N65" s="347"/>
    </row>
    <row r="66" spans="1:14" x14ac:dyDescent="0.25">
      <c r="A66" s="362" t="str">
        <f>name!E$10</f>
        <v>Sales and customer service</v>
      </c>
      <c r="B66" s="440">
        <v>6.2859655071021558</v>
      </c>
      <c r="C66" s="440">
        <v>4.7671642535902485</v>
      </c>
      <c r="D66" s="440">
        <f t="shared" si="36"/>
        <v>11.053129760692403</v>
      </c>
      <c r="E66" s="441"/>
      <c r="F66" s="440">
        <v>8.993572801880175</v>
      </c>
      <c r="G66" s="440">
        <v>8.4831576693179294</v>
      </c>
      <c r="H66" s="440">
        <f t="shared" si="37"/>
        <v>17.476730471198103</v>
      </c>
      <c r="I66" s="441"/>
      <c r="J66" s="440">
        <v>9.2729369897163956</v>
      </c>
      <c r="K66" s="440">
        <v>8.3385347218754369</v>
      </c>
      <c r="L66" s="440">
        <f t="shared" si="38"/>
        <v>17.611471711591832</v>
      </c>
      <c r="M66" s="347"/>
      <c r="N66" s="347"/>
    </row>
    <row r="67" spans="1:14" x14ac:dyDescent="0.25">
      <c r="A67" s="362" t="str">
        <f>name!E$11</f>
        <v>Process, plant and machine operatives</v>
      </c>
      <c r="B67" s="440">
        <v>46.460395250060422</v>
      </c>
      <c r="C67" s="440">
        <v>105.15566633727509</v>
      </c>
      <c r="D67" s="440">
        <f t="shared" si="36"/>
        <v>151.61606158733551</v>
      </c>
      <c r="E67" s="441"/>
      <c r="F67" s="440">
        <v>36.576320037619581</v>
      </c>
      <c r="G67" s="440">
        <v>89.914465313977189</v>
      </c>
      <c r="H67" s="440">
        <f t="shared" si="37"/>
        <v>126.49078535159677</v>
      </c>
      <c r="I67" s="441"/>
      <c r="J67" s="440">
        <v>22.001119944514407</v>
      </c>
      <c r="K67" s="440">
        <v>76.647216575015975</v>
      </c>
      <c r="L67" s="440">
        <f t="shared" si="38"/>
        <v>98.648336519530375</v>
      </c>
      <c r="M67" s="347"/>
      <c r="N67" s="347"/>
    </row>
    <row r="68" spans="1:14" x14ac:dyDescent="0.25">
      <c r="A68" s="362" t="str">
        <f>name!E$12</f>
        <v>Elementary occupations</v>
      </c>
      <c r="B68" s="440">
        <v>20.106767704932345</v>
      </c>
      <c r="C68" s="440">
        <v>25.346316373153968</v>
      </c>
      <c r="D68" s="440">
        <f t="shared" si="36"/>
        <v>45.453084078086313</v>
      </c>
      <c r="E68" s="441"/>
      <c r="F68" s="440">
        <v>30.658525770418052</v>
      </c>
      <c r="G68" s="440">
        <v>32.816594212460195</v>
      </c>
      <c r="H68" s="440">
        <f t="shared" si="37"/>
        <v>63.475119982878248</v>
      </c>
      <c r="I68" s="441"/>
      <c r="J68" s="440">
        <v>31.726047639540376</v>
      </c>
      <c r="K68" s="440">
        <v>31.596743673728845</v>
      </c>
      <c r="L68" s="440">
        <f t="shared" si="38"/>
        <v>63.322791313269221</v>
      </c>
      <c r="M68" s="347"/>
      <c r="N68" s="347"/>
    </row>
    <row r="69" spans="1:14" x14ac:dyDescent="0.25">
      <c r="A69" s="362"/>
      <c r="B69" s="440"/>
      <c r="C69" s="440"/>
      <c r="D69" s="440"/>
      <c r="E69" s="441"/>
      <c r="F69" s="440"/>
      <c r="G69" s="440"/>
      <c r="H69" s="440"/>
      <c r="I69" s="441"/>
      <c r="J69" s="440"/>
      <c r="K69" s="440"/>
      <c r="L69" s="440"/>
      <c r="M69" s="347"/>
      <c r="N69" s="347"/>
    </row>
    <row r="70" spans="1:14" x14ac:dyDescent="0.25">
      <c r="A70" s="357" t="s">
        <v>32</v>
      </c>
      <c r="B70" s="450">
        <f>SUM(B60:B68)</f>
        <v>129.19299999873411</v>
      </c>
      <c r="C70" s="450">
        <f t="shared" ref="C70:L70" si="39">SUM(C60:C68)</f>
        <v>256.7789999988654</v>
      </c>
      <c r="D70" s="450">
        <f t="shared" si="39"/>
        <v>385.97199999759948</v>
      </c>
      <c r="E70" s="450"/>
      <c r="F70" s="450">
        <f t="shared" si="39"/>
        <v>146.59700000025813</v>
      </c>
      <c r="G70" s="450">
        <f t="shared" si="39"/>
        <v>245.70399999906627</v>
      </c>
      <c r="H70" s="450">
        <f t="shared" si="39"/>
        <v>392.3009999993244</v>
      </c>
      <c r="I70" s="450"/>
      <c r="J70" s="450">
        <f t="shared" si="39"/>
        <v>137.11999999957055</v>
      </c>
      <c r="K70" s="450">
        <f t="shared" si="39"/>
        <v>224.82299999889318</v>
      </c>
      <c r="L70" s="450">
        <f t="shared" si="39"/>
        <v>361.94299999846373</v>
      </c>
      <c r="M70" s="347"/>
      <c r="N70" s="347"/>
    </row>
    <row r="71" spans="1:14" x14ac:dyDescent="0.25">
      <c r="A71" s="348"/>
      <c r="B71" s="348"/>
      <c r="C71" s="348"/>
      <c r="D71" s="348"/>
      <c r="E71" s="348"/>
      <c r="F71" s="348"/>
      <c r="G71" s="348"/>
      <c r="H71" s="348"/>
      <c r="I71" s="348"/>
      <c r="J71" s="348"/>
      <c r="K71" s="348"/>
      <c r="L71" s="353"/>
      <c r="M71" s="347"/>
      <c r="N71" s="347"/>
    </row>
    <row r="72" spans="1:14" x14ac:dyDescent="0.25">
      <c r="A72" s="348"/>
      <c r="B72" s="348"/>
      <c r="C72" s="348"/>
      <c r="D72" s="348"/>
      <c r="E72" s="348"/>
      <c r="F72" s="348"/>
      <c r="G72" s="348"/>
      <c r="H72" s="348"/>
      <c r="I72" s="348"/>
      <c r="J72" s="348"/>
      <c r="K72" s="348"/>
      <c r="L72" s="372" t="s">
        <v>35</v>
      </c>
      <c r="M72" s="347"/>
      <c r="N72" s="347"/>
    </row>
    <row r="73" spans="1:14" x14ac:dyDescent="0.25">
      <c r="A73" s="355"/>
      <c r="B73" s="365"/>
      <c r="C73" s="365"/>
      <c r="D73" s="365"/>
      <c r="E73" s="365"/>
      <c r="F73" s="365"/>
      <c r="G73" s="365"/>
      <c r="H73" s="365"/>
      <c r="I73" s="365"/>
      <c r="J73" s="365"/>
      <c r="K73" s="365"/>
      <c r="L73" s="347"/>
      <c r="M73" s="347"/>
      <c r="N73" s="347"/>
    </row>
    <row r="74" spans="1:14" x14ac:dyDescent="0.25">
      <c r="A74" s="354" t="str">
        <f>name!A7</f>
        <v>Beverages and tobacco</v>
      </c>
      <c r="B74" s="515">
        <f>B$6</f>
        <v>2007</v>
      </c>
      <c r="C74" s="515"/>
      <c r="D74" s="515"/>
      <c r="E74" s="369"/>
      <c r="F74" s="515">
        <f>F57</f>
        <v>2017</v>
      </c>
      <c r="G74" s="515"/>
      <c r="H74" s="515"/>
      <c r="I74" s="369"/>
      <c r="J74" s="515">
        <f>J57</f>
        <v>2027</v>
      </c>
      <c r="K74" s="515"/>
      <c r="L74" s="515"/>
      <c r="M74" s="347"/>
      <c r="N74" s="347"/>
    </row>
    <row r="75" spans="1:14" x14ac:dyDescent="0.25">
      <c r="A75" s="370"/>
      <c r="B75" s="371" t="s">
        <v>387</v>
      </c>
      <c r="C75" s="371" t="s">
        <v>388</v>
      </c>
      <c r="D75" s="371" t="s">
        <v>32</v>
      </c>
      <c r="E75" s="371"/>
      <c r="F75" s="371" t="s">
        <v>387</v>
      </c>
      <c r="G75" s="371" t="s">
        <v>388</v>
      </c>
      <c r="H75" s="371" t="s">
        <v>32</v>
      </c>
      <c r="I75" s="371"/>
      <c r="J75" s="371" t="s">
        <v>387</v>
      </c>
      <c r="K75" s="371" t="s">
        <v>388</v>
      </c>
      <c r="L75" s="371" t="s">
        <v>32</v>
      </c>
      <c r="M75" s="347"/>
      <c r="N75" s="347"/>
    </row>
    <row r="76" spans="1:14" s="286" customFormat="1" x14ac:dyDescent="0.25">
      <c r="A76" s="374"/>
      <c r="B76" s="375"/>
      <c r="C76" s="375"/>
      <c r="D76" s="375"/>
      <c r="E76" s="375"/>
      <c r="F76" s="375"/>
      <c r="G76" s="375"/>
      <c r="H76" s="375"/>
      <c r="I76" s="375"/>
      <c r="J76" s="375"/>
      <c r="K76" s="375"/>
      <c r="L76" s="375"/>
      <c r="M76" s="347"/>
      <c r="N76" s="347"/>
    </row>
    <row r="77" spans="1:14" x14ac:dyDescent="0.25">
      <c r="A77" s="362" t="str">
        <f>name!E$4</f>
        <v>Managers, directors and senior officials</v>
      </c>
      <c r="B77" s="440">
        <v>1.3259489924901144</v>
      </c>
      <c r="C77" s="440">
        <v>3.6275934794582048</v>
      </c>
      <c r="D77" s="440">
        <f>SUM(B77:C77)</f>
        <v>4.9535424719483192</v>
      </c>
      <c r="E77" s="441"/>
      <c r="F77" s="440">
        <v>2.1526937486383009</v>
      </c>
      <c r="G77" s="440">
        <v>3.621743418103947</v>
      </c>
      <c r="H77" s="440">
        <f>SUM(F77:G77)</f>
        <v>5.7744371667422474</v>
      </c>
      <c r="I77" s="441"/>
      <c r="J77" s="440">
        <v>2.4679336775893317</v>
      </c>
      <c r="K77" s="440">
        <v>3.6870063347067017</v>
      </c>
      <c r="L77" s="440">
        <f>SUM(J77:K77)</f>
        <v>6.1549400122960334</v>
      </c>
      <c r="M77" s="347"/>
      <c r="N77" s="347"/>
    </row>
    <row r="78" spans="1:14" x14ac:dyDescent="0.25">
      <c r="A78" s="362" t="str">
        <f>name!E$5</f>
        <v>Professional occupations</v>
      </c>
      <c r="B78" s="440">
        <v>1.4634075672264484</v>
      </c>
      <c r="C78" s="440">
        <v>3.8043221281835535</v>
      </c>
      <c r="D78" s="440">
        <f t="shared" ref="D78:D85" si="40">SUM(B78:C78)</f>
        <v>5.2677296954100017</v>
      </c>
      <c r="E78" s="441"/>
      <c r="F78" s="440">
        <v>1.9074774062193165</v>
      </c>
      <c r="G78" s="440">
        <v>3.6525568973285734</v>
      </c>
      <c r="H78" s="440">
        <f t="shared" ref="H78:H85" si="41">SUM(F78:G78)</f>
        <v>5.5600343035478899</v>
      </c>
      <c r="I78" s="441"/>
      <c r="J78" s="440">
        <v>2.0822708096178233</v>
      </c>
      <c r="K78" s="440">
        <v>3.724648546517459</v>
      </c>
      <c r="L78" s="440">
        <f t="shared" ref="L78:L85" si="42">SUM(J78:K78)</f>
        <v>5.8069193561352819</v>
      </c>
      <c r="M78" s="347"/>
      <c r="N78" s="347"/>
    </row>
    <row r="79" spans="1:14" x14ac:dyDescent="0.25">
      <c r="A79" s="362" t="str">
        <f>name!E$6</f>
        <v>Associate professional and technical</v>
      </c>
      <c r="B79" s="440">
        <v>2.5629518682354155</v>
      </c>
      <c r="C79" s="440">
        <v>5.1331305945248689</v>
      </c>
      <c r="D79" s="440">
        <f t="shared" si="40"/>
        <v>7.696082462760284</v>
      </c>
      <c r="E79" s="441"/>
      <c r="F79" s="440">
        <v>3.1743411774467667</v>
      </c>
      <c r="G79" s="440">
        <v>5.0700746010322808</v>
      </c>
      <c r="H79" s="440">
        <f t="shared" si="41"/>
        <v>8.2444157784790484</v>
      </c>
      <c r="I79" s="441"/>
      <c r="J79" s="440">
        <v>3.3045318546980433</v>
      </c>
      <c r="K79" s="440">
        <v>4.9087352490001317</v>
      </c>
      <c r="L79" s="440">
        <f t="shared" si="42"/>
        <v>8.2132671036981755</v>
      </c>
      <c r="M79" s="347"/>
      <c r="N79" s="347"/>
    </row>
    <row r="80" spans="1:14" x14ac:dyDescent="0.25">
      <c r="A80" s="362" t="str">
        <f>name!E$7</f>
        <v>Administrative and secretarial</v>
      </c>
      <c r="B80" s="440">
        <v>3.6989723285388774</v>
      </c>
      <c r="C80" s="440">
        <v>1.126313076365671</v>
      </c>
      <c r="D80" s="440">
        <f t="shared" si="40"/>
        <v>4.8252854049045482</v>
      </c>
      <c r="E80" s="441"/>
      <c r="F80" s="440">
        <v>3.4146698226347998</v>
      </c>
      <c r="G80" s="440">
        <v>0.86989832933433642</v>
      </c>
      <c r="H80" s="440">
        <f t="shared" si="41"/>
        <v>4.2845681519691361</v>
      </c>
      <c r="I80" s="441"/>
      <c r="J80" s="440">
        <v>2.5470647815145804</v>
      </c>
      <c r="K80" s="440">
        <v>0.89512671285658518</v>
      </c>
      <c r="L80" s="440">
        <f t="shared" si="42"/>
        <v>3.4421914943711656</v>
      </c>
      <c r="M80" s="347"/>
      <c r="N80" s="347"/>
    </row>
    <row r="81" spans="1:14" x14ac:dyDescent="0.25">
      <c r="A81" s="362" t="str">
        <f>name!E$8</f>
        <v>Skilled trades occupations</v>
      </c>
      <c r="B81" s="440">
        <v>0.44978969848399392</v>
      </c>
      <c r="C81" s="440">
        <v>3.8961228738463336</v>
      </c>
      <c r="D81" s="440">
        <f t="shared" si="40"/>
        <v>4.3459125723303274</v>
      </c>
      <c r="E81" s="441"/>
      <c r="F81" s="440">
        <v>0.46450917564580896</v>
      </c>
      <c r="G81" s="440">
        <v>3.1182624344852861</v>
      </c>
      <c r="H81" s="440">
        <f t="shared" si="41"/>
        <v>3.5827716101310951</v>
      </c>
      <c r="I81" s="441"/>
      <c r="J81" s="440">
        <v>0.36918249147512716</v>
      </c>
      <c r="K81" s="440">
        <v>2.5329758557240192</v>
      </c>
      <c r="L81" s="440">
        <f t="shared" si="42"/>
        <v>2.9021583471991463</v>
      </c>
      <c r="M81" s="347"/>
      <c r="N81" s="347"/>
    </row>
    <row r="82" spans="1:14" x14ac:dyDescent="0.25">
      <c r="A82" s="362" t="str">
        <f>name!E$9</f>
        <v>Caring, leisure and other service</v>
      </c>
      <c r="B82" s="440">
        <v>1.0504364588520039</v>
      </c>
      <c r="C82" s="440">
        <v>0.2870442562907996</v>
      </c>
      <c r="D82" s="440">
        <f t="shared" si="40"/>
        <v>1.3374807151428034</v>
      </c>
      <c r="E82" s="441"/>
      <c r="F82" s="440">
        <v>1.259021287952091</v>
      </c>
      <c r="G82" s="440">
        <v>0.3423833116746009</v>
      </c>
      <c r="H82" s="440">
        <f t="shared" si="41"/>
        <v>1.6014045996266919</v>
      </c>
      <c r="I82" s="441"/>
      <c r="J82" s="440">
        <v>1.2836424987057473</v>
      </c>
      <c r="K82" s="440">
        <v>0.39965067275733829</v>
      </c>
      <c r="L82" s="440">
        <f t="shared" si="42"/>
        <v>1.6832931714630857</v>
      </c>
      <c r="M82" s="347"/>
      <c r="N82" s="347"/>
    </row>
    <row r="83" spans="1:14" x14ac:dyDescent="0.25">
      <c r="A83" s="362" t="str">
        <f>name!E$10</f>
        <v>Sales and customer service</v>
      </c>
      <c r="B83" s="440">
        <v>1.2146375838903394</v>
      </c>
      <c r="C83" s="440">
        <v>1.1869901895244657</v>
      </c>
      <c r="D83" s="440">
        <f t="shared" si="40"/>
        <v>2.401627773414805</v>
      </c>
      <c r="E83" s="441"/>
      <c r="F83" s="440">
        <v>1.4129800529326968</v>
      </c>
      <c r="G83" s="440">
        <v>1.2259482764444452</v>
      </c>
      <c r="H83" s="440">
        <f t="shared" si="41"/>
        <v>2.6389283293771419</v>
      </c>
      <c r="I83" s="441"/>
      <c r="J83" s="440">
        <v>1.3144216078415676</v>
      </c>
      <c r="K83" s="440">
        <v>1.1640862598612987</v>
      </c>
      <c r="L83" s="440">
        <f t="shared" si="42"/>
        <v>2.4785078677028665</v>
      </c>
      <c r="M83" s="347"/>
      <c r="N83" s="347"/>
    </row>
    <row r="84" spans="1:14" x14ac:dyDescent="0.25">
      <c r="A84" s="362" t="str">
        <f>name!E$11</f>
        <v>Process, plant and machine operatives</v>
      </c>
      <c r="B84" s="440">
        <v>1.3062682048955481</v>
      </c>
      <c r="C84" s="440">
        <v>9.3366658850112252</v>
      </c>
      <c r="D84" s="440">
        <f t="shared" si="40"/>
        <v>10.642934089906774</v>
      </c>
      <c r="E84" s="441"/>
      <c r="F84" s="440">
        <v>0.84761433266028785</v>
      </c>
      <c r="G84" s="440">
        <v>7.5598875802331333</v>
      </c>
      <c r="H84" s="440">
        <f t="shared" si="41"/>
        <v>8.4075019128934212</v>
      </c>
      <c r="I84" s="441"/>
      <c r="J84" s="440">
        <v>0.49553043386689205</v>
      </c>
      <c r="K84" s="440">
        <v>6.517029936849676</v>
      </c>
      <c r="L84" s="440">
        <f t="shared" si="42"/>
        <v>7.0125603707165682</v>
      </c>
      <c r="M84" s="347"/>
      <c r="N84" s="347"/>
    </row>
    <row r="85" spans="1:14" x14ac:dyDescent="0.25">
      <c r="A85" s="362" t="str">
        <f>name!E$12</f>
        <v>Elementary occupations</v>
      </c>
      <c r="B85" s="440">
        <v>1.784587297304677</v>
      </c>
      <c r="C85" s="440">
        <v>3.0568175166740037</v>
      </c>
      <c r="D85" s="440">
        <f t="shared" si="40"/>
        <v>4.8414048139786807</v>
      </c>
      <c r="E85" s="441"/>
      <c r="F85" s="440">
        <v>1.6466929958652763</v>
      </c>
      <c r="G85" s="440">
        <v>2.8502451513460079</v>
      </c>
      <c r="H85" s="440">
        <f t="shared" si="41"/>
        <v>4.4969381472112842</v>
      </c>
      <c r="I85" s="441"/>
      <c r="J85" s="440">
        <v>1.3704218446747414</v>
      </c>
      <c r="K85" s="440">
        <v>2.4197404316227313</v>
      </c>
      <c r="L85" s="440">
        <f t="shared" si="42"/>
        <v>3.7901622762974725</v>
      </c>
      <c r="M85" s="347"/>
      <c r="N85" s="347"/>
    </row>
    <row r="86" spans="1:14" x14ac:dyDescent="0.25">
      <c r="A86" s="362"/>
      <c r="B86" s="440"/>
      <c r="C86" s="440"/>
      <c r="D86" s="440"/>
      <c r="E86" s="441"/>
      <c r="F86" s="440"/>
      <c r="G86" s="440"/>
      <c r="H86" s="440"/>
      <c r="I86" s="441"/>
      <c r="J86" s="440"/>
      <c r="K86" s="440"/>
      <c r="L86" s="440"/>
      <c r="M86" s="347"/>
      <c r="N86" s="347"/>
    </row>
    <row r="87" spans="1:14" x14ac:dyDescent="0.25">
      <c r="A87" s="357" t="s">
        <v>32</v>
      </c>
      <c r="B87" s="450">
        <f>SUM(B77:B85)</f>
        <v>14.856999999917418</v>
      </c>
      <c r="C87" s="450">
        <f t="shared" ref="C87:D87" si="43">SUM(C77:C85)</f>
        <v>31.454999999879121</v>
      </c>
      <c r="D87" s="450">
        <f t="shared" si="43"/>
        <v>46.311999999796541</v>
      </c>
      <c r="E87" s="450"/>
      <c r="F87" s="450">
        <f t="shared" ref="F87:H87" si="44">SUM(F77:F85)</f>
        <v>16.279999999995344</v>
      </c>
      <c r="G87" s="450">
        <f t="shared" si="44"/>
        <v>28.310999999982613</v>
      </c>
      <c r="H87" s="450">
        <f t="shared" si="44"/>
        <v>44.590999999977946</v>
      </c>
      <c r="I87" s="450"/>
      <c r="J87" s="450">
        <f t="shared" ref="J87:L87" si="45">SUM(J77:J85)</f>
        <v>15.234999999983854</v>
      </c>
      <c r="K87" s="450">
        <f t="shared" si="45"/>
        <v>26.248999999895947</v>
      </c>
      <c r="L87" s="450">
        <f t="shared" si="45"/>
        <v>41.483999999879799</v>
      </c>
      <c r="M87" s="347"/>
      <c r="N87" s="347"/>
    </row>
    <row r="88" spans="1:14" x14ac:dyDescent="0.25">
      <c r="A88" s="348"/>
      <c r="B88" s="348"/>
      <c r="C88" s="348"/>
      <c r="D88" s="348"/>
      <c r="E88" s="348"/>
      <c r="F88" s="348"/>
      <c r="G88" s="348"/>
      <c r="H88" s="348"/>
      <c r="I88" s="348"/>
      <c r="J88" s="348"/>
      <c r="K88" s="348"/>
      <c r="L88" s="353"/>
      <c r="M88" s="347"/>
      <c r="N88" s="347"/>
    </row>
    <row r="89" spans="1:14" x14ac:dyDescent="0.25">
      <c r="A89" s="348"/>
      <c r="B89" s="348"/>
      <c r="C89" s="348"/>
      <c r="D89" s="348"/>
      <c r="E89" s="348"/>
      <c r="F89" s="348"/>
      <c r="G89" s="348"/>
      <c r="H89" s="348"/>
      <c r="I89" s="348"/>
      <c r="J89" s="348"/>
      <c r="K89" s="348"/>
      <c r="L89" s="372" t="s">
        <v>35</v>
      </c>
      <c r="M89" s="347"/>
      <c r="N89" s="347"/>
    </row>
    <row r="90" spans="1:14" x14ac:dyDescent="0.25">
      <c r="A90" s="355"/>
      <c r="B90" s="365"/>
      <c r="C90" s="365"/>
      <c r="D90" s="365"/>
      <c r="E90" s="365"/>
      <c r="F90" s="365"/>
      <c r="G90" s="365"/>
      <c r="H90" s="365"/>
      <c r="I90" s="365"/>
      <c r="J90" s="365"/>
      <c r="K90" s="365"/>
      <c r="L90" s="347"/>
      <c r="M90" s="347"/>
      <c r="N90" s="347"/>
    </row>
    <row r="91" spans="1:14" x14ac:dyDescent="0.25">
      <c r="A91" s="354" t="str">
        <f>name!A8</f>
        <v>Textiles</v>
      </c>
      <c r="B91" s="515">
        <f>B$6</f>
        <v>2007</v>
      </c>
      <c r="C91" s="515"/>
      <c r="D91" s="515"/>
      <c r="E91" s="369"/>
      <c r="F91" s="515">
        <f>F74</f>
        <v>2017</v>
      </c>
      <c r="G91" s="515"/>
      <c r="H91" s="515"/>
      <c r="I91" s="369"/>
      <c r="J91" s="515">
        <f>J74</f>
        <v>2027</v>
      </c>
      <c r="K91" s="515"/>
      <c r="L91" s="515"/>
      <c r="M91" s="347"/>
      <c r="N91" s="347"/>
    </row>
    <row r="92" spans="1:14" x14ac:dyDescent="0.25">
      <c r="A92" s="370"/>
      <c r="B92" s="371" t="s">
        <v>387</v>
      </c>
      <c r="C92" s="371" t="s">
        <v>388</v>
      </c>
      <c r="D92" s="371" t="s">
        <v>32</v>
      </c>
      <c r="E92" s="371"/>
      <c r="F92" s="371" t="s">
        <v>387</v>
      </c>
      <c r="G92" s="371" t="s">
        <v>388</v>
      </c>
      <c r="H92" s="371" t="s">
        <v>32</v>
      </c>
      <c r="I92" s="371"/>
      <c r="J92" s="371" t="s">
        <v>387</v>
      </c>
      <c r="K92" s="371" t="s">
        <v>388</v>
      </c>
      <c r="L92" s="371" t="s">
        <v>32</v>
      </c>
      <c r="M92" s="347"/>
      <c r="N92" s="347"/>
    </row>
    <row r="93" spans="1:14" s="286" customFormat="1" x14ac:dyDescent="0.25">
      <c r="A93" s="374"/>
      <c r="B93" s="375"/>
      <c r="C93" s="375"/>
      <c r="D93" s="375"/>
      <c r="E93" s="375"/>
      <c r="F93" s="375"/>
      <c r="G93" s="375"/>
      <c r="H93" s="375"/>
      <c r="I93" s="375"/>
      <c r="J93" s="375"/>
      <c r="K93" s="375"/>
      <c r="L93" s="375"/>
      <c r="M93" s="347"/>
      <c r="N93" s="347"/>
    </row>
    <row r="94" spans="1:14" x14ac:dyDescent="0.25">
      <c r="A94" s="362" t="str">
        <f>name!E$4</f>
        <v>Managers, directors and senior officials</v>
      </c>
      <c r="B94" s="440">
        <v>1.3729879678442503</v>
      </c>
      <c r="C94" s="440">
        <v>5.0613874368410707</v>
      </c>
      <c r="D94" s="440">
        <f>SUM(B94:C94)</f>
        <v>6.434375404685321</v>
      </c>
      <c r="E94" s="441"/>
      <c r="F94" s="440">
        <v>3.1380072459341362</v>
      </c>
      <c r="G94" s="440">
        <v>5.0538886654398754</v>
      </c>
      <c r="H94" s="440">
        <f>SUM(F94:G94)</f>
        <v>8.1918959113740115</v>
      </c>
      <c r="I94" s="441"/>
      <c r="J94" s="440">
        <v>2.7699159336604979</v>
      </c>
      <c r="K94" s="440">
        <v>4.6034898742599264</v>
      </c>
      <c r="L94" s="440">
        <f>SUM(J94:K94)</f>
        <v>7.3734058079204239</v>
      </c>
      <c r="M94" s="347"/>
      <c r="N94" s="347"/>
    </row>
    <row r="95" spans="1:14" x14ac:dyDescent="0.25">
      <c r="A95" s="362" t="str">
        <f>name!E$5</f>
        <v>Professional occupations</v>
      </c>
      <c r="B95" s="440">
        <v>0.88828080464037995</v>
      </c>
      <c r="C95" s="440">
        <v>2.6286443206683061</v>
      </c>
      <c r="D95" s="440">
        <f t="shared" ref="D95:D102" si="46">SUM(B95:C95)</f>
        <v>3.5169251253086862</v>
      </c>
      <c r="E95" s="441"/>
      <c r="F95" s="440">
        <v>1.6615395969037103</v>
      </c>
      <c r="G95" s="440">
        <v>2.5066068733247837</v>
      </c>
      <c r="H95" s="440">
        <f t="shared" ref="H95:H102" si="47">SUM(F95:G95)</f>
        <v>4.1681464702284945</v>
      </c>
      <c r="I95" s="441"/>
      <c r="J95" s="440">
        <v>1.6291596954353222</v>
      </c>
      <c r="K95" s="440">
        <v>2.3148463732659583</v>
      </c>
      <c r="L95" s="440">
        <f t="shared" ref="L95:L102" si="48">SUM(J95:K95)</f>
        <v>3.9440060687012806</v>
      </c>
      <c r="M95" s="347"/>
      <c r="N95" s="347"/>
    </row>
    <row r="96" spans="1:14" x14ac:dyDescent="0.25">
      <c r="A96" s="362" t="str">
        <f>name!E$6</f>
        <v>Associate professional and technical</v>
      </c>
      <c r="B96" s="440">
        <v>2.23763485062871</v>
      </c>
      <c r="C96" s="440">
        <v>4.253813510068591</v>
      </c>
      <c r="D96" s="440">
        <f t="shared" si="46"/>
        <v>6.4914483606973015</v>
      </c>
      <c r="E96" s="441"/>
      <c r="F96" s="440">
        <v>3.6670667245667792</v>
      </c>
      <c r="G96" s="440">
        <v>3.0181762515577755</v>
      </c>
      <c r="H96" s="440">
        <f t="shared" si="47"/>
        <v>6.6852429761245542</v>
      </c>
      <c r="I96" s="441"/>
      <c r="J96" s="440">
        <v>3.2233385882898928</v>
      </c>
      <c r="K96" s="440">
        <v>2.6832544516552073</v>
      </c>
      <c r="L96" s="440">
        <f t="shared" si="48"/>
        <v>5.9065930399451005</v>
      </c>
      <c r="M96" s="347"/>
      <c r="N96" s="347"/>
    </row>
    <row r="97" spans="1:14" x14ac:dyDescent="0.25">
      <c r="A97" s="362" t="str">
        <f>name!E$7</f>
        <v>Administrative and secretarial</v>
      </c>
      <c r="B97" s="440">
        <v>2.8047110793895351</v>
      </c>
      <c r="C97" s="440">
        <v>1.668388492152862</v>
      </c>
      <c r="D97" s="440">
        <f t="shared" si="46"/>
        <v>4.4730995715423969</v>
      </c>
      <c r="E97" s="441"/>
      <c r="F97" s="440">
        <v>3.3143189885240001</v>
      </c>
      <c r="G97" s="440">
        <v>1.5781675059606153</v>
      </c>
      <c r="H97" s="440">
        <f t="shared" si="47"/>
        <v>4.8924864944846149</v>
      </c>
      <c r="I97" s="441"/>
      <c r="J97" s="440">
        <v>2.4097080216865017</v>
      </c>
      <c r="K97" s="440">
        <v>1.3444967788744173</v>
      </c>
      <c r="L97" s="440">
        <f t="shared" si="48"/>
        <v>3.754204800560919</v>
      </c>
      <c r="M97" s="347"/>
      <c r="N97" s="347"/>
    </row>
    <row r="98" spans="1:14" x14ac:dyDescent="0.25">
      <c r="A98" s="362" t="str">
        <f>name!E$8</f>
        <v>Skilled trades occupations</v>
      </c>
      <c r="B98" s="440">
        <v>3.9296866841321436</v>
      </c>
      <c r="C98" s="440">
        <v>9.1341578448323926</v>
      </c>
      <c r="D98" s="440">
        <f t="shared" si="46"/>
        <v>13.063844528964536</v>
      </c>
      <c r="E98" s="441"/>
      <c r="F98" s="440">
        <v>3.6995805869414999</v>
      </c>
      <c r="G98" s="440">
        <v>6.739859745318685</v>
      </c>
      <c r="H98" s="440">
        <f t="shared" si="47"/>
        <v>10.439440332260185</v>
      </c>
      <c r="I98" s="441"/>
      <c r="J98" s="440">
        <v>2.0139365173962158</v>
      </c>
      <c r="K98" s="440">
        <v>4.6819757583604735</v>
      </c>
      <c r="L98" s="440">
        <f t="shared" si="48"/>
        <v>6.6959122757566893</v>
      </c>
      <c r="M98" s="347"/>
      <c r="N98" s="347"/>
    </row>
    <row r="99" spans="1:14" x14ac:dyDescent="0.25">
      <c r="A99" s="362" t="str">
        <f>name!E$9</f>
        <v>Caring, leisure and other service</v>
      </c>
      <c r="B99" s="440">
        <v>0.8322843332773282</v>
      </c>
      <c r="C99" s="440">
        <v>0.12423989368537994</v>
      </c>
      <c r="D99" s="440">
        <f t="shared" si="46"/>
        <v>0.95652422696270811</v>
      </c>
      <c r="E99" s="441"/>
      <c r="F99" s="440">
        <v>1.6256289062744129</v>
      </c>
      <c r="G99" s="440">
        <v>0.11352323868409102</v>
      </c>
      <c r="H99" s="440">
        <f t="shared" si="47"/>
        <v>1.7391521449585039</v>
      </c>
      <c r="I99" s="441"/>
      <c r="J99" s="440">
        <v>1.3923429425963854</v>
      </c>
      <c r="K99" s="440">
        <v>0.11904741264367961</v>
      </c>
      <c r="L99" s="440">
        <f t="shared" si="48"/>
        <v>1.5113903552400649</v>
      </c>
      <c r="M99" s="347"/>
      <c r="N99" s="347"/>
    </row>
    <row r="100" spans="1:14" x14ac:dyDescent="0.25">
      <c r="A100" s="362" t="str">
        <f>name!E$10</f>
        <v>Sales and customer service</v>
      </c>
      <c r="B100" s="440">
        <v>1.3717941767145667</v>
      </c>
      <c r="C100" s="440">
        <v>1.3340737672337686</v>
      </c>
      <c r="D100" s="440">
        <f t="shared" si="46"/>
        <v>2.7058679439483351</v>
      </c>
      <c r="E100" s="441"/>
      <c r="F100" s="440">
        <v>2.0909992917195357</v>
      </c>
      <c r="G100" s="440">
        <v>1.2158691815186367</v>
      </c>
      <c r="H100" s="440">
        <f t="shared" si="47"/>
        <v>3.3068684732381723</v>
      </c>
      <c r="I100" s="441"/>
      <c r="J100" s="440">
        <v>1.6635595745243308</v>
      </c>
      <c r="K100" s="440">
        <v>0.99794303079533087</v>
      </c>
      <c r="L100" s="440">
        <f t="shared" si="48"/>
        <v>2.6615026053196615</v>
      </c>
      <c r="M100" s="347"/>
      <c r="N100" s="347"/>
    </row>
    <row r="101" spans="1:14" x14ac:dyDescent="0.25">
      <c r="A101" s="362" t="str">
        <f>name!E$11</f>
        <v>Process, plant and machine operatives</v>
      </c>
      <c r="B101" s="440">
        <v>8.3919400932018071</v>
      </c>
      <c r="C101" s="440">
        <v>11.658256159142644</v>
      </c>
      <c r="D101" s="440">
        <f t="shared" si="46"/>
        <v>20.050196252344449</v>
      </c>
      <c r="E101" s="441"/>
      <c r="F101" s="440">
        <v>7.627178389137085</v>
      </c>
      <c r="G101" s="440">
        <v>8.6943977860945516</v>
      </c>
      <c r="H101" s="440">
        <f t="shared" si="47"/>
        <v>16.321576175231638</v>
      </c>
      <c r="I101" s="441"/>
      <c r="J101" s="440">
        <v>4.2817792780225199</v>
      </c>
      <c r="K101" s="440">
        <v>6.4159351210479318</v>
      </c>
      <c r="L101" s="440">
        <f t="shared" si="48"/>
        <v>10.697714399070453</v>
      </c>
      <c r="M101" s="347"/>
      <c r="N101" s="347"/>
    </row>
    <row r="102" spans="1:14" x14ac:dyDescent="0.25">
      <c r="A102" s="362" t="str">
        <f>name!E$12</f>
        <v>Elementary occupations</v>
      </c>
      <c r="B102" s="440">
        <v>1.8176800101243333</v>
      </c>
      <c r="C102" s="440">
        <v>3.7080385752643075</v>
      </c>
      <c r="D102" s="440">
        <f t="shared" si="46"/>
        <v>5.525718585388641</v>
      </c>
      <c r="E102" s="441"/>
      <c r="F102" s="440">
        <v>2.5486802701813991</v>
      </c>
      <c r="G102" s="440">
        <v>3.0845107519572301</v>
      </c>
      <c r="H102" s="440">
        <f t="shared" si="47"/>
        <v>5.6331910221386288</v>
      </c>
      <c r="I102" s="441"/>
      <c r="J102" s="440">
        <v>1.8902594484628452</v>
      </c>
      <c r="K102" s="440">
        <v>2.5240111990017273</v>
      </c>
      <c r="L102" s="440">
        <f t="shared" si="48"/>
        <v>4.4142706474645728</v>
      </c>
      <c r="M102" s="347"/>
      <c r="N102" s="347"/>
    </row>
    <row r="103" spans="1:14" x14ac:dyDescent="0.25">
      <c r="A103" s="362"/>
      <c r="B103" s="440"/>
      <c r="C103" s="440"/>
      <c r="D103" s="440"/>
      <c r="E103" s="441"/>
      <c r="F103" s="440"/>
      <c r="G103" s="440"/>
      <c r="H103" s="440"/>
      <c r="I103" s="441"/>
      <c r="J103" s="440"/>
      <c r="K103" s="440"/>
      <c r="L103" s="440"/>
      <c r="M103" s="347"/>
      <c r="N103" s="347"/>
    </row>
    <row r="104" spans="1:14" x14ac:dyDescent="0.25">
      <c r="A104" s="357" t="s">
        <v>32</v>
      </c>
      <c r="B104" s="450">
        <f>SUM(B94:B102)</f>
        <v>23.646999999953056</v>
      </c>
      <c r="C104" s="450">
        <f t="shared" ref="C104:D104" si="49">SUM(C94:C102)</f>
        <v>39.570999999889324</v>
      </c>
      <c r="D104" s="450">
        <f t="shared" si="49"/>
        <v>63.21799999984237</v>
      </c>
      <c r="E104" s="450"/>
      <c r="F104" s="450">
        <f t="shared" ref="F104:H104" si="50">SUM(F94:F102)</f>
        <v>29.373000000182564</v>
      </c>
      <c r="G104" s="450">
        <f t="shared" si="50"/>
        <v>32.004999999856246</v>
      </c>
      <c r="H104" s="450">
        <f t="shared" si="50"/>
        <v>61.37800000003881</v>
      </c>
      <c r="I104" s="450"/>
      <c r="J104" s="450">
        <f t="shared" ref="J104:L104" si="51">SUM(J94:J102)</f>
        <v>21.274000000074516</v>
      </c>
      <c r="K104" s="450">
        <f t="shared" si="51"/>
        <v>25.684999999904655</v>
      </c>
      <c r="L104" s="450">
        <f t="shared" si="51"/>
        <v>46.95899999997917</v>
      </c>
      <c r="M104" s="347"/>
      <c r="N104" s="347"/>
    </row>
    <row r="105" spans="1:14" x14ac:dyDescent="0.25">
      <c r="A105" s="348"/>
      <c r="B105" s="348"/>
      <c r="C105" s="348"/>
      <c r="D105" s="348"/>
      <c r="E105" s="348"/>
      <c r="F105" s="348"/>
      <c r="G105" s="348"/>
      <c r="H105" s="348"/>
      <c r="I105" s="348"/>
      <c r="J105" s="348"/>
      <c r="K105" s="348"/>
      <c r="L105" s="353"/>
      <c r="M105" s="347"/>
      <c r="N105" s="347"/>
    </row>
    <row r="106" spans="1:14" x14ac:dyDescent="0.25">
      <c r="A106" s="348"/>
      <c r="B106" s="348"/>
      <c r="C106" s="348"/>
      <c r="D106" s="348"/>
      <c r="E106" s="348"/>
      <c r="F106" s="348"/>
      <c r="G106" s="348"/>
      <c r="H106" s="348"/>
      <c r="I106" s="348"/>
      <c r="J106" s="348"/>
      <c r="K106" s="348"/>
      <c r="L106" s="372" t="s">
        <v>35</v>
      </c>
      <c r="M106" s="347"/>
      <c r="N106" s="347"/>
    </row>
    <row r="107" spans="1:14" x14ac:dyDescent="0.25">
      <c r="A107" s="355"/>
      <c r="B107" s="365"/>
      <c r="C107" s="365"/>
      <c r="D107" s="365"/>
      <c r="E107" s="365"/>
      <c r="F107" s="365"/>
      <c r="G107" s="365"/>
      <c r="H107" s="365"/>
      <c r="I107" s="365"/>
      <c r="J107" s="365"/>
      <c r="K107" s="365"/>
      <c r="L107" s="347"/>
      <c r="M107" s="347"/>
      <c r="N107" s="347"/>
    </row>
    <row r="108" spans="1:14" x14ac:dyDescent="0.25">
      <c r="A108" s="354" t="str">
        <f>name!A9</f>
        <v>Wearing apparel; Leather, etc</v>
      </c>
      <c r="B108" s="515">
        <f>B$6</f>
        <v>2007</v>
      </c>
      <c r="C108" s="515"/>
      <c r="D108" s="515"/>
      <c r="E108" s="369"/>
      <c r="F108" s="515">
        <f>F91</f>
        <v>2017</v>
      </c>
      <c r="G108" s="515"/>
      <c r="H108" s="515"/>
      <c r="I108" s="369"/>
      <c r="J108" s="515">
        <f>J91</f>
        <v>2027</v>
      </c>
      <c r="K108" s="515"/>
      <c r="L108" s="515"/>
      <c r="M108" s="347"/>
      <c r="N108" s="347"/>
    </row>
    <row r="109" spans="1:14" x14ac:dyDescent="0.25">
      <c r="A109" s="370"/>
      <c r="B109" s="371" t="s">
        <v>387</v>
      </c>
      <c r="C109" s="371" t="s">
        <v>388</v>
      </c>
      <c r="D109" s="371" t="s">
        <v>32</v>
      </c>
      <c r="E109" s="371"/>
      <c r="F109" s="371" t="s">
        <v>387</v>
      </c>
      <c r="G109" s="371" t="s">
        <v>388</v>
      </c>
      <c r="H109" s="371" t="s">
        <v>32</v>
      </c>
      <c r="I109" s="371"/>
      <c r="J109" s="371" t="s">
        <v>387</v>
      </c>
      <c r="K109" s="371" t="s">
        <v>388</v>
      </c>
      <c r="L109" s="371" t="s">
        <v>32</v>
      </c>
      <c r="M109" s="347"/>
      <c r="N109" s="347"/>
    </row>
    <row r="110" spans="1:14" s="286" customFormat="1" x14ac:dyDescent="0.25">
      <c r="A110" s="374"/>
      <c r="B110" s="375"/>
      <c r="C110" s="375"/>
      <c r="D110" s="375"/>
      <c r="E110" s="375"/>
      <c r="F110" s="375"/>
      <c r="G110" s="375"/>
      <c r="H110" s="375"/>
      <c r="I110" s="375"/>
      <c r="J110" s="375"/>
      <c r="K110" s="375"/>
      <c r="L110" s="375"/>
      <c r="M110" s="347"/>
      <c r="N110" s="347"/>
    </row>
    <row r="111" spans="1:14" x14ac:dyDescent="0.25">
      <c r="A111" s="362" t="str">
        <f>name!E$4</f>
        <v>Managers, directors and senior officials</v>
      </c>
      <c r="B111" s="440">
        <v>2.6370354176702313</v>
      </c>
      <c r="C111" s="440">
        <v>2.6166839796205066</v>
      </c>
      <c r="D111" s="440">
        <f>SUM(B111:C111)</f>
        <v>5.2537193972907374</v>
      </c>
      <c r="E111" s="441"/>
      <c r="F111" s="440">
        <v>2.6629614935283734</v>
      </c>
      <c r="G111" s="440">
        <v>1.5164405380406234</v>
      </c>
      <c r="H111" s="440">
        <f>SUM(F111:G111)</f>
        <v>4.1794020315689968</v>
      </c>
      <c r="I111" s="441"/>
      <c r="J111" s="440">
        <v>2.2561142663573479</v>
      </c>
      <c r="K111" s="440">
        <v>1.4160052169828603</v>
      </c>
      <c r="L111" s="440">
        <f>SUM(J111:K111)</f>
        <v>3.6721194833402082</v>
      </c>
      <c r="M111" s="347"/>
      <c r="N111" s="347"/>
    </row>
    <row r="112" spans="1:14" x14ac:dyDescent="0.25">
      <c r="A112" s="362" t="str">
        <f>name!E$5</f>
        <v>Professional occupations</v>
      </c>
      <c r="B112" s="440">
        <v>2.3265132188306148</v>
      </c>
      <c r="C112" s="440">
        <v>1.7530336892232772</v>
      </c>
      <c r="D112" s="440">
        <f t="shared" ref="D112:D119" si="52">SUM(B112:C112)</f>
        <v>4.0795469080538922</v>
      </c>
      <c r="E112" s="441"/>
      <c r="F112" s="440">
        <v>3.6137687710359514</v>
      </c>
      <c r="G112" s="440">
        <v>1.0506083336674525</v>
      </c>
      <c r="H112" s="440">
        <f t="shared" ref="H112:H119" si="53">SUM(F112:G112)</f>
        <v>4.6643771047034042</v>
      </c>
      <c r="I112" s="441"/>
      <c r="J112" s="440">
        <v>3.6535429141315934</v>
      </c>
      <c r="K112" s="440">
        <v>1.0017541463483588</v>
      </c>
      <c r="L112" s="440">
        <f t="shared" ref="L112:L119" si="54">SUM(J112:K112)</f>
        <v>4.6552970604799526</v>
      </c>
      <c r="M112" s="347"/>
      <c r="N112" s="347"/>
    </row>
    <row r="113" spans="1:14" x14ac:dyDescent="0.25">
      <c r="A113" s="362" t="str">
        <f>name!E$6</f>
        <v>Associate professional and technical</v>
      </c>
      <c r="B113" s="440">
        <v>5.4807868918358782</v>
      </c>
      <c r="C113" s="440">
        <v>2.2461732723721588</v>
      </c>
      <c r="D113" s="440">
        <f t="shared" si="52"/>
        <v>7.7269601642080374</v>
      </c>
      <c r="E113" s="441"/>
      <c r="F113" s="440">
        <v>4.713956072854514</v>
      </c>
      <c r="G113" s="440">
        <v>1.2007313274536247</v>
      </c>
      <c r="H113" s="440">
        <f t="shared" si="53"/>
        <v>5.9146874003081384</v>
      </c>
      <c r="I113" s="441"/>
      <c r="J113" s="440">
        <v>3.8333536946684901</v>
      </c>
      <c r="K113" s="440">
        <v>1.0685902595167023</v>
      </c>
      <c r="L113" s="440">
        <f t="shared" si="54"/>
        <v>4.9019439541851924</v>
      </c>
      <c r="M113" s="347"/>
      <c r="N113" s="347"/>
    </row>
    <row r="114" spans="1:14" x14ac:dyDescent="0.25">
      <c r="A114" s="362" t="str">
        <f>name!E$7</f>
        <v>Administrative and secretarial</v>
      </c>
      <c r="B114" s="440">
        <v>5.786864038360144</v>
      </c>
      <c r="C114" s="440">
        <v>0.83181668419502264</v>
      </c>
      <c r="D114" s="440">
        <f t="shared" si="52"/>
        <v>6.6186807225551663</v>
      </c>
      <c r="E114" s="441"/>
      <c r="F114" s="440">
        <v>4.1489423544384643</v>
      </c>
      <c r="G114" s="440">
        <v>0.46819334948940644</v>
      </c>
      <c r="H114" s="440">
        <f t="shared" si="53"/>
        <v>4.6171357039278709</v>
      </c>
      <c r="I114" s="441"/>
      <c r="J114" s="440">
        <v>2.8308061263156072</v>
      </c>
      <c r="K114" s="440">
        <v>0.38127173415657317</v>
      </c>
      <c r="L114" s="440">
        <f t="shared" si="54"/>
        <v>3.2120778604721805</v>
      </c>
      <c r="M114" s="347"/>
      <c r="N114" s="347"/>
    </row>
    <row r="115" spans="1:14" x14ac:dyDescent="0.25">
      <c r="A115" s="362" t="str">
        <f>name!E$8</f>
        <v>Skilled trades occupations</v>
      </c>
      <c r="B115" s="440">
        <v>6.0937153140890334</v>
      </c>
      <c r="C115" s="440">
        <v>5.7085334325880854</v>
      </c>
      <c r="D115" s="440">
        <f t="shared" si="52"/>
        <v>11.802248746677119</v>
      </c>
      <c r="E115" s="441"/>
      <c r="F115" s="440">
        <v>3.4861559738217927</v>
      </c>
      <c r="G115" s="440">
        <v>2.4266895439740601</v>
      </c>
      <c r="H115" s="440">
        <f t="shared" si="53"/>
        <v>5.9128455177958532</v>
      </c>
      <c r="I115" s="441"/>
      <c r="J115" s="440">
        <v>1.7045319843876661</v>
      </c>
      <c r="K115" s="440">
        <v>1.7028811908773231</v>
      </c>
      <c r="L115" s="440">
        <f t="shared" si="54"/>
        <v>3.4074131752649892</v>
      </c>
      <c r="M115" s="347"/>
      <c r="N115" s="347"/>
    </row>
    <row r="116" spans="1:14" x14ac:dyDescent="0.25">
      <c r="A116" s="362" t="str">
        <f>name!E$9</f>
        <v>Caring, leisure and other service</v>
      </c>
      <c r="B116" s="440">
        <v>2.0998798829858663</v>
      </c>
      <c r="C116" s="440">
        <v>0.29653875403204422</v>
      </c>
      <c r="D116" s="440">
        <f t="shared" si="52"/>
        <v>2.3964186370179106</v>
      </c>
      <c r="E116" s="441"/>
      <c r="F116" s="440">
        <v>2.9924866081295538</v>
      </c>
      <c r="G116" s="440">
        <v>0.18651047490959069</v>
      </c>
      <c r="H116" s="440">
        <f t="shared" si="53"/>
        <v>3.1789970830391443</v>
      </c>
      <c r="I116" s="441"/>
      <c r="J116" s="440">
        <v>2.9958549880717831</v>
      </c>
      <c r="K116" s="440">
        <v>0.20138789890006745</v>
      </c>
      <c r="L116" s="440">
        <f t="shared" si="54"/>
        <v>3.1972428869718503</v>
      </c>
      <c r="M116" s="347"/>
      <c r="N116" s="347"/>
    </row>
    <row r="117" spans="1:14" x14ac:dyDescent="0.25">
      <c r="A117" s="362" t="str">
        <f>name!E$10</f>
        <v>Sales and customer service</v>
      </c>
      <c r="B117" s="440">
        <v>2.3223968131455233</v>
      </c>
      <c r="C117" s="440">
        <v>0.75746849123873927</v>
      </c>
      <c r="D117" s="440">
        <f t="shared" si="52"/>
        <v>3.0798653043842625</v>
      </c>
      <c r="E117" s="441"/>
      <c r="F117" s="440">
        <v>1.8557704262811776</v>
      </c>
      <c r="G117" s="440">
        <v>0.39868653509362945</v>
      </c>
      <c r="H117" s="440">
        <f t="shared" si="53"/>
        <v>2.2544569613748071</v>
      </c>
      <c r="I117" s="441"/>
      <c r="J117" s="440">
        <v>1.6439591712675543</v>
      </c>
      <c r="K117" s="440">
        <v>0.33640132564827718</v>
      </c>
      <c r="L117" s="440">
        <f t="shared" si="54"/>
        <v>1.9803604969158315</v>
      </c>
      <c r="M117" s="347"/>
      <c r="N117" s="347"/>
    </row>
    <row r="118" spans="1:14" x14ac:dyDescent="0.25">
      <c r="A118" s="362" t="str">
        <f>name!E$11</f>
        <v>Process, plant and machine operatives</v>
      </c>
      <c r="B118" s="440">
        <v>15.823222212086295</v>
      </c>
      <c r="C118" s="440">
        <v>6.4648070695285274</v>
      </c>
      <c r="D118" s="440">
        <f t="shared" si="52"/>
        <v>22.288029281614822</v>
      </c>
      <c r="E118" s="441"/>
      <c r="F118" s="440">
        <v>4.5778136459596181</v>
      </c>
      <c r="G118" s="440">
        <v>2.7890995210290455</v>
      </c>
      <c r="H118" s="440">
        <f t="shared" si="53"/>
        <v>7.3669131669886632</v>
      </c>
      <c r="I118" s="441"/>
      <c r="J118" s="440">
        <v>1.8827834116019908</v>
      </c>
      <c r="K118" s="440">
        <v>2.2668284517021555</v>
      </c>
      <c r="L118" s="440">
        <f t="shared" si="54"/>
        <v>4.1496118633041466</v>
      </c>
      <c r="M118" s="347"/>
      <c r="N118" s="347"/>
    </row>
    <row r="119" spans="1:14" x14ac:dyDescent="0.25">
      <c r="A119" s="362" t="str">
        <f>name!E$12</f>
        <v>Elementary occupations</v>
      </c>
      <c r="B119" s="440">
        <v>2.8645862109589477</v>
      </c>
      <c r="C119" s="440">
        <v>4.773944627084874</v>
      </c>
      <c r="D119" s="440">
        <f t="shared" si="52"/>
        <v>7.6385308380438222</v>
      </c>
      <c r="E119" s="441"/>
      <c r="F119" s="440">
        <v>3.1161446541691498</v>
      </c>
      <c r="G119" s="440">
        <v>3.3010403763147695</v>
      </c>
      <c r="H119" s="440">
        <f t="shared" si="53"/>
        <v>6.4171850304839193</v>
      </c>
      <c r="I119" s="441"/>
      <c r="J119" s="440">
        <v>2.28305344336307</v>
      </c>
      <c r="K119" s="440">
        <v>2.4968797758674701</v>
      </c>
      <c r="L119" s="440">
        <f t="shared" si="54"/>
        <v>4.7799332192305402</v>
      </c>
      <c r="M119" s="347"/>
      <c r="N119" s="347"/>
    </row>
    <row r="120" spans="1:14" x14ac:dyDescent="0.25">
      <c r="A120" s="362"/>
      <c r="B120" s="440"/>
      <c r="C120" s="440"/>
      <c r="D120" s="440"/>
      <c r="E120" s="441"/>
      <c r="F120" s="440"/>
      <c r="G120" s="440"/>
      <c r="H120" s="440"/>
      <c r="I120" s="441"/>
      <c r="J120" s="440"/>
      <c r="K120" s="440"/>
      <c r="L120" s="440"/>
      <c r="M120" s="347"/>
      <c r="N120" s="347"/>
    </row>
    <row r="121" spans="1:14" x14ac:dyDescent="0.25">
      <c r="A121" s="357" t="s">
        <v>32</v>
      </c>
      <c r="B121" s="450">
        <f>SUM(B111:B119)</f>
        <v>45.434999999962535</v>
      </c>
      <c r="C121" s="450">
        <f t="shared" ref="C121:D121" si="55">SUM(C111:C119)</f>
        <v>25.448999999883235</v>
      </c>
      <c r="D121" s="450">
        <f t="shared" si="55"/>
        <v>70.88399999984577</v>
      </c>
      <c r="E121" s="450"/>
      <c r="F121" s="450">
        <f t="shared" ref="F121:H121" si="56">SUM(F111:F119)</f>
        <v>31.168000000218598</v>
      </c>
      <c r="G121" s="450">
        <f t="shared" si="56"/>
        <v>13.337999999972203</v>
      </c>
      <c r="H121" s="450">
        <f t="shared" si="56"/>
        <v>44.506000000190795</v>
      </c>
      <c r="I121" s="450"/>
      <c r="J121" s="450">
        <f t="shared" ref="J121:L121" si="57">SUM(J111:J119)</f>
        <v>23.084000000165101</v>
      </c>
      <c r="K121" s="450">
        <f t="shared" si="57"/>
        <v>10.871999999999787</v>
      </c>
      <c r="L121" s="450">
        <f t="shared" si="57"/>
        <v>33.956000000164892</v>
      </c>
      <c r="M121" s="347"/>
      <c r="N121" s="347"/>
    </row>
    <row r="122" spans="1:14" x14ac:dyDescent="0.25">
      <c r="A122" s="348"/>
      <c r="B122" s="348"/>
      <c r="C122" s="348"/>
      <c r="D122" s="348"/>
      <c r="E122" s="348"/>
      <c r="F122" s="348"/>
      <c r="G122" s="348"/>
      <c r="H122" s="348"/>
      <c r="I122" s="348"/>
      <c r="J122" s="348"/>
      <c r="K122" s="348"/>
      <c r="L122" s="353"/>
      <c r="M122" s="347"/>
      <c r="N122" s="347"/>
    </row>
    <row r="123" spans="1:14" x14ac:dyDescent="0.25">
      <c r="A123" s="348"/>
      <c r="B123" s="348"/>
      <c r="C123" s="348"/>
      <c r="D123" s="348"/>
      <c r="E123" s="348"/>
      <c r="F123" s="348"/>
      <c r="G123" s="348"/>
      <c r="H123" s="348"/>
      <c r="I123" s="348"/>
      <c r="J123" s="348"/>
      <c r="K123" s="348"/>
      <c r="L123" s="372" t="s">
        <v>35</v>
      </c>
      <c r="M123" s="347"/>
      <c r="N123" s="347"/>
    </row>
    <row r="124" spans="1:14" x14ac:dyDescent="0.25">
      <c r="A124" s="355"/>
      <c r="B124" s="365"/>
      <c r="C124" s="365"/>
      <c r="D124" s="365"/>
      <c r="E124" s="365"/>
      <c r="F124" s="365"/>
      <c r="G124" s="365"/>
      <c r="H124" s="365"/>
      <c r="I124" s="365"/>
      <c r="J124" s="365"/>
      <c r="K124" s="365"/>
      <c r="L124" s="347"/>
      <c r="M124" s="347"/>
      <c r="N124" s="347"/>
    </row>
    <row r="125" spans="1:14" x14ac:dyDescent="0.25">
      <c r="A125" s="354" t="str">
        <f>name!A10</f>
        <v xml:space="preserve">Wood and cork </v>
      </c>
      <c r="B125" s="515">
        <f>B$6</f>
        <v>2007</v>
      </c>
      <c r="C125" s="515"/>
      <c r="D125" s="515"/>
      <c r="E125" s="369"/>
      <c r="F125" s="515">
        <f>F108</f>
        <v>2017</v>
      </c>
      <c r="G125" s="515"/>
      <c r="H125" s="515"/>
      <c r="I125" s="369"/>
      <c r="J125" s="515">
        <f>J108</f>
        <v>2027</v>
      </c>
      <c r="K125" s="515"/>
      <c r="L125" s="515"/>
      <c r="M125" s="347"/>
      <c r="N125" s="347"/>
    </row>
    <row r="126" spans="1:14" x14ac:dyDescent="0.25">
      <c r="A126" s="370"/>
      <c r="B126" s="371" t="s">
        <v>387</v>
      </c>
      <c r="C126" s="371" t="s">
        <v>388</v>
      </c>
      <c r="D126" s="371" t="s">
        <v>32</v>
      </c>
      <c r="E126" s="371"/>
      <c r="F126" s="371" t="s">
        <v>387</v>
      </c>
      <c r="G126" s="371" t="s">
        <v>388</v>
      </c>
      <c r="H126" s="371" t="s">
        <v>32</v>
      </c>
      <c r="I126" s="371"/>
      <c r="J126" s="371" t="s">
        <v>387</v>
      </c>
      <c r="K126" s="371" t="s">
        <v>388</v>
      </c>
      <c r="L126" s="371" t="s">
        <v>32</v>
      </c>
      <c r="M126" s="347"/>
      <c r="N126" s="347"/>
    </row>
    <row r="127" spans="1:14" s="286" customFormat="1" x14ac:dyDescent="0.25">
      <c r="A127" s="374"/>
      <c r="B127" s="375"/>
      <c r="C127" s="375"/>
      <c r="D127" s="375"/>
      <c r="E127" s="375"/>
      <c r="F127" s="375"/>
      <c r="G127" s="375"/>
      <c r="H127" s="375"/>
      <c r="I127" s="375"/>
      <c r="J127" s="375"/>
      <c r="K127" s="375"/>
      <c r="L127" s="375"/>
      <c r="M127" s="347"/>
      <c r="N127" s="347"/>
    </row>
    <row r="128" spans="1:14" x14ac:dyDescent="0.25">
      <c r="A128" s="362" t="str">
        <f>name!E$4</f>
        <v>Managers, directors and senior officials</v>
      </c>
      <c r="B128" s="440">
        <v>1.6481071108737111</v>
      </c>
      <c r="C128" s="440">
        <v>6.2741926459498751</v>
      </c>
      <c r="D128" s="440">
        <f>SUM(B128:C128)</f>
        <v>7.9222997568235858</v>
      </c>
      <c r="E128" s="441"/>
      <c r="F128" s="440">
        <v>2.4823247509592461</v>
      </c>
      <c r="G128" s="440">
        <v>4.67341356164314</v>
      </c>
      <c r="H128" s="440">
        <f>SUM(F128:G128)</f>
        <v>7.1557383126023861</v>
      </c>
      <c r="I128" s="441"/>
      <c r="J128" s="440">
        <v>2.8145451142145559</v>
      </c>
      <c r="K128" s="440">
        <v>4.8339236672059744</v>
      </c>
      <c r="L128" s="440">
        <f>SUM(J128:K128)</f>
        <v>7.6484687814205303</v>
      </c>
      <c r="M128" s="347"/>
      <c r="N128" s="347"/>
    </row>
    <row r="129" spans="1:14" x14ac:dyDescent="0.25">
      <c r="A129" s="362" t="str">
        <f>name!E$5</f>
        <v>Professional occupations</v>
      </c>
      <c r="B129" s="440">
        <v>1.9702547878012155</v>
      </c>
      <c r="C129" s="440">
        <v>2.8029121733719493</v>
      </c>
      <c r="D129" s="440">
        <f t="shared" ref="D129:D136" si="58">SUM(B129:C129)</f>
        <v>4.7731669611731649</v>
      </c>
      <c r="E129" s="441"/>
      <c r="F129" s="440">
        <v>1.8555619702278441</v>
      </c>
      <c r="G129" s="440">
        <v>2.2364124720739555</v>
      </c>
      <c r="H129" s="440">
        <f t="shared" ref="H129:H136" si="59">SUM(F129:G129)</f>
        <v>4.0919744423017992</v>
      </c>
      <c r="I129" s="441"/>
      <c r="J129" s="440">
        <v>2.1241260928288375</v>
      </c>
      <c r="K129" s="440">
        <v>2.2529050379747817</v>
      </c>
      <c r="L129" s="440">
        <f t="shared" ref="L129:L136" si="60">SUM(J129:K129)</f>
        <v>4.3770311308036192</v>
      </c>
      <c r="M129" s="347"/>
      <c r="N129" s="347"/>
    </row>
    <row r="130" spans="1:14" x14ac:dyDescent="0.25">
      <c r="A130" s="362" t="str">
        <f>name!E$6</f>
        <v>Associate professional and technical</v>
      </c>
      <c r="B130" s="440">
        <v>2.1899813285317733</v>
      </c>
      <c r="C130" s="440">
        <v>5.0172299926941069</v>
      </c>
      <c r="D130" s="440">
        <f t="shared" si="58"/>
        <v>7.2072113212258806</v>
      </c>
      <c r="E130" s="441"/>
      <c r="F130" s="440">
        <v>1.9565482138767472</v>
      </c>
      <c r="G130" s="440">
        <v>6.0272348981458581</v>
      </c>
      <c r="H130" s="440">
        <f t="shared" si="59"/>
        <v>7.9837831120226053</v>
      </c>
      <c r="I130" s="441"/>
      <c r="J130" s="440">
        <v>2.0985670069285289</v>
      </c>
      <c r="K130" s="440">
        <v>5.9123339483296871</v>
      </c>
      <c r="L130" s="440">
        <f t="shared" si="60"/>
        <v>8.0109009552582151</v>
      </c>
      <c r="M130" s="347"/>
      <c r="N130" s="347"/>
    </row>
    <row r="131" spans="1:14" x14ac:dyDescent="0.25">
      <c r="A131" s="362" t="str">
        <f>name!E$7</f>
        <v>Administrative and secretarial</v>
      </c>
      <c r="B131" s="440">
        <v>6.7513988705971508</v>
      </c>
      <c r="C131" s="440">
        <v>1.5114005185868917</v>
      </c>
      <c r="D131" s="440">
        <f t="shared" si="58"/>
        <v>8.2627993891840426</v>
      </c>
      <c r="E131" s="441"/>
      <c r="F131" s="440">
        <v>4.6987279149403411</v>
      </c>
      <c r="G131" s="440">
        <v>1.2878327094461579</v>
      </c>
      <c r="H131" s="440">
        <f t="shared" si="59"/>
        <v>5.9865606243864988</v>
      </c>
      <c r="I131" s="441"/>
      <c r="J131" s="440">
        <v>3.5742135867997464</v>
      </c>
      <c r="K131" s="440">
        <v>1.2098933475489415</v>
      </c>
      <c r="L131" s="440">
        <f t="shared" si="60"/>
        <v>4.7841069343486877</v>
      </c>
      <c r="M131" s="347"/>
      <c r="N131" s="347"/>
    </row>
    <row r="132" spans="1:14" x14ac:dyDescent="0.25">
      <c r="A132" s="362" t="str">
        <f>name!E$8</f>
        <v>Skilled trades occupations</v>
      </c>
      <c r="B132" s="440">
        <v>1.0069994042235564</v>
      </c>
      <c r="C132" s="440">
        <v>23.992799074354537</v>
      </c>
      <c r="D132" s="440">
        <f t="shared" si="58"/>
        <v>24.999798478578093</v>
      </c>
      <c r="E132" s="441"/>
      <c r="F132" s="440">
        <v>0.9495479182160047</v>
      </c>
      <c r="G132" s="440">
        <v>26.400745016379108</v>
      </c>
      <c r="H132" s="440">
        <f t="shared" si="59"/>
        <v>27.350292934595114</v>
      </c>
      <c r="I132" s="441"/>
      <c r="J132" s="440">
        <v>0.89388571919768856</v>
      </c>
      <c r="K132" s="440">
        <v>23.688081666008404</v>
      </c>
      <c r="L132" s="440">
        <f t="shared" si="60"/>
        <v>24.581967385206092</v>
      </c>
      <c r="M132" s="347"/>
      <c r="N132" s="347"/>
    </row>
    <row r="133" spans="1:14" x14ac:dyDescent="0.25">
      <c r="A133" s="362" t="str">
        <f>name!E$9</f>
        <v>Caring, leisure and other service</v>
      </c>
      <c r="B133" s="440">
        <v>0.99059621654780239</v>
      </c>
      <c r="C133" s="440">
        <v>0.32397080869463812</v>
      </c>
      <c r="D133" s="440">
        <f t="shared" si="58"/>
        <v>1.3145670252424404</v>
      </c>
      <c r="E133" s="441"/>
      <c r="F133" s="440">
        <v>1.1438121426138514</v>
      </c>
      <c r="G133" s="440">
        <v>0.39964629013622621</v>
      </c>
      <c r="H133" s="440">
        <f t="shared" si="59"/>
        <v>1.5434584327500778</v>
      </c>
      <c r="I133" s="441"/>
      <c r="J133" s="440">
        <v>1.3212630279963782</v>
      </c>
      <c r="K133" s="440">
        <v>0.49839883480770253</v>
      </c>
      <c r="L133" s="440">
        <f t="shared" si="60"/>
        <v>1.8196618628040806</v>
      </c>
      <c r="M133" s="347"/>
      <c r="N133" s="347"/>
    </row>
    <row r="134" spans="1:14" x14ac:dyDescent="0.25">
      <c r="A134" s="362" t="str">
        <f>name!E$10</f>
        <v>Sales and customer service</v>
      </c>
      <c r="B134" s="440">
        <v>1.3103500772081791</v>
      </c>
      <c r="C134" s="440">
        <v>1.1729739689672807</v>
      </c>
      <c r="D134" s="440">
        <f>SUM(B134:C134)</f>
        <v>2.4833240461754595</v>
      </c>
      <c r="E134" s="441"/>
      <c r="F134" s="440">
        <v>1.1705357472023417</v>
      </c>
      <c r="G134" s="440">
        <v>1.0937277488217059</v>
      </c>
      <c r="H134" s="440">
        <f t="shared" si="59"/>
        <v>2.2642634960240473</v>
      </c>
      <c r="I134" s="441"/>
      <c r="J134" s="440">
        <v>1.0831362938403795</v>
      </c>
      <c r="K134" s="440">
        <v>1.018618300552349</v>
      </c>
      <c r="L134" s="440">
        <f t="shared" si="60"/>
        <v>2.1017545943927285</v>
      </c>
      <c r="M134" s="347"/>
      <c r="N134" s="347"/>
    </row>
    <row r="135" spans="1:14" x14ac:dyDescent="0.25">
      <c r="A135" s="362" t="str">
        <f>name!E$11</f>
        <v>Process, plant and machine operatives</v>
      </c>
      <c r="B135" s="440">
        <v>1.6649480898030486</v>
      </c>
      <c r="C135" s="440">
        <v>21.746232345331212</v>
      </c>
      <c r="D135" s="440">
        <f t="shared" si="58"/>
        <v>23.411180435134259</v>
      </c>
      <c r="E135" s="441"/>
      <c r="F135" s="440">
        <v>0.89785247461112749</v>
      </c>
      <c r="G135" s="440">
        <v>18.711031100881765</v>
      </c>
      <c r="H135" s="440">
        <f t="shared" si="59"/>
        <v>19.608883575492893</v>
      </c>
      <c r="I135" s="441"/>
      <c r="J135" s="440">
        <v>0.54215651648869012</v>
      </c>
      <c r="K135" s="440">
        <v>15.976403860587563</v>
      </c>
      <c r="L135" s="440">
        <f t="shared" si="60"/>
        <v>16.518560377076252</v>
      </c>
      <c r="M135" s="347"/>
      <c r="N135" s="347"/>
    </row>
    <row r="136" spans="1:14" x14ac:dyDescent="0.25">
      <c r="A136" s="362" t="str">
        <f>name!E$12</f>
        <v>Elementary occupations</v>
      </c>
      <c r="B136" s="440">
        <v>1.1593641143113858</v>
      </c>
      <c r="C136" s="440">
        <v>5.2492884718387431</v>
      </c>
      <c r="D136" s="440">
        <f t="shared" si="58"/>
        <v>6.4086525861501293</v>
      </c>
      <c r="E136" s="441"/>
      <c r="F136" s="440">
        <v>1.2390888673420859</v>
      </c>
      <c r="G136" s="440">
        <v>5.1959562022950152</v>
      </c>
      <c r="H136" s="440">
        <f t="shared" si="59"/>
        <v>6.4350450696371011</v>
      </c>
      <c r="I136" s="441"/>
      <c r="J136" s="440">
        <v>1.0661066417050646</v>
      </c>
      <c r="K136" s="440">
        <v>4.4874413366473309</v>
      </c>
      <c r="L136" s="440">
        <f t="shared" si="60"/>
        <v>5.5535479783523956</v>
      </c>
      <c r="M136" s="347"/>
      <c r="N136" s="347"/>
    </row>
    <row r="137" spans="1:14" x14ac:dyDescent="0.25">
      <c r="A137" s="362"/>
      <c r="B137" s="440"/>
      <c r="C137" s="440"/>
      <c r="D137" s="440"/>
      <c r="E137" s="441"/>
      <c r="F137" s="440"/>
      <c r="G137" s="440"/>
      <c r="H137" s="440"/>
      <c r="I137" s="441"/>
      <c r="J137" s="440"/>
      <c r="K137" s="440"/>
      <c r="L137" s="440"/>
      <c r="M137" s="347"/>
      <c r="N137" s="347"/>
    </row>
    <row r="138" spans="1:14" x14ac:dyDescent="0.25">
      <c r="A138" s="357" t="s">
        <v>32</v>
      </c>
      <c r="B138" s="450">
        <f>SUM(B128:B136)</f>
        <v>18.691999999897824</v>
      </c>
      <c r="C138" s="450">
        <f t="shared" ref="C138" si="61">SUM(C128:C136)</f>
        <v>68.090999999789233</v>
      </c>
      <c r="D138" s="450">
        <f>SUM(D128:D136)</f>
        <v>86.78299999968705</v>
      </c>
      <c r="E138" s="450"/>
      <c r="F138" s="450">
        <f t="shared" ref="F138:H138" si="62">SUM(F128:F136)</f>
        <v>16.393999999989592</v>
      </c>
      <c r="G138" s="450">
        <f t="shared" si="62"/>
        <v>66.025999999822943</v>
      </c>
      <c r="H138" s="450">
        <f t="shared" si="62"/>
        <v>82.419999999812532</v>
      </c>
      <c r="I138" s="450"/>
      <c r="J138" s="450">
        <f t="shared" ref="J138:L138" si="63">SUM(J128:J136)</f>
        <v>15.517999999999869</v>
      </c>
      <c r="K138" s="450">
        <f t="shared" si="63"/>
        <v>59.877999999662727</v>
      </c>
      <c r="L138" s="450">
        <f t="shared" si="63"/>
        <v>75.395999999662607</v>
      </c>
      <c r="M138" s="347"/>
      <c r="N138" s="347"/>
    </row>
    <row r="139" spans="1:14" x14ac:dyDescent="0.25">
      <c r="A139" s="348"/>
      <c r="B139" s="348"/>
      <c r="C139" s="348"/>
      <c r="D139" s="348"/>
      <c r="E139" s="348"/>
      <c r="F139" s="348"/>
      <c r="G139" s="348"/>
      <c r="H139" s="348"/>
      <c r="I139" s="348"/>
      <c r="J139" s="348"/>
      <c r="K139" s="348"/>
      <c r="L139" s="353"/>
      <c r="M139" s="347"/>
      <c r="N139" s="347"/>
    </row>
    <row r="140" spans="1:14" x14ac:dyDescent="0.25">
      <c r="A140" s="348"/>
      <c r="B140" s="348"/>
      <c r="C140" s="348"/>
      <c r="D140" s="348"/>
      <c r="E140" s="348"/>
      <c r="F140" s="348"/>
      <c r="G140" s="348"/>
      <c r="H140" s="348"/>
      <c r="I140" s="348"/>
      <c r="J140" s="348"/>
      <c r="K140" s="348"/>
      <c r="L140" s="372" t="s">
        <v>35</v>
      </c>
      <c r="M140" s="347"/>
      <c r="N140" s="347"/>
    </row>
    <row r="141" spans="1:14" x14ac:dyDescent="0.25">
      <c r="A141" s="355"/>
      <c r="B141" s="365"/>
      <c r="C141" s="365"/>
      <c r="D141" s="365"/>
      <c r="E141" s="365"/>
      <c r="F141" s="365"/>
      <c r="G141" s="365"/>
      <c r="H141" s="365"/>
      <c r="I141" s="365"/>
      <c r="J141" s="365"/>
      <c r="K141" s="365"/>
      <c r="L141" s="347"/>
      <c r="M141" s="347"/>
      <c r="N141" s="347"/>
    </row>
    <row r="142" spans="1:14" x14ac:dyDescent="0.25">
      <c r="A142" s="354" t="str">
        <f>name!A11</f>
        <v>Paper, etc</v>
      </c>
      <c r="B142" s="515">
        <f>B$6</f>
        <v>2007</v>
      </c>
      <c r="C142" s="515"/>
      <c r="D142" s="515"/>
      <c r="E142" s="369"/>
      <c r="F142" s="515">
        <f>F125</f>
        <v>2017</v>
      </c>
      <c r="G142" s="515"/>
      <c r="H142" s="515"/>
      <c r="I142" s="369"/>
      <c r="J142" s="515">
        <f>J125</f>
        <v>2027</v>
      </c>
      <c r="K142" s="515"/>
      <c r="L142" s="515"/>
      <c r="M142" s="347"/>
      <c r="N142" s="347"/>
    </row>
    <row r="143" spans="1:14" x14ac:dyDescent="0.25">
      <c r="A143" s="370"/>
      <c r="B143" s="371" t="s">
        <v>387</v>
      </c>
      <c r="C143" s="371" t="s">
        <v>388</v>
      </c>
      <c r="D143" s="371" t="s">
        <v>32</v>
      </c>
      <c r="E143" s="371"/>
      <c r="F143" s="371" t="s">
        <v>387</v>
      </c>
      <c r="G143" s="371" t="s">
        <v>388</v>
      </c>
      <c r="H143" s="371" t="s">
        <v>32</v>
      </c>
      <c r="I143" s="371"/>
      <c r="J143" s="371" t="s">
        <v>387</v>
      </c>
      <c r="K143" s="371" t="s">
        <v>388</v>
      </c>
      <c r="L143" s="371" t="s">
        <v>32</v>
      </c>
      <c r="M143" s="347"/>
      <c r="N143" s="347"/>
    </row>
    <row r="144" spans="1:14" s="286" customFormat="1" x14ac:dyDescent="0.25">
      <c r="A144" s="374"/>
      <c r="B144" s="375"/>
      <c r="C144" s="375"/>
      <c r="D144" s="375"/>
      <c r="E144" s="375"/>
      <c r="F144" s="375"/>
      <c r="G144" s="375"/>
      <c r="H144" s="375"/>
      <c r="I144" s="375"/>
      <c r="J144" s="375"/>
      <c r="K144" s="375"/>
      <c r="L144" s="375"/>
      <c r="M144" s="347"/>
      <c r="N144" s="347"/>
    </row>
    <row r="145" spans="1:14" x14ac:dyDescent="0.25">
      <c r="A145" s="362" t="str">
        <f>name!E$4</f>
        <v>Managers, directors and senior officials</v>
      </c>
      <c r="B145" s="440">
        <v>0.86073738342588424</v>
      </c>
      <c r="C145" s="440">
        <v>6.2008542453967062</v>
      </c>
      <c r="D145" s="440">
        <f>SUM(B145:C145)</f>
        <v>7.0615916288225904</v>
      </c>
      <c r="E145" s="441"/>
      <c r="F145" s="440">
        <v>0.95004599231031761</v>
      </c>
      <c r="G145" s="440">
        <v>7.0782243430448846</v>
      </c>
      <c r="H145" s="440">
        <f>SUM(F145:G145)</f>
        <v>8.0282703353552023</v>
      </c>
      <c r="I145" s="441"/>
      <c r="J145" s="440">
        <v>1.0867171677163991</v>
      </c>
      <c r="K145" s="440">
        <v>7.9155009792503765</v>
      </c>
      <c r="L145" s="440">
        <f>SUM(J145:K145)</f>
        <v>9.0022181469667757</v>
      </c>
      <c r="M145" s="347"/>
      <c r="N145" s="347"/>
    </row>
    <row r="146" spans="1:14" x14ac:dyDescent="0.25">
      <c r="A146" s="362" t="str">
        <f>name!E$5</f>
        <v>Professional occupations</v>
      </c>
      <c r="B146" s="440">
        <v>1.0397658209634673</v>
      </c>
      <c r="C146" s="440">
        <v>4.3746564734240501</v>
      </c>
      <c r="D146" s="440">
        <f t="shared" ref="D146:D153" si="64">SUM(B146:C146)</f>
        <v>5.4144222943875171</v>
      </c>
      <c r="E146" s="441"/>
      <c r="F146" s="440">
        <v>0.91890532836525185</v>
      </c>
      <c r="G146" s="440">
        <v>4.6240380055067849</v>
      </c>
      <c r="H146" s="440">
        <f t="shared" ref="H146:H153" si="65">SUM(F146:G146)</f>
        <v>5.5429433338720369</v>
      </c>
      <c r="I146" s="441"/>
      <c r="J146" s="440">
        <v>1.0599281236614992</v>
      </c>
      <c r="K146" s="440">
        <v>4.9463596636075353</v>
      </c>
      <c r="L146" s="440">
        <f t="shared" ref="L146:L153" si="66">SUM(J146:K146)</f>
        <v>6.0062877872690343</v>
      </c>
      <c r="M146" s="347"/>
      <c r="N146" s="347"/>
    </row>
    <row r="147" spans="1:14" x14ac:dyDescent="0.25">
      <c r="A147" s="362" t="str">
        <f>name!E$6</f>
        <v>Associate professional and technical</v>
      </c>
      <c r="B147" s="440">
        <v>2.2423018091379654</v>
      </c>
      <c r="C147" s="440">
        <v>8.7055212789981127</v>
      </c>
      <c r="D147" s="440">
        <f t="shared" si="64"/>
        <v>10.947823088136078</v>
      </c>
      <c r="E147" s="441"/>
      <c r="F147" s="440">
        <v>2.1678144412694511</v>
      </c>
      <c r="G147" s="440">
        <v>6.7218800515594932</v>
      </c>
      <c r="H147" s="440">
        <f t="shared" si="65"/>
        <v>8.8896944928289443</v>
      </c>
      <c r="I147" s="441"/>
      <c r="J147" s="440">
        <v>2.3300405690958956</v>
      </c>
      <c r="K147" s="440">
        <v>7.1696217707389662</v>
      </c>
      <c r="L147" s="440">
        <f t="shared" si="66"/>
        <v>9.4996623398348614</v>
      </c>
      <c r="M147" s="347"/>
      <c r="N147" s="347"/>
    </row>
    <row r="148" spans="1:14" x14ac:dyDescent="0.25">
      <c r="A148" s="362" t="str">
        <f>name!E$7</f>
        <v>Administrative and secretarial</v>
      </c>
      <c r="B148" s="440">
        <v>3.0318604840421912</v>
      </c>
      <c r="C148" s="440">
        <v>2.1324771212023648</v>
      </c>
      <c r="D148" s="440">
        <f t="shared" si="64"/>
        <v>5.1643376052445564</v>
      </c>
      <c r="E148" s="441"/>
      <c r="F148" s="440">
        <v>2.1887302224230649</v>
      </c>
      <c r="G148" s="440">
        <v>1.6952729308044667</v>
      </c>
      <c r="H148" s="440">
        <f t="shared" si="65"/>
        <v>3.8840031532275319</v>
      </c>
      <c r="I148" s="441"/>
      <c r="J148" s="440">
        <v>1.7181312594876976</v>
      </c>
      <c r="K148" s="440">
        <v>1.5672179279902134</v>
      </c>
      <c r="L148" s="440">
        <f t="shared" si="66"/>
        <v>3.285349187477911</v>
      </c>
      <c r="M148" s="347"/>
      <c r="N148" s="347"/>
    </row>
    <row r="149" spans="1:14" x14ac:dyDescent="0.25">
      <c r="A149" s="362" t="str">
        <f>name!E$8</f>
        <v>Skilled trades occupations</v>
      </c>
      <c r="B149" s="440">
        <v>0.62627763776775724</v>
      </c>
      <c r="C149" s="440">
        <v>12.757891406545218</v>
      </c>
      <c r="D149" s="440">
        <f t="shared" si="64"/>
        <v>13.384169044312975</v>
      </c>
      <c r="E149" s="441"/>
      <c r="F149" s="440">
        <v>0.31855084549744744</v>
      </c>
      <c r="G149" s="440">
        <v>12.360779015462427</v>
      </c>
      <c r="H149" s="440">
        <f t="shared" si="65"/>
        <v>12.679329860959875</v>
      </c>
      <c r="I149" s="441"/>
      <c r="J149" s="440">
        <v>0.23291672850398445</v>
      </c>
      <c r="K149" s="440">
        <v>10.004487383246211</v>
      </c>
      <c r="L149" s="440">
        <f t="shared" si="66"/>
        <v>10.237404111750195</v>
      </c>
      <c r="M149" s="347"/>
      <c r="N149" s="347"/>
    </row>
    <row r="150" spans="1:14" x14ac:dyDescent="0.25">
      <c r="A150" s="362" t="str">
        <f>name!E$9</f>
        <v>Caring, leisure and other service</v>
      </c>
      <c r="B150" s="440">
        <v>0.68083327435900864</v>
      </c>
      <c r="C150" s="440">
        <v>0.23963770659899608</v>
      </c>
      <c r="D150" s="440">
        <f t="shared" si="64"/>
        <v>0.92047098095800473</v>
      </c>
      <c r="E150" s="441"/>
      <c r="F150" s="440">
        <v>0.65723689557212162</v>
      </c>
      <c r="G150" s="440">
        <v>0.26452953140936658</v>
      </c>
      <c r="H150" s="440">
        <f t="shared" si="65"/>
        <v>0.92176642698148825</v>
      </c>
      <c r="I150" s="441"/>
      <c r="J150" s="440">
        <v>0.73682940646841344</v>
      </c>
      <c r="K150" s="440">
        <v>0.23741053126875233</v>
      </c>
      <c r="L150" s="440">
        <f t="shared" si="66"/>
        <v>0.97423993773716577</v>
      </c>
      <c r="M150" s="347"/>
      <c r="N150" s="347"/>
    </row>
    <row r="151" spans="1:14" x14ac:dyDescent="0.25">
      <c r="A151" s="362" t="str">
        <f>name!E$10</f>
        <v>Sales and customer service</v>
      </c>
      <c r="B151" s="440">
        <v>0.73336510351614292</v>
      </c>
      <c r="C151" s="440">
        <v>0.85282437608743589</v>
      </c>
      <c r="D151" s="440">
        <f t="shared" si="64"/>
        <v>1.5861894796035787</v>
      </c>
      <c r="E151" s="441"/>
      <c r="F151" s="440">
        <v>0.83880475515528241</v>
      </c>
      <c r="G151" s="440">
        <v>0.83902883703402831</v>
      </c>
      <c r="H151" s="440">
        <f t="shared" si="65"/>
        <v>1.6778335921893106</v>
      </c>
      <c r="I151" s="441"/>
      <c r="J151" s="440">
        <v>0.80090857787311709</v>
      </c>
      <c r="K151" s="440">
        <v>0.86165448232702857</v>
      </c>
      <c r="L151" s="440">
        <f t="shared" si="66"/>
        <v>1.6625630602001458</v>
      </c>
      <c r="M151" s="347"/>
      <c r="N151" s="347"/>
    </row>
    <row r="152" spans="1:14" x14ac:dyDescent="0.25">
      <c r="A152" s="362" t="str">
        <f>name!E$11</f>
        <v>Process, plant and machine operatives</v>
      </c>
      <c r="B152" s="440">
        <v>1.7718733331734433</v>
      </c>
      <c r="C152" s="440">
        <v>16.109216095126843</v>
      </c>
      <c r="D152" s="440">
        <f t="shared" si="64"/>
        <v>17.881089428300285</v>
      </c>
      <c r="E152" s="441"/>
      <c r="F152" s="440">
        <v>0.76514699485572368</v>
      </c>
      <c r="G152" s="440">
        <v>16.231607290438273</v>
      </c>
      <c r="H152" s="440">
        <f t="shared" si="65"/>
        <v>16.996754285293996</v>
      </c>
      <c r="I152" s="441"/>
      <c r="J152" s="440">
        <v>0.4425791488723505</v>
      </c>
      <c r="K152" s="440">
        <v>13.056337214173379</v>
      </c>
      <c r="L152" s="440">
        <f t="shared" si="66"/>
        <v>13.49891636304573</v>
      </c>
      <c r="M152" s="347"/>
      <c r="N152" s="347"/>
    </row>
    <row r="153" spans="1:14" x14ac:dyDescent="0.25">
      <c r="A153" s="362" t="str">
        <f>name!E$12</f>
        <v>Elementary occupations</v>
      </c>
      <c r="B153" s="440">
        <v>1.4879851535116377</v>
      </c>
      <c r="C153" s="440">
        <v>5.3439212965180243</v>
      </c>
      <c r="D153" s="440">
        <f t="shared" si="64"/>
        <v>6.8319064500296616</v>
      </c>
      <c r="E153" s="441"/>
      <c r="F153" s="440">
        <v>1.4777645245505149</v>
      </c>
      <c r="G153" s="440">
        <v>5.4316399942657423</v>
      </c>
      <c r="H153" s="440">
        <f t="shared" si="65"/>
        <v>6.9094045188162569</v>
      </c>
      <c r="I153" s="441"/>
      <c r="J153" s="440">
        <v>1.410949018328985</v>
      </c>
      <c r="K153" s="440">
        <v>4.7324100469753887</v>
      </c>
      <c r="L153" s="440">
        <f t="shared" si="66"/>
        <v>6.1433590653043737</v>
      </c>
      <c r="M153" s="347"/>
      <c r="N153" s="347"/>
    </row>
    <row r="154" spans="1:14" x14ac:dyDescent="0.25">
      <c r="A154" s="362"/>
      <c r="B154" s="440"/>
      <c r="C154" s="440"/>
      <c r="D154" s="440"/>
      <c r="E154" s="441"/>
      <c r="F154" s="440"/>
      <c r="G154" s="440"/>
      <c r="H154" s="440"/>
      <c r="I154" s="441"/>
      <c r="J154" s="440"/>
      <c r="K154" s="440"/>
      <c r="L154" s="440"/>
      <c r="M154" s="347"/>
      <c r="N154" s="347"/>
    </row>
    <row r="155" spans="1:14" x14ac:dyDescent="0.25">
      <c r="A155" s="357" t="s">
        <v>32</v>
      </c>
      <c r="B155" s="450">
        <f>SUM(B145:B153)</f>
        <v>12.474999999897497</v>
      </c>
      <c r="C155" s="450">
        <f t="shared" ref="C155:D155" si="67">SUM(C145:C153)</f>
        <v>56.716999999897745</v>
      </c>
      <c r="D155" s="450">
        <f t="shared" si="67"/>
        <v>69.191999999795243</v>
      </c>
      <c r="E155" s="450"/>
      <c r="F155" s="450">
        <f t="shared" ref="F155:H155" si="68">SUM(F145:F153)</f>
        <v>10.282999999999177</v>
      </c>
      <c r="G155" s="450">
        <f t="shared" si="68"/>
        <v>55.246999999525464</v>
      </c>
      <c r="H155" s="450">
        <f t="shared" si="68"/>
        <v>65.529999999524648</v>
      </c>
      <c r="I155" s="450"/>
      <c r="J155" s="450">
        <f t="shared" ref="J155:L155" si="69">SUM(J145:J153)</f>
        <v>9.8190000000083426</v>
      </c>
      <c r="K155" s="450">
        <f t="shared" si="69"/>
        <v>50.490999999577852</v>
      </c>
      <c r="L155" s="450">
        <f t="shared" si="69"/>
        <v>60.309999999586196</v>
      </c>
      <c r="M155" s="347"/>
      <c r="N155" s="347"/>
    </row>
    <row r="156" spans="1:14" x14ac:dyDescent="0.25">
      <c r="A156" s="348"/>
      <c r="B156" s="348"/>
      <c r="C156" s="348"/>
      <c r="D156" s="348"/>
      <c r="E156" s="348"/>
      <c r="F156" s="348"/>
      <c r="G156" s="348"/>
      <c r="H156" s="348"/>
      <c r="I156" s="348"/>
      <c r="J156" s="348"/>
      <c r="K156" s="348"/>
      <c r="L156" s="353"/>
      <c r="M156" s="347"/>
      <c r="N156" s="347"/>
    </row>
    <row r="157" spans="1:14" x14ac:dyDescent="0.25">
      <c r="A157" s="348"/>
      <c r="B157" s="348"/>
      <c r="C157" s="348"/>
      <c r="D157" s="348"/>
      <c r="E157" s="348"/>
      <c r="F157" s="348"/>
      <c r="G157" s="348"/>
      <c r="H157" s="348"/>
      <c r="I157" s="348"/>
      <c r="J157" s="348"/>
      <c r="K157" s="348"/>
      <c r="L157" s="372" t="s">
        <v>35</v>
      </c>
      <c r="M157" s="347"/>
      <c r="N157" s="347"/>
    </row>
    <row r="158" spans="1:14" x14ac:dyDescent="0.25">
      <c r="A158" s="355"/>
      <c r="B158" s="365"/>
      <c r="C158" s="365"/>
      <c r="D158" s="365"/>
      <c r="E158" s="365"/>
      <c r="F158" s="365"/>
      <c r="G158" s="365"/>
      <c r="H158" s="365"/>
      <c r="I158" s="365"/>
      <c r="J158" s="365"/>
      <c r="K158" s="365"/>
      <c r="L158" s="347"/>
      <c r="M158" s="347"/>
      <c r="N158" s="347"/>
    </row>
    <row r="159" spans="1:14" x14ac:dyDescent="0.25">
      <c r="A159" s="354" t="str">
        <f>name!A12</f>
        <v>Printing and recording</v>
      </c>
      <c r="B159" s="515">
        <f>B$6</f>
        <v>2007</v>
      </c>
      <c r="C159" s="515"/>
      <c r="D159" s="515"/>
      <c r="E159" s="369"/>
      <c r="F159" s="515">
        <f>F142</f>
        <v>2017</v>
      </c>
      <c r="G159" s="515"/>
      <c r="H159" s="515"/>
      <c r="I159" s="369"/>
      <c r="J159" s="515">
        <f>J142</f>
        <v>2027</v>
      </c>
      <c r="K159" s="515"/>
      <c r="L159" s="515"/>
      <c r="M159" s="347"/>
      <c r="N159" s="347"/>
    </row>
    <row r="160" spans="1:14" x14ac:dyDescent="0.25">
      <c r="A160" s="370"/>
      <c r="B160" s="371" t="s">
        <v>387</v>
      </c>
      <c r="C160" s="371" t="s">
        <v>388</v>
      </c>
      <c r="D160" s="371" t="s">
        <v>32</v>
      </c>
      <c r="E160" s="371"/>
      <c r="F160" s="371" t="s">
        <v>387</v>
      </c>
      <c r="G160" s="371" t="s">
        <v>388</v>
      </c>
      <c r="H160" s="371" t="s">
        <v>32</v>
      </c>
      <c r="I160" s="371"/>
      <c r="J160" s="371" t="s">
        <v>387</v>
      </c>
      <c r="K160" s="371" t="s">
        <v>388</v>
      </c>
      <c r="L160" s="371" t="s">
        <v>32</v>
      </c>
      <c r="M160" s="347"/>
      <c r="N160" s="347"/>
    </row>
    <row r="161" spans="1:14" s="286" customFormat="1" x14ac:dyDescent="0.25">
      <c r="A161" s="374"/>
      <c r="B161" s="375"/>
      <c r="C161" s="375"/>
      <c r="D161" s="375"/>
      <c r="E161" s="375"/>
      <c r="F161" s="375"/>
      <c r="G161" s="375"/>
      <c r="H161" s="375"/>
      <c r="I161" s="375"/>
      <c r="J161" s="375"/>
      <c r="K161" s="375"/>
      <c r="L161" s="375"/>
      <c r="M161" s="347"/>
      <c r="N161" s="347"/>
    </row>
    <row r="162" spans="1:14" x14ac:dyDescent="0.25">
      <c r="A162" s="362" t="str">
        <f>name!E$4</f>
        <v>Managers, directors and senior officials</v>
      </c>
      <c r="B162" s="440">
        <v>5.7271543771290618</v>
      </c>
      <c r="C162" s="440">
        <v>17.190828433836881</v>
      </c>
      <c r="D162" s="440">
        <f>SUM(B162:C162)</f>
        <v>22.917982810965942</v>
      </c>
      <c r="E162" s="441"/>
      <c r="F162" s="440">
        <v>3.4754269976481491</v>
      </c>
      <c r="G162" s="440">
        <v>17.585096454435085</v>
      </c>
      <c r="H162" s="440">
        <f>SUM(F162:G162)</f>
        <v>21.060523452083235</v>
      </c>
      <c r="I162" s="441"/>
      <c r="J162" s="440">
        <v>3.7223589883585277</v>
      </c>
      <c r="K162" s="440">
        <v>16.824394915000084</v>
      </c>
      <c r="L162" s="440">
        <f>SUM(J162:K162)</f>
        <v>20.546753903358614</v>
      </c>
      <c r="M162" s="347"/>
      <c r="N162" s="347"/>
    </row>
    <row r="163" spans="1:14" x14ac:dyDescent="0.25">
      <c r="A163" s="362" t="str">
        <f>name!E$5</f>
        <v>Professional occupations</v>
      </c>
      <c r="B163" s="440">
        <v>5.9548570097029092</v>
      </c>
      <c r="C163" s="440">
        <v>12.909822194540487</v>
      </c>
      <c r="D163" s="440">
        <f t="shared" ref="D163:D170" si="70">SUM(B163:C163)</f>
        <v>18.864679204243394</v>
      </c>
      <c r="E163" s="441"/>
      <c r="F163" s="440">
        <v>3.3315626481417073</v>
      </c>
      <c r="G163" s="440">
        <v>10.45289498338918</v>
      </c>
      <c r="H163" s="440">
        <f t="shared" ref="H163:H170" si="71">SUM(F163:G163)</f>
        <v>13.784457631530888</v>
      </c>
      <c r="I163" s="441"/>
      <c r="J163" s="440">
        <v>3.5678730391562365</v>
      </c>
      <c r="K163" s="440">
        <v>9.7475462888295148</v>
      </c>
      <c r="L163" s="440">
        <f t="shared" ref="L163:L170" si="72">SUM(J163:K163)</f>
        <v>13.315419327985751</v>
      </c>
      <c r="M163" s="347"/>
      <c r="N163" s="347"/>
    </row>
    <row r="164" spans="1:14" x14ac:dyDescent="0.25">
      <c r="A164" s="362" t="str">
        <f>name!E$6</f>
        <v>Associate professional and technical</v>
      </c>
      <c r="B164" s="440">
        <v>17.127442775761946</v>
      </c>
      <c r="C164" s="440">
        <v>28.844665807003608</v>
      </c>
      <c r="D164" s="440">
        <f t="shared" si="70"/>
        <v>45.972108582765557</v>
      </c>
      <c r="E164" s="441"/>
      <c r="F164" s="440">
        <v>10.223314233336747</v>
      </c>
      <c r="G164" s="440">
        <v>17.0909811090965</v>
      </c>
      <c r="H164" s="440">
        <f t="shared" si="71"/>
        <v>27.314295342433248</v>
      </c>
      <c r="I164" s="441"/>
      <c r="J164" s="440">
        <v>10.358252717563817</v>
      </c>
      <c r="K164" s="440">
        <v>15.670597405769255</v>
      </c>
      <c r="L164" s="440">
        <f t="shared" si="72"/>
        <v>26.028850123333072</v>
      </c>
      <c r="M164" s="347"/>
      <c r="N164" s="347"/>
    </row>
    <row r="165" spans="1:14" x14ac:dyDescent="0.25">
      <c r="A165" s="362" t="str">
        <f>name!E$7</f>
        <v>Administrative and secretarial</v>
      </c>
      <c r="B165" s="440">
        <v>16.604158966522359</v>
      </c>
      <c r="C165" s="440">
        <v>3.2349684689756302</v>
      </c>
      <c r="D165" s="440">
        <f t="shared" si="70"/>
        <v>19.839127435497989</v>
      </c>
      <c r="E165" s="441"/>
      <c r="F165" s="440">
        <v>7.841552240964651</v>
      </c>
      <c r="G165" s="440">
        <v>2.4518298191646468</v>
      </c>
      <c r="H165" s="440">
        <f t="shared" si="71"/>
        <v>10.293382060129298</v>
      </c>
      <c r="I165" s="441"/>
      <c r="J165" s="440">
        <v>5.6740986152561073</v>
      </c>
      <c r="K165" s="440">
        <v>2.1643575167899383</v>
      </c>
      <c r="L165" s="440">
        <f t="shared" si="72"/>
        <v>7.838456132046046</v>
      </c>
      <c r="M165" s="347"/>
      <c r="N165" s="347"/>
    </row>
    <row r="166" spans="1:14" x14ac:dyDescent="0.25">
      <c r="A166" s="362" t="str">
        <f>name!E$8</f>
        <v>Skilled trades occupations</v>
      </c>
      <c r="B166" s="440">
        <v>4.0040167170883416</v>
      </c>
      <c r="C166" s="440">
        <v>32.915952144250049</v>
      </c>
      <c r="D166" s="440">
        <f t="shared" si="70"/>
        <v>36.91996886133839</v>
      </c>
      <c r="E166" s="441"/>
      <c r="F166" s="440">
        <v>1.2010994203762926</v>
      </c>
      <c r="G166" s="440">
        <v>19.243287742563961</v>
      </c>
      <c r="H166" s="440">
        <f t="shared" si="71"/>
        <v>20.444387162940252</v>
      </c>
      <c r="I166" s="441"/>
      <c r="J166" s="440">
        <v>0.76168544232663749</v>
      </c>
      <c r="K166" s="440">
        <v>13.096948383014114</v>
      </c>
      <c r="L166" s="440">
        <f t="shared" si="72"/>
        <v>13.858633825340751</v>
      </c>
      <c r="M166" s="347"/>
      <c r="N166" s="347"/>
    </row>
    <row r="167" spans="1:14" x14ac:dyDescent="0.25">
      <c r="A167" s="362" t="str">
        <f>name!E$9</f>
        <v>Caring, leisure and other service</v>
      </c>
      <c r="B167" s="440">
        <v>0.56133582653439129</v>
      </c>
      <c r="C167" s="440">
        <v>0.27086008097946263</v>
      </c>
      <c r="D167" s="440">
        <f t="shared" si="70"/>
        <v>0.83219590751385386</v>
      </c>
      <c r="E167" s="441"/>
      <c r="F167" s="440">
        <v>0.31143221452178388</v>
      </c>
      <c r="G167" s="440">
        <v>0.21757209988401058</v>
      </c>
      <c r="H167" s="440">
        <f t="shared" si="71"/>
        <v>0.52900431440579443</v>
      </c>
      <c r="I167" s="441"/>
      <c r="J167" s="440">
        <v>0.32416603508966702</v>
      </c>
      <c r="K167" s="440">
        <v>0.22784140434548419</v>
      </c>
      <c r="L167" s="440">
        <f t="shared" si="72"/>
        <v>0.55200743943515118</v>
      </c>
      <c r="M167" s="347"/>
      <c r="N167" s="347"/>
    </row>
    <row r="168" spans="1:14" x14ac:dyDescent="0.25">
      <c r="A168" s="362" t="str">
        <f>name!E$10</f>
        <v>Sales and customer service</v>
      </c>
      <c r="B168" s="440">
        <v>3.8417889269753149</v>
      </c>
      <c r="C168" s="440">
        <v>3.3819903407829153</v>
      </c>
      <c r="D168" s="440">
        <f t="shared" si="70"/>
        <v>7.2237792677582302</v>
      </c>
      <c r="E168" s="441"/>
      <c r="F168" s="440">
        <v>3.8225274969378362</v>
      </c>
      <c r="G168" s="440">
        <v>2.1125015055406462</v>
      </c>
      <c r="H168" s="440">
        <f t="shared" si="71"/>
        <v>5.9350290024784824</v>
      </c>
      <c r="I168" s="441"/>
      <c r="J168" s="440">
        <v>3.3119019730591019</v>
      </c>
      <c r="K168" s="440">
        <v>1.8232396186664728</v>
      </c>
      <c r="L168" s="440">
        <f t="shared" si="72"/>
        <v>5.1351415917255743</v>
      </c>
      <c r="M168" s="347"/>
      <c r="N168" s="347"/>
    </row>
    <row r="169" spans="1:14" x14ac:dyDescent="0.25">
      <c r="A169" s="362" t="str">
        <f>name!E$11</f>
        <v>Process, plant and machine operatives</v>
      </c>
      <c r="B169" s="440">
        <v>2.6986769155498092</v>
      </c>
      <c r="C169" s="440">
        <v>8.2892361482533055</v>
      </c>
      <c r="D169" s="440">
        <f t="shared" si="70"/>
        <v>10.987913063803115</v>
      </c>
      <c r="E169" s="441"/>
      <c r="F169" s="440">
        <v>0.9944889466637219</v>
      </c>
      <c r="G169" s="440">
        <v>5.4566019957759471</v>
      </c>
      <c r="H169" s="440">
        <f t="shared" si="71"/>
        <v>6.4510909424396692</v>
      </c>
      <c r="I169" s="441"/>
      <c r="J169" s="440">
        <v>0.63999142788928098</v>
      </c>
      <c r="K169" s="440">
        <v>4.7185094762331365</v>
      </c>
      <c r="L169" s="440">
        <f t="shared" si="72"/>
        <v>5.3585009041224172</v>
      </c>
      <c r="M169" s="347"/>
      <c r="N169" s="347"/>
    </row>
    <row r="170" spans="1:14" x14ac:dyDescent="0.25">
      <c r="A170" s="362" t="str">
        <f>name!E$12</f>
        <v>Elementary occupations</v>
      </c>
      <c r="B170" s="440">
        <v>4.6015684844296105</v>
      </c>
      <c r="C170" s="440">
        <v>11.173676381133937</v>
      </c>
      <c r="D170" s="440">
        <f t="shared" si="70"/>
        <v>15.775244865563547</v>
      </c>
      <c r="E170" s="441"/>
      <c r="F170" s="440">
        <v>3.7935958012585353</v>
      </c>
      <c r="G170" s="440">
        <v>7.3562342897215345</v>
      </c>
      <c r="H170" s="440">
        <f t="shared" si="71"/>
        <v>11.149830090980069</v>
      </c>
      <c r="I170" s="441"/>
      <c r="J170" s="440">
        <v>3.4246717612615174</v>
      </c>
      <c r="K170" s="440">
        <v>6.4195649909577064</v>
      </c>
      <c r="L170" s="440">
        <f t="shared" si="72"/>
        <v>9.8442367522192242</v>
      </c>
      <c r="M170" s="347"/>
      <c r="N170" s="347"/>
    </row>
    <row r="171" spans="1:14" x14ac:dyDescent="0.25">
      <c r="A171" s="362"/>
      <c r="B171" s="440"/>
      <c r="C171" s="440"/>
      <c r="D171" s="440"/>
      <c r="E171" s="441"/>
      <c r="F171" s="440"/>
      <c r="G171" s="440"/>
      <c r="H171" s="440"/>
      <c r="I171" s="441"/>
      <c r="J171" s="440"/>
      <c r="K171" s="440"/>
      <c r="L171" s="440"/>
      <c r="M171" s="347"/>
      <c r="N171" s="347"/>
    </row>
    <row r="172" spans="1:14" x14ac:dyDescent="0.25">
      <c r="A172" s="357" t="s">
        <v>32</v>
      </c>
      <c r="B172" s="450">
        <f>SUM(B162:B170)</f>
        <v>61.120999999693737</v>
      </c>
      <c r="C172" s="450">
        <f t="shared" ref="C172:D172" si="73">SUM(C162:C170)</f>
        <v>118.21199999975627</v>
      </c>
      <c r="D172" s="450">
        <f t="shared" si="73"/>
        <v>179.33299999945001</v>
      </c>
      <c r="E172" s="450"/>
      <c r="F172" s="450">
        <f t="shared" ref="F172:H172" si="74">SUM(F162:F170)</f>
        <v>34.994999999849426</v>
      </c>
      <c r="G172" s="450">
        <f t="shared" si="74"/>
        <v>81.966999999571499</v>
      </c>
      <c r="H172" s="450">
        <f t="shared" si="74"/>
        <v>116.96199999942095</v>
      </c>
      <c r="I172" s="450"/>
      <c r="J172" s="450">
        <f t="shared" ref="J172:L172" si="75">SUM(J162:J170)</f>
        <v>31.784999999960892</v>
      </c>
      <c r="K172" s="450">
        <f t="shared" si="75"/>
        <v>70.692999999605703</v>
      </c>
      <c r="L172" s="450">
        <f t="shared" si="75"/>
        <v>102.47799999956661</v>
      </c>
      <c r="M172" s="347"/>
      <c r="N172" s="347"/>
    </row>
    <row r="173" spans="1:14" x14ac:dyDescent="0.25">
      <c r="A173" s="348"/>
      <c r="B173" s="348"/>
      <c r="C173" s="348"/>
      <c r="D173" s="348"/>
      <c r="E173" s="348"/>
      <c r="F173" s="348"/>
      <c r="G173" s="348"/>
      <c r="H173" s="348"/>
      <c r="I173" s="348"/>
      <c r="J173" s="348"/>
      <c r="K173" s="348"/>
      <c r="L173" s="353"/>
      <c r="M173" s="347"/>
      <c r="N173" s="347"/>
    </row>
    <row r="174" spans="1:14" x14ac:dyDescent="0.25">
      <c r="A174" s="348"/>
      <c r="B174" s="348"/>
      <c r="C174" s="348"/>
      <c r="D174" s="348"/>
      <c r="E174" s="348"/>
      <c r="F174" s="348"/>
      <c r="G174" s="348"/>
      <c r="H174" s="348"/>
      <c r="I174" s="348"/>
      <c r="J174" s="348"/>
      <c r="K174" s="348"/>
      <c r="L174" s="372" t="s">
        <v>35</v>
      </c>
      <c r="M174" s="347"/>
      <c r="N174" s="347"/>
    </row>
    <row r="175" spans="1:14" x14ac:dyDescent="0.25">
      <c r="A175" s="355"/>
      <c r="B175" s="365"/>
      <c r="C175" s="365"/>
      <c r="D175" s="365"/>
      <c r="E175" s="365"/>
      <c r="F175" s="365"/>
      <c r="G175" s="365"/>
      <c r="H175" s="365"/>
      <c r="I175" s="365"/>
      <c r="J175" s="365"/>
      <c r="K175" s="365"/>
      <c r="L175" s="347"/>
      <c r="M175" s="347"/>
      <c r="N175" s="347"/>
    </row>
    <row r="176" spans="1:14" x14ac:dyDescent="0.25">
      <c r="A176" s="354" t="str">
        <f>name!A13</f>
        <v>Coke and petroleum; Chemicals, etc</v>
      </c>
      <c r="B176" s="515">
        <f>B$6</f>
        <v>2007</v>
      </c>
      <c r="C176" s="515"/>
      <c r="D176" s="515"/>
      <c r="E176" s="369"/>
      <c r="F176" s="515">
        <f>F159</f>
        <v>2017</v>
      </c>
      <c r="G176" s="515"/>
      <c r="H176" s="515"/>
      <c r="I176" s="369"/>
      <c r="J176" s="515">
        <f>J159</f>
        <v>2027</v>
      </c>
      <c r="K176" s="515"/>
      <c r="L176" s="515"/>
      <c r="M176" s="347"/>
      <c r="N176" s="347"/>
    </row>
    <row r="177" spans="1:14" x14ac:dyDescent="0.25">
      <c r="A177" s="370"/>
      <c r="B177" s="371" t="s">
        <v>387</v>
      </c>
      <c r="C177" s="371" t="s">
        <v>388</v>
      </c>
      <c r="D177" s="371" t="s">
        <v>32</v>
      </c>
      <c r="E177" s="371"/>
      <c r="F177" s="371" t="s">
        <v>387</v>
      </c>
      <c r="G177" s="371" t="s">
        <v>388</v>
      </c>
      <c r="H177" s="371" t="s">
        <v>32</v>
      </c>
      <c r="I177" s="371"/>
      <c r="J177" s="371" t="s">
        <v>387</v>
      </c>
      <c r="K177" s="371" t="s">
        <v>388</v>
      </c>
      <c r="L177" s="371" t="s">
        <v>32</v>
      </c>
      <c r="M177" s="347"/>
      <c r="N177" s="347"/>
    </row>
    <row r="178" spans="1:14" s="286" customFormat="1" x14ac:dyDescent="0.25">
      <c r="A178" s="374"/>
      <c r="B178" s="375"/>
      <c r="C178" s="375"/>
      <c r="D178" s="375"/>
      <c r="E178" s="375"/>
      <c r="F178" s="375"/>
      <c r="G178" s="375"/>
      <c r="H178" s="375"/>
      <c r="I178" s="375"/>
      <c r="J178" s="375"/>
      <c r="K178" s="375"/>
      <c r="L178" s="375"/>
      <c r="M178" s="347"/>
      <c r="N178" s="347"/>
    </row>
    <row r="179" spans="1:14" x14ac:dyDescent="0.25">
      <c r="A179" s="362" t="str">
        <f>name!E$4</f>
        <v>Managers, directors and senior officials</v>
      </c>
      <c r="B179" s="440">
        <v>3.3887761129366343</v>
      </c>
      <c r="C179" s="440">
        <v>12.620562058534619</v>
      </c>
      <c r="D179" s="440">
        <f>SUM(B179:C179)</f>
        <v>16.009338171471253</v>
      </c>
      <c r="E179" s="441"/>
      <c r="F179" s="440">
        <v>3.8441284888058815</v>
      </c>
      <c r="G179" s="440">
        <v>10.832178878005875</v>
      </c>
      <c r="H179" s="440">
        <f>SUM(F179:G179)</f>
        <v>14.676307366811756</v>
      </c>
      <c r="I179" s="441"/>
      <c r="J179" s="440">
        <v>4.0836652064475052</v>
      </c>
      <c r="K179" s="440">
        <v>10.389310957623508</v>
      </c>
      <c r="L179" s="440">
        <f>SUM(J179:K179)</f>
        <v>14.472976164071014</v>
      </c>
      <c r="M179" s="347"/>
      <c r="N179" s="347"/>
    </row>
    <row r="180" spans="1:14" x14ac:dyDescent="0.25">
      <c r="A180" s="362" t="str">
        <f>name!E$5</f>
        <v>Professional occupations</v>
      </c>
      <c r="B180" s="440">
        <v>4.918290942368623</v>
      </c>
      <c r="C180" s="440">
        <v>17.399795411353587</v>
      </c>
      <c r="D180" s="440">
        <f t="shared" ref="D180:D187" si="76">SUM(B180:C180)</f>
        <v>22.318086353722208</v>
      </c>
      <c r="E180" s="441"/>
      <c r="F180" s="440">
        <v>4.6341448190239261</v>
      </c>
      <c r="G180" s="440">
        <v>19.917087306856708</v>
      </c>
      <c r="H180" s="440">
        <f t="shared" ref="H180:H187" si="77">SUM(F180:G180)</f>
        <v>24.551232125880635</v>
      </c>
      <c r="I180" s="441"/>
      <c r="J180" s="440">
        <v>4.7118989515137653</v>
      </c>
      <c r="K180" s="440">
        <v>18.361789266686706</v>
      </c>
      <c r="L180" s="440">
        <f t="shared" ref="L180:L187" si="78">SUM(J180:K180)</f>
        <v>23.073688218200473</v>
      </c>
      <c r="M180" s="347"/>
      <c r="N180" s="347"/>
    </row>
    <row r="181" spans="1:14" x14ac:dyDescent="0.25">
      <c r="A181" s="362" t="str">
        <f>name!E$6</f>
        <v>Associate professional and technical</v>
      </c>
      <c r="B181" s="440">
        <v>6.5002012328511576</v>
      </c>
      <c r="C181" s="440">
        <v>17.379026438094836</v>
      </c>
      <c r="D181" s="440">
        <f t="shared" si="76"/>
        <v>23.879227670945994</v>
      </c>
      <c r="E181" s="441"/>
      <c r="F181" s="440">
        <v>5.1398770201461206</v>
      </c>
      <c r="G181" s="440">
        <v>12.288656318051293</v>
      </c>
      <c r="H181" s="440">
        <f t="shared" si="77"/>
        <v>17.428533338197415</v>
      </c>
      <c r="I181" s="441"/>
      <c r="J181" s="440">
        <v>4.9875371333358434</v>
      </c>
      <c r="K181" s="440">
        <v>11.152136330641671</v>
      </c>
      <c r="L181" s="440">
        <f t="shared" si="78"/>
        <v>16.139673463977516</v>
      </c>
      <c r="M181" s="347"/>
      <c r="N181" s="347"/>
    </row>
    <row r="182" spans="1:14" x14ac:dyDescent="0.25">
      <c r="A182" s="362" t="str">
        <f>name!E$7</f>
        <v>Administrative and secretarial</v>
      </c>
      <c r="B182" s="440">
        <v>8.6685251022117864</v>
      </c>
      <c r="C182" s="440">
        <v>3.159173146433091</v>
      </c>
      <c r="D182" s="440">
        <f t="shared" si="76"/>
        <v>11.827698248644877</v>
      </c>
      <c r="E182" s="441"/>
      <c r="F182" s="440">
        <v>4.3980053733804754</v>
      </c>
      <c r="G182" s="440">
        <v>4.6520694633449171</v>
      </c>
      <c r="H182" s="440">
        <f t="shared" si="77"/>
        <v>9.0500748367253934</v>
      </c>
      <c r="I182" s="441"/>
      <c r="J182" s="440">
        <v>3.4501571492205008</v>
      </c>
      <c r="K182" s="440">
        <v>4.0505882431380646</v>
      </c>
      <c r="L182" s="440">
        <f t="shared" si="78"/>
        <v>7.5007453923585654</v>
      </c>
      <c r="M182" s="347"/>
      <c r="N182" s="347"/>
    </row>
    <row r="183" spans="1:14" x14ac:dyDescent="0.25">
      <c r="A183" s="362" t="str">
        <f>name!E$8</f>
        <v>Skilled trades occupations</v>
      </c>
      <c r="B183" s="440">
        <v>0.86831303274763239</v>
      </c>
      <c r="C183" s="440">
        <v>14.43053599625909</v>
      </c>
      <c r="D183" s="440">
        <f t="shared" si="76"/>
        <v>15.298849029006723</v>
      </c>
      <c r="E183" s="441"/>
      <c r="F183" s="440">
        <v>0.64609829919325779</v>
      </c>
      <c r="G183" s="440">
        <v>5.8339015812061303</v>
      </c>
      <c r="H183" s="440">
        <f t="shared" si="77"/>
        <v>6.4799998803993883</v>
      </c>
      <c r="I183" s="441"/>
      <c r="J183" s="440">
        <v>0.55642920456583456</v>
      </c>
      <c r="K183" s="440">
        <v>4.3691301228849069</v>
      </c>
      <c r="L183" s="440">
        <f t="shared" si="78"/>
        <v>4.9255593274507419</v>
      </c>
      <c r="M183" s="347"/>
      <c r="N183" s="347"/>
    </row>
    <row r="184" spans="1:14" x14ac:dyDescent="0.25">
      <c r="A184" s="362" t="str">
        <f>name!E$9</f>
        <v>Caring, leisure and other service</v>
      </c>
      <c r="B184" s="440">
        <v>1.3863868885168591</v>
      </c>
      <c r="C184" s="440">
        <v>0.3213509384155509</v>
      </c>
      <c r="D184" s="440">
        <f t="shared" si="76"/>
        <v>1.7077378269324099</v>
      </c>
      <c r="E184" s="441"/>
      <c r="F184" s="440">
        <v>1.0012646904478717</v>
      </c>
      <c r="G184" s="440">
        <v>0.35254387345800386</v>
      </c>
      <c r="H184" s="440">
        <f t="shared" si="77"/>
        <v>1.3538085639058757</v>
      </c>
      <c r="I184" s="441"/>
      <c r="J184" s="440">
        <v>0.92318426672074683</v>
      </c>
      <c r="K184" s="440">
        <v>0.43091702456419639</v>
      </c>
      <c r="L184" s="440">
        <f t="shared" si="78"/>
        <v>1.3541012912849433</v>
      </c>
      <c r="M184" s="347"/>
      <c r="N184" s="347"/>
    </row>
    <row r="185" spans="1:14" x14ac:dyDescent="0.25">
      <c r="A185" s="362" t="str">
        <f>name!E$10</f>
        <v>Sales and customer service</v>
      </c>
      <c r="B185" s="440">
        <v>3.2343505774969654</v>
      </c>
      <c r="C185" s="440">
        <v>1.7133282207056226</v>
      </c>
      <c r="D185" s="440">
        <f t="shared" si="76"/>
        <v>4.9476787982025883</v>
      </c>
      <c r="E185" s="441"/>
      <c r="F185" s="440">
        <v>2.4355863782444365</v>
      </c>
      <c r="G185" s="440">
        <v>1.5467359533962308</v>
      </c>
      <c r="H185" s="440">
        <f t="shared" si="77"/>
        <v>3.9823223316406673</v>
      </c>
      <c r="I185" s="441"/>
      <c r="J185" s="440">
        <v>2.2695712740423346</v>
      </c>
      <c r="K185" s="440">
        <v>1.4287882963218899</v>
      </c>
      <c r="L185" s="440">
        <f t="shared" si="78"/>
        <v>3.6983595703642242</v>
      </c>
      <c r="M185" s="347"/>
      <c r="N185" s="347"/>
    </row>
    <row r="186" spans="1:14" x14ac:dyDescent="0.25">
      <c r="A186" s="362" t="str">
        <f>name!E$11</f>
        <v>Process, plant and machine operatives</v>
      </c>
      <c r="B186" s="440">
        <v>5.6218324716051784</v>
      </c>
      <c r="C186" s="440">
        <v>27.921351355139343</v>
      </c>
      <c r="D186" s="440">
        <f t="shared" si="76"/>
        <v>33.543183826744524</v>
      </c>
      <c r="E186" s="441"/>
      <c r="F186" s="440">
        <v>3.3880201676162156</v>
      </c>
      <c r="G186" s="440">
        <v>17.921525514036162</v>
      </c>
      <c r="H186" s="440">
        <f t="shared" si="77"/>
        <v>21.309545681652377</v>
      </c>
      <c r="I186" s="441"/>
      <c r="J186" s="440">
        <v>1.7840406130607709</v>
      </c>
      <c r="K186" s="440">
        <v>13.77497591130745</v>
      </c>
      <c r="L186" s="440">
        <f t="shared" si="78"/>
        <v>15.559016524368221</v>
      </c>
      <c r="M186" s="347"/>
      <c r="N186" s="347"/>
    </row>
    <row r="187" spans="1:14" x14ac:dyDescent="0.25">
      <c r="A187" s="362" t="str">
        <f>name!E$12</f>
        <v>Elementary occupations</v>
      </c>
      <c r="B187" s="440">
        <v>3.9543236389504153</v>
      </c>
      <c r="C187" s="440">
        <v>5.2998764348609804</v>
      </c>
      <c r="D187" s="440">
        <f t="shared" si="76"/>
        <v>9.2542000738113952</v>
      </c>
      <c r="E187" s="441"/>
      <c r="F187" s="440">
        <v>2.8188747629873845</v>
      </c>
      <c r="G187" s="440">
        <v>4.337301111388129</v>
      </c>
      <c r="H187" s="440">
        <f t="shared" si="77"/>
        <v>7.1561758743755135</v>
      </c>
      <c r="I187" s="441"/>
      <c r="J187" s="440">
        <v>2.8725162010269014</v>
      </c>
      <c r="K187" s="440">
        <v>3.5233638467672326</v>
      </c>
      <c r="L187" s="440">
        <f t="shared" si="78"/>
        <v>6.395880047794134</v>
      </c>
      <c r="M187" s="347"/>
      <c r="N187" s="347"/>
    </row>
    <row r="188" spans="1:14" x14ac:dyDescent="0.25">
      <c r="A188" s="362"/>
      <c r="B188" s="440"/>
      <c r="C188" s="440"/>
      <c r="D188" s="440"/>
      <c r="E188" s="441"/>
      <c r="F188" s="440"/>
      <c r="G188" s="440"/>
      <c r="H188" s="440"/>
      <c r="I188" s="441"/>
      <c r="J188" s="440"/>
      <c r="K188" s="440"/>
      <c r="L188" s="440"/>
      <c r="M188" s="347"/>
      <c r="N188" s="347"/>
    </row>
    <row r="189" spans="1:14" x14ac:dyDescent="0.25">
      <c r="A189" s="357" t="s">
        <v>32</v>
      </c>
      <c r="B189" s="450">
        <f>SUM(B179:B187)</f>
        <v>38.540999999685255</v>
      </c>
      <c r="C189" s="450">
        <f t="shared" ref="C189:D189" si="79">SUM(C179:C187)</f>
        <v>100.2449999997967</v>
      </c>
      <c r="D189" s="450">
        <f t="shared" si="79"/>
        <v>138.78599999948199</v>
      </c>
      <c r="E189" s="450"/>
      <c r="F189" s="450">
        <f t="shared" ref="F189:H189" si="80">SUM(F179:F187)</f>
        <v>28.305999999845572</v>
      </c>
      <c r="G189" s="450">
        <f t="shared" si="80"/>
        <v>77.681999999743439</v>
      </c>
      <c r="H189" s="450">
        <f t="shared" si="80"/>
        <v>105.98799999958902</v>
      </c>
      <c r="I189" s="450"/>
      <c r="J189" s="450">
        <f t="shared" ref="J189:L189" si="81">SUM(J179:J187)</f>
        <v>25.6389999999342</v>
      </c>
      <c r="K189" s="450">
        <f t="shared" si="81"/>
        <v>67.480999999935634</v>
      </c>
      <c r="L189" s="450">
        <f t="shared" si="81"/>
        <v>93.119999999869833</v>
      </c>
      <c r="M189" s="347"/>
      <c r="N189" s="347"/>
    </row>
    <row r="190" spans="1:14" x14ac:dyDescent="0.25">
      <c r="A190" s="348"/>
      <c r="B190" s="348"/>
      <c r="C190" s="348"/>
      <c r="D190" s="348"/>
      <c r="E190" s="348"/>
      <c r="F190" s="348"/>
      <c r="G190" s="348"/>
      <c r="H190" s="348"/>
      <c r="I190" s="348"/>
      <c r="J190" s="348"/>
      <c r="K190" s="348"/>
      <c r="L190" s="353"/>
      <c r="M190" s="347"/>
      <c r="N190" s="347"/>
    </row>
    <row r="191" spans="1:14" x14ac:dyDescent="0.25">
      <c r="A191" s="348"/>
      <c r="B191" s="348"/>
      <c r="C191" s="348"/>
      <c r="D191" s="348"/>
      <c r="E191" s="348"/>
      <c r="F191" s="348"/>
      <c r="G191" s="348"/>
      <c r="H191" s="348"/>
      <c r="I191" s="348"/>
      <c r="J191" s="348"/>
      <c r="K191" s="348"/>
      <c r="L191" s="372" t="s">
        <v>35</v>
      </c>
      <c r="M191" s="347"/>
      <c r="N191" s="347"/>
    </row>
    <row r="192" spans="1:14" x14ac:dyDescent="0.25">
      <c r="A192" s="355"/>
      <c r="B192" s="365"/>
      <c r="C192" s="365"/>
      <c r="D192" s="365"/>
      <c r="E192" s="365"/>
      <c r="F192" s="365"/>
      <c r="G192" s="365"/>
      <c r="H192" s="365"/>
      <c r="I192" s="365"/>
      <c r="J192" s="365"/>
      <c r="K192" s="365"/>
      <c r="L192" s="347"/>
      <c r="M192" s="347"/>
      <c r="N192" s="347"/>
    </row>
    <row r="193" spans="1:14" x14ac:dyDescent="0.25">
      <c r="A193" s="354" t="str">
        <f>name!A14</f>
        <v>Pharmaceuticals</v>
      </c>
      <c r="B193" s="515">
        <f>B$6</f>
        <v>2007</v>
      </c>
      <c r="C193" s="515"/>
      <c r="D193" s="515"/>
      <c r="E193" s="369"/>
      <c r="F193" s="515">
        <f>F176</f>
        <v>2017</v>
      </c>
      <c r="G193" s="515"/>
      <c r="H193" s="515"/>
      <c r="I193" s="369"/>
      <c r="J193" s="515">
        <f>J176</f>
        <v>2027</v>
      </c>
      <c r="K193" s="515"/>
      <c r="L193" s="515"/>
      <c r="M193" s="347"/>
      <c r="N193" s="347"/>
    </row>
    <row r="194" spans="1:14" x14ac:dyDescent="0.25">
      <c r="A194" s="370"/>
      <c r="B194" s="371" t="s">
        <v>387</v>
      </c>
      <c r="C194" s="371" t="s">
        <v>388</v>
      </c>
      <c r="D194" s="371" t="s">
        <v>32</v>
      </c>
      <c r="E194" s="371"/>
      <c r="F194" s="371" t="s">
        <v>387</v>
      </c>
      <c r="G194" s="371" t="s">
        <v>388</v>
      </c>
      <c r="H194" s="371" t="s">
        <v>32</v>
      </c>
      <c r="I194" s="371"/>
      <c r="J194" s="371" t="s">
        <v>387</v>
      </c>
      <c r="K194" s="371" t="s">
        <v>388</v>
      </c>
      <c r="L194" s="371" t="s">
        <v>32</v>
      </c>
      <c r="M194" s="347"/>
      <c r="N194" s="347"/>
    </row>
    <row r="195" spans="1:14" s="286" customFormat="1" x14ac:dyDescent="0.25">
      <c r="A195" s="374"/>
      <c r="B195" s="375"/>
      <c r="C195" s="375"/>
      <c r="D195" s="375"/>
      <c r="E195" s="375"/>
      <c r="F195" s="375"/>
      <c r="G195" s="375"/>
      <c r="H195" s="375"/>
      <c r="I195" s="375"/>
      <c r="J195" s="375"/>
      <c r="K195" s="375"/>
      <c r="L195" s="375"/>
      <c r="M195" s="347"/>
      <c r="N195" s="347"/>
    </row>
    <row r="196" spans="1:14" x14ac:dyDescent="0.25">
      <c r="A196" s="362" t="str">
        <f>name!E$4</f>
        <v>Managers, directors and senior officials</v>
      </c>
      <c r="B196" s="440">
        <v>1.3434618562347196</v>
      </c>
      <c r="C196" s="440">
        <v>4.2673853050576538</v>
      </c>
      <c r="D196" s="440">
        <f>SUM(B196:C196)</f>
        <v>5.6108471612923729</v>
      </c>
      <c r="E196" s="441"/>
      <c r="F196" s="440">
        <v>1.4803454107295759</v>
      </c>
      <c r="G196" s="440">
        <v>3.8421304619690781</v>
      </c>
      <c r="H196" s="440">
        <f>SUM(F196:G196)</f>
        <v>5.3224758726986536</v>
      </c>
      <c r="I196" s="441"/>
      <c r="J196" s="440">
        <v>2.1409180798363319</v>
      </c>
      <c r="K196" s="440">
        <v>3.0244192106794445</v>
      </c>
      <c r="L196" s="440">
        <f>SUM(J196:K196)</f>
        <v>5.1653372905157759</v>
      </c>
      <c r="M196" s="347"/>
      <c r="N196" s="347"/>
    </row>
    <row r="197" spans="1:14" x14ac:dyDescent="0.25">
      <c r="A197" s="362" t="str">
        <f>name!E$5</f>
        <v>Professional occupations</v>
      </c>
      <c r="B197" s="440">
        <v>5.6138144841601134</v>
      </c>
      <c r="C197" s="440">
        <v>9.3626981531206717</v>
      </c>
      <c r="D197" s="440">
        <f t="shared" ref="D197:D204" si="82">SUM(B197:C197)</f>
        <v>14.976512637280784</v>
      </c>
      <c r="E197" s="441"/>
      <c r="F197" s="440">
        <v>6.0219419701209347</v>
      </c>
      <c r="G197" s="440">
        <v>9.3103565522983409</v>
      </c>
      <c r="H197" s="440">
        <f t="shared" ref="H197:H204" si="83">SUM(F197:G197)</f>
        <v>15.332298522419276</v>
      </c>
      <c r="I197" s="441"/>
      <c r="J197" s="440">
        <v>8.2760245780131516</v>
      </c>
      <c r="K197" s="440">
        <v>6.8365091735879648</v>
      </c>
      <c r="L197" s="440">
        <f t="shared" ref="L197:L204" si="84">SUM(J197:K197)</f>
        <v>15.112533751601116</v>
      </c>
      <c r="M197" s="347"/>
      <c r="N197" s="347"/>
    </row>
    <row r="198" spans="1:14" x14ac:dyDescent="0.25">
      <c r="A198" s="362" t="str">
        <f>name!E$6</f>
        <v>Associate professional and technical</v>
      </c>
      <c r="B198" s="440">
        <v>4.6635493159551737</v>
      </c>
      <c r="C198" s="440">
        <v>5.8103957424207913</v>
      </c>
      <c r="D198" s="440">
        <f t="shared" si="82"/>
        <v>10.473945058375964</v>
      </c>
      <c r="E198" s="441"/>
      <c r="F198" s="440">
        <v>4.1219125099498592</v>
      </c>
      <c r="G198" s="440">
        <v>4.5709114958598951</v>
      </c>
      <c r="H198" s="440">
        <f t="shared" si="83"/>
        <v>8.6928240058097543</v>
      </c>
      <c r="I198" s="441"/>
      <c r="J198" s="440">
        <v>5.1990669787392054</v>
      </c>
      <c r="K198" s="440">
        <v>3.5586411242705918</v>
      </c>
      <c r="L198" s="440">
        <f t="shared" si="84"/>
        <v>8.7577081030097972</v>
      </c>
      <c r="M198" s="347"/>
      <c r="N198" s="347"/>
    </row>
    <row r="199" spans="1:14" x14ac:dyDescent="0.25">
      <c r="A199" s="362" t="str">
        <f>name!E$7</f>
        <v>Administrative and secretarial</v>
      </c>
      <c r="B199" s="440">
        <v>3.3380635389902409</v>
      </c>
      <c r="C199" s="440">
        <v>1.0135530494793688</v>
      </c>
      <c r="D199" s="440">
        <f t="shared" si="82"/>
        <v>4.3516165884696099</v>
      </c>
      <c r="E199" s="441"/>
      <c r="F199" s="440">
        <v>2.3292539266743266</v>
      </c>
      <c r="G199" s="440">
        <v>0.58375102071057616</v>
      </c>
      <c r="H199" s="440">
        <f t="shared" si="83"/>
        <v>2.9130049473849029</v>
      </c>
      <c r="I199" s="441"/>
      <c r="J199" s="440">
        <v>2.1603491193721016</v>
      </c>
      <c r="K199" s="440">
        <v>0.43148888147146969</v>
      </c>
      <c r="L199" s="440">
        <f t="shared" si="84"/>
        <v>2.5918380008435715</v>
      </c>
      <c r="M199" s="347"/>
      <c r="N199" s="347"/>
    </row>
    <row r="200" spans="1:14" x14ac:dyDescent="0.25">
      <c r="A200" s="362" t="str">
        <f>name!E$8</f>
        <v>Skilled trades occupations</v>
      </c>
      <c r="B200" s="440">
        <v>0.23406502676004329</v>
      </c>
      <c r="C200" s="440">
        <v>2.7828413302168937</v>
      </c>
      <c r="D200" s="440">
        <f t="shared" si="82"/>
        <v>3.016906356976937</v>
      </c>
      <c r="E200" s="441"/>
      <c r="F200" s="440">
        <v>0.37420369884568028</v>
      </c>
      <c r="G200" s="440">
        <v>2.3887030087612331</v>
      </c>
      <c r="H200" s="440">
        <f t="shared" si="83"/>
        <v>2.7629067076069136</v>
      </c>
      <c r="I200" s="441"/>
      <c r="J200" s="440">
        <v>0.54210404055011918</v>
      </c>
      <c r="K200" s="440">
        <v>1.7123835857696195</v>
      </c>
      <c r="L200" s="440">
        <f t="shared" si="84"/>
        <v>2.2544876263197384</v>
      </c>
      <c r="M200" s="347"/>
      <c r="N200" s="347"/>
    </row>
    <row r="201" spans="1:14" x14ac:dyDescent="0.25">
      <c r="A201" s="362" t="str">
        <f>name!E$9</f>
        <v>Caring, leisure and other service</v>
      </c>
      <c r="B201" s="440">
        <v>0.91006048897012182</v>
      </c>
      <c r="C201" s="440">
        <v>0.29253411582554711</v>
      </c>
      <c r="D201" s="440">
        <f t="shared" si="82"/>
        <v>1.202594604795669</v>
      </c>
      <c r="E201" s="441"/>
      <c r="F201" s="440">
        <v>0.72174991300573021</v>
      </c>
      <c r="G201" s="440">
        <v>0.28931691254303188</v>
      </c>
      <c r="H201" s="440">
        <f t="shared" si="83"/>
        <v>1.011066825548762</v>
      </c>
      <c r="I201" s="441"/>
      <c r="J201" s="440">
        <v>0.842160759447239</v>
      </c>
      <c r="K201" s="440">
        <v>0.24041495076900571</v>
      </c>
      <c r="L201" s="440">
        <f t="shared" si="84"/>
        <v>1.0825757102162448</v>
      </c>
      <c r="M201" s="347"/>
      <c r="N201" s="347"/>
    </row>
    <row r="202" spans="1:14" x14ac:dyDescent="0.25">
      <c r="A202" s="362" t="str">
        <f>name!E$10</f>
        <v>Sales and customer service</v>
      </c>
      <c r="B202" s="440">
        <v>0.78079786949896601</v>
      </c>
      <c r="C202" s="440">
        <v>0.48686292891052518</v>
      </c>
      <c r="D202" s="440">
        <f t="shared" si="82"/>
        <v>1.2676607984094912</v>
      </c>
      <c r="E202" s="441"/>
      <c r="F202" s="440">
        <v>0.76595348855271239</v>
      </c>
      <c r="G202" s="440">
        <v>0.49979033785520338</v>
      </c>
      <c r="H202" s="440">
        <f t="shared" si="83"/>
        <v>1.2657438264079157</v>
      </c>
      <c r="I202" s="441"/>
      <c r="J202" s="440">
        <v>0.89944766462046688</v>
      </c>
      <c r="K202" s="440">
        <v>0.44193073433341612</v>
      </c>
      <c r="L202" s="440">
        <f t="shared" si="84"/>
        <v>1.341378398953883</v>
      </c>
      <c r="M202" s="347"/>
      <c r="N202" s="347"/>
    </row>
    <row r="203" spans="1:14" x14ac:dyDescent="0.25">
      <c r="A203" s="362" t="str">
        <f>name!E$11</f>
        <v>Process, plant and machine operatives</v>
      </c>
      <c r="B203" s="440">
        <v>1.9388178482094174</v>
      </c>
      <c r="C203" s="440">
        <v>4.8270468413990359</v>
      </c>
      <c r="D203" s="440">
        <f t="shared" si="82"/>
        <v>6.7658646896084536</v>
      </c>
      <c r="E203" s="441"/>
      <c r="F203" s="440">
        <v>1.2653242721205655</v>
      </c>
      <c r="G203" s="440">
        <v>3.5889305013119506</v>
      </c>
      <c r="H203" s="440">
        <f t="shared" si="83"/>
        <v>4.8542547734325163</v>
      </c>
      <c r="I203" s="441"/>
      <c r="J203" s="440">
        <v>0.91650383620777354</v>
      </c>
      <c r="K203" s="440">
        <v>2.2090639549508504</v>
      </c>
      <c r="L203" s="440">
        <f t="shared" si="84"/>
        <v>3.1255677911586242</v>
      </c>
      <c r="M203" s="347"/>
      <c r="N203" s="347"/>
    </row>
    <row r="204" spans="1:14" x14ac:dyDescent="0.25">
      <c r="A204" s="362" t="str">
        <f>name!E$12</f>
        <v>Elementary occupations</v>
      </c>
      <c r="B204" s="440">
        <v>1.4693695711481236</v>
      </c>
      <c r="C204" s="440">
        <v>1.8086825335249874</v>
      </c>
      <c r="D204" s="440">
        <f t="shared" si="82"/>
        <v>3.2780521046731108</v>
      </c>
      <c r="E204" s="441"/>
      <c r="F204" s="440">
        <v>1.9073148099106463</v>
      </c>
      <c r="G204" s="440">
        <v>0.91210970867487617</v>
      </c>
      <c r="H204" s="440">
        <f t="shared" si="83"/>
        <v>2.8194245185855227</v>
      </c>
      <c r="I204" s="441"/>
      <c r="J204" s="440">
        <v>2.3824249432253346</v>
      </c>
      <c r="K204" s="440">
        <v>0.75714838416456431</v>
      </c>
      <c r="L204" s="440">
        <f t="shared" si="84"/>
        <v>3.1395733273898987</v>
      </c>
      <c r="M204" s="347"/>
      <c r="N204" s="347"/>
    </row>
    <row r="205" spans="1:14" x14ac:dyDescent="0.25">
      <c r="A205" s="362"/>
      <c r="B205" s="440"/>
      <c r="C205" s="440"/>
      <c r="D205" s="440"/>
      <c r="E205" s="441"/>
      <c r="F205" s="440"/>
      <c r="G205" s="440"/>
      <c r="H205" s="440"/>
      <c r="I205" s="441"/>
      <c r="J205" s="440"/>
      <c r="K205" s="440"/>
      <c r="L205" s="440"/>
      <c r="M205" s="347"/>
      <c r="N205" s="347"/>
    </row>
    <row r="206" spans="1:14" x14ac:dyDescent="0.25">
      <c r="A206" s="357" t="s">
        <v>32</v>
      </c>
      <c r="B206" s="450">
        <f>SUM(B196:B204)</f>
        <v>20.291999999926922</v>
      </c>
      <c r="C206" s="450">
        <f t="shared" ref="C206:D206" si="85">SUM(C196:C204)</f>
        <v>30.651999999955475</v>
      </c>
      <c r="D206" s="450">
        <f t="shared" si="85"/>
        <v>50.943999999882401</v>
      </c>
      <c r="E206" s="450"/>
      <c r="F206" s="450">
        <f t="shared" ref="F206:H206" si="86">SUM(F196:F204)</f>
        <v>18.987999999910027</v>
      </c>
      <c r="G206" s="450">
        <f t="shared" si="86"/>
        <v>25.985999999984184</v>
      </c>
      <c r="H206" s="450">
        <f t="shared" si="86"/>
        <v>44.973999999894211</v>
      </c>
      <c r="I206" s="450"/>
      <c r="J206" s="450">
        <f t="shared" ref="J206:L206" si="87">SUM(J196:J204)</f>
        <v>23.359000000011726</v>
      </c>
      <c r="K206" s="450">
        <f t="shared" si="87"/>
        <v>19.21199999999693</v>
      </c>
      <c r="L206" s="450">
        <f t="shared" si="87"/>
        <v>42.571000000008652</v>
      </c>
      <c r="M206" s="347"/>
      <c r="N206" s="347"/>
    </row>
    <row r="207" spans="1:14" x14ac:dyDescent="0.25">
      <c r="A207" s="348"/>
      <c r="B207" s="348"/>
      <c r="C207" s="348"/>
      <c r="D207" s="348"/>
      <c r="E207" s="348"/>
      <c r="F207" s="348"/>
      <c r="G207" s="348"/>
      <c r="H207" s="348"/>
      <c r="I207" s="348"/>
      <c r="J207" s="348"/>
      <c r="K207" s="348"/>
      <c r="L207" s="353"/>
      <c r="M207" s="347"/>
      <c r="N207" s="347"/>
    </row>
    <row r="208" spans="1:14" x14ac:dyDescent="0.25">
      <c r="A208" s="348"/>
      <c r="B208" s="348"/>
      <c r="C208" s="348"/>
      <c r="D208" s="348"/>
      <c r="E208" s="348"/>
      <c r="F208" s="348"/>
      <c r="G208" s="348"/>
      <c r="H208" s="348"/>
      <c r="I208" s="348"/>
      <c r="J208" s="348"/>
      <c r="K208" s="348"/>
      <c r="L208" s="372" t="s">
        <v>35</v>
      </c>
      <c r="M208" s="347"/>
      <c r="N208" s="347"/>
    </row>
    <row r="209" spans="1:14" x14ac:dyDescent="0.25">
      <c r="A209" s="355"/>
      <c r="B209" s="365"/>
      <c r="C209" s="365"/>
      <c r="D209" s="365"/>
      <c r="E209" s="365"/>
      <c r="F209" s="365"/>
      <c r="G209" s="365"/>
      <c r="H209" s="365"/>
      <c r="I209" s="365"/>
      <c r="J209" s="365"/>
      <c r="K209" s="365"/>
      <c r="L209" s="347"/>
      <c r="M209" s="347"/>
      <c r="N209" s="347"/>
    </row>
    <row r="210" spans="1:14" x14ac:dyDescent="0.25">
      <c r="A210" s="354" t="str">
        <f>name!A15</f>
        <v>Rubber and plastic</v>
      </c>
      <c r="B210" s="515">
        <f>B$6</f>
        <v>2007</v>
      </c>
      <c r="C210" s="515"/>
      <c r="D210" s="515"/>
      <c r="E210" s="369"/>
      <c r="F210" s="515">
        <f>F193</f>
        <v>2017</v>
      </c>
      <c r="G210" s="515"/>
      <c r="H210" s="515"/>
      <c r="I210" s="369"/>
      <c r="J210" s="515">
        <f>J193</f>
        <v>2027</v>
      </c>
      <c r="K210" s="515"/>
      <c r="L210" s="515"/>
      <c r="M210" s="347"/>
      <c r="N210" s="347"/>
    </row>
    <row r="211" spans="1:14" x14ac:dyDescent="0.25">
      <c r="A211" s="370"/>
      <c r="B211" s="371" t="s">
        <v>387</v>
      </c>
      <c r="C211" s="371" t="s">
        <v>388</v>
      </c>
      <c r="D211" s="371" t="s">
        <v>32</v>
      </c>
      <c r="E211" s="371"/>
      <c r="F211" s="371" t="s">
        <v>387</v>
      </c>
      <c r="G211" s="371" t="s">
        <v>388</v>
      </c>
      <c r="H211" s="371" t="s">
        <v>32</v>
      </c>
      <c r="I211" s="371"/>
      <c r="J211" s="371" t="s">
        <v>387</v>
      </c>
      <c r="K211" s="371" t="s">
        <v>388</v>
      </c>
      <c r="L211" s="371" t="s">
        <v>32</v>
      </c>
      <c r="M211" s="347"/>
      <c r="N211" s="347"/>
    </row>
    <row r="212" spans="1:14" s="286" customFormat="1" x14ac:dyDescent="0.25">
      <c r="A212" s="374"/>
      <c r="B212" s="375"/>
      <c r="C212" s="375"/>
      <c r="D212" s="375"/>
      <c r="E212" s="375"/>
      <c r="F212" s="375"/>
      <c r="G212" s="375"/>
      <c r="H212" s="375"/>
      <c r="I212" s="375"/>
      <c r="J212" s="375"/>
      <c r="K212" s="375"/>
      <c r="L212" s="375"/>
      <c r="M212" s="347"/>
      <c r="N212" s="347"/>
    </row>
    <row r="213" spans="1:14" x14ac:dyDescent="0.25">
      <c r="A213" s="362" t="str">
        <f>name!E$4</f>
        <v>Managers, directors and senior officials</v>
      </c>
      <c r="B213" s="440">
        <v>2.7301007756660738</v>
      </c>
      <c r="C213" s="440">
        <v>17.804704357404592</v>
      </c>
      <c r="D213" s="440">
        <f>SUM(B213:C213)</f>
        <v>20.534805133070666</v>
      </c>
      <c r="E213" s="441"/>
      <c r="F213" s="440">
        <v>3.8898949485905949</v>
      </c>
      <c r="G213" s="440">
        <v>15.624909488241343</v>
      </c>
      <c r="H213" s="440">
        <f>SUM(F213:G213)</f>
        <v>19.514804436831938</v>
      </c>
      <c r="I213" s="441"/>
      <c r="J213" s="440">
        <v>4.3321201703120433</v>
      </c>
      <c r="K213" s="440">
        <v>13.918160932972501</v>
      </c>
      <c r="L213" s="440">
        <f>SUM(J213:K213)</f>
        <v>18.250281103284543</v>
      </c>
      <c r="M213" s="347"/>
      <c r="N213" s="347"/>
    </row>
    <row r="214" spans="1:14" x14ac:dyDescent="0.25">
      <c r="A214" s="362" t="str">
        <f>name!E$5</f>
        <v>Professional occupations</v>
      </c>
      <c r="B214" s="440">
        <v>2.5237910048913745</v>
      </c>
      <c r="C214" s="440">
        <v>11.501968701245215</v>
      </c>
      <c r="D214" s="440">
        <f t="shared" ref="D214:D221" si="88">SUM(B214:C214)</f>
        <v>14.02575970613659</v>
      </c>
      <c r="E214" s="441"/>
      <c r="F214" s="440">
        <v>3.023834479238058</v>
      </c>
      <c r="G214" s="440">
        <v>11.170846218580458</v>
      </c>
      <c r="H214" s="440">
        <f t="shared" ref="H214:H221" si="89">SUM(F214:G214)</f>
        <v>14.194680697818516</v>
      </c>
      <c r="I214" s="441"/>
      <c r="J214" s="440">
        <v>3.4782518085377965</v>
      </c>
      <c r="K214" s="440">
        <v>9.8127762440519408</v>
      </c>
      <c r="L214" s="440">
        <f t="shared" ref="L214:L221" si="90">SUM(J214:K214)</f>
        <v>13.291028052589738</v>
      </c>
      <c r="M214" s="347"/>
      <c r="N214" s="347"/>
    </row>
    <row r="215" spans="1:14" x14ac:dyDescent="0.25">
      <c r="A215" s="362" t="str">
        <f>name!E$6</f>
        <v>Associate professional and technical</v>
      </c>
      <c r="B215" s="440">
        <v>4.527847079314764</v>
      </c>
      <c r="C215" s="440">
        <v>14.0831584509649</v>
      </c>
      <c r="D215" s="440">
        <f t="shared" si="88"/>
        <v>18.611005530279662</v>
      </c>
      <c r="E215" s="441"/>
      <c r="F215" s="440">
        <v>4.415500803476796</v>
      </c>
      <c r="G215" s="440">
        <v>14.2985870385629</v>
      </c>
      <c r="H215" s="440">
        <f t="shared" si="89"/>
        <v>18.714087842039696</v>
      </c>
      <c r="I215" s="441"/>
      <c r="J215" s="440">
        <v>4.6745491325332429</v>
      </c>
      <c r="K215" s="440">
        <v>12.192468479743228</v>
      </c>
      <c r="L215" s="440">
        <f t="shared" si="90"/>
        <v>16.86701761227647</v>
      </c>
      <c r="M215" s="347"/>
      <c r="N215" s="347"/>
    </row>
    <row r="216" spans="1:14" x14ac:dyDescent="0.25">
      <c r="A216" s="362" t="str">
        <f>name!E$7</f>
        <v>Administrative and secretarial</v>
      </c>
      <c r="B216" s="440">
        <v>12.64919976236558</v>
      </c>
      <c r="C216" s="440">
        <v>5.354945618878646</v>
      </c>
      <c r="D216" s="440">
        <f t="shared" si="88"/>
        <v>18.004145381244225</v>
      </c>
      <c r="E216" s="441"/>
      <c r="F216" s="440">
        <v>9.9288157222400706</v>
      </c>
      <c r="G216" s="440">
        <v>2.8933696033866636</v>
      </c>
      <c r="H216" s="440">
        <f t="shared" si="89"/>
        <v>12.822185325626734</v>
      </c>
      <c r="I216" s="441"/>
      <c r="J216" s="440">
        <v>7.1614240520525829</v>
      </c>
      <c r="K216" s="440">
        <v>2.3255297043759682</v>
      </c>
      <c r="L216" s="440">
        <f t="shared" si="90"/>
        <v>9.4869537564285515</v>
      </c>
      <c r="M216" s="347"/>
      <c r="N216" s="347"/>
    </row>
    <row r="217" spans="1:14" x14ac:dyDescent="0.25">
      <c r="A217" s="362" t="str">
        <f>name!E$8</f>
        <v>Skilled trades occupations</v>
      </c>
      <c r="B217" s="440">
        <v>2.1226718099643755</v>
      </c>
      <c r="C217" s="440">
        <v>36.915976100159675</v>
      </c>
      <c r="D217" s="440">
        <f t="shared" si="88"/>
        <v>39.038647910124048</v>
      </c>
      <c r="E217" s="441"/>
      <c r="F217" s="440">
        <v>2.8261420537541571</v>
      </c>
      <c r="G217" s="440">
        <v>26.428297008327341</v>
      </c>
      <c r="H217" s="440">
        <f t="shared" si="89"/>
        <v>29.254439062081499</v>
      </c>
      <c r="I217" s="441"/>
      <c r="J217" s="440">
        <v>2.5267695442932219</v>
      </c>
      <c r="K217" s="440">
        <v>19.425413621971511</v>
      </c>
      <c r="L217" s="440">
        <f t="shared" si="90"/>
        <v>21.952183166264732</v>
      </c>
      <c r="M217" s="347"/>
      <c r="N217" s="347"/>
    </row>
    <row r="218" spans="1:14" x14ac:dyDescent="0.25">
      <c r="A218" s="362" t="str">
        <f>name!E$9</f>
        <v>Caring, leisure and other service</v>
      </c>
      <c r="B218" s="440">
        <v>2.1290197675465379</v>
      </c>
      <c r="C218" s="440">
        <v>1.1793439277045352</v>
      </c>
      <c r="D218" s="440">
        <f t="shared" si="88"/>
        <v>3.3083636952510731</v>
      </c>
      <c r="E218" s="441"/>
      <c r="F218" s="440">
        <v>1.5440259320975209</v>
      </c>
      <c r="G218" s="440">
        <v>1.3277883482643951</v>
      </c>
      <c r="H218" s="440">
        <f t="shared" si="89"/>
        <v>2.871814280361916</v>
      </c>
      <c r="I218" s="441"/>
      <c r="J218" s="440">
        <v>1.3897965155839225</v>
      </c>
      <c r="K218" s="440">
        <v>1.4028768502761735</v>
      </c>
      <c r="L218" s="440">
        <f t="shared" si="90"/>
        <v>2.7926733658600957</v>
      </c>
      <c r="M218" s="347"/>
      <c r="N218" s="347"/>
    </row>
    <row r="219" spans="1:14" x14ac:dyDescent="0.25">
      <c r="A219" s="362" t="str">
        <f>name!E$10</f>
        <v>Sales and customer service</v>
      </c>
      <c r="B219" s="440">
        <v>2.9969882222589512</v>
      </c>
      <c r="C219" s="440">
        <v>2.6691800836191453</v>
      </c>
      <c r="D219" s="440">
        <f t="shared" si="88"/>
        <v>5.6661683058780969</v>
      </c>
      <c r="E219" s="441"/>
      <c r="F219" s="440">
        <v>2.9000907176747894</v>
      </c>
      <c r="G219" s="440">
        <v>4.7406304958304215</v>
      </c>
      <c r="H219" s="440">
        <f t="shared" si="89"/>
        <v>7.6407212135052109</v>
      </c>
      <c r="I219" s="441"/>
      <c r="J219" s="440">
        <v>2.5154164826785053</v>
      </c>
      <c r="K219" s="440">
        <v>3.5798291789994994</v>
      </c>
      <c r="L219" s="440">
        <f t="shared" si="90"/>
        <v>6.0952456616780051</v>
      </c>
      <c r="M219" s="347"/>
      <c r="N219" s="347"/>
    </row>
    <row r="220" spans="1:14" x14ac:dyDescent="0.25">
      <c r="A220" s="362" t="str">
        <f>name!E$11</f>
        <v>Process, plant and machine operatives</v>
      </c>
      <c r="B220" s="440">
        <v>10.367351329406405</v>
      </c>
      <c r="C220" s="440">
        <v>57.104653170888845</v>
      </c>
      <c r="D220" s="440">
        <f t="shared" si="88"/>
        <v>67.472004500295256</v>
      </c>
      <c r="E220" s="441"/>
      <c r="F220" s="440">
        <v>5.1366981554506985</v>
      </c>
      <c r="G220" s="440">
        <v>42.611103331392776</v>
      </c>
      <c r="H220" s="440">
        <f t="shared" si="89"/>
        <v>47.747801486843471</v>
      </c>
      <c r="I220" s="441"/>
      <c r="J220" s="440">
        <v>3.001415705236838</v>
      </c>
      <c r="K220" s="440">
        <v>30.51369956439753</v>
      </c>
      <c r="L220" s="440">
        <f t="shared" si="90"/>
        <v>33.515115269634371</v>
      </c>
      <c r="M220" s="347"/>
      <c r="N220" s="347"/>
    </row>
    <row r="221" spans="1:14" x14ac:dyDescent="0.25">
      <c r="A221" s="362" t="str">
        <f>name!E$12</f>
        <v>Elementary occupations</v>
      </c>
      <c r="B221" s="440">
        <v>4.6340302481102622</v>
      </c>
      <c r="C221" s="440">
        <v>9.5910695886835526</v>
      </c>
      <c r="D221" s="440">
        <f t="shared" si="88"/>
        <v>14.225099836793815</v>
      </c>
      <c r="E221" s="441"/>
      <c r="F221" s="440">
        <v>3.9099971873549513</v>
      </c>
      <c r="G221" s="440">
        <v>10.29346846686383</v>
      </c>
      <c r="H221" s="440">
        <f t="shared" si="89"/>
        <v>14.203465654218782</v>
      </c>
      <c r="I221" s="441"/>
      <c r="J221" s="440">
        <v>3.1282565886297578</v>
      </c>
      <c r="K221" s="440">
        <v>7.4372454227685241</v>
      </c>
      <c r="L221" s="440">
        <f t="shared" si="90"/>
        <v>10.565502011398282</v>
      </c>
      <c r="M221" s="347"/>
      <c r="N221" s="347"/>
    </row>
    <row r="222" spans="1:14" x14ac:dyDescent="0.25">
      <c r="A222" s="362"/>
      <c r="B222" s="440"/>
      <c r="C222" s="440"/>
      <c r="D222" s="440"/>
      <c r="E222" s="441"/>
      <c r="F222" s="440"/>
      <c r="G222" s="440"/>
      <c r="H222" s="440"/>
      <c r="I222" s="441"/>
      <c r="J222" s="440"/>
      <c r="K222" s="440"/>
      <c r="L222" s="440"/>
      <c r="M222" s="347"/>
      <c r="N222" s="347"/>
    </row>
    <row r="223" spans="1:14" x14ac:dyDescent="0.25">
      <c r="A223" s="357" t="s">
        <v>32</v>
      </c>
      <c r="B223" s="450">
        <f>SUM(B213:B221)</f>
        <v>44.680999999524332</v>
      </c>
      <c r="C223" s="450">
        <f t="shared" ref="C223:D223" si="91">SUM(C213:C221)</f>
        <v>156.2049999995491</v>
      </c>
      <c r="D223" s="450">
        <f t="shared" si="91"/>
        <v>200.88599999907345</v>
      </c>
      <c r="E223" s="450"/>
      <c r="F223" s="450">
        <f t="shared" ref="F223:H223" si="92">SUM(F213:F221)</f>
        <v>37.57499999987764</v>
      </c>
      <c r="G223" s="450">
        <f t="shared" si="92"/>
        <v>129.38899999945014</v>
      </c>
      <c r="H223" s="450">
        <f t="shared" si="92"/>
        <v>166.96399999932777</v>
      </c>
      <c r="I223" s="450"/>
      <c r="J223" s="450">
        <f t="shared" ref="J223:L223" si="93">SUM(J213:J221)</f>
        <v>32.207999999857918</v>
      </c>
      <c r="K223" s="450">
        <f t="shared" si="93"/>
        <v>100.60799999955688</v>
      </c>
      <c r="L223" s="450">
        <f t="shared" si="93"/>
        <v>132.8159999994148</v>
      </c>
      <c r="M223" s="347"/>
      <c r="N223" s="347"/>
    </row>
    <row r="224" spans="1:14" x14ac:dyDescent="0.25">
      <c r="A224" s="348"/>
      <c r="B224" s="348"/>
      <c r="C224" s="348"/>
      <c r="D224" s="348"/>
      <c r="E224" s="348"/>
      <c r="F224" s="348"/>
      <c r="G224" s="348"/>
      <c r="H224" s="348"/>
      <c r="I224" s="348"/>
      <c r="J224" s="348"/>
      <c r="K224" s="348"/>
      <c r="L224" s="353"/>
      <c r="M224" s="347"/>
      <c r="N224" s="347"/>
    </row>
    <row r="225" spans="1:14" x14ac:dyDescent="0.25">
      <c r="A225" s="348"/>
      <c r="B225" s="348"/>
      <c r="C225" s="348"/>
      <c r="D225" s="348"/>
      <c r="E225" s="348"/>
      <c r="F225" s="348"/>
      <c r="G225" s="348"/>
      <c r="H225" s="348"/>
      <c r="I225" s="348"/>
      <c r="J225" s="348"/>
      <c r="K225" s="348"/>
      <c r="L225" s="372" t="s">
        <v>35</v>
      </c>
      <c r="M225" s="347"/>
      <c r="N225" s="347"/>
    </row>
    <row r="226" spans="1:14" x14ac:dyDescent="0.25">
      <c r="A226" s="355"/>
      <c r="B226" s="365"/>
      <c r="C226" s="365"/>
      <c r="D226" s="365"/>
      <c r="E226" s="365"/>
      <c r="F226" s="365"/>
      <c r="G226" s="365"/>
      <c r="H226" s="365"/>
      <c r="I226" s="365"/>
      <c r="J226" s="365"/>
      <c r="K226" s="365"/>
      <c r="L226" s="347"/>
      <c r="M226" s="347"/>
      <c r="N226" s="347"/>
    </row>
    <row r="227" spans="1:14" x14ac:dyDescent="0.25">
      <c r="A227" s="354" t="str">
        <f>name!A16</f>
        <v>Other non-metallic</v>
      </c>
      <c r="B227" s="515">
        <f>B$6</f>
        <v>2007</v>
      </c>
      <c r="C227" s="515"/>
      <c r="D227" s="515"/>
      <c r="E227" s="369"/>
      <c r="F227" s="515">
        <f>F210</f>
        <v>2017</v>
      </c>
      <c r="G227" s="515"/>
      <c r="H227" s="515"/>
      <c r="I227" s="369"/>
      <c r="J227" s="515">
        <f>J210</f>
        <v>2027</v>
      </c>
      <c r="K227" s="515"/>
      <c r="L227" s="515"/>
      <c r="M227" s="347"/>
      <c r="N227" s="347"/>
    </row>
    <row r="228" spans="1:14" x14ac:dyDescent="0.25">
      <c r="A228" s="370"/>
      <c r="B228" s="371" t="s">
        <v>387</v>
      </c>
      <c r="C228" s="371" t="s">
        <v>388</v>
      </c>
      <c r="D228" s="371" t="s">
        <v>32</v>
      </c>
      <c r="E228" s="371"/>
      <c r="F228" s="371" t="s">
        <v>387</v>
      </c>
      <c r="G228" s="371" t="s">
        <v>388</v>
      </c>
      <c r="H228" s="371" t="s">
        <v>32</v>
      </c>
      <c r="I228" s="371"/>
      <c r="J228" s="371" t="s">
        <v>387</v>
      </c>
      <c r="K228" s="371" t="s">
        <v>388</v>
      </c>
      <c r="L228" s="371" t="s">
        <v>32</v>
      </c>
      <c r="M228" s="347"/>
      <c r="N228" s="347"/>
    </row>
    <row r="229" spans="1:14" s="286" customFormat="1" x14ac:dyDescent="0.25">
      <c r="A229" s="374"/>
      <c r="B229" s="375"/>
      <c r="C229" s="375"/>
      <c r="D229" s="375"/>
      <c r="E229" s="375"/>
      <c r="F229" s="375"/>
      <c r="G229" s="375"/>
      <c r="H229" s="375"/>
      <c r="I229" s="375"/>
      <c r="J229" s="375"/>
      <c r="K229" s="375"/>
      <c r="L229" s="375"/>
      <c r="M229" s="347"/>
      <c r="N229" s="347"/>
    </row>
    <row r="230" spans="1:14" x14ac:dyDescent="0.25">
      <c r="A230" s="362" t="str">
        <f>name!E$4</f>
        <v>Managers, directors and senior officials</v>
      </c>
      <c r="B230" s="440">
        <v>1.4949465962776196</v>
      </c>
      <c r="C230" s="440">
        <v>9.0114645587304913</v>
      </c>
      <c r="D230" s="440">
        <f>SUM(B230:C230)</f>
        <v>10.506411155008111</v>
      </c>
      <c r="E230" s="441"/>
      <c r="F230" s="440">
        <v>1.639920732871966</v>
      </c>
      <c r="G230" s="440">
        <v>8.6016123622766028</v>
      </c>
      <c r="H230" s="440">
        <f>SUM(F230:G230)</f>
        <v>10.241533095148569</v>
      </c>
      <c r="I230" s="441"/>
      <c r="J230" s="440">
        <v>1.8255835251982786</v>
      </c>
      <c r="K230" s="440">
        <v>7.4808614342551483</v>
      </c>
      <c r="L230" s="440">
        <f>SUM(J230:K230)</f>
        <v>9.306444959453426</v>
      </c>
      <c r="M230" s="347"/>
      <c r="N230" s="347"/>
    </row>
    <row r="231" spans="1:14" x14ac:dyDescent="0.25">
      <c r="A231" s="362" t="str">
        <f>name!E$5</f>
        <v>Professional occupations</v>
      </c>
      <c r="B231" s="440">
        <v>1.4670993761098521</v>
      </c>
      <c r="C231" s="440">
        <v>6.7192849232447678</v>
      </c>
      <c r="D231" s="440">
        <f t="shared" ref="D231:D238" si="94">SUM(B231:C231)</f>
        <v>8.1863842993546196</v>
      </c>
      <c r="E231" s="441"/>
      <c r="F231" s="440">
        <v>1.2119055282296518</v>
      </c>
      <c r="G231" s="440">
        <v>5.1352635567413234</v>
      </c>
      <c r="H231" s="440">
        <f t="shared" ref="H231:H238" si="95">SUM(F231:G231)</f>
        <v>6.3471690849709752</v>
      </c>
      <c r="I231" s="441"/>
      <c r="J231" s="440">
        <v>1.3301546758529839</v>
      </c>
      <c r="K231" s="440">
        <v>4.4505238415968931</v>
      </c>
      <c r="L231" s="440">
        <f t="shared" ref="L231:L238" si="96">SUM(J231:K231)</f>
        <v>5.7806785174498767</v>
      </c>
      <c r="M231" s="347"/>
      <c r="N231" s="347"/>
    </row>
    <row r="232" spans="1:14" x14ac:dyDescent="0.25">
      <c r="A232" s="362" t="str">
        <f>name!E$6</f>
        <v>Associate professional and technical</v>
      </c>
      <c r="B232" s="440">
        <v>2.6483419500913064</v>
      </c>
      <c r="C232" s="440">
        <v>7.7019245432868955</v>
      </c>
      <c r="D232" s="440">
        <f t="shared" si="94"/>
        <v>10.350266493378202</v>
      </c>
      <c r="E232" s="441"/>
      <c r="F232" s="440">
        <v>2.0261892911548633</v>
      </c>
      <c r="G232" s="440">
        <v>6.4568613802939963</v>
      </c>
      <c r="H232" s="440">
        <f t="shared" si="95"/>
        <v>8.4830506714488596</v>
      </c>
      <c r="I232" s="441"/>
      <c r="J232" s="440">
        <v>2.0883398948874889</v>
      </c>
      <c r="K232" s="440">
        <v>5.3692454496762609</v>
      </c>
      <c r="L232" s="440">
        <f t="shared" si="96"/>
        <v>7.4575853445637499</v>
      </c>
      <c r="M232" s="347"/>
      <c r="N232" s="347"/>
    </row>
    <row r="233" spans="1:14" x14ac:dyDescent="0.25">
      <c r="A233" s="362" t="str">
        <f>name!E$7</f>
        <v>Administrative and secretarial</v>
      </c>
      <c r="B233" s="440">
        <v>6.7971669190087374</v>
      </c>
      <c r="C233" s="440">
        <v>3.2338915059660223</v>
      </c>
      <c r="D233" s="440">
        <f t="shared" si="94"/>
        <v>10.031058424974759</v>
      </c>
      <c r="E233" s="441"/>
      <c r="F233" s="440">
        <v>4.4837204442149021</v>
      </c>
      <c r="G233" s="440">
        <v>1.3087179510012457</v>
      </c>
      <c r="H233" s="440">
        <f t="shared" si="95"/>
        <v>5.7924383952161476</v>
      </c>
      <c r="I233" s="441"/>
      <c r="J233" s="440">
        <v>3.2176635641448441</v>
      </c>
      <c r="K233" s="440">
        <v>1.0415665693064207</v>
      </c>
      <c r="L233" s="440">
        <f t="shared" si="96"/>
        <v>4.2592301334512648</v>
      </c>
      <c r="M233" s="347"/>
      <c r="N233" s="347"/>
    </row>
    <row r="234" spans="1:14" x14ac:dyDescent="0.25">
      <c r="A234" s="362" t="str">
        <f>name!E$8</f>
        <v>Skilled trades occupations</v>
      </c>
      <c r="B234" s="440">
        <v>2.5431044037454926</v>
      </c>
      <c r="C234" s="440">
        <v>27.837588760257567</v>
      </c>
      <c r="D234" s="440">
        <f t="shared" si="94"/>
        <v>30.380693164003059</v>
      </c>
      <c r="E234" s="441"/>
      <c r="F234" s="440">
        <v>1.4505091828283478</v>
      </c>
      <c r="G234" s="440">
        <v>12.761003812167923</v>
      </c>
      <c r="H234" s="440">
        <f t="shared" si="95"/>
        <v>14.211512994996271</v>
      </c>
      <c r="I234" s="441"/>
      <c r="J234" s="440">
        <v>1.0331354735742653</v>
      </c>
      <c r="K234" s="440">
        <v>9.5855750181531025</v>
      </c>
      <c r="L234" s="440">
        <f t="shared" si="96"/>
        <v>10.618710491727368</v>
      </c>
      <c r="M234" s="347"/>
      <c r="N234" s="347"/>
    </row>
    <row r="235" spans="1:14" x14ac:dyDescent="0.25">
      <c r="A235" s="362" t="str">
        <f>name!E$9</f>
        <v>Caring, leisure and other service</v>
      </c>
      <c r="B235" s="440">
        <v>0.78323107432650563</v>
      </c>
      <c r="C235" s="440">
        <v>0.6652765409097835</v>
      </c>
      <c r="D235" s="440">
        <f t="shared" si="94"/>
        <v>1.4485076152362892</v>
      </c>
      <c r="E235" s="441"/>
      <c r="F235" s="440">
        <v>0.5425784881686222</v>
      </c>
      <c r="G235" s="440">
        <v>0.65455860668750188</v>
      </c>
      <c r="H235" s="440">
        <f t="shared" si="95"/>
        <v>1.197137094856124</v>
      </c>
      <c r="I235" s="441"/>
      <c r="J235" s="440">
        <v>0.48005881971673448</v>
      </c>
      <c r="K235" s="440">
        <v>0.66027097563290627</v>
      </c>
      <c r="L235" s="440">
        <f t="shared" si="96"/>
        <v>1.1403297953496407</v>
      </c>
      <c r="M235" s="347"/>
      <c r="N235" s="347"/>
    </row>
    <row r="236" spans="1:14" x14ac:dyDescent="0.25">
      <c r="A236" s="362" t="str">
        <f>name!E$10</f>
        <v>Sales and customer service</v>
      </c>
      <c r="B236" s="440">
        <v>2.1507624621209618</v>
      </c>
      <c r="C236" s="440">
        <v>1.5075440032209126</v>
      </c>
      <c r="D236" s="440">
        <f t="shared" si="94"/>
        <v>3.6583064653418744</v>
      </c>
      <c r="E236" s="441"/>
      <c r="F236" s="440">
        <v>1.529930192271997</v>
      </c>
      <c r="G236" s="440">
        <v>1.2862041441630658</v>
      </c>
      <c r="H236" s="440">
        <f t="shared" si="95"/>
        <v>2.8161343364350628</v>
      </c>
      <c r="I236" s="441"/>
      <c r="J236" s="440">
        <v>1.2961827187214845</v>
      </c>
      <c r="K236" s="440">
        <v>1.0282847976835179</v>
      </c>
      <c r="L236" s="440">
        <f t="shared" si="96"/>
        <v>2.3244675164050026</v>
      </c>
      <c r="M236" s="347"/>
      <c r="N236" s="347"/>
    </row>
    <row r="237" spans="1:14" x14ac:dyDescent="0.25">
      <c r="A237" s="362" t="str">
        <f>name!E$11</f>
        <v>Process, plant and machine operatives</v>
      </c>
      <c r="B237" s="440">
        <v>2.2953084900062679</v>
      </c>
      <c r="C237" s="440">
        <v>29.313528904359199</v>
      </c>
      <c r="D237" s="440">
        <f t="shared" si="94"/>
        <v>31.608837394365466</v>
      </c>
      <c r="E237" s="441"/>
      <c r="F237" s="440">
        <v>1.0384468416235264</v>
      </c>
      <c r="G237" s="440">
        <v>19.563630961820152</v>
      </c>
      <c r="H237" s="440">
        <f t="shared" si="95"/>
        <v>20.602077803443677</v>
      </c>
      <c r="I237" s="441"/>
      <c r="J237" s="440">
        <v>0.70028609127984376</v>
      </c>
      <c r="K237" s="440">
        <v>13.980308438783636</v>
      </c>
      <c r="L237" s="440">
        <f t="shared" si="96"/>
        <v>14.68059453006348</v>
      </c>
      <c r="M237" s="347"/>
      <c r="N237" s="347"/>
    </row>
    <row r="238" spans="1:14" x14ac:dyDescent="0.25">
      <c r="A238" s="362" t="str">
        <f>name!E$12</f>
        <v>Elementary occupations</v>
      </c>
      <c r="B238" s="440">
        <v>1.9170387281718348</v>
      </c>
      <c r="C238" s="440">
        <v>5.1124962597880748</v>
      </c>
      <c r="D238" s="440">
        <f t="shared" si="94"/>
        <v>7.0295349879599094</v>
      </c>
      <c r="E238" s="441"/>
      <c r="F238" s="440">
        <v>1.6737992986467187</v>
      </c>
      <c r="G238" s="440">
        <v>4.596147224671002</v>
      </c>
      <c r="H238" s="440">
        <f t="shared" si="95"/>
        <v>6.2699465233177207</v>
      </c>
      <c r="I238" s="441"/>
      <c r="J238" s="440">
        <v>1.3655952365831479</v>
      </c>
      <c r="K238" s="440">
        <v>3.2373634747893867</v>
      </c>
      <c r="L238" s="440">
        <f t="shared" si="96"/>
        <v>4.6029587113725343</v>
      </c>
      <c r="M238" s="347"/>
      <c r="N238" s="347"/>
    </row>
    <row r="239" spans="1:14" x14ac:dyDescent="0.25">
      <c r="A239" s="362"/>
      <c r="B239" s="440"/>
      <c r="C239" s="440"/>
      <c r="D239" s="440"/>
      <c r="E239" s="441"/>
      <c r="F239" s="440"/>
      <c r="G239" s="440"/>
      <c r="H239" s="440"/>
      <c r="I239" s="441"/>
      <c r="J239" s="440"/>
      <c r="K239" s="440"/>
      <c r="L239" s="440"/>
      <c r="M239" s="347"/>
      <c r="N239" s="347"/>
    </row>
    <row r="240" spans="1:14" x14ac:dyDescent="0.25">
      <c r="A240" s="357" t="s">
        <v>32</v>
      </c>
      <c r="B240" s="450">
        <f>SUM(B230:B238)</f>
        <v>22.096999999858578</v>
      </c>
      <c r="C240" s="450">
        <f t="shared" ref="C240:D240" si="97">SUM(C230:C238)</f>
        <v>91.102999999763725</v>
      </c>
      <c r="D240" s="450">
        <f t="shared" si="97"/>
        <v>113.19999999962229</v>
      </c>
      <c r="E240" s="450"/>
      <c r="F240" s="450">
        <f t="shared" ref="F240:H240" si="98">SUM(F230:F238)</f>
        <v>15.597000000010597</v>
      </c>
      <c r="G240" s="450">
        <f t="shared" si="98"/>
        <v>60.363999999822809</v>
      </c>
      <c r="H240" s="450">
        <f t="shared" si="98"/>
        <v>75.960999999833405</v>
      </c>
      <c r="I240" s="450"/>
      <c r="J240" s="450">
        <f t="shared" ref="J240:L240" si="99">SUM(J230:J238)</f>
        <v>13.336999999959072</v>
      </c>
      <c r="K240" s="450">
        <f t="shared" si="99"/>
        <v>46.833999999877278</v>
      </c>
      <c r="L240" s="450">
        <f t="shared" si="99"/>
        <v>60.170999999836347</v>
      </c>
      <c r="M240" s="347"/>
      <c r="N240" s="347"/>
    </row>
    <row r="241" spans="1:14" x14ac:dyDescent="0.25">
      <c r="A241" s="348"/>
      <c r="B241" s="348"/>
      <c r="C241" s="348"/>
      <c r="D241" s="348"/>
      <c r="E241" s="348"/>
      <c r="F241" s="348"/>
      <c r="G241" s="348"/>
      <c r="H241" s="348"/>
      <c r="I241" s="348"/>
      <c r="J241" s="348"/>
      <c r="K241" s="348"/>
      <c r="L241" s="353"/>
      <c r="M241" s="347"/>
      <c r="N241" s="347"/>
    </row>
    <row r="242" spans="1:14" x14ac:dyDescent="0.25">
      <c r="A242" s="348"/>
      <c r="B242" s="348"/>
      <c r="C242" s="348"/>
      <c r="D242" s="348"/>
      <c r="E242" s="348"/>
      <c r="F242" s="348"/>
      <c r="G242" s="348"/>
      <c r="H242" s="348"/>
      <c r="I242" s="348"/>
      <c r="J242" s="348"/>
      <c r="K242" s="348"/>
      <c r="L242" s="372" t="s">
        <v>35</v>
      </c>
      <c r="M242" s="347"/>
      <c r="N242" s="347"/>
    </row>
    <row r="243" spans="1:14" x14ac:dyDescent="0.25">
      <c r="A243" s="355"/>
      <c r="B243" s="365"/>
      <c r="C243" s="365"/>
      <c r="D243" s="365"/>
      <c r="E243" s="365"/>
      <c r="F243" s="365"/>
      <c r="G243" s="365"/>
      <c r="H243" s="365"/>
      <c r="I243" s="365"/>
      <c r="J243" s="365"/>
      <c r="K243" s="365"/>
      <c r="L243" s="347"/>
      <c r="M243" s="347"/>
      <c r="N243" s="347"/>
    </row>
    <row r="244" spans="1:14" x14ac:dyDescent="0.25">
      <c r="A244" s="354" t="str">
        <f>name!A17</f>
        <v>Basic metals</v>
      </c>
      <c r="B244" s="515">
        <f>B$6</f>
        <v>2007</v>
      </c>
      <c r="C244" s="515"/>
      <c r="D244" s="515"/>
      <c r="E244" s="369"/>
      <c r="F244" s="515">
        <f>F227</f>
        <v>2017</v>
      </c>
      <c r="G244" s="515"/>
      <c r="H244" s="515"/>
      <c r="I244" s="369"/>
      <c r="J244" s="515">
        <f>J227</f>
        <v>2027</v>
      </c>
      <c r="K244" s="515"/>
      <c r="L244" s="515"/>
      <c r="M244" s="347"/>
      <c r="N244" s="347"/>
    </row>
    <row r="245" spans="1:14" x14ac:dyDescent="0.25">
      <c r="A245" s="370"/>
      <c r="B245" s="371" t="s">
        <v>387</v>
      </c>
      <c r="C245" s="371" t="s">
        <v>388</v>
      </c>
      <c r="D245" s="371" t="s">
        <v>32</v>
      </c>
      <c r="E245" s="371"/>
      <c r="F245" s="371" t="s">
        <v>387</v>
      </c>
      <c r="G245" s="371" t="s">
        <v>388</v>
      </c>
      <c r="H245" s="371" t="s">
        <v>32</v>
      </c>
      <c r="I245" s="371"/>
      <c r="J245" s="371" t="s">
        <v>387</v>
      </c>
      <c r="K245" s="371" t="s">
        <v>388</v>
      </c>
      <c r="L245" s="371" t="s">
        <v>32</v>
      </c>
      <c r="M245" s="347"/>
      <c r="N245" s="347"/>
    </row>
    <row r="246" spans="1:14" s="286" customFormat="1" x14ac:dyDescent="0.25">
      <c r="A246" s="374"/>
      <c r="B246" s="375"/>
      <c r="C246" s="375"/>
      <c r="D246" s="375"/>
      <c r="E246" s="375"/>
      <c r="F246" s="375"/>
      <c r="G246" s="375"/>
      <c r="H246" s="375"/>
      <c r="I246" s="375"/>
      <c r="J246" s="375"/>
      <c r="K246" s="375"/>
      <c r="L246" s="375"/>
      <c r="M246" s="347"/>
      <c r="N246" s="347"/>
    </row>
    <row r="247" spans="1:14" x14ac:dyDescent="0.25">
      <c r="A247" s="362" t="str">
        <f>name!E$4</f>
        <v>Managers, directors and senior officials</v>
      </c>
      <c r="B247" s="440">
        <v>0.56534101036426176</v>
      </c>
      <c r="C247" s="440">
        <v>6.9379309287215385</v>
      </c>
      <c r="D247" s="440">
        <f>SUM(B247:C247)</f>
        <v>7.5032719390858</v>
      </c>
      <c r="E247" s="441"/>
      <c r="F247" s="440">
        <v>0.71424703240432985</v>
      </c>
      <c r="G247" s="440">
        <v>4.8004785458029167</v>
      </c>
      <c r="H247" s="440">
        <f>SUM(F247:G247)</f>
        <v>5.5147255782072468</v>
      </c>
      <c r="I247" s="441"/>
      <c r="J247" s="440">
        <v>0.87323255520115117</v>
      </c>
      <c r="K247" s="440">
        <v>4.5669056528407044</v>
      </c>
      <c r="L247" s="440">
        <f>SUM(J247:K247)</f>
        <v>5.4401382080418559</v>
      </c>
      <c r="M247" s="347"/>
      <c r="N247" s="347"/>
    </row>
    <row r="248" spans="1:14" x14ac:dyDescent="0.25">
      <c r="A248" s="362" t="str">
        <f>name!E$5</f>
        <v>Professional occupations</v>
      </c>
      <c r="B248" s="440">
        <v>0.83419976167479226</v>
      </c>
      <c r="C248" s="440">
        <v>8.0876106503612188</v>
      </c>
      <c r="D248" s="440">
        <f t="shared" ref="D248:D255" si="100">SUM(B248:C248)</f>
        <v>8.9218104120360113</v>
      </c>
      <c r="E248" s="441"/>
      <c r="F248" s="440">
        <v>0.81813539392798351</v>
      </c>
      <c r="G248" s="440">
        <v>7.3235751947915375</v>
      </c>
      <c r="H248" s="440">
        <f t="shared" ref="H248:H255" si="101">SUM(F248:G248)</f>
        <v>8.1417105887195209</v>
      </c>
      <c r="I248" s="441"/>
      <c r="J248" s="440">
        <v>0.97077494948252452</v>
      </c>
      <c r="K248" s="440">
        <v>6.6567489786233942</v>
      </c>
      <c r="L248" s="440">
        <f t="shared" ref="L248:L255" si="102">SUM(J248:K248)</f>
        <v>7.6275239281059184</v>
      </c>
      <c r="M248" s="347"/>
      <c r="N248" s="347"/>
    </row>
    <row r="249" spans="1:14" x14ac:dyDescent="0.25">
      <c r="A249" s="362" t="str">
        <f>name!E$6</f>
        <v>Associate professional and technical</v>
      </c>
      <c r="B249" s="440">
        <v>1.2367238330984984</v>
      </c>
      <c r="C249" s="440">
        <v>7.1986069375768968</v>
      </c>
      <c r="D249" s="440">
        <f t="shared" si="100"/>
        <v>8.4353307706753959</v>
      </c>
      <c r="E249" s="441"/>
      <c r="F249" s="440">
        <v>1.1488235789016754</v>
      </c>
      <c r="G249" s="440">
        <v>6.0030912905521436</v>
      </c>
      <c r="H249" s="440">
        <f t="shared" si="101"/>
        <v>7.1519148694538188</v>
      </c>
      <c r="I249" s="441"/>
      <c r="J249" s="440">
        <v>1.3181667639689398</v>
      </c>
      <c r="K249" s="440">
        <v>5.2129661990223815</v>
      </c>
      <c r="L249" s="440">
        <f t="shared" si="102"/>
        <v>6.5311329629913217</v>
      </c>
      <c r="M249" s="347"/>
      <c r="N249" s="347"/>
    </row>
    <row r="250" spans="1:14" x14ac:dyDescent="0.25">
      <c r="A250" s="362" t="str">
        <f>name!E$7</f>
        <v>Administrative and secretarial</v>
      </c>
      <c r="B250" s="440">
        <v>3.8042602655760649</v>
      </c>
      <c r="C250" s="440">
        <v>1.6551217473399051</v>
      </c>
      <c r="D250" s="440">
        <f t="shared" si="100"/>
        <v>5.4593820129159703</v>
      </c>
      <c r="E250" s="441"/>
      <c r="F250" s="440">
        <v>3.051048420427394</v>
      </c>
      <c r="G250" s="440">
        <v>2.2312131503373651</v>
      </c>
      <c r="H250" s="440">
        <f t="shared" si="101"/>
        <v>5.2822615707647591</v>
      </c>
      <c r="I250" s="441"/>
      <c r="J250" s="440">
        <v>2.601126659399486</v>
      </c>
      <c r="K250" s="440">
        <v>1.8172175019469534</v>
      </c>
      <c r="L250" s="440">
        <f t="shared" si="102"/>
        <v>4.4183441613464396</v>
      </c>
      <c r="M250" s="347"/>
      <c r="N250" s="347"/>
    </row>
    <row r="251" spans="1:14" x14ac:dyDescent="0.25">
      <c r="A251" s="362" t="str">
        <f>name!E$8</f>
        <v>Skilled trades occupations</v>
      </c>
      <c r="B251" s="440">
        <v>0.34340870640233417</v>
      </c>
      <c r="C251" s="440">
        <v>27.722036069839024</v>
      </c>
      <c r="D251" s="440">
        <f t="shared" si="100"/>
        <v>28.06544477624136</v>
      </c>
      <c r="E251" s="441"/>
      <c r="F251" s="440">
        <v>0.24511743570096203</v>
      </c>
      <c r="G251" s="440">
        <v>21.78398355053848</v>
      </c>
      <c r="H251" s="440">
        <f t="shared" si="101"/>
        <v>22.029100986239442</v>
      </c>
      <c r="I251" s="441"/>
      <c r="J251" s="440">
        <v>0.21823792230714259</v>
      </c>
      <c r="K251" s="440">
        <v>16.216777579609733</v>
      </c>
      <c r="L251" s="440">
        <f t="shared" si="102"/>
        <v>16.435015501916876</v>
      </c>
      <c r="M251" s="347"/>
      <c r="N251" s="347"/>
    </row>
    <row r="252" spans="1:14" x14ac:dyDescent="0.25">
      <c r="A252" s="362" t="str">
        <f>name!E$9</f>
        <v>Caring, leisure and other service</v>
      </c>
      <c r="B252" s="440">
        <v>0.33333083158948729</v>
      </c>
      <c r="C252" s="440">
        <v>0.89085551072731373</v>
      </c>
      <c r="D252" s="440">
        <f t="shared" si="100"/>
        <v>1.2241863423168011</v>
      </c>
      <c r="E252" s="441"/>
      <c r="F252" s="440">
        <v>0.26784709426430842</v>
      </c>
      <c r="G252" s="440">
        <v>0.93003022774271715</v>
      </c>
      <c r="H252" s="440">
        <f t="shared" si="101"/>
        <v>1.1978773220070256</v>
      </c>
      <c r="I252" s="441"/>
      <c r="J252" s="440">
        <v>0.28743831876324366</v>
      </c>
      <c r="K252" s="440">
        <v>0.90313406851928935</v>
      </c>
      <c r="L252" s="440">
        <f t="shared" si="102"/>
        <v>1.1905723872825331</v>
      </c>
      <c r="M252" s="347"/>
      <c r="N252" s="347"/>
    </row>
    <row r="253" spans="1:14" x14ac:dyDescent="0.25">
      <c r="A253" s="362" t="str">
        <f>name!E$10</f>
        <v>Sales and customer service</v>
      </c>
      <c r="B253" s="440">
        <v>0.2342841333256008</v>
      </c>
      <c r="C253" s="440">
        <v>0.74105858226066756</v>
      </c>
      <c r="D253" s="440">
        <f t="shared" si="100"/>
        <v>0.97534271558626839</v>
      </c>
      <c r="E253" s="441"/>
      <c r="F253" s="440">
        <v>0.26088132995265784</v>
      </c>
      <c r="G253" s="440">
        <v>0.66508967894532456</v>
      </c>
      <c r="H253" s="440">
        <f t="shared" si="101"/>
        <v>0.92597100889798245</v>
      </c>
      <c r="I253" s="441"/>
      <c r="J253" s="440">
        <v>0.28459177801809543</v>
      </c>
      <c r="K253" s="440">
        <v>0.57067801368667548</v>
      </c>
      <c r="L253" s="440">
        <f t="shared" si="102"/>
        <v>0.85526979170477091</v>
      </c>
      <c r="M253" s="347"/>
      <c r="N253" s="347"/>
    </row>
    <row r="254" spans="1:14" x14ac:dyDescent="0.25">
      <c r="A254" s="362" t="str">
        <f>name!E$11</f>
        <v>Process, plant and machine operatives</v>
      </c>
      <c r="B254" s="440">
        <v>0.93413488945396872</v>
      </c>
      <c r="C254" s="440">
        <v>21.154300514418907</v>
      </c>
      <c r="D254" s="440">
        <f t="shared" si="100"/>
        <v>22.088435403872875</v>
      </c>
      <c r="E254" s="441"/>
      <c r="F254" s="440">
        <v>0.4200847585904483</v>
      </c>
      <c r="G254" s="440">
        <v>14.323469898487998</v>
      </c>
      <c r="H254" s="440">
        <f t="shared" si="101"/>
        <v>14.743554657078446</v>
      </c>
      <c r="I254" s="441"/>
      <c r="J254" s="440">
        <v>0.30291847546741268</v>
      </c>
      <c r="K254" s="440">
        <v>10.806872856894278</v>
      </c>
      <c r="L254" s="440">
        <f t="shared" si="102"/>
        <v>11.109791332361691</v>
      </c>
      <c r="M254" s="347"/>
      <c r="N254" s="347"/>
    </row>
    <row r="255" spans="1:14" x14ac:dyDescent="0.25">
      <c r="A255" s="362" t="str">
        <f>name!E$12</f>
        <v>Elementary occupations</v>
      </c>
      <c r="B255" s="440">
        <v>0.66131656843872788</v>
      </c>
      <c r="C255" s="440">
        <v>5.2234790585735853</v>
      </c>
      <c r="D255" s="440">
        <f t="shared" si="100"/>
        <v>5.8847956270123127</v>
      </c>
      <c r="E255" s="441"/>
      <c r="F255" s="440">
        <v>0.43681495578805468</v>
      </c>
      <c r="G255" s="440">
        <v>3.2070684626511232</v>
      </c>
      <c r="H255" s="440">
        <f t="shared" si="101"/>
        <v>3.6438834184391777</v>
      </c>
      <c r="I255" s="441"/>
      <c r="J255" s="440">
        <v>0.41751257734728064</v>
      </c>
      <c r="K255" s="440">
        <v>2.6066991485997755</v>
      </c>
      <c r="L255" s="440">
        <f t="shared" si="102"/>
        <v>3.024211725947056</v>
      </c>
      <c r="M255" s="347"/>
      <c r="N255" s="347"/>
    </row>
    <row r="256" spans="1:14" s="286" customFormat="1" x14ac:dyDescent="0.25">
      <c r="A256" s="362"/>
      <c r="B256" s="440"/>
      <c r="C256" s="440"/>
      <c r="D256" s="440"/>
      <c r="E256" s="441"/>
      <c r="F256" s="440"/>
      <c r="G256" s="440"/>
      <c r="H256" s="440"/>
      <c r="I256" s="441"/>
      <c r="J256" s="440"/>
      <c r="K256" s="440"/>
      <c r="L256" s="440"/>
      <c r="M256" s="347"/>
      <c r="N256" s="347"/>
    </row>
    <row r="257" spans="1:14" x14ac:dyDescent="0.25">
      <c r="A257" s="357" t="s">
        <v>32</v>
      </c>
      <c r="B257" s="450">
        <f>SUM(B247:B255)</f>
        <v>8.9469999999237366</v>
      </c>
      <c r="C257" s="450">
        <f t="shared" ref="C257:D257" si="103">SUM(C247:C255)</f>
        <v>79.610999999819057</v>
      </c>
      <c r="D257" s="450">
        <f t="shared" si="103"/>
        <v>88.55799999974279</v>
      </c>
      <c r="E257" s="450"/>
      <c r="F257" s="450">
        <f t="shared" ref="F257:H257" si="104">SUM(F247:F255)</f>
        <v>7.3629999999578137</v>
      </c>
      <c r="G257" s="450">
        <f t="shared" si="104"/>
        <v>61.267999999849607</v>
      </c>
      <c r="H257" s="450">
        <f t="shared" si="104"/>
        <v>68.630999999807415</v>
      </c>
      <c r="I257" s="450"/>
      <c r="J257" s="450">
        <f t="shared" ref="J257:L257" si="105">SUM(J247:J255)</f>
        <v>7.2739999999552767</v>
      </c>
      <c r="K257" s="450">
        <f t="shared" si="105"/>
        <v>49.357999999743178</v>
      </c>
      <c r="L257" s="450">
        <f t="shared" si="105"/>
        <v>56.631999999698465</v>
      </c>
      <c r="M257" s="347"/>
      <c r="N257" s="347"/>
    </row>
    <row r="258" spans="1:14" x14ac:dyDescent="0.25">
      <c r="A258" s="348"/>
      <c r="B258" s="348"/>
      <c r="C258" s="348"/>
      <c r="D258" s="348"/>
      <c r="E258" s="348"/>
      <c r="F258" s="348"/>
      <c r="G258" s="348"/>
      <c r="H258" s="348"/>
      <c r="I258" s="348"/>
      <c r="J258" s="348"/>
      <c r="K258" s="348"/>
      <c r="L258" s="353"/>
      <c r="M258" s="347"/>
      <c r="N258" s="347"/>
    </row>
    <row r="259" spans="1:14" x14ac:dyDescent="0.25">
      <c r="A259" s="348"/>
      <c r="B259" s="348"/>
      <c r="C259" s="348"/>
      <c r="D259" s="348"/>
      <c r="E259" s="348"/>
      <c r="F259" s="348"/>
      <c r="G259" s="348"/>
      <c r="H259" s="348"/>
      <c r="I259" s="348"/>
      <c r="J259" s="348"/>
      <c r="K259" s="348"/>
      <c r="L259" s="372" t="s">
        <v>35</v>
      </c>
      <c r="M259" s="347"/>
      <c r="N259" s="347"/>
    </row>
    <row r="260" spans="1:14" x14ac:dyDescent="0.25">
      <c r="A260" s="355"/>
      <c r="B260" s="365"/>
      <c r="C260" s="365"/>
      <c r="D260" s="365"/>
      <c r="E260" s="365"/>
      <c r="F260" s="365"/>
      <c r="G260" s="365"/>
      <c r="H260" s="365"/>
      <c r="I260" s="365"/>
      <c r="J260" s="365"/>
      <c r="K260" s="365"/>
      <c r="L260" s="347"/>
      <c r="M260" s="347"/>
      <c r="N260" s="347"/>
    </row>
    <row r="261" spans="1:14" x14ac:dyDescent="0.25">
      <c r="A261" s="354" t="str">
        <f>name!A18</f>
        <v>Metal products</v>
      </c>
      <c r="B261" s="515">
        <f>B$6</f>
        <v>2007</v>
      </c>
      <c r="C261" s="515"/>
      <c r="D261" s="515"/>
      <c r="E261" s="369"/>
      <c r="F261" s="515">
        <f>F244</f>
        <v>2017</v>
      </c>
      <c r="G261" s="515"/>
      <c r="H261" s="515"/>
      <c r="I261" s="369"/>
      <c r="J261" s="515">
        <f>J244</f>
        <v>2027</v>
      </c>
      <c r="K261" s="515"/>
      <c r="L261" s="515"/>
      <c r="M261" s="347"/>
      <c r="N261" s="347"/>
    </row>
    <row r="262" spans="1:14" x14ac:dyDescent="0.25">
      <c r="A262" s="370"/>
      <c r="B262" s="371" t="s">
        <v>387</v>
      </c>
      <c r="C262" s="371" t="s">
        <v>388</v>
      </c>
      <c r="D262" s="371" t="s">
        <v>32</v>
      </c>
      <c r="E262" s="371"/>
      <c r="F262" s="371" t="s">
        <v>387</v>
      </c>
      <c r="G262" s="371" t="s">
        <v>388</v>
      </c>
      <c r="H262" s="371" t="s">
        <v>32</v>
      </c>
      <c r="I262" s="371"/>
      <c r="J262" s="371" t="s">
        <v>387</v>
      </c>
      <c r="K262" s="371" t="s">
        <v>388</v>
      </c>
      <c r="L262" s="371" t="s">
        <v>32</v>
      </c>
      <c r="M262" s="347"/>
      <c r="N262" s="347"/>
    </row>
    <row r="263" spans="1:14" s="286" customFormat="1" x14ac:dyDescent="0.25">
      <c r="A263" s="374"/>
      <c r="B263" s="375"/>
      <c r="C263" s="375"/>
      <c r="D263" s="375"/>
      <c r="E263" s="375"/>
      <c r="F263" s="375"/>
      <c r="G263" s="375"/>
      <c r="H263" s="375"/>
      <c r="I263" s="375"/>
      <c r="J263" s="375"/>
      <c r="K263" s="375"/>
      <c r="L263" s="375"/>
      <c r="M263" s="347"/>
      <c r="N263" s="347"/>
    </row>
    <row r="264" spans="1:14" x14ac:dyDescent="0.25">
      <c r="A264" s="362" t="str">
        <f>name!E$4</f>
        <v>Managers, directors and senior officials</v>
      </c>
      <c r="B264" s="440">
        <v>4.5281079176264765</v>
      </c>
      <c r="C264" s="440">
        <v>28.164625002367146</v>
      </c>
      <c r="D264" s="440">
        <f>SUM(B264:C264)</f>
        <v>32.692732919993624</v>
      </c>
      <c r="E264" s="441"/>
      <c r="F264" s="440">
        <v>6.1225153069617733</v>
      </c>
      <c r="G264" s="440">
        <v>29.706647445255406</v>
      </c>
      <c r="H264" s="440">
        <f>SUM(F264:G264)</f>
        <v>35.829162752217179</v>
      </c>
      <c r="I264" s="441"/>
      <c r="J264" s="440">
        <v>8.0481443837804587</v>
      </c>
      <c r="K264" s="440">
        <v>28.377305657126712</v>
      </c>
      <c r="L264" s="440">
        <f>SUM(J264:K264)</f>
        <v>36.425450040907172</v>
      </c>
      <c r="M264" s="347"/>
      <c r="N264" s="347"/>
    </row>
    <row r="265" spans="1:14" x14ac:dyDescent="0.25">
      <c r="A265" s="362" t="str">
        <f>name!E$5</f>
        <v>Professional occupations</v>
      </c>
      <c r="B265" s="440">
        <v>4.4814764337597754</v>
      </c>
      <c r="C265" s="440">
        <v>32.559943652795127</v>
      </c>
      <c r="D265" s="440">
        <f t="shared" ref="D265:D272" si="106">SUM(B265:C265)</f>
        <v>37.041420086554901</v>
      </c>
      <c r="E265" s="441"/>
      <c r="F265" s="440">
        <v>5.6004064107332656</v>
      </c>
      <c r="G265" s="440">
        <v>32.148538552097435</v>
      </c>
      <c r="H265" s="440">
        <f t="shared" ref="H265:H272" si="107">SUM(F265:G265)</f>
        <v>37.748944962830699</v>
      </c>
      <c r="I265" s="441"/>
      <c r="J265" s="440">
        <v>7.1127119331321351</v>
      </c>
      <c r="K265" s="440">
        <v>29.033804521625726</v>
      </c>
      <c r="L265" s="440">
        <f t="shared" ref="L265:L272" si="108">SUM(J265:K265)</f>
        <v>36.146516454757858</v>
      </c>
      <c r="M265" s="347"/>
      <c r="N265" s="347"/>
    </row>
    <row r="266" spans="1:14" x14ac:dyDescent="0.25">
      <c r="A266" s="362" t="str">
        <f>name!E$6</f>
        <v>Associate professional and technical</v>
      </c>
      <c r="B266" s="440">
        <v>6.6028467917329596</v>
      </c>
      <c r="C266" s="440">
        <v>29.191549206244417</v>
      </c>
      <c r="D266" s="440">
        <f t="shared" si="106"/>
        <v>35.794395997977375</v>
      </c>
      <c r="E266" s="441"/>
      <c r="F266" s="440">
        <v>7.5857473570386098</v>
      </c>
      <c r="G266" s="440">
        <v>37.167284223492317</v>
      </c>
      <c r="H266" s="440">
        <f t="shared" si="107"/>
        <v>44.75303158053093</v>
      </c>
      <c r="I266" s="441"/>
      <c r="J266" s="440">
        <v>9.0055356868809397</v>
      </c>
      <c r="K266" s="440">
        <v>32.081959446419241</v>
      </c>
      <c r="L266" s="440">
        <f t="shared" si="108"/>
        <v>41.08749513330018</v>
      </c>
      <c r="M266" s="347"/>
      <c r="N266" s="347"/>
    </row>
    <row r="267" spans="1:14" x14ac:dyDescent="0.25">
      <c r="A267" s="362" t="str">
        <f>name!E$7</f>
        <v>Administrative and secretarial</v>
      </c>
      <c r="B267" s="440">
        <v>25.050386004957009</v>
      </c>
      <c r="C267" s="440">
        <v>6.5375201232293421</v>
      </c>
      <c r="D267" s="440">
        <f t="shared" si="106"/>
        <v>31.587906128186351</v>
      </c>
      <c r="E267" s="441"/>
      <c r="F267" s="440">
        <v>18.071984200072762</v>
      </c>
      <c r="G267" s="440">
        <v>6.5303350585601878</v>
      </c>
      <c r="H267" s="440">
        <f t="shared" si="107"/>
        <v>24.602319258632949</v>
      </c>
      <c r="I267" s="441"/>
      <c r="J267" s="440">
        <v>15.069977170478232</v>
      </c>
      <c r="K267" s="440">
        <v>5.4113560813379245</v>
      </c>
      <c r="L267" s="440">
        <f t="shared" si="108"/>
        <v>20.481333251816157</v>
      </c>
      <c r="M267" s="347"/>
      <c r="N267" s="347"/>
    </row>
    <row r="268" spans="1:14" x14ac:dyDescent="0.25">
      <c r="A268" s="362" t="str">
        <f>name!E$8</f>
        <v>Skilled trades occupations</v>
      </c>
      <c r="B268" s="440">
        <v>3.8129995849551297</v>
      </c>
      <c r="C268" s="440">
        <v>125.78304217397776</v>
      </c>
      <c r="D268" s="440">
        <f t="shared" si="106"/>
        <v>129.5960417589329</v>
      </c>
      <c r="E268" s="441"/>
      <c r="F268" s="440">
        <v>2.5796879408787143</v>
      </c>
      <c r="G268" s="440">
        <v>117.60313682450517</v>
      </c>
      <c r="H268" s="440">
        <f t="shared" si="107"/>
        <v>120.18282476538388</v>
      </c>
      <c r="I268" s="441"/>
      <c r="J268" s="440">
        <v>2.2949766457586289</v>
      </c>
      <c r="K268" s="440">
        <v>87.655111759340542</v>
      </c>
      <c r="L268" s="440">
        <f t="shared" si="108"/>
        <v>89.950088405099166</v>
      </c>
      <c r="M268" s="347"/>
      <c r="N268" s="347"/>
    </row>
    <row r="269" spans="1:14" x14ac:dyDescent="0.25">
      <c r="A269" s="362" t="str">
        <f>name!E$9</f>
        <v>Caring, leisure and other service</v>
      </c>
      <c r="B269" s="440">
        <v>0.82390910028678455</v>
      </c>
      <c r="C269" s="440">
        <v>1.3411123700663119</v>
      </c>
      <c r="D269" s="440">
        <f t="shared" si="106"/>
        <v>2.1650214703530963</v>
      </c>
      <c r="E269" s="441"/>
      <c r="F269" s="440">
        <v>1.0389992225336919</v>
      </c>
      <c r="G269" s="440">
        <v>1.8419348038402938</v>
      </c>
      <c r="H269" s="440">
        <f t="shared" si="107"/>
        <v>2.8809340263739855</v>
      </c>
      <c r="I269" s="441"/>
      <c r="J269" s="440">
        <v>1.0238434283253528</v>
      </c>
      <c r="K269" s="440">
        <v>1.9476543651573082</v>
      </c>
      <c r="L269" s="440">
        <f t="shared" si="108"/>
        <v>2.9714977934826612</v>
      </c>
      <c r="M269" s="347"/>
      <c r="N269" s="347"/>
    </row>
    <row r="270" spans="1:14" x14ac:dyDescent="0.25">
      <c r="A270" s="362" t="str">
        <f>name!E$10</f>
        <v>Sales and customer service</v>
      </c>
      <c r="B270" s="440">
        <v>2.65218910476379</v>
      </c>
      <c r="C270" s="440">
        <v>2.5237506205824696</v>
      </c>
      <c r="D270" s="440">
        <f t="shared" si="106"/>
        <v>5.1759397253462591</v>
      </c>
      <c r="E270" s="441"/>
      <c r="F270" s="440">
        <v>2.7111885301238381</v>
      </c>
      <c r="G270" s="440">
        <v>2.8171382477997149</v>
      </c>
      <c r="H270" s="440">
        <f t="shared" si="107"/>
        <v>5.528326777923553</v>
      </c>
      <c r="I270" s="441"/>
      <c r="J270" s="440">
        <v>2.8956134968593483</v>
      </c>
      <c r="K270" s="440">
        <v>2.3999223120958404</v>
      </c>
      <c r="L270" s="440">
        <f t="shared" si="108"/>
        <v>5.2955358089551883</v>
      </c>
      <c r="M270" s="347"/>
      <c r="N270" s="347"/>
    </row>
    <row r="271" spans="1:14" x14ac:dyDescent="0.25">
      <c r="A271" s="362" t="str">
        <f>name!E$11</f>
        <v>Process, plant and machine operatives</v>
      </c>
      <c r="B271" s="440">
        <v>10.296036002393476</v>
      </c>
      <c r="C271" s="440">
        <v>51.38652140898342</v>
      </c>
      <c r="D271" s="440">
        <f t="shared" si="106"/>
        <v>61.682557411376898</v>
      </c>
      <c r="E271" s="441"/>
      <c r="F271" s="440">
        <v>7.678085502281002</v>
      </c>
      <c r="G271" s="440">
        <v>39.688898691604457</v>
      </c>
      <c r="H271" s="440">
        <f t="shared" si="107"/>
        <v>47.366984193885457</v>
      </c>
      <c r="I271" s="441"/>
      <c r="J271" s="440">
        <v>5.5092113335787278</v>
      </c>
      <c r="K271" s="440">
        <v>29.251558089262151</v>
      </c>
      <c r="L271" s="440">
        <f t="shared" si="108"/>
        <v>34.76076942284088</v>
      </c>
      <c r="M271" s="347"/>
      <c r="N271" s="347"/>
    </row>
    <row r="272" spans="1:14" x14ac:dyDescent="0.25">
      <c r="A272" s="362" t="str">
        <f>name!E$12</f>
        <v>Elementary occupations</v>
      </c>
      <c r="B272" s="440">
        <v>4.7990490589579906</v>
      </c>
      <c r="C272" s="440">
        <v>13.139935441055707</v>
      </c>
      <c r="D272" s="440">
        <f t="shared" si="106"/>
        <v>17.938984500013696</v>
      </c>
      <c r="E272" s="441"/>
      <c r="F272" s="440">
        <v>3.6063855291653435</v>
      </c>
      <c r="G272" s="440">
        <v>10.801086151793449</v>
      </c>
      <c r="H272" s="440">
        <f t="shared" si="107"/>
        <v>14.407471680958793</v>
      </c>
      <c r="I272" s="441"/>
      <c r="J272" s="440">
        <v>3.6899859210262429</v>
      </c>
      <c r="K272" s="440">
        <v>8.0013277667199372</v>
      </c>
      <c r="L272" s="440">
        <f t="shared" si="108"/>
        <v>11.691313687746181</v>
      </c>
      <c r="M272" s="347"/>
      <c r="N272" s="347"/>
    </row>
    <row r="273" spans="1:14" s="286" customFormat="1" x14ac:dyDescent="0.25">
      <c r="A273" s="362"/>
      <c r="B273" s="440"/>
      <c r="C273" s="440"/>
      <c r="D273" s="440"/>
      <c r="E273" s="441"/>
      <c r="F273" s="440"/>
      <c r="G273" s="440"/>
      <c r="H273" s="440"/>
      <c r="I273" s="441"/>
      <c r="J273" s="440"/>
      <c r="K273" s="440"/>
      <c r="L273" s="440"/>
      <c r="M273" s="347"/>
      <c r="N273" s="347"/>
    </row>
    <row r="274" spans="1:14" x14ac:dyDescent="0.25">
      <c r="A274" s="357" t="s">
        <v>32</v>
      </c>
      <c r="B274" s="450">
        <f>SUM(B264:B272)</f>
        <v>63.046999999433396</v>
      </c>
      <c r="C274" s="450">
        <f t="shared" ref="C274:D274" si="109">SUM(C264:C272)</f>
        <v>290.62799999930166</v>
      </c>
      <c r="D274" s="450">
        <f t="shared" si="109"/>
        <v>353.67499999873513</v>
      </c>
      <c r="E274" s="450"/>
      <c r="F274" s="450">
        <f t="shared" ref="F274:H274" si="110">SUM(F264:F272)</f>
        <v>54.994999999789002</v>
      </c>
      <c r="G274" s="450">
        <f t="shared" si="110"/>
        <v>278.3049999989484</v>
      </c>
      <c r="H274" s="450">
        <f t="shared" si="110"/>
        <v>333.29999999873746</v>
      </c>
      <c r="I274" s="450"/>
      <c r="J274" s="450">
        <f t="shared" ref="J274:L274" si="111">SUM(J264:J272)</f>
        <v>54.649999999820061</v>
      </c>
      <c r="K274" s="450">
        <f t="shared" si="111"/>
        <v>224.15999999908539</v>
      </c>
      <c r="L274" s="450">
        <f t="shared" si="111"/>
        <v>278.80999999890543</v>
      </c>
      <c r="M274" s="347"/>
      <c r="N274" s="347"/>
    </row>
    <row r="275" spans="1:14" x14ac:dyDescent="0.25">
      <c r="A275" s="348"/>
      <c r="B275" s="348"/>
      <c r="C275" s="348"/>
      <c r="D275" s="348"/>
      <c r="E275" s="348"/>
      <c r="F275" s="348"/>
      <c r="G275" s="348"/>
      <c r="H275" s="348"/>
      <c r="I275" s="348"/>
      <c r="J275" s="348"/>
      <c r="K275" s="348"/>
      <c r="L275" s="353"/>
      <c r="M275" s="347"/>
      <c r="N275" s="347"/>
    </row>
    <row r="276" spans="1:14" x14ac:dyDescent="0.25">
      <c r="A276" s="348"/>
      <c r="B276" s="348"/>
      <c r="C276" s="348"/>
      <c r="D276" s="348"/>
      <c r="E276" s="348"/>
      <c r="F276" s="348"/>
      <c r="G276" s="348"/>
      <c r="H276" s="348"/>
      <c r="I276" s="348"/>
      <c r="J276" s="348"/>
      <c r="K276" s="348"/>
      <c r="L276" s="372" t="s">
        <v>35</v>
      </c>
      <c r="M276" s="347"/>
      <c r="N276" s="347"/>
    </row>
    <row r="277" spans="1:14" x14ac:dyDescent="0.25">
      <c r="A277" s="355"/>
      <c r="B277" s="365"/>
      <c r="C277" s="365"/>
      <c r="D277" s="365"/>
      <c r="E277" s="365"/>
      <c r="F277" s="365"/>
      <c r="G277" s="365"/>
      <c r="H277" s="365"/>
      <c r="I277" s="365"/>
      <c r="J277" s="365"/>
      <c r="K277" s="365"/>
      <c r="L277" s="347"/>
      <c r="M277" s="347"/>
      <c r="N277" s="347"/>
    </row>
    <row r="278" spans="1:14" x14ac:dyDescent="0.25">
      <c r="A278" s="354" t="str">
        <f>name!A19</f>
        <v>Computer, etc</v>
      </c>
      <c r="B278" s="515">
        <f>B$6</f>
        <v>2007</v>
      </c>
      <c r="C278" s="515"/>
      <c r="D278" s="515"/>
      <c r="E278" s="369"/>
      <c r="F278" s="515">
        <f>F261</f>
        <v>2017</v>
      </c>
      <c r="G278" s="515"/>
      <c r="H278" s="515"/>
      <c r="I278" s="369"/>
      <c r="J278" s="515">
        <f>J261</f>
        <v>2027</v>
      </c>
      <c r="K278" s="515"/>
      <c r="L278" s="515"/>
      <c r="M278" s="347"/>
      <c r="N278" s="347"/>
    </row>
    <row r="279" spans="1:14" x14ac:dyDescent="0.25">
      <c r="A279" s="370"/>
      <c r="B279" s="371" t="s">
        <v>387</v>
      </c>
      <c r="C279" s="371" t="s">
        <v>388</v>
      </c>
      <c r="D279" s="371" t="s">
        <v>32</v>
      </c>
      <c r="E279" s="371"/>
      <c r="F279" s="371" t="s">
        <v>387</v>
      </c>
      <c r="G279" s="371" t="s">
        <v>388</v>
      </c>
      <c r="H279" s="371" t="s">
        <v>32</v>
      </c>
      <c r="I279" s="371"/>
      <c r="J279" s="371" t="s">
        <v>387</v>
      </c>
      <c r="K279" s="371" t="s">
        <v>388</v>
      </c>
      <c r="L279" s="371" t="s">
        <v>32</v>
      </c>
      <c r="M279" s="347"/>
      <c r="N279" s="347"/>
    </row>
    <row r="280" spans="1:14" s="286" customFormat="1" x14ac:dyDescent="0.25">
      <c r="A280" s="374"/>
      <c r="B280" s="375"/>
      <c r="C280" s="375"/>
      <c r="D280" s="375"/>
      <c r="E280" s="375"/>
      <c r="F280" s="375"/>
      <c r="G280" s="375"/>
      <c r="H280" s="375"/>
      <c r="I280" s="375"/>
      <c r="J280" s="375"/>
      <c r="K280" s="375"/>
      <c r="L280" s="375"/>
      <c r="M280" s="347"/>
      <c r="N280" s="347"/>
    </row>
    <row r="281" spans="1:14" x14ac:dyDescent="0.25">
      <c r="A281" s="362" t="str">
        <f>name!E$4</f>
        <v>Managers, directors and senior officials</v>
      </c>
      <c r="B281" s="440">
        <v>3.256297891425032</v>
      </c>
      <c r="C281" s="440">
        <v>17.751439352310591</v>
      </c>
      <c r="D281" s="440">
        <f>SUM(B281:C281)</f>
        <v>21.007737243735622</v>
      </c>
      <c r="E281" s="441"/>
      <c r="F281" s="440">
        <v>3.2314336035458999</v>
      </c>
      <c r="G281" s="440">
        <v>15.611239798389754</v>
      </c>
      <c r="H281" s="440">
        <f>SUM(F281:G281)</f>
        <v>18.842673401935652</v>
      </c>
      <c r="I281" s="441"/>
      <c r="J281" s="440">
        <v>4.046919474429326</v>
      </c>
      <c r="K281" s="440">
        <v>15.419750907398255</v>
      </c>
      <c r="L281" s="440">
        <f>SUM(J281:K281)</f>
        <v>19.46667038182758</v>
      </c>
      <c r="M281" s="347"/>
      <c r="N281" s="347"/>
    </row>
    <row r="282" spans="1:14" x14ac:dyDescent="0.25">
      <c r="A282" s="362" t="str">
        <f>name!E$5</f>
        <v>Professional occupations</v>
      </c>
      <c r="B282" s="440">
        <v>6.2005388740902418</v>
      </c>
      <c r="C282" s="440">
        <v>32.922852079953344</v>
      </c>
      <c r="D282" s="440">
        <f t="shared" ref="D282:D289" si="112">SUM(B282:C282)</f>
        <v>39.123390954043586</v>
      </c>
      <c r="E282" s="441"/>
      <c r="F282" s="440">
        <v>5.2578550257732353</v>
      </c>
      <c r="G282" s="440">
        <v>28.808142373145767</v>
      </c>
      <c r="H282" s="440">
        <f t="shared" ref="H282:H289" si="113">SUM(F282:G282)</f>
        <v>34.065997398919002</v>
      </c>
      <c r="I282" s="441"/>
      <c r="J282" s="440">
        <v>6.6624592373912979</v>
      </c>
      <c r="K282" s="440">
        <v>28.436957828249572</v>
      </c>
      <c r="L282" s="440">
        <f t="shared" ref="L282:L289" si="114">SUM(J282:K282)</f>
        <v>35.099417065640871</v>
      </c>
      <c r="M282" s="347"/>
      <c r="N282" s="347"/>
    </row>
    <row r="283" spans="1:14" x14ac:dyDescent="0.25">
      <c r="A283" s="362" t="str">
        <f>name!E$6</f>
        <v>Associate professional and technical</v>
      </c>
      <c r="B283" s="440">
        <v>7.3448734450199193</v>
      </c>
      <c r="C283" s="440">
        <v>22.643507346093717</v>
      </c>
      <c r="D283" s="440">
        <f t="shared" si="112"/>
        <v>29.988380791113634</v>
      </c>
      <c r="E283" s="441"/>
      <c r="F283" s="440">
        <v>6.0725284863840221</v>
      </c>
      <c r="G283" s="440">
        <v>17.430585859631815</v>
      </c>
      <c r="H283" s="440">
        <f t="shared" si="113"/>
        <v>23.503114346015838</v>
      </c>
      <c r="I283" s="441"/>
      <c r="J283" s="440">
        <v>7.2912483589753601</v>
      </c>
      <c r="K283" s="440">
        <v>16.490622826753164</v>
      </c>
      <c r="L283" s="440">
        <f t="shared" si="114"/>
        <v>23.781871185728523</v>
      </c>
      <c r="M283" s="347"/>
      <c r="N283" s="347"/>
    </row>
    <row r="284" spans="1:14" x14ac:dyDescent="0.25">
      <c r="A284" s="362" t="str">
        <f>name!E$7</f>
        <v>Administrative and secretarial</v>
      </c>
      <c r="B284" s="440">
        <v>9.6566999547096106</v>
      </c>
      <c r="C284" s="440">
        <v>3.9912080806496157</v>
      </c>
      <c r="D284" s="440">
        <f t="shared" si="112"/>
        <v>13.647908035359226</v>
      </c>
      <c r="E284" s="441"/>
      <c r="F284" s="440">
        <v>6.1380869441809827</v>
      </c>
      <c r="G284" s="440">
        <v>2.575761036889249</v>
      </c>
      <c r="H284" s="440">
        <f t="shared" si="113"/>
        <v>8.7138479810702307</v>
      </c>
      <c r="I284" s="441"/>
      <c r="J284" s="440">
        <v>5.02246895821051</v>
      </c>
      <c r="K284" s="440">
        <v>2.3836542508226763</v>
      </c>
      <c r="L284" s="440">
        <f t="shared" si="114"/>
        <v>7.4061232090331863</v>
      </c>
      <c r="M284" s="347"/>
      <c r="N284" s="347"/>
    </row>
    <row r="285" spans="1:14" x14ac:dyDescent="0.25">
      <c r="A285" s="362" t="str">
        <f>name!E$8</f>
        <v>Skilled trades occupations</v>
      </c>
      <c r="B285" s="440">
        <v>2.7398261744749579</v>
      </c>
      <c r="C285" s="440">
        <v>27.251521455534796</v>
      </c>
      <c r="D285" s="440">
        <f t="shared" si="112"/>
        <v>29.991347630009756</v>
      </c>
      <c r="E285" s="441"/>
      <c r="F285" s="440">
        <v>1.6999063263001812</v>
      </c>
      <c r="G285" s="440">
        <v>16.889709994423928</v>
      </c>
      <c r="H285" s="440">
        <f t="shared" si="113"/>
        <v>18.589616320724108</v>
      </c>
      <c r="I285" s="441"/>
      <c r="J285" s="440">
        <v>1.3358432196897552</v>
      </c>
      <c r="K285" s="440">
        <v>14.051825688594633</v>
      </c>
      <c r="L285" s="440">
        <f t="shared" si="114"/>
        <v>15.387668908284388</v>
      </c>
      <c r="M285" s="347"/>
      <c r="N285" s="347"/>
    </row>
    <row r="286" spans="1:14" x14ac:dyDescent="0.25">
      <c r="A286" s="362" t="str">
        <f>name!E$9</f>
        <v>Caring, leisure and other service</v>
      </c>
      <c r="B286" s="440">
        <v>0.94090541549602014</v>
      </c>
      <c r="C286" s="440">
        <v>0.47130159377239456</v>
      </c>
      <c r="D286" s="440">
        <f t="shared" si="112"/>
        <v>1.4122070092684147</v>
      </c>
      <c r="E286" s="441"/>
      <c r="F286" s="440">
        <v>0.65175945169684779</v>
      </c>
      <c r="G286" s="440">
        <v>0.3812605235658722</v>
      </c>
      <c r="H286" s="440">
        <f t="shared" si="113"/>
        <v>1.03301997526272</v>
      </c>
      <c r="I286" s="441"/>
      <c r="J286" s="440">
        <v>0.69280046174496701</v>
      </c>
      <c r="K286" s="440">
        <v>0.41205019382443026</v>
      </c>
      <c r="L286" s="440">
        <f t="shared" si="114"/>
        <v>1.1048506555693973</v>
      </c>
      <c r="M286" s="347"/>
      <c r="N286" s="347"/>
    </row>
    <row r="287" spans="1:14" x14ac:dyDescent="0.25">
      <c r="A287" s="362" t="str">
        <f>name!E$10</f>
        <v>Sales and customer service</v>
      </c>
      <c r="B287" s="440">
        <v>2.3081580203346284</v>
      </c>
      <c r="C287" s="440">
        <v>2.1640817550907578</v>
      </c>
      <c r="D287" s="440">
        <f t="shared" si="112"/>
        <v>4.4722397754253862</v>
      </c>
      <c r="E287" s="441"/>
      <c r="F287" s="440">
        <v>1.9230838724690142</v>
      </c>
      <c r="G287" s="440">
        <v>2.3046741394994501</v>
      </c>
      <c r="H287" s="440">
        <f t="shared" si="113"/>
        <v>4.2277580119684641</v>
      </c>
      <c r="I287" s="441"/>
      <c r="J287" s="440">
        <v>2.0373257412363763</v>
      </c>
      <c r="K287" s="440">
        <v>2.4531665900901243</v>
      </c>
      <c r="L287" s="440">
        <f t="shared" si="114"/>
        <v>4.4904923313265002</v>
      </c>
      <c r="M287" s="347"/>
      <c r="N287" s="347"/>
    </row>
    <row r="288" spans="1:14" x14ac:dyDescent="0.25">
      <c r="A288" s="362" t="str">
        <f>name!E$11</f>
        <v>Process, plant and machine operatives</v>
      </c>
      <c r="B288" s="440">
        <v>12.245716250143655</v>
      </c>
      <c r="C288" s="440">
        <v>13.673774075470316</v>
      </c>
      <c r="D288" s="440">
        <f t="shared" si="112"/>
        <v>25.919490325613971</v>
      </c>
      <c r="E288" s="441"/>
      <c r="F288" s="440">
        <v>6.3433466154562881</v>
      </c>
      <c r="G288" s="440">
        <v>6.6338801511375225</v>
      </c>
      <c r="H288" s="440">
        <f t="shared" si="113"/>
        <v>12.977226766593811</v>
      </c>
      <c r="I288" s="441"/>
      <c r="J288" s="440">
        <v>4.013474479057785</v>
      </c>
      <c r="K288" s="440">
        <v>5.4291622043956789</v>
      </c>
      <c r="L288" s="440">
        <f t="shared" si="114"/>
        <v>9.4426366834534647</v>
      </c>
      <c r="M288" s="347"/>
      <c r="N288" s="347"/>
    </row>
    <row r="289" spans="1:14" x14ac:dyDescent="0.25">
      <c r="A289" s="362" t="str">
        <f>name!E$12</f>
        <v>Elementary occupations</v>
      </c>
      <c r="B289" s="440">
        <v>2.1699839739298805</v>
      </c>
      <c r="C289" s="440">
        <v>3.6023142609945347</v>
      </c>
      <c r="D289" s="440">
        <f t="shared" si="112"/>
        <v>5.7722982349244152</v>
      </c>
      <c r="E289" s="441"/>
      <c r="F289" s="440">
        <v>1.4129996741432038</v>
      </c>
      <c r="G289" s="440">
        <v>2.6047461230845403</v>
      </c>
      <c r="H289" s="440">
        <f t="shared" si="113"/>
        <v>4.0177457972277439</v>
      </c>
      <c r="I289" s="441"/>
      <c r="J289" s="440">
        <v>1.5274600692089806</v>
      </c>
      <c r="K289" s="440">
        <v>2.194809509692158</v>
      </c>
      <c r="L289" s="440">
        <f t="shared" si="114"/>
        <v>3.7222695789011384</v>
      </c>
      <c r="M289" s="347"/>
      <c r="N289" s="347"/>
    </row>
    <row r="290" spans="1:14" s="286" customFormat="1" x14ac:dyDescent="0.25">
      <c r="A290" s="362"/>
      <c r="B290" s="440"/>
      <c r="C290" s="440"/>
      <c r="D290" s="440"/>
      <c r="E290" s="441"/>
      <c r="F290" s="440"/>
      <c r="G290" s="440"/>
      <c r="H290" s="440"/>
      <c r="I290" s="441"/>
      <c r="J290" s="440"/>
      <c r="K290" s="440"/>
      <c r="L290" s="440"/>
      <c r="M290" s="347"/>
      <c r="N290" s="347"/>
    </row>
    <row r="291" spans="1:14" x14ac:dyDescent="0.25">
      <c r="A291" s="357" t="s">
        <v>32</v>
      </c>
      <c r="B291" s="450">
        <f>SUM(B281:B289)</f>
        <v>46.862999999623945</v>
      </c>
      <c r="C291" s="450">
        <f t="shared" ref="C291:D291" si="115">SUM(C281:C289)</f>
        <v>124.47199999987008</v>
      </c>
      <c r="D291" s="450">
        <f t="shared" si="115"/>
        <v>171.33499999949402</v>
      </c>
      <c r="E291" s="450"/>
      <c r="F291" s="450">
        <f t="shared" ref="F291:H291" si="116">SUM(F281:F289)</f>
        <v>32.730999999949674</v>
      </c>
      <c r="G291" s="450">
        <f t="shared" si="116"/>
        <v>93.239999999767889</v>
      </c>
      <c r="H291" s="450">
        <f t="shared" si="116"/>
        <v>125.97099999971756</v>
      </c>
      <c r="I291" s="450"/>
      <c r="J291" s="450">
        <f t="shared" ref="J291:L291" si="117">SUM(J281:J289)</f>
        <v>32.629999999944353</v>
      </c>
      <c r="K291" s="450">
        <f t="shared" si="117"/>
        <v>87.271999999820693</v>
      </c>
      <c r="L291" s="450">
        <f t="shared" si="117"/>
        <v>119.90199999976501</v>
      </c>
      <c r="M291" s="347"/>
      <c r="N291" s="347"/>
    </row>
    <row r="292" spans="1:14" x14ac:dyDescent="0.25">
      <c r="A292" s="348"/>
      <c r="B292" s="348"/>
      <c r="C292" s="348"/>
      <c r="D292" s="348"/>
      <c r="E292" s="348"/>
      <c r="F292" s="348"/>
      <c r="G292" s="348"/>
      <c r="H292" s="348"/>
      <c r="I292" s="348"/>
      <c r="J292" s="348"/>
      <c r="K292" s="348"/>
      <c r="L292" s="353"/>
      <c r="M292" s="347"/>
      <c r="N292" s="347"/>
    </row>
    <row r="293" spans="1:14" x14ac:dyDescent="0.25">
      <c r="A293" s="348"/>
      <c r="B293" s="348"/>
      <c r="C293" s="348"/>
      <c r="D293" s="348"/>
      <c r="E293" s="348"/>
      <c r="F293" s="348"/>
      <c r="G293" s="348"/>
      <c r="H293" s="348"/>
      <c r="I293" s="348"/>
      <c r="J293" s="348"/>
      <c r="K293" s="348"/>
      <c r="L293" s="372" t="s">
        <v>35</v>
      </c>
      <c r="M293" s="347"/>
      <c r="N293" s="347"/>
    </row>
    <row r="294" spans="1:14" x14ac:dyDescent="0.25">
      <c r="A294" s="355"/>
      <c r="B294" s="365"/>
      <c r="C294" s="365"/>
      <c r="D294" s="365"/>
      <c r="E294" s="365"/>
      <c r="F294" s="365"/>
      <c r="G294" s="365"/>
      <c r="H294" s="365"/>
      <c r="I294" s="365"/>
      <c r="J294" s="365"/>
      <c r="K294" s="365"/>
      <c r="L294" s="347"/>
      <c r="M294" s="347"/>
      <c r="N294" s="347"/>
    </row>
    <row r="295" spans="1:14" x14ac:dyDescent="0.25">
      <c r="A295" s="354" t="str">
        <f>name!A20</f>
        <v>Electrical equipment</v>
      </c>
      <c r="B295" s="515">
        <f>B$6</f>
        <v>2007</v>
      </c>
      <c r="C295" s="515"/>
      <c r="D295" s="515"/>
      <c r="E295" s="369"/>
      <c r="F295" s="515">
        <f>F278</f>
        <v>2017</v>
      </c>
      <c r="G295" s="515"/>
      <c r="H295" s="515"/>
      <c r="I295" s="369"/>
      <c r="J295" s="515">
        <f>J278</f>
        <v>2027</v>
      </c>
      <c r="K295" s="515"/>
      <c r="L295" s="515"/>
      <c r="M295" s="347"/>
      <c r="N295" s="347"/>
    </row>
    <row r="296" spans="1:14" x14ac:dyDescent="0.25">
      <c r="A296" s="370"/>
      <c r="B296" s="371" t="s">
        <v>387</v>
      </c>
      <c r="C296" s="371" t="s">
        <v>388</v>
      </c>
      <c r="D296" s="371" t="s">
        <v>32</v>
      </c>
      <c r="E296" s="371"/>
      <c r="F296" s="371" t="s">
        <v>387</v>
      </c>
      <c r="G296" s="371" t="s">
        <v>388</v>
      </c>
      <c r="H296" s="371" t="s">
        <v>32</v>
      </c>
      <c r="I296" s="371"/>
      <c r="J296" s="371" t="s">
        <v>387</v>
      </c>
      <c r="K296" s="371" t="s">
        <v>388</v>
      </c>
      <c r="L296" s="371" t="s">
        <v>32</v>
      </c>
      <c r="M296" s="347"/>
      <c r="N296" s="347"/>
    </row>
    <row r="297" spans="1:14" s="286" customFormat="1" x14ac:dyDescent="0.25">
      <c r="A297" s="374"/>
      <c r="B297" s="375"/>
      <c r="C297" s="375"/>
      <c r="D297" s="375"/>
      <c r="E297" s="375"/>
      <c r="F297" s="375"/>
      <c r="G297" s="375"/>
      <c r="H297" s="375"/>
      <c r="I297" s="375"/>
      <c r="J297" s="375"/>
      <c r="K297" s="375"/>
      <c r="L297" s="375"/>
      <c r="M297" s="347"/>
      <c r="N297" s="347"/>
    </row>
    <row r="298" spans="1:14" x14ac:dyDescent="0.25">
      <c r="A298" s="362" t="str">
        <f>name!E$4</f>
        <v>Managers, directors and senior officials</v>
      </c>
      <c r="B298" s="440">
        <v>1.4096577646976873</v>
      </c>
      <c r="C298" s="440">
        <v>7.962742767518459</v>
      </c>
      <c r="D298" s="440">
        <f>SUM(B298:C298)</f>
        <v>9.3724005322161457</v>
      </c>
      <c r="E298" s="441"/>
      <c r="F298" s="440">
        <v>2.5718703359041934</v>
      </c>
      <c r="G298" s="440">
        <v>9.1429131418374112</v>
      </c>
      <c r="H298" s="440">
        <f>SUM(F298:G298)</f>
        <v>11.714783477741605</v>
      </c>
      <c r="I298" s="441"/>
      <c r="J298" s="440">
        <v>3.237489023021384</v>
      </c>
      <c r="K298" s="440">
        <v>9.7101528282185949</v>
      </c>
      <c r="L298" s="440">
        <f>SUM(J298:K298)</f>
        <v>12.947641851239979</v>
      </c>
      <c r="M298" s="347"/>
      <c r="N298" s="347"/>
    </row>
    <row r="299" spans="1:14" x14ac:dyDescent="0.25">
      <c r="A299" s="362" t="str">
        <f>name!E$5</f>
        <v>Professional occupations</v>
      </c>
      <c r="B299" s="440">
        <v>2.0493720278686118</v>
      </c>
      <c r="C299" s="440">
        <v>11.913144875703379</v>
      </c>
      <c r="D299" s="440">
        <f t="shared" ref="D299:D306" si="118">SUM(B299:C299)</f>
        <v>13.962516903571991</v>
      </c>
      <c r="E299" s="441"/>
      <c r="F299" s="440">
        <v>2.5555032450810087</v>
      </c>
      <c r="G299" s="440">
        <v>10.244879589020544</v>
      </c>
      <c r="H299" s="440">
        <f t="shared" ref="H299:H306" si="119">SUM(F299:G299)</f>
        <v>12.800382834101551</v>
      </c>
      <c r="I299" s="441"/>
      <c r="J299" s="440">
        <v>3.1960231139105395</v>
      </c>
      <c r="K299" s="440">
        <v>10.531547997146813</v>
      </c>
      <c r="L299" s="440">
        <f t="shared" ref="L299:L306" si="120">SUM(J299:K299)</f>
        <v>13.727571111057353</v>
      </c>
      <c r="M299" s="347"/>
      <c r="N299" s="347"/>
    </row>
    <row r="300" spans="1:14" x14ac:dyDescent="0.25">
      <c r="A300" s="362" t="str">
        <f>name!E$6</f>
        <v>Associate professional and technical</v>
      </c>
      <c r="B300" s="440">
        <v>3.0683264258404352</v>
      </c>
      <c r="C300" s="440">
        <v>10.90356496449545</v>
      </c>
      <c r="D300" s="440">
        <f t="shared" si="118"/>
        <v>13.971891390335886</v>
      </c>
      <c r="E300" s="441"/>
      <c r="F300" s="440">
        <v>3.4817678603787989</v>
      </c>
      <c r="G300" s="440">
        <v>8.8802051345546182</v>
      </c>
      <c r="H300" s="440">
        <f t="shared" si="119"/>
        <v>12.361972994933417</v>
      </c>
      <c r="I300" s="441"/>
      <c r="J300" s="440">
        <v>4.2229607133760991</v>
      </c>
      <c r="K300" s="440">
        <v>8.9180366277957734</v>
      </c>
      <c r="L300" s="440">
        <f t="shared" si="120"/>
        <v>13.140997341171872</v>
      </c>
      <c r="M300" s="347"/>
      <c r="N300" s="347"/>
    </row>
    <row r="301" spans="1:14" x14ac:dyDescent="0.25">
      <c r="A301" s="362" t="str">
        <f>name!E$7</f>
        <v>Administrative and secretarial</v>
      </c>
      <c r="B301" s="440">
        <v>7.0149215710948249</v>
      </c>
      <c r="C301" s="440">
        <v>2.2020789670815808</v>
      </c>
      <c r="D301" s="440">
        <f t="shared" si="118"/>
        <v>9.2170005381764053</v>
      </c>
      <c r="E301" s="441"/>
      <c r="F301" s="440">
        <v>5.9667546000433713</v>
      </c>
      <c r="G301" s="440">
        <v>1.3766379145231706</v>
      </c>
      <c r="H301" s="440">
        <f t="shared" si="119"/>
        <v>7.343392514566542</v>
      </c>
      <c r="I301" s="441"/>
      <c r="J301" s="440">
        <v>5.0420883640338472</v>
      </c>
      <c r="K301" s="440">
        <v>1.4117123858413898</v>
      </c>
      <c r="L301" s="440">
        <f t="shared" si="120"/>
        <v>6.4538007498752368</v>
      </c>
      <c r="M301" s="347"/>
      <c r="N301" s="347"/>
    </row>
    <row r="302" spans="1:14" x14ac:dyDescent="0.25">
      <c r="A302" s="362" t="str">
        <f>name!E$8</f>
        <v>Skilled trades occupations</v>
      </c>
      <c r="B302" s="440">
        <v>1.2022721289223717</v>
      </c>
      <c r="C302" s="440">
        <v>22.646246746319843</v>
      </c>
      <c r="D302" s="440">
        <f t="shared" si="118"/>
        <v>23.848518875242213</v>
      </c>
      <c r="E302" s="441"/>
      <c r="F302" s="440">
        <v>1.0329859480676373</v>
      </c>
      <c r="G302" s="440">
        <v>15.329505693458023</v>
      </c>
      <c r="H302" s="440">
        <f t="shared" si="119"/>
        <v>16.362491641525661</v>
      </c>
      <c r="I302" s="441"/>
      <c r="J302" s="440">
        <v>0.88525853292853107</v>
      </c>
      <c r="K302" s="440">
        <v>13.288120248226376</v>
      </c>
      <c r="L302" s="440">
        <f t="shared" si="120"/>
        <v>14.173378781154907</v>
      </c>
      <c r="M302" s="347"/>
      <c r="N302" s="347"/>
    </row>
    <row r="303" spans="1:14" x14ac:dyDescent="0.25">
      <c r="A303" s="362" t="str">
        <f>name!E$9</f>
        <v>Caring, leisure and other service</v>
      </c>
      <c r="B303" s="440">
        <v>1.584207055083664</v>
      </c>
      <c r="C303" s="440">
        <v>0.25814635309874095</v>
      </c>
      <c r="D303" s="440">
        <f t="shared" si="118"/>
        <v>1.8423534081824049</v>
      </c>
      <c r="E303" s="441"/>
      <c r="F303" s="440">
        <v>1.4418855361102165</v>
      </c>
      <c r="G303" s="440">
        <v>0.2699727462830997</v>
      </c>
      <c r="H303" s="440">
        <f t="shared" si="119"/>
        <v>1.7118582823933162</v>
      </c>
      <c r="I303" s="441"/>
      <c r="J303" s="440">
        <v>1.5126501659712071</v>
      </c>
      <c r="K303" s="440">
        <v>0.31215790344908612</v>
      </c>
      <c r="L303" s="440">
        <f t="shared" si="120"/>
        <v>1.8248080694202931</v>
      </c>
      <c r="M303" s="347"/>
      <c r="N303" s="347"/>
    </row>
    <row r="304" spans="1:14" x14ac:dyDescent="0.25">
      <c r="A304" s="362" t="str">
        <f>name!E$10</f>
        <v>Sales and customer service</v>
      </c>
      <c r="B304" s="440">
        <v>1.2542857454001841</v>
      </c>
      <c r="C304" s="440">
        <v>1.0864142051216759</v>
      </c>
      <c r="D304" s="440">
        <f t="shared" si="118"/>
        <v>2.3406999505218602</v>
      </c>
      <c r="E304" s="441"/>
      <c r="F304" s="440">
        <v>1.3751106465330476</v>
      </c>
      <c r="G304" s="440">
        <v>1.520758343368164</v>
      </c>
      <c r="H304" s="440">
        <f t="shared" si="119"/>
        <v>2.8958689899012118</v>
      </c>
      <c r="I304" s="441"/>
      <c r="J304" s="440">
        <v>1.516201895375533</v>
      </c>
      <c r="K304" s="440">
        <v>1.5101412639757728</v>
      </c>
      <c r="L304" s="440">
        <f t="shared" si="120"/>
        <v>3.0263431593513057</v>
      </c>
      <c r="M304" s="347"/>
      <c r="N304" s="347"/>
    </row>
    <row r="305" spans="1:14" x14ac:dyDescent="0.25">
      <c r="A305" s="362" t="str">
        <f>name!E$11</f>
        <v>Process, plant and machine operatives</v>
      </c>
      <c r="B305" s="440">
        <v>6.96589874715003</v>
      </c>
      <c r="C305" s="440">
        <v>12.732756633175919</v>
      </c>
      <c r="D305" s="440">
        <f t="shared" si="118"/>
        <v>19.698655380325949</v>
      </c>
      <c r="E305" s="441"/>
      <c r="F305" s="440">
        <v>3.6010642299354658</v>
      </c>
      <c r="G305" s="440">
        <v>9.0334623854980052</v>
      </c>
      <c r="H305" s="440">
        <f t="shared" si="119"/>
        <v>12.634526615433471</v>
      </c>
      <c r="I305" s="441"/>
      <c r="J305" s="440">
        <v>2.2410669158074414</v>
      </c>
      <c r="K305" s="440">
        <v>7.627142235330675</v>
      </c>
      <c r="L305" s="440">
        <f t="shared" si="120"/>
        <v>9.8682091511381174</v>
      </c>
      <c r="M305" s="347"/>
      <c r="N305" s="347"/>
    </row>
    <row r="306" spans="1:14" x14ac:dyDescent="0.25">
      <c r="A306" s="362" t="str">
        <f>name!E$12</f>
        <v>Elementary occupations</v>
      </c>
      <c r="B306" s="440">
        <v>1.5490585336600329</v>
      </c>
      <c r="C306" s="440">
        <v>3.0409044873299997</v>
      </c>
      <c r="D306" s="440">
        <f t="shared" si="118"/>
        <v>4.5899630209900328</v>
      </c>
      <c r="E306" s="441"/>
      <c r="F306" s="440">
        <v>1.36405759787304</v>
      </c>
      <c r="G306" s="440">
        <v>2.793665051273055</v>
      </c>
      <c r="H306" s="440">
        <f t="shared" si="119"/>
        <v>4.1577226491460948</v>
      </c>
      <c r="I306" s="441"/>
      <c r="J306" s="440">
        <v>1.295261275508903</v>
      </c>
      <c r="K306" s="440">
        <v>2.525988509824959</v>
      </c>
      <c r="L306" s="440">
        <f t="shared" si="120"/>
        <v>3.8212497853338618</v>
      </c>
      <c r="M306" s="347"/>
      <c r="N306" s="347"/>
    </row>
    <row r="307" spans="1:14" s="286" customFormat="1" x14ac:dyDescent="0.25">
      <c r="A307" s="362"/>
      <c r="B307" s="440"/>
      <c r="C307" s="440"/>
      <c r="D307" s="440"/>
      <c r="E307" s="441"/>
      <c r="F307" s="440"/>
      <c r="G307" s="440"/>
      <c r="H307" s="440"/>
      <c r="I307" s="441"/>
      <c r="J307" s="440"/>
      <c r="K307" s="440"/>
      <c r="L307" s="440"/>
      <c r="M307" s="347"/>
      <c r="N307" s="347"/>
    </row>
    <row r="308" spans="1:14" x14ac:dyDescent="0.25">
      <c r="A308" s="357" t="s">
        <v>32</v>
      </c>
      <c r="B308" s="450">
        <f>SUM(B298:B306)</f>
        <v>26.097999999717846</v>
      </c>
      <c r="C308" s="450">
        <f t="shared" ref="C308:D308" si="121">SUM(C298:C306)</f>
        <v>72.74599999984504</v>
      </c>
      <c r="D308" s="450">
        <f t="shared" si="121"/>
        <v>98.843999999562882</v>
      </c>
      <c r="E308" s="450"/>
      <c r="F308" s="450">
        <f t="shared" ref="F308:H308" si="122">SUM(F298:F306)</f>
        <v>23.39099999992678</v>
      </c>
      <c r="G308" s="450">
        <f t="shared" si="122"/>
        <v>58.591999999816089</v>
      </c>
      <c r="H308" s="450">
        <f t="shared" si="122"/>
        <v>81.982999999742873</v>
      </c>
      <c r="I308" s="450"/>
      <c r="J308" s="450">
        <f t="shared" ref="J308:L308" si="123">SUM(J298:J306)</f>
        <v>23.148999999933487</v>
      </c>
      <c r="K308" s="450">
        <f t="shared" si="123"/>
        <v>55.83499999980944</v>
      </c>
      <c r="L308" s="450">
        <f t="shared" si="123"/>
        <v>78.98399999974292</v>
      </c>
      <c r="M308" s="347"/>
      <c r="N308" s="347"/>
    </row>
    <row r="309" spans="1:14" x14ac:dyDescent="0.25">
      <c r="A309" s="348"/>
      <c r="B309" s="348"/>
      <c r="C309" s="348"/>
      <c r="D309" s="348"/>
      <c r="E309" s="348"/>
      <c r="F309" s="348"/>
      <c r="G309" s="348"/>
      <c r="H309" s="348"/>
      <c r="I309" s="348"/>
      <c r="J309" s="348"/>
      <c r="K309" s="348"/>
      <c r="L309" s="353"/>
      <c r="M309" s="347"/>
      <c r="N309" s="347"/>
    </row>
    <row r="310" spans="1:14" x14ac:dyDescent="0.25">
      <c r="A310" s="348"/>
      <c r="B310" s="348"/>
      <c r="C310" s="348"/>
      <c r="D310" s="348"/>
      <c r="E310" s="348"/>
      <c r="F310" s="348"/>
      <c r="G310" s="348"/>
      <c r="H310" s="348"/>
      <c r="I310" s="348"/>
      <c r="J310" s="348"/>
      <c r="K310" s="348"/>
      <c r="L310" s="372" t="s">
        <v>35</v>
      </c>
      <c r="M310" s="347"/>
      <c r="N310" s="347"/>
    </row>
    <row r="311" spans="1:14" x14ac:dyDescent="0.25">
      <c r="A311" s="355"/>
      <c r="B311" s="365"/>
      <c r="C311" s="365"/>
      <c r="D311" s="365"/>
      <c r="E311" s="365"/>
      <c r="F311" s="365"/>
      <c r="G311" s="365"/>
      <c r="H311" s="365"/>
      <c r="I311" s="365"/>
      <c r="J311" s="365"/>
      <c r="K311" s="365"/>
      <c r="L311" s="347"/>
      <c r="M311" s="347"/>
      <c r="N311" s="347"/>
    </row>
    <row r="312" spans="1:14" x14ac:dyDescent="0.25">
      <c r="A312" s="354" t="str">
        <f>name!A21</f>
        <v>Machinery n.e.c.</v>
      </c>
      <c r="B312" s="515">
        <f>B$6</f>
        <v>2007</v>
      </c>
      <c r="C312" s="515"/>
      <c r="D312" s="515"/>
      <c r="E312" s="369"/>
      <c r="F312" s="515">
        <f>F295</f>
        <v>2017</v>
      </c>
      <c r="G312" s="515"/>
      <c r="H312" s="515"/>
      <c r="I312" s="369"/>
      <c r="J312" s="515">
        <f>J295</f>
        <v>2027</v>
      </c>
      <c r="K312" s="515"/>
      <c r="L312" s="515"/>
      <c r="M312" s="347"/>
      <c r="N312" s="347"/>
    </row>
    <row r="313" spans="1:14" x14ac:dyDescent="0.25">
      <c r="A313" s="370"/>
      <c r="B313" s="371" t="s">
        <v>387</v>
      </c>
      <c r="C313" s="371" t="s">
        <v>388</v>
      </c>
      <c r="D313" s="371" t="s">
        <v>32</v>
      </c>
      <c r="E313" s="371"/>
      <c r="F313" s="371" t="s">
        <v>387</v>
      </c>
      <c r="G313" s="371" t="s">
        <v>388</v>
      </c>
      <c r="H313" s="371" t="s">
        <v>32</v>
      </c>
      <c r="I313" s="371"/>
      <c r="J313" s="371" t="s">
        <v>387</v>
      </c>
      <c r="K313" s="371" t="s">
        <v>388</v>
      </c>
      <c r="L313" s="371" t="s">
        <v>32</v>
      </c>
      <c r="M313" s="347"/>
      <c r="N313" s="347"/>
    </row>
    <row r="314" spans="1:14" s="286" customFormat="1" x14ac:dyDescent="0.25">
      <c r="A314" s="374"/>
      <c r="B314" s="375"/>
      <c r="C314" s="375"/>
      <c r="D314" s="375"/>
      <c r="E314" s="375"/>
      <c r="F314" s="375"/>
      <c r="G314" s="375"/>
      <c r="H314" s="375"/>
      <c r="I314" s="375"/>
      <c r="J314" s="375"/>
      <c r="K314" s="375"/>
      <c r="L314" s="375"/>
      <c r="M314" s="347"/>
      <c r="N314" s="347"/>
    </row>
    <row r="315" spans="1:14" x14ac:dyDescent="0.25">
      <c r="A315" s="362" t="str">
        <f>name!E$4</f>
        <v>Managers, directors and senior officials</v>
      </c>
      <c r="B315" s="440">
        <v>2.7164913234645378</v>
      </c>
      <c r="C315" s="440">
        <v>20.875816215481947</v>
      </c>
      <c r="D315" s="440">
        <f>SUM(B315:C315)</f>
        <v>23.592307538946486</v>
      </c>
      <c r="E315" s="441"/>
      <c r="F315" s="440">
        <v>2.8448362738974273</v>
      </c>
      <c r="G315" s="440">
        <v>22.316949069407983</v>
      </c>
      <c r="H315" s="440">
        <f>SUM(F315:G315)</f>
        <v>25.161785343305411</v>
      </c>
      <c r="I315" s="441"/>
      <c r="J315" s="440">
        <v>4.1856316155886892</v>
      </c>
      <c r="K315" s="440">
        <v>23.365034218678534</v>
      </c>
      <c r="L315" s="440">
        <f>SUM(J315:K315)</f>
        <v>27.550665834267225</v>
      </c>
      <c r="M315" s="347"/>
      <c r="N315" s="347"/>
    </row>
    <row r="316" spans="1:14" x14ac:dyDescent="0.25">
      <c r="A316" s="362" t="str">
        <f>name!E$5</f>
        <v>Professional occupations</v>
      </c>
      <c r="B316" s="440">
        <v>3.2570777449282438</v>
      </c>
      <c r="C316" s="440">
        <v>26.89752391651745</v>
      </c>
      <c r="D316" s="440">
        <f t="shared" ref="D316:D323" si="124">SUM(B316:C316)</f>
        <v>30.154601661445692</v>
      </c>
      <c r="E316" s="441"/>
      <c r="F316" s="440">
        <v>3.1283728812174996</v>
      </c>
      <c r="G316" s="440">
        <v>29.640560329475949</v>
      </c>
      <c r="H316" s="440">
        <f t="shared" ref="H316:H323" si="125">SUM(F316:G316)</f>
        <v>32.768933210693447</v>
      </c>
      <c r="I316" s="441"/>
      <c r="J316" s="440">
        <v>3.9466292053770613</v>
      </c>
      <c r="K316" s="440">
        <v>29.191400428944089</v>
      </c>
      <c r="L316" s="440">
        <f t="shared" ref="L316:L323" si="126">SUM(J316:K316)</f>
        <v>33.13802963432115</v>
      </c>
      <c r="M316" s="347"/>
      <c r="N316" s="347"/>
    </row>
    <row r="317" spans="1:14" x14ac:dyDescent="0.25">
      <c r="A317" s="362" t="str">
        <f>name!E$6</f>
        <v>Associate professional and technical</v>
      </c>
      <c r="B317" s="440">
        <v>4.4795912711900963</v>
      </c>
      <c r="C317" s="440">
        <v>26.459453039260083</v>
      </c>
      <c r="D317" s="440">
        <f t="shared" si="124"/>
        <v>30.939044310450178</v>
      </c>
      <c r="E317" s="441"/>
      <c r="F317" s="440">
        <v>4.478537602242687</v>
      </c>
      <c r="G317" s="440">
        <v>21.960508027777351</v>
      </c>
      <c r="H317" s="440">
        <f t="shared" si="125"/>
        <v>26.43904563002004</v>
      </c>
      <c r="I317" s="441"/>
      <c r="J317" s="440">
        <v>5.4100595581869566</v>
      </c>
      <c r="K317" s="440">
        <v>20.932790086814791</v>
      </c>
      <c r="L317" s="440">
        <f t="shared" si="126"/>
        <v>26.342849645001749</v>
      </c>
      <c r="M317" s="347"/>
      <c r="N317" s="347"/>
    </row>
    <row r="318" spans="1:14" x14ac:dyDescent="0.25">
      <c r="A318" s="362" t="str">
        <f>name!E$7</f>
        <v>Administrative and secretarial</v>
      </c>
      <c r="B318" s="440">
        <v>13.614114561266987</v>
      </c>
      <c r="C318" s="440">
        <v>4.7698926863182507</v>
      </c>
      <c r="D318" s="440">
        <f t="shared" si="124"/>
        <v>18.384007247585238</v>
      </c>
      <c r="E318" s="441"/>
      <c r="F318" s="440">
        <v>8.8105220660977217</v>
      </c>
      <c r="G318" s="440">
        <v>4.5407634275974855</v>
      </c>
      <c r="H318" s="440">
        <f t="shared" si="125"/>
        <v>13.351285493695208</v>
      </c>
      <c r="I318" s="441"/>
      <c r="J318" s="440">
        <v>8.8206395461704208</v>
      </c>
      <c r="K318" s="440">
        <v>4.3386153307985351</v>
      </c>
      <c r="L318" s="440">
        <f t="shared" si="126"/>
        <v>13.159254876968955</v>
      </c>
      <c r="M318" s="347"/>
      <c r="N318" s="347"/>
    </row>
    <row r="319" spans="1:14" x14ac:dyDescent="0.25">
      <c r="A319" s="362" t="str">
        <f>name!E$8</f>
        <v>Skilled trades occupations</v>
      </c>
      <c r="B319" s="440">
        <v>1.5529974876414918</v>
      </c>
      <c r="C319" s="440">
        <v>57.48649542644911</v>
      </c>
      <c r="D319" s="440">
        <f t="shared" si="124"/>
        <v>59.039492914090602</v>
      </c>
      <c r="E319" s="441"/>
      <c r="F319" s="440">
        <v>1.0541285622806695</v>
      </c>
      <c r="G319" s="440">
        <v>47.825602430507779</v>
      </c>
      <c r="H319" s="440">
        <f t="shared" si="125"/>
        <v>48.879730992788446</v>
      </c>
      <c r="I319" s="441"/>
      <c r="J319" s="440">
        <v>0.88479818548342093</v>
      </c>
      <c r="K319" s="440">
        <v>39.933381392972535</v>
      </c>
      <c r="L319" s="440">
        <f t="shared" si="126"/>
        <v>40.818179578455954</v>
      </c>
      <c r="M319" s="347"/>
      <c r="N319" s="347"/>
    </row>
    <row r="320" spans="1:14" x14ac:dyDescent="0.25">
      <c r="A320" s="362" t="str">
        <f>name!E$9</f>
        <v>Caring, leisure and other service</v>
      </c>
      <c r="B320" s="440">
        <v>2.5117370543162854</v>
      </c>
      <c r="C320" s="440">
        <v>0.28099758931113977</v>
      </c>
      <c r="D320" s="440">
        <f t="shared" si="124"/>
        <v>2.792734643627425</v>
      </c>
      <c r="E320" s="441"/>
      <c r="F320" s="440">
        <v>1.5648740636345588</v>
      </c>
      <c r="G320" s="440">
        <v>0.25978837346348915</v>
      </c>
      <c r="H320" s="440">
        <f t="shared" si="125"/>
        <v>1.824662437098048</v>
      </c>
      <c r="I320" s="441"/>
      <c r="J320" s="440">
        <v>1.7355141749086547</v>
      </c>
      <c r="K320" s="440">
        <v>0.31970460967594827</v>
      </c>
      <c r="L320" s="440">
        <f t="shared" si="126"/>
        <v>2.0552187845846031</v>
      </c>
      <c r="M320" s="347"/>
      <c r="N320" s="347"/>
    </row>
    <row r="321" spans="1:14" x14ac:dyDescent="0.25">
      <c r="A321" s="362" t="str">
        <f>name!E$10</f>
        <v>Sales and customer service</v>
      </c>
      <c r="B321" s="440">
        <v>2.55458646453833</v>
      </c>
      <c r="C321" s="440">
        <v>2.5978184838339411</v>
      </c>
      <c r="D321" s="440">
        <f t="shared" si="124"/>
        <v>5.1524049483722711</v>
      </c>
      <c r="E321" s="441"/>
      <c r="F321" s="440">
        <v>2.219527247000439</v>
      </c>
      <c r="G321" s="440">
        <v>4.1799543893597964</v>
      </c>
      <c r="H321" s="440">
        <f t="shared" si="125"/>
        <v>6.3994816363602354</v>
      </c>
      <c r="I321" s="441"/>
      <c r="J321" s="440">
        <v>2.5003435623820427</v>
      </c>
      <c r="K321" s="440">
        <v>3.9748313707216703</v>
      </c>
      <c r="L321" s="440">
        <f t="shared" si="126"/>
        <v>6.4751749331037125</v>
      </c>
      <c r="M321" s="347"/>
      <c r="N321" s="347"/>
    </row>
    <row r="322" spans="1:14" x14ac:dyDescent="0.25">
      <c r="A322" s="362" t="str">
        <f>name!E$11</f>
        <v>Process, plant and machine operatives</v>
      </c>
      <c r="B322" s="440">
        <v>7.818968903478849</v>
      </c>
      <c r="C322" s="440">
        <v>34.661024753572569</v>
      </c>
      <c r="D322" s="440">
        <f t="shared" si="124"/>
        <v>42.479993657051416</v>
      </c>
      <c r="E322" s="441"/>
      <c r="F322" s="440">
        <v>3.8315230706035761</v>
      </c>
      <c r="G322" s="440">
        <v>21.778785061615235</v>
      </c>
      <c r="H322" s="440">
        <f t="shared" si="125"/>
        <v>25.610308132218812</v>
      </c>
      <c r="I322" s="441"/>
      <c r="J322" s="440">
        <v>2.4085877343516953</v>
      </c>
      <c r="K322" s="440">
        <v>18.020640167383355</v>
      </c>
      <c r="L322" s="440">
        <f t="shared" si="126"/>
        <v>20.42922790173505</v>
      </c>
      <c r="M322" s="347"/>
      <c r="N322" s="347"/>
    </row>
    <row r="323" spans="1:14" x14ac:dyDescent="0.25">
      <c r="A323" s="362" t="str">
        <f>name!E$12</f>
        <v>Elementary occupations</v>
      </c>
      <c r="B323" s="440">
        <v>2.7364351888146854</v>
      </c>
      <c r="C323" s="440">
        <v>10.365977888831136</v>
      </c>
      <c r="D323" s="440">
        <f t="shared" si="124"/>
        <v>13.102413077645821</v>
      </c>
      <c r="E323" s="441"/>
      <c r="F323" s="440">
        <v>1.6376782328982991</v>
      </c>
      <c r="G323" s="440">
        <v>6.9070888901982599</v>
      </c>
      <c r="H323" s="440">
        <f t="shared" si="125"/>
        <v>8.5447671230965589</v>
      </c>
      <c r="I323" s="441"/>
      <c r="J323" s="440">
        <v>1.8547964174584495</v>
      </c>
      <c r="K323" s="440">
        <v>6.2026023935688501</v>
      </c>
      <c r="L323" s="440">
        <f t="shared" si="126"/>
        <v>8.0573988110272996</v>
      </c>
      <c r="M323" s="347"/>
      <c r="N323" s="347"/>
    </row>
    <row r="324" spans="1:14" s="286" customFormat="1" x14ac:dyDescent="0.25">
      <c r="A324" s="362"/>
      <c r="B324" s="440"/>
      <c r="C324" s="440"/>
      <c r="D324" s="440"/>
      <c r="E324" s="441"/>
      <c r="F324" s="440"/>
      <c r="G324" s="440"/>
      <c r="H324" s="440"/>
      <c r="I324" s="441"/>
      <c r="J324" s="440"/>
      <c r="K324" s="440"/>
      <c r="L324" s="440"/>
      <c r="M324" s="347"/>
      <c r="N324" s="347"/>
    </row>
    <row r="325" spans="1:14" x14ac:dyDescent="0.25">
      <c r="A325" s="357" t="s">
        <v>32</v>
      </c>
      <c r="B325" s="450">
        <f>SUM(B315:B323)</f>
        <v>41.241999999639511</v>
      </c>
      <c r="C325" s="450">
        <f t="shared" ref="C325:D325" si="127">SUM(C315:C323)</f>
        <v>184.39499999957567</v>
      </c>
      <c r="D325" s="450">
        <f t="shared" si="127"/>
        <v>225.63699999921511</v>
      </c>
      <c r="E325" s="450"/>
      <c r="F325" s="450">
        <f t="shared" ref="F325:H325" si="128">SUM(F315:F323)</f>
        <v>29.569999999872881</v>
      </c>
      <c r="G325" s="450">
        <f t="shared" si="128"/>
        <v>159.40999999940331</v>
      </c>
      <c r="H325" s="450">
        <f t="shared" si="128"/>
        <v>188.9799999992762</v>
      </c>
      <c r="I325" s="450"/>
      <c r="J325" s="450">
        <f t="shared" ref="J325:L325" si="129">SUM(J315:J323)</f>
        <v>31.746999999907391</v>
      </c>
      <c r="K325" s="450">
        <f t="shared" si="129"/>
        <v>146.27899999955829</v>
      </c>
      <c r="L325" s="450">
        <f t="shared" si="129"/>
        <v>178.02599999946571</v>
      </c>
      <c r="M325" s="347"/>
      <c r="N325" s="347"/>
    </row>
    <row r="326" spans="1:14" x14ac:dyDescent="0.25">
      <c r="A326" s="348"/>
      <c r="B326" s="348"/>
      <c r="C326" s="348"/>
      <c r="D326" s="348"/>
      <c r="E326" s="348"/>
      <c r="F326" s="348"/>
      <c r="G326" s="348"/>
      <c r="H326" s="348"/>
      <c r="I326" s="348"/>
      <c r="J326" s="348"/>
      <c r="K326" s="348"/>
      <c r="L326" s="353"/>
      <c r="M326" s="347"/>
      <c r="N326" s="347"/>
    </row>
    <row r="327" spans="1:14" x14ac:dyDescent="0.25">
      <c r="A327" s="348"/>
      <c r="B327" s="348"/>
      <c r="C327" s="348"/>
      <c r="D327" s="348"/>
      <c r="E327" s="348"/>
      <c r="F327" s="348"/>
      <c r="G327" s="348"/>
      <c r="H327" s="348"/>
      <c r="I327" s="348"/>
      <c r="J327" s="348"/>
      <c r="K327" s="348"/>
      <c r="L327" s="372" t="s">
        <v>35</v>
      </c>
      <c r="M327" s="347"/>
      <c r="N327" s="347"/>
    </row>
    <row r="328" spans="1:14" x14ac:dyDescent="0.25">
      <c r="A328" s="355"/>
      <c r="B328" s="365"/>
      <c r="C328" s="365"/>
      <c r="D328" s="365"/>
      <c r="E328" s="365"/>
      <c r="F328" s="365"/>
      <c r="G328" s="365"/>
      <c r="H328" s="365"/>
      <c r="I328" s="365"/>
      <c r="J328" s="365"/>
      <c r="K328" s="365"/>
      <c r="L328" s="347"/>
      <c r="M328" s="347"/>
      <c r="N328" s="347"/>
    </row>
    <row r="329" spans="1:14" x14ac:dyDescent="0.25">
      <c r="A329" s="354" t="str">
        <f>name!A22</f>
        <v>Motor vehicles, etc</v>
      </c>
      <c r="B329" s="515">
        <f>B$6</f>
        <v>2007</v>
      </c>
      <c r="C329" s="515"/>
      <c r="D329" s="515"/>
      <c r="E329" s="369"/>
      <c r="F329" s="515">
        <f>F312</f>
        <v>2017</v>
      </c>
      <c r="G329" s="515"/>
      <c r="H329" s="515"/>
      <c r="I329" s="369"/>
      <c r="J329" s="515">
        <f>J312</f>
        <v>2027</v>
      </c>
      <c r="K329" s="515"/>
      <c r="L329" s="515"/>
      <c r="M329" s="347"/>
      <c r="N329" s="347"/>
    </row>
    <row r="330" spans="1:14" x14ac:dyDescent="0.25">
      <c r="A330" s="370"/>
      <c r="B330" s="371" t="s">
        <v>387</v>
      </c>
      <c r="C330" s="371" t="s">
        <v>388</v>
      </c>
      <c r="D330" s="371" t="s">
        <v>32</v>
      </c>
      <c r="E330" s="371"/>
      <c r="F330" s="371" t="s">
        <v>387</v>
      </c>
      <c r="G330" s="371" t="s">
        <v>388</v>
      </c>
      <c r="H330" s="371" t="s">
        <v>32</v>
      </c>
      <c r="I330" s="371"/>
      <c r="J330" s="371" t="s">
        <v>387</v>
      </c>
      <c r="K330" s="371" t="s">
        <v>388</v>
      </c>
      <c r="L330" s="371" t="s">
        <v>32</v>
      </c>
      <c r="M330" s="347"/>
      <c r="N330" s="347"/>
    </row>
    <row r="331" spans="1:14" s="286" customFormat="1" x14ac:dyDescent="0.25">
      <c r="A331" s="374"/>
      <c r="B331" s="375"/>
      <c r="C331" s="375"/>
      <c r="D331" s="375"/>
      <c r="E331" s="375"/>
      <c r="F331" s="375"/>
      <c r="G331" s="375"/>
      <c r="H331" s="375"/>
      <c r="I331" s="375"/>
      <c r="J331" s="375"/>
      <c r="K331" s="375"/>
      <c r="L331" s="375"/>
      <c r="M331" s="347"/>
      <c r="N331" s="347"/>
    </row>
    <row r="332" spans="1:14" x14ac:dyDescent="0.25">
      <c r="A332" s="362" t="str">
        <f>name!E$4</f>
        <v>Managers, directors and senior officials</v>
      </c>
      <c r="B332" s="440">
        <v>0.88150870957545024</v>
      </c>
      <c r="C332" s="440">
        <v>11.756520673789913</v>
      </c>
      <c r="D332" s="440">
        <f>SUM(B332:C332)</f>
        <v>12.638029383365364</v>
      </c>
      <c r="E332" s="441"/>
      <c r="F332" s="440">
        <v>1.2536088156758824</v>
      </c>
      <c r="G332" s="440">
        <v>12.218414160922979</v>
      </c>
      <c r="H332" s="440">
        <f>SUM(F332:G332)</f>
        <v>13.472022976598861</v>
      </c>
      <c r="I332" s="441"/>
      <c r="J332" s="440">
        <v>2.2180622079732202</v>
      </c>
      <c r="K332" s="440">
        <v>12.086242118806815</v>
      </c>
      <c r="L332" s="440">
        <f>SUM(J332:K332)</f>
        <v>14.304304326780036</v>
      </c>
      <c r="M332" s="347"/>
      <c r="N332" s="347"/>
    </row>
    <row r="333" spans="1:14" x14ac:dyDescent="0.25">
      <c r="A333" s="362" t="str">
        <f>name!E$5</f>
        <v>Professional occupations</v>
      </c>
      <c r="B333" s="440">
        <v>1.6080249771422337</v>
      </c>
      <c r="C333" s="440">
        <v>23.506081187578673</v>
      </c>
      <c r="D333" s="440">
        <f t="shared" ref="D333:D340" si="130">SUM(B333:C333)</f>
        <v>25.114106164720905</v>
      </c>
      <c r="E333" s="441"/>
      <c r="F333" s="440">
        <v>2.2054743499530085</v>
      </c>
      <c r="G333" s="440">
        <v>29.130949063099514</v>
      </c>
      <c r="H333" s="440">
        <f t="shared" ref="H333:H340" si="131">SUM(F333:G333)</f>
        <v>31.336423413052522</v>
      </c>
      <c r="I333" s="441"/>
      <c r="J333" s="440">
        <v>3.9847259227095946</v>
      </c>
      <c r="K333" s="440">
        <v>27.902156859136124</v>
      </c>
      <c r="L333" s="440">
        <f t="shared" ref="L333:L340" si="132">SUM(J333:K333)</f>
        <v>31.886882781845717</v>
      </c>
      <c r="M333" s="347"/>
      <c r="N333" s="347"/>
    </row>
    <row r="334" spans="1:14" x14ac:dyDescent="0.25">
      <c r="A334" s="362" t="str">
        <f>name!E$6</f>
        <v>Associate professional and technical</v>
      </c>
      <c r="B334" s="440">
        <v>2.7742780112384886</v>
      </c>
      <c r="C334" s="440">
        <v>13.36975932154882</v>
      </c>
      <c r="D334" s="440">
        <f t="shared" si="130"/>
        <v>16.14403733278731</v>
      </c>
      <c r="E334" s="441"/>
      <c r="F334" s="440">
        <v>3.5953201696651083</v>
      </c>
      <c r="G334" s="440">
        <v>13.399690694967504</v>
      </c>
      <c r="H334" s="440">
        <f t="shared" si="131"/>
        <v>16.995010864632611</v>
      </c>
      <c r="I334" s="441"/>
      <c r="J334" s="440">
        <v>6.0101127866530515</v>
      </c>
      <c r="K334" s="440">
        <v>12.317273877891719</v>
      </c>
      <c r="L334" s="440">
        <f t="shared" si="132"/>
        <v>18.327386664544768</v>
      </c>
      <c r="M334" s="347"/>
      <c r="N334" s="347"/>
    </row>
    <row r="335" spans="1:14" x14ac:dyDescent="0.25">
      <c r="A335" s="362" t="str">
        <f>name!E$7</f>
        <v>Administrative and secretarial</v>
      </c>
      <c r="B335" s="440">
        <v>6.2901486490250544</v>
      </c>
      <c r="C335" s="440">
        <v>5.567308850253589</v>
      </c>
      <c r="D335" s="440">
        <f t="shared" si="130"/>
        <v>11.857457499278643</v>
      </c>
      <c r="E335" s="441"/>
      <c r="F335" s="440">
        <v>6.5467693363618613</v>
      </c>
      <c r="G335" s="440">
        <v>7.5023799634175141</v>
      </c>
      <c r="H335" s="440">
        <f t="shared" si="131"/>
        <v>14.049149299779376</v>
      </c>
      <c r="I335" s="441"/>
      <c r="J335" s="440">
        <v>8.3567324024318612</v>
      </c>
      <c r="K335" s="440">
        <v>6.4706400945542635</v>
      </c>
      <c r="L335" s="440">
        <f t="shared" si="132"/>
        <v>14.827372496986126</v>
      </c>
      <c r="M335" s="347"/>
      <c r="N335" s="347"/>
    </row>
    <row r="336" spans="1:14" x14ac:dyDescent="0.25">
      <c r="A336" s="362" t="str">
        <f>name!E$8</f>
        <v>Skilled trades occupations</v>
      </c>
      <c r="B336" s="440">
        <v>1.3567356807767086</v>
      </c>
      <c r="C336" s="440">
        <v>48.681291551852809</v>
      </c>
      <c r="D336" s="440">
        <f t="shared" si="130"/>
        <v>50.038027232629517</v>
      </c>
      <c r="E336" s="441"/>
      <c r="F336" s="440">
        <v>1.4381798062404834</v>
      </c>
      <c r="G336" s="440">
        <v>44.01903983065889</v>
      </c>
      <c r="H336" s="440">
        <f t="shared" si="131"/>
        <v>45.457219636899374</v>
      </c>
      <c r="I336" s="441"/>
      <c r="J336" s="440">
        <v>1.6614556752741778</v>
      </c>
      <c r="K336" s="440">
        <v>34.51471182942899</v>
      </c>
      <c r="L336" s="440">
        <f t="shared" si="132"/>
        <v>36.176167504703166</v>
      </c>
      <c r="M336" s="347"/>
      <c r="N336" s="347"/>
    </row>
    <row r="337" spans="1:14" x14ac:dyDescent="0.25">
      <c r="A337" s="362" t="str">
        <f>name!E$9</f>
        <v>Caring, leisure and other service</v>
      </c>
      <c r="B337" s="440">
        <v>1.1822867848300838</v>
      </c>
      <c r="C337" s="440">
        <v>0.94954801978520864</v>
      </c>
      <c r="D337" s="440">
        <f t="shared" si="130"/>
        <v>2.1318348046152922</v>
      </c>
      <c r="E337" s="441"/>
      <c r="F337" s="440">
        <v>1.1122730497846873</v>
      </c>
      <c r="G337" s="440">
        <v>1.4162815951147596</v>
      </c>
      <c r="H337" s="440">
        <f t="shared" si="131"/>
        <v>2.5285546448994469</v>
      </c>
      <c r="I337" s="441"/>
      <c r="J337" s="440">
        <v>1.5915028844744277</v>
      </c>
      <c r="K337" s="440">
        <v>1.7137032331744573</v>
      </c>
      <c r="L337" s="440">
        <f t="shared" si="132"/>
        <v>3.3052061176488849</v>
      </c>
      <c r="M337" s="347"/>
      <c r="N337" s="347"/>
    </row>
    <row r="338" spans="1:14" x14ac:dyDescent="0.25">
      <c r="A338" s="362" t="str">
        <f>name!E$10</f>
        <v>Sales and customer service</v>
      </c>
      <c r="B338" s="440">
        <v>0.91242948774300703</v>
      </c>
      <c r="C338" s="440">
        <v>2.3471453585182331</v>
      </c>
      <c r="D338" s="440">
        <f t="shared" si="130"/>
        <v>3.2595748462612404</v>
      </c>
      <c r="E338" s="441"/>
      <c r="F338" s="440">
        <v>1.0844445651483332</v>
      </c>
      <c r="G338" s="440">
        <v>3.7172638332555166</v>
      </c>
      <c r="H338" s="440">
        <f t="shared" si="131"/>
        <v>4.80170839840385</v>
      </c>
      <c r="I338" s="441"/>
      <c r="J338" s="440">
        <v>1.7674978372509182</v>
      </c>
      <c r="K338" s="440">
        <v>3.1563530214713191</v>
      </c>
      <c r="L338" s="440">
        <f t="shared" si="132"/>
        <v>4.9238508587222372</v>
      </c>
      <c r="M338" s="347"/>
      <c r="N338" s="347"/>
    </row>
    <row r="339" spans="1:14" x14ac:dyDescent="0.25">
      <c r="A339" s="362" t="str">
        <f>name!E$11</f>
        <v>Process, plant and machine operatives</v>
      </c>
      <c r="B339" s="440">
        <v>5.1794925255978725</v>
      </c>
      <c r="C339" s="440">
        <v>40.029405268881163</v>
      </c>
      <c r="D339" s="440">
        <f t="shared" si="130"/>
        <v>45.208897794479036</v>
      </c>
      <c r="E339" s="441"/>
      <c r="F339" s="440">
        <v>4.3097777441528651</v>
      </c>
      <c r="G339" s="440">
        <v>39.421143907771409</v>
      </c>
      <c r="H339" s="440">
        <f t="shared" si="131"/>
        <v>43.730921651924277</v>
      </c>
      <c r="I339" s="441"/>
      <c r="J339" s="440">
        <v>4.5513963275325899</v>
      </c>
      <c r="K339" s="440">
        <v>31.426499836059698</v>
      </c>
      <c r="L339" s="440">
        <f t="shared" si="132"/>
        <v>35.977896163592291</v>
      </c>
      <c r="M339" s="347"/>
      <c r="N339" s="347"/>
    </row>
    <row r="340" spans="1:14" x14ac:dyDescent="0.25">
      <c r="A340" s="362" t="str">
        <f>name!E$12</f>
        <v>Elementary occupations</v>
      </c>
      <c r="B340" s="440">
        <v>1.2090951738419513</v>
      </c>
      <c r="C340" s="440">
        <v>7.0939397673552946</v>
      </c>
      <c r="D340" s="440">
        <f t="shared" si="130"/>
        <v>8.3030349411972466</v>
      </c>
      <c r="E340" s="441"/>
      <c r="F340" s="440">
        <v>0.8651521628866744</v>
      </c>
      <c r="G340" s="440">
        <v>7.7428369499902123</v>
      </c>
      <c r="H340" s="440">
        <f t="shared" si="131"/>
        <v>8.6079891128768864</v>
      </c>
      <c r="I340" s="441"/>
      <c r="J340" s="440">
        <v>1.2635139555446886</v>
      </c>
      <c r="K340" s="440">
        <v>6.1714191288319302</v>
      </c>
      <c r="L340" s="440">
        <f t="shared" si="132"/>
        <v>7.4349330843766186</v>
      </c>
      <c r="M340" s="347"/>
      <c r="N340" s="347"/>
    </row>
    <row r="341" spans="1:14" s="286" customFormat="1" x14ac:dyDescent="0.25">
      <c r="A341" s="362"/>
      <c r="B341" s="440"/>
      <c r="C341" s="440"/>
      <c r="D341" s="440"/>
      <c r="E341" s="441"/>
      <c r="F341" s="440"/>
      <c r="G341" s="440"/>
      <c r="H341" s="440"/>
      <c r="I341" s="441"/>
      <c r="J341" s="440"/>
      <c r="K341" s="440"/>
      <c r="L341" s="440"/>
      <c r="M341" s="347"/>
      <c r="N341" s="347"/>
    </row>
    <row r="342" spans="1:14" x14ac:dyDescent="0.25">
      <c r="A342" s="357" t="s">
        <v>32</v>
      </c>
      <c r="B342" s="450">
        <f>SUM(B332:B340)</f>
        <v>21.393999999770848</v>
      </c>
      <c r="C342" s="450">
        <f t="shared" ref="C342:D342" si="133">SUM(C332:C340)</f>
        <v>153.30099999956371</v>
      </c>
      <c r="D342" s="450">
        <f t="shared" si="133"/>
        <v>174.69499999933456</v>
      </c>
      <c r="E342" s="450"/>
      <c r="F342" s="450">
        <f t="shared" ref="F342:H342" si="134">SUM(F332:F340)</f>
        <v>22.410999999868903</v>
      </c>
      <c r="G342" s="450">
        <f t="shared" si="134"/>
        <v>158.56799999919829</v>
      </c>
      <c r="H342" s="450">
        <f t="shared" si="134"/>
        <v>180.97899999906721</v>
      </c>
      <c r="I342" s="450"/>
      <c r="J342" s="450">
        <f t="shared" ref="J342:L342" si="135">SUM(J332:J340)</f>
        <v>31.404999999844524</v>
      </c>
      <c r="K342" s="450">
        <f t="shared" si="135"/>
        <v>135.75899999935532</v>
      </c>
      <c r="L342" s="450">
        <f t="shared" si="135"/>
        <v>167.1639999991998</v>
      </c>
      <c r="M342" s="347"/>
      <c r="N342" s="347"/>
    </row>
    <row r="343" spans="1:14" x14ac:dyDescent="0.25">
      <c r="A343" s="348"/>
      <c r="B343" s="348"/>
      <c r="C343" s="348"/>
      <c r="D343" s="348"/>
      <c r="E343" s="348"/>
      <c r="F343" s="348"/>
      <c r="G343" s="348"/>
      <c r="H343" s="348"/>
      <c r="I343" s="348"/>
      <c r="J343" s="348"/>
      <c r="K343" s="348"/>
      <c r="L343" s="353"/>
      <c r="M343" s="347"/>
      <c r="N343" s="347"/>
    </row>
    <row r="344" spans="1:14" x14ac:dyDescent="0.25">
      <c r="A344" s="348"/>
      <c r="B344" s="348"/>
      <c r="C344" s="348"/>
      <c r="D344" s="348"/>
      <c r="E344" s="348"/>
      <c r="F344" s="348"/>
      <c r="G344" s="348"/>
      <c r="H344" s="348"/>
      <c r="I344" s="348"/>
      <c r="J344" s="348"/>
      <c r="K344" s="348"/>
      <c r="L344" s="372" t="s">
        <v>35</v>
      </c>
      <c r="M344" s="347"/>
      <c r="N344" s="347"/>
    </row>
    <row r="345" spans="1:14" x14ac:dyDescent="0.25">
      <c r="A345" s="355"/>
      <c r="B345" s="365"/>
      <c r="C345" s="365"/>
      <c r="D345" s="365"/>
      <c r="E345" s="365"/>
      <c r="F345" s="365"/>
      <c r="G345" s="365"/>
      <c r="H345" s="365"/>
      <c r="I345" s="365"/>
      <c r="J345" s="365"/>
      <c r="K345" s="365"/>
      <c r="L345" s="347"/>
      <c r="M345" s="347"/>
      <c r="N345" s="347"/>
    </row>
    <row r="346" spans="1:14" x14ac:dyDescent="0.25">
      <c r="A346" s="354" t="str">
        <f>name!A23</f>
        <v>Other transport equipment</v>
      </c>
      <c r="B346" s="515">
        <f>B$6</f>
        <v>2007</v>
      </c>
      <c r="C346" s="515"/>
      <c r="D346" s="515"/>
      <c r="E346" s="369"/>
      <c r="F346" s="515">
        <f>F329</f>
        <v>2017</v>
      </c>
      <c r="G346" s="515"/>
      <c r="H346" s="515"/>
      <c r="I346" s="369"/>
      <c r="J346" s="515">
        <f>J329</f>
        <v>2027</v>
      </c>
      <c r="K346" s="515"/>
      <c r="L346" s="515"/>
      <c r="M346" s="347"/>
      <c r="N346" s="347"/>
    </row>
    <row r="347" spans="1:14" x14ac:dyDescent="0.25">
      <c r="A347" s="370"/>
      <c r="B347" s="371" t="s">
        <v>387</v>
      </c>
      <c r="C347" s="371" t="s">
        <v>388</v>
      </c>
      <c r="D347" s="371" t="s">
        <v>32</v>
      </c>
      <c r="E347" s="371"/>
      <c r="F347" s="371" t="s">
        <v>387</v>
      </c>
      <c r="G347" s="371" t="s">
        <v>388</v>
      </c>
      <c r="H347" s="371" t="s">
        <v>32</v>
      </c>
      <c r="I347" s="371"/>
      <c r="J347" s="371" t="s">
        <v>387</v>
      </c>
      <c r="K347" s="371" t="s">
        <v>388</v>
      </c>
      <c r="L347" s="371" t="s">
        <v>32</v>
      </c>
      <c r="M347" s="347"/>
      <c r="N347" s="347"/>
    </row>
    <row r="348" spans="1:14" s="286" customFormat="1" x14ac:dyDescent="0.25">
      <c r="A348" s="374"/>
      <c r="B348" s="375"/>
      <c r="C348" s="375"/>
      <c r="D348" s="375"/>
      <c r="E348" s="375"/>
      <c r="F348" s="375"/>
      <c r="G348" s="375"/>
      <c r="H348" s="375"/>
      <c r="I348" s="375"/>
      <c r="J348" s="375"/>
      <c r="K348" s="375"/>
      <c r="L348" s="375"/>
      <c r="M348" s="347"/>
      <c r="N348" s="347"/>
    </row>
    <row r="349" spans="1:14" x14ac:dyDescent="0.25">
      <c r="A349" s="362" t="str">
        <f>name!E$4</f>
        <v>Managers, directors and senior officials</v>
      </c>
      <c r="B349" s="440">
        <v>1.0636035406395281</v>
      </c>
      <c r="C349" s="440">
        <v>8.3074056890372443</v>
      </c>
      <c r="D349" s="440">
        <f>SUM(B349:C349)</f>
        <v>9.3710092296767726</v>
      </c>
      <c r="E349" s="441"/>
      <c r="F349" s="440">
        <v>1.5441901577077888</v>
      </c>
      <c r="G349" s="440">
        <v>11.425567040562081</v>
      </c>
      <c r="H349" s="440">
        <f>SUM(F349:G349)</f>
        <v>12.969757198269869</v>
      </c>
      <c r="I349" s="441"/>
      <c r="J349" s="440">
        <v>2.1102206870696558</v>
      </c>
      <c r="K349" s="440">
        <v>13.537710439681092</v>
      </c>
      <c r="L349" s="440">
        <f>SUM(J349:K349)</f>
        <v>15.647931126750748</v>
      </c>
      <c r="M349" s="347"/>
      <c r="N349" s="347"/>
    </row>
    <row r="350" spans="1:14" x14ac:dyDescent="0.25">
      <c r="A350" s="362" t="str">
        <f>name!E$5</f>
        <v>Professional occupations</v>
      </c>
      <c r="B350" s="440">
        <v>2.0934007150726219</v>
      </c>
      <c r="C350" s="440">
        <v>22.719144118449336</v>
      </c>
      <c r="D350" s="440">
        <f t="shared" ref="D350:D357" si="136">SUM(B350:C350)</f>
        <v>24.812544833521958</v>
      </c>
      <c r="E350" s="441"/>
      <c r="F350" s="440">
        <v>2.7377193688683192</v>
      </c>
      <c r="G350" s="440">
        <v>33.364488110870944</v>
      </c>
      <c r="H350" s="440">
        <f t="shared" ref="H350:H357" si="137">SUM(F350:G350)</f>
        <v>36.102207479739263</v>
      </c>
      <c r="I350" s="441"/>
      <c r="J350" s="440">
        <v>3.5838097149950174</v>
      </c>
      <c r="K350" s="440">
        <v>40.174303814544587</v>
      </c>
      <c r="L350" s="440">
        <f t="shared" ref="L350:L357" si="138">SUM(J350:K350)</f>
        <v>43.758113529539607</v>
      </c>
      <c r="M350" s="347"/>
      <c r="N350" s="347"/>
    </row>
    <row r="351" spans="1:14" x14ac:dyDescent="0.25">
      <c r="A351" s="362" t="str">
        <f>name!E$6</f>
        <v>Associate professional and technical</v>
      </c>
      <c r="B351" s="440">
        <v>2.3957248072274671</v>
      </c>
      <c r="C351" s="440">
        <v>15.006930640532641</v>
      </c>
      <c r="D351" s="440">
        <f t="shared" si="136"/>
        <v>17.402655447760107</v>
      </c>
      <c r="E351" s="441"/>
      <c r="F351" s="440">
        <v>2.9164102740783195</v>
      </c>
      <c r="G351" s="440">
        <v>15.415386529795244</v>
      </c>
      <c r="H351" s="440">
        <f t="shared" si="137"/>
        <v>18.331796803873562</v>
      </c>
      <c r="I351" s="441"/>
      <c r="J351" s="440">
        <v>3.6245627905638429</v>
      </c>
      <c r="K351" s="440">
        <v>17.705007672602225</v>
      </c>
      <c r="L351" s="440">
        <f t="shared" si="138"/>
        <v>21.329570463166068</v>
      </c>
      <c r="M351" s="347"/>
      <c r="N351" s="347"/>
    </row>
    <row r="352" spans="1:14" x14ac:dyDescent="0.25">
      <c r="A352" s="362" t="str">
        <f>name!E$7</f>
        <v>Administrative and secretarial</v>
      </c>
      <c r="B352" s="440">
        <v>5.025965207762364</v>
      </c>
      <c r="C352" s="440">
        <v>3.7397376494449697</v>
      </c>
      <c r="D352" s="440">
        <f t="shared" si="136"/>
        <v>8.7657028572073337</v>
      </c>
      <c r="E352" s="441"/>
      <c r="F352" s="440">
        <v>6.4610440904554691</v>
      </c>
      <c r="G352" s="440">
        <v>4.1288737021172102</v>
      </c>
      <c r="H352" s="440">
        <f t="shared" si="137"/>
        <v>10.589917792572679</v>
      </c>
      <c r="I352" s="441"/>
      <c r="J352" s="440">
        <v>7.0398405237348651</v>
      </c>
      <c r="K352" s="440">
        <v>4.1073443103452938</v>
      </c>
      <c r="L352" s="440">
        <f t="shared" si="138"/>
        <v>11.147184834080159</v>
      </c>
      <c r="M352" s="347"/>
      <c r="N352" s="347"/>
    </row>
    <row r="353" spans="1:14" x14ac:dyDescent="0.25">
      <c r="A353" s="362" t="str">
        <f>name!E$8</f>
        <v>Skilled trades occupations</v>
      </c>
      <c r="B353" s="440">
        <v>1.0549420072837461</v>
      </c>
      <c r="C353" s="440">
        <v>43.579423860255702</v>
      </c>
      <c r="D353" s="440">
        <f t="shared" si="136"/>
        <v>44.634365867539451</v>
      </c>
      <c r="E353" s="441"/>
      <c r="F353" s="440">
        <v>1.2109460289269036</v>
      </c>
      <c r="G353" s="440">
        <v>46.137711068983805</v>
      </c>
      <c r="H353" s="440">
        <f t="shared" si="137"/>
        <v>47.34865709791071</v>
      </c>
      <c r="I353" s="441"/>
      <c r="J353" s="440">
        <v>1.220496443027997</v>
      </c>
      <c r="K353" s="440">
        <v>43.805575548370008</v>
      </c>
      <c r="L353" s="440">
        <f t="shared" si="138"/>
        <v>45.026071991398005</v>
      </c>
      <c r="M353" s="347"/>
      <c r="N353" s="347"/>
    </row>
    <row r="354" spans="1:14" x14ac:dyDescent="0.25">
      <c r="A354" s="362" t="str">
        <f>name!E$9</f>
        <v>Caring, leisure and other service</v>
      </c>
      <c r="B354" s="440">
        <v>0.32928240044075713</v>
      </c>
      <c r="C354" s="440">
        <v>0.19981849583694578</v>
      </c>
      <c r="D354" s="440">
        <f t="shared" si="136"/>
        <v>0.52910089627770285</v>
      </c>
      <c r="E354" s="441"/>
      <c r="F354" s="440">
        <v>0.37204084638875917</v>
      </c>
      <c r="G354" s="440">
        <v>0.29478030343835437</v>
      </c>
      <c r="H354" s="440">
        <f t="shared" si="137"/>
        <v>0.66682114982711349</v>
      </c>
      <c r="I354" s="441"/>
      <c r="J354" s="440">
        <v>0.43917357954201747</v>
      </c>
      <c r="K354" s="440">
        <v>0.36609201205919306</v>
      </c>
      <c r="L354" s="440">
        <f t="shared" si="138"/>
        <v>0.80526559160121058</v>
      </c>
      <c r="M354" s="347"/>
      <c r="N354" s="347"/>
    </row>
    <row r="355" spans="1:14" x14ac:dyDescent="0.25">
      <c r="A355" s="362" t="str">
        <f>name!E$10</f>
        <v>Sales and customer service</v>
      </c>
      <c r="B355" s="440">
        <v>0.77573873919877456</v>
      </c>
      <c r="C355" s="440">
        <v>1.0567605774482951</v>
      </c>
      <c r="D355" s="440">
        <f t="shared" si="136"/>
        <v>1.8324993166470698</v>
      </c>
      <c r="E355" s="441"/>
      <c r="F355" s="440">
        <v>1.0352058094675209</v>
      </c>
      <c r="G355" s="440">
        <v>1.676340681316085</v>
      </c>
      <c r="H355" s="440">
        <f t="shared" si="137"/>
        <v>2.711546490783606</v>
      </c>
      <c r="I355" s="441"/>
      <c r="J355" s="440">
        <v>1.2329266513701775</v>
      </c>
      <c r="K355" s="440">
        <v>1.8432098117630527</v>
      </c>
      <c r="L355" s="440">
        <f t="shared" si="138"/>
        <v>3.0761364631332304</v>
      </c>
      <c r="M355" s="347"/>
      <c r="N355" s="347"/>
    </row>
    <row r="356" spans="1:14" x14ac:dyDescent="0.25">
      <c r="A356" s="362" t="str">
        <f>name!E$11</f>
        <v>Process, plant and machine operatives</v>
      </c>
      <c r="B356" s="440">
        <v>1.4900221137559904</v>
      </c>
      <c r="C356" s="440">
        <v>15.897635968055422</v>
      </c>
      <c r="D356" s="440">
        <f t="shared" si="136"/>
        <v>17.387658081811413</v>
      </c>
      <c r="E356" s="441"/>
      <c r="F356" s="440">
        <v>0.87312079911520557</v>
      </c>
      <c r="G356" s="440">
        <v>17.488016467841245</v>
      </c>
      <c r="H356" s="440">
        <f t="shared" si="137"/>
        <v>18.361137266956451</v>
      </c>
      <c r="I356" s="441"/>
      <c r="J356" s="440">
        <v>0.63081106871412695</v>
      </c>
      <c r="K356" s="440">
        <v>17.200278098630882</v>
      </c>
      <c r="L356" s="440">
        <f t="shared" si="138"/>
        <v>17.831089167345009</v>
      </c>
      <c r="M356" s="347"/>
      <c r="N356" s="347"/>
    </row>
    <row r="357" spans="1:14" x14ac:dyDescent="0.25">
      <c r="A357" s="362" t="str">
        <f>name!E$12</f>
        <v>Elementary occupations</v>
      </c>
      <c r="B357" s="440">
        <v>0.72532046852332888</v>
      </c>
      <c r="C357" s="440">
        <v>3.0901430008621071</v>
      </c>
      <c r="D357" s="440">
        <f t="shared" si="136"/>
        <v>3.8154634693854361</v>
      </c>
      <c r="E357" s="441"/>
      <c r="F357" s="440">
        <v>0.8423226249056488</v>
      </c>
      <c r="G357" s="440">
        <v>3.0388360947089006</v>
      </c>
      <c r="H357" s="440">
        <f t="shared" si="137"/>
        <v>3.8811587196145494</v>
      </c>
      <c r="I357" s="441"/>
      <c r="J357" s="440">
        <v>0.94115854088998352</v>
      </c>
      <c r="K357" s="440">
        <v>2.9694782916469293</v>
      </c>
      <c r="L357" s="440">
        <f t="shared" si="138"/>
        <v>3.910636832536913</v>
      </c>
      <c r="M357" s="347"/>
      <c r="N357" s="347"/>
    </row>
    <row r="358" spans="1:14" s="286" customFormat="1" x14ac:dyDescent="0.25">
      <c r="A358" s="362"/>
      <c r="B358" s="440"/>
      <c r="C358" s="440"/>
      <c r="D358" s="440"/>
      <c r="E358" s="441"/>
      <c r="F358" s="440"/>
      <c r="G358" s="440"/>
      <c r="H358" s="440"/>
      <c r="I358" s="441"/>
      <c r="J358" s="440"/>
      <c r="K358" s="440"/>
      <c r="L358" s="440"/>
      <c r="M358" s="347"/>
      <c r="N358" s="347"/>
    </row>
    <row r="359" spans="1:14" x14ac:dyDescent="0.25">
      <c r="A359" s="357" t="s">
        <v>32</v>
      </c>
      <c r="B359" s="450">
        <f>SUM(B349:B357)</f>
        <v>14.953999999904577</v>
      </c>
      <c r="C359" s="450">
        <f t="shared" ref="C359:D359" si="139">SUM(C349:C357)</f>
        <v>113.59699999992269</v>
      </c>
      <c r="D359" s="450">
        <f t="shared" si="139"/>
        <v>128.55099999982724</v>
      </c>
      <c r="E359" s="450"/>
      <c r="F359" s="450">
        <f t="shared" ref="F359:H359" si="140">SUM(F349:F357)</f>
        <v>17.992999999913934</v>
      </c>
      <c r="G359" s="450">
        <f t="shared" si="140"/>
        <v>132.96999999963387</v>
      </c>
      <c r="H359" s="450">
        <f t="shared" si="140"/>
        <v>150.9629999995478</v>
      </c>
      <c r="I359" s="450"/>
      <c r="J359" s="450">
        <f t="shared" ref="J359:L359" si="141">SUM(J349:J357)</f>
        <v>20.822999999907683</v>
      </c>
      <c r="K359" s="450">
        <f t="shared" si="141"/>
        <v>141.70899999964328</v>
      </c>
      <c r="L359" s="450">
        <f t="shared" si="141"/>
        <v>162.53199999955092</v>
      </c>
      <c r="M359" s="347"/>
      <c r="N359" s="347"/>
    </row>
    <row r="360" spans="1:14" x14ac:dyDescent="0.25">
      <c r="A360" s="348"/>
      <c r="B360" s="348"/>
      <c r="C360" s="348"/>
      <c r="D360" s="348"/>
      <c r="E360" s="348"/>
      <c r="F360" s="348"/>
      <c r="G360" s="348"/>
      <c r="H360" s="348"/>
      <c r="I360" s="348"/>
      <c r="J360" s="348"/>
      <c r="K360" s="348"/>
      <c r="L360" s="353"/>
      <c r="M360" s="347"/>
      <c r="N360" s="347"/>
    </row>
    <row r="361" spans="1:14" x14ac:dyDescent="0.25">
      <c r="A361" s="348"/>
      <c r="B361" s="348"/>
      <c r="C361" s="348"/>
      <c r="D361" s="348"/>
      <c r="E361" s="348"/>
      <c r="F361" s="348"/>
      <c r="G361" s="348"/>
      <c r="H361" s="348"/>
      <c r="I361" s="348"/>
      <c r="J361" s="348"/>
      <c r="K361" s="348"/>
      <c r="L361" s="372" t="s">
        <v>35</v>
      </c>
      <c r="M361" s="347"/>
      <c r="N361" s="347"/>
    </row>
    <row r="362" spans="1:14" x14ac:dyDescent="0.25">
      <c r="A362" s="355"/>
      <c r="B362" s="365"/>
      <c r="C362" s="365"/>
      <c r="D362" s="365"/>
      <c r="E362" s="365"/>
      <c r="F362" s="365"/>
      <c r="G362" s="365"/>
      <c r="H362" s="365"/>
      <c r="I362" s="365"/>
      <c r="J362" s="365"/>
      <c r="K362" s="365"/>
      <c r="L362" s="347"/>
      <c r="M362" s="347"/>
      <c r="N362" s="347"/>
    </row>
    <row r="363" spans="1:14" x14ac:dyDescent="0.25">
      <c r="A363" s="354" t="str">
        <f>name!A24</f>
        <v>Furniture</v>
      </c>
      <c r="B363" s="515">
        <f>B$6</f>
        <v>2007</v>
      </c>
      <c r="C363" s="515"/>
      <c r="D363" s="515"/>
      <c r="E363" s="369"/>
      <c r="F363" s="515">
        <f>F346</f>
        <v>2017</v>
      </c>
      <c r="G363" s="515"/>
      <c r="H363" s="515"/>
      <c r="I363" s="369"/>
      <c r="J363" s="515">
        <f>J346</f>
        <v>2027</v>
      </c>
      <c r="K363" s="515"/>
      <c r="L363" s="515"/>
      <c r="M363" s="347"/>
      <c r="N363" s="347"/>
    </row>
    <row r="364" spans="1:14" x14ac:dyDescent="0.25">
      <c r="A364" s="370"/>
      <c r="B364" s="371" t="s">
        <v>387</v>
      </c>
      <c r="C364" s="371" t="s">
        <v>388</v>
      </c>
      <c r="D364" s="371" t="s">
        <v>32</v>
      </c>
      <c r="E364" s="371"/>
      <c r="F364" s="371" t="s">
        <v>387</v>
      </c>
      <c r="G364" s="371" t="s">
        <v>388</v>
      </c>
      <c r="H364" s="371" t="s">
        <v>32</v>
      </c>
      <c r="I364" s="371"/>
      <c r="J364" s="371" t="s">
        <v>387</v>
      </c>
      <c r="K364" s="371" t="s">
        <v>388</v>
      </c>
      <c r="L364" s="371" t="s">
        <v>32</v>
      </c>
      <c r="M364" s="347"/>
      <c r="N364" s="347"/>
    </row>
    <row r="365" spans="1:14" s="286" customFormat="1" x14ac:dyDescent="0.25">
      <c r="A365" s="374"/>
      <c r="B365" s="375"/>
      <c r="C365" s="375"/>
      <c r="D365" s="375"/>
      <c r="E365" s="375"/>
      <c r="F365" s="375"/>
      <c r="G365" s="375"/>
      <c r="H365" s="375"/>
      <c r="I365" s="375"/>
      <c r="J365" s="375"/>
      <c r="K365" s="375"/>
      <c r="L365" s="375"/>
      <c r="M365" s="347"/>
      <c r="N365" s="347"/>
    </row>
    <row r="366" spans="1:14" x14ac:dyDescent="0.25">
      <c r="A366" s="362" t="str">
        <f>name!E$4</f>
        <v>Managers, directors and senior officials</v>
      </c>
      <c r="B366" s="440">
        <v>1.1001866354526213</v>
      </c>
      <c r="C366" s="440">
        <v>7.4026903333855651</v>
      </c>
      <c r="D366" s="440">
        <f>SUM(B366:C366)</f>
        <v>8.5028769688381871</v>
      </c>
      <c r="E366" s="441"/>
      <c r="F366" s="440">
        <v>1.5581719162727536</v>
      </c>
      <c r="G366" s="440">
        <v>6.7670449529947865</v>
      </c>
      <c r="H366" s="440">
        <f>SUM(F366:G366)</f>
        <v>8.3252168692675408</v>
      </c>
      <c r="I366" s="441"/>
      <c r="J366" s="440">
        <v>2.1257127444333994</v>
      </c>
      <c r="K366" s="440">
        <v>7.401636189846271</v>
      </c>
      <c r="L366" s="440">
        <f>SUM(J366:K366)</f>
        <v>9.5273489342796704</v>
      </c>
      <c r="M366" s="347"/>
      <c r="N366" s="347"/>
    </row>
    <row r="367" spans="1:14" x14ac:dyDescent="0.25">
      <c r="A367" s="362" t="str">
        <f>name!E$5</f>
        <v>Professional occupations</v>
      </c>
      <c r="B367" s="440">
        <v>1.1161481569756013</v>
      </c>
      <c r="C367" s="440">
        <v>5.1124120043310901</v>
      </c>
      <c r="D367" s="440">
        <f t="shared" ref="D367:D374" si="142">SUM(B367:C367)</f>
        <v>6.2285601613066914</v>
      </c>
      <c r="E367" s="441"/>
      <c r="F367" s="440">
        <v>1.4172899367876999</v>
      </c>
      <c r="G367" s="440">
        <v>4.3173763667546172</v>
      </c>
      <c r="H367" s="440">
        <f t="shared" ref="H367:H374" si="143">SUM(F367:G367)</f>
        <v>5.7346663035423173</v>
      </c>
      <c r="I367" s="441"/>
      <c r="J367" s="440">
        <v>1.9176581667198493</v>
      </c>
      <c r="K367" s="440">
        <v>4.7225065013024006</v>
      </c>
      <c r="L367" s="440">
        <f t="shared" ref="L367:L374" si="144">SUM(J367:K367)</f>
        <v>6.6401646680222495</v>
      </c>
      <c r="M367" s="347"/>
      <c r="N367" s="347"/>
    </row>
    <row r="368" spans="1:14" x14ac:dyDescent="0.25">
      <c r="A368" s="362" t="str">
        <f>name!E$6</f>
        <v>Associate professional and technical</v>
      </c>
      <c r="B368" s="440">
        <v>1.8105566316094213</v>
      </c>
      <c r="C368" s="440">
        <v>7.6904217907040398</v>
      </c>
      <c r="D368" s="440">
        <f t="shared" si="142"/>
        <v>9.5009784223134606</v>
      </c>
      <c r="E368" s="441"/>
      <c r="F368" s="440">
        <v>2.1429640177542062</v>
      </c>
      <c r="G368" s="440">
        <v>5.321191330434897</v>
      </c>
      <c r="H368" s="440">
        <f t="shared" si="143"/>
        <v>7.4641553481891032</v>
      </c>
      <c r="I368" s="441"/>
      <c r="J368" s="440">
        <v>2.5905520921874041</v>
      </c>
      <c r="K368" s="440">
        <v>5.5884568699439079</v>
      </c>
      <c r="L368" s="440">
        <f t="shared" si="144"/>
        <v>8.1790089621313129</v>
      </c>
      <c r="M368" s="347"/>
      <c r="N368" s="347"/>
    </row>
    <row r="369" spans="1:14" x14ac:dyDescent="0.25">
      <c r="A369" s="362" t="str">
        <f>name!E$7</f>
        <v>Administrative and secretarial</v>
      </c>
      <c r="B369" s="440">
        <v>5.3440818111394757</v>
      </c>
      <c r="C369" s="440">
        <v>1.1246768210265206</v>
      </c>
      <c r="D369" s="440">
        <f t="shared" si="142"/>
        <v>6.4687586321659962</v>
      </c>
      <c r="E369" s="441"/>
      <c r="F369" s="440">
        <v>4.4967894991019675</v>
      </c>
      <c r="G369" s="440">
        <v>3.3269756468947929</v>
      </c>
      <c r="H369" s="440">
        <f t="shared" si="143"/>
        <v>7.8237651459967603</v>
      </c>
      <c r="I369" s="441"/>
      <c r="J369" s="440">
        <v>4.040734122973924</v>
      </c>
      <c r="K369" s="440">
        <v>3.3673735221511363</v>
      </c>
      <c r="L369" s="440">
        <f t="shared" si="144"/>
        <v>7.4081076451250603</v>
      </c>
      <c r="M369" s="347"/>
      <c r="N369" s="347"/>
    </row>
    <row r="370" spans="1:14" x14ac:dyDescent="0.25">
      <c r="A370" s="362" t="str">
        <f>name!E$8</f>
        <v>Skilled trades occupations</v>
      </c>
      <c r="B370" s="440">
        <v>2.5783979169364595</v>
      </c>
      <c r="C370" s="440">
        <v>32.050408730842975</v>
      </c>
      <c r="D370" s="440">
        <f t="shared" si="142"/>
        <v>34.628806647779435</v>
      </c>
      <c r="E370" s="441"/>
      <c r="F370" s="440">
        <v>2.1713219029650239</v>
      </c>
      <c r="G370" s="440">
        <v>37.426999120887501</v>
      </c>
      <c r="H370" s="440">
        <f t="shared" si="143"/>
        <v>39.598321023852527</v>
      </c>
      <c r="I370" s="441"/>
      <c r="J370" s="440">
        <v>1.8088526409681362</v>
      </c>
      <c r="K370" s="440">
        <v>33.09649997446239</v>
      </c>
      <c r="L370" s="440">
        <f t="shared" si="144"/>
        <v>34.905352615430523</v>
      </c>
      <c r="M370" s="347"/>
      <c r="N370" s="347"/>
    </row>
    <row r="371" spans="1:14" x14ac:dyDescent="0.25">
      <c r="A371" s="362" t="str">
        <f>name!E$9</f>
        <v>Caring, leisure and other service</v>
      </c>
      <c r="B371" s="440">
        <v>0.37716871301547805</v>
      </c>
      <c r="C371" s="440">
        <v>0.11485478100515399</v>
      </c>
      <c r="D371" s="440">
        <f t="shared" si="142"/>
        <v>0.49202349402063206</v>
      </c>
      <c r="E371" s="441"/>
      <c r="F371" s="440">
        <v>0.38117096485566282</v>
      </c>
      <c r="G371" s="440">
        <v>0.16769712328071712</v>
      </c>
      <c r="H371" s="440">
        <f t="shared" si="143"/>
        <v>0.54886808813637988</v>
      </c>
      <c r="I371" s="441"/>
      <c r="J371" s="440">
        <v>0.4265612934816802</v>
      </c>
      <c r="K371" s="440">
        <v>0.28214375617846837</v>
      </c>
      <c r="L371" s="440">
        <f t="shared" si="144"/>
        <v>0.70870504966014858</v>
      </c>
      <c r="M371" s="347"/>
      <c r="N371" s="347"/>
    </row>
    <row r="372" spans="1:14" x14ac:dyDescent="0.25">
      <c r="A372" s="362" t="str">
        <f>name!E$10</f>
        <v>Sales and customer service</v>
      </c>
      <c r="B372" s="440">
        <v>1.2883106418797396</v>
      </c>
      <c r="C372" s="440">
        <v>1.165630421778284</v>
      </c>
      <c r="D372" s="440">
        <f t="shared" si="142"/>
        <v>2.4539410636580237</v>
      </c>
      <c r="E372" s="441"/>
      <c r="F372" s="440">
        <v>1.3145969198217908</v>
      </c>
      <c r="G372" s="440">
        <v>3.0378387990325</v>
      </c>
      <c r="H372" s="440">
        <f t="shared" si="143"/>
        <v>4.3524357188542906</v>
      </c>
      <c r="I372" s="441"/>
      <c r="J372" s="440">
        <v>1.4208363053205202</v>
      </c>
      <c r="K372" s="440">
        <v>2.9932867657901872</v>
      </c>
      <c r="L372" s="440">
        <f t="shared" si="144"/>
        <v>4.4141230711107076</v>
      </c>
      <c r="M372" s="347"/>
      <c r="N372" s="347"/>
    </row>
    <row r="373" spans="1:14" x14ac:dyDescent="0.25">
      <c r="A373" s="362" t="str">
        <f>name!E$11</f>
        <v>Process, plant and machine operatives</v>
      </c>
      <c r="B373" s="440">
        <v>3.912552838612974</v>
      </c>
      <c r="C373" s="440">
        <v>14.18466383226261</v>
      </c>
      <c r="D373" s="440">
        <f t="shared" si="142"/>
        <v>18.097216670875582</v>
      </c>
      <c r="E373" s="441"/>
      <c r="F373" s="440">
        <v>2.8223395699810476</v>
      </c>
      <c r="G373" s="440">
        <v>12.618715200495231</v>
      </c>
      <c r="H373" s="440">
        <f t="shared" si="143"/>
        <v>15.441054770476278</v>
      </c>
      <c r="I373" s="441"/>
      <c r="J373" s="440">
        <v>2.2514247937488272</v>
      </c>
      <c r="K373" s="440">
        <v>11.839622786369677</v>
      </c>
      <c r="L373" s="440">
        <f t="shared" si="144"/>
        <v>14.091047580118504</v>
      </c>
      <c r="M373" s="347"/>
      <c r="N373" s="347"/>
    </row>
    <row r="374" spans="1:14" x14ac:dyDescent="0.25">
      <c r="A374" s="362" t="str">
        <f>name!E$12</f>
        <v>Elementary occupations</v>
      </c>
      <c r="B374" s="440">
        <v>1.0245966542577196</v>
      </c>
      <c r="C374" s="440">
        <v>4.6322412845632872</v>
      </c>
      <c r="D374" s="440">
        <f t="shared" si="142"/>
        <v>5.6568379388210071</v>
      </c>
      <c r="E374" s="441"/>
      <c r="F374" s="440">
        <v>1.038355272448745</v>
      </c>
      <c r="G374" s="440">
        <v>4.8481614589653947</v>
      </c>
      <c r="H374" s="440">
        <f t="shared" si="143"/>
        <v>5.8865167314141402</v>
      </c>
      <c r="I374" s="441"/>
      <c r="J374" s="440">
        <v>1.123667840157234</v>
      </c>
      <c r="K374" s="440">
        <v>4.7164736336480386</v>
      </c>
      <c r="L374" s="440">
        <f t="shared" si="144"/>
        <v>5.8401414738052724</v>
      </c>
      <c r="M374" s="347"/>
      <c r="N374" s="347"/>
    </row>
    <row r="375" spans="1:14" s="286" customFormat="1" x14ac:dyDescent="0.25">
      <c r="A375" s="362"/>
      <c r="B375" s="440"/>
      <c r="C375" s="440"/>
      <c r="D375" s="440"/>
      <c r="E375" s="441"/>
      <c r="F375" s="440"/>
      <c r="G375" s="440"/>
      <c r="H375" s="440"/>
      <c r="I375" s="441"/>
      <c r="J375" s="440"/>
      <c r="K375" s="440"/>
      <c r="L375" s="440"/>
      <c r="M375" s="347"/>
      <c r="N375" s="347"/>
    </row>
    <row r="376" spans="1:14" x14ac:dyDescent="0.25">
      <c r="A376" s="357" t="s">
        <v>32</v>
      </c>
      <c r="B376" s="450">
        <f>SUM(B366:B374)</f>
        <v>18.551999999879492</v>
      </c>
      <c r="C376" s="450">
        <f t="shared" ref="C376:D376" si="145">SUM(C366:C374)</f>
        <v>73.477999999899538</v>
      </c>
      <c r="D376" s="450">
        <f t="shared" si="145"/>
        <v>92.029999999779022</v>
      </c>
      <c r="E376" s="450"/>
      <c r="F376" s="450">
        <f t="shared" ref="F376:H376" si="146">SUM(F366:F374)</f>
        <v>17.342999999988894</v>
      </c>
      <c r="G376" s="450">
        <f t="shared" si="146"/>
        <v>77.831999999740432</v>
      </c>
      <c r="H376" s="450">
        <f t="shared" si="146"/>
        <v>95.174999999729323</v>
      </c>
      <c r="I376" s="450"/>
      <c r="J376" s="450">
        <f t="shared" ref="J376:L376" si="147">SUM(J366:J374)</f>
        <v>17.705999999990976</v>
      </c>
      <c r="K376" s="450">
        <f t="shared" si="147"/>
        <v>74.007999999692473</v>
      </c>
      <c r="L376" s="450">
        <f t="shared" si="147"/>
        <v>91.713999999683452</v>
      </c>
      <c r="M376" s="347"/>
      <c r="N376" s="347"/>
    </row>
    <row r="377" spans="1:14" x14ac:dyDescent="0.25">
      <c r="A377" s="348"/>
      <c r="B377" s="348"/>
      <c r="C377" s="348"/>
      <c r="D377" s="348"/>
      <c r="E377" s="348"/>
      <c r="F377" s="348"/>
      <c r="G377" s="348"/>
      <c r="H377" s="348"/>
      <c r="I377" s="348"/>
      <c r="J377" s="348"/>
      <c r="K377" s="348"/>
      <c r="L377" s="353"/>
      <c r="M377" s="347"/>
      <c r="N377" s="347"/>
    </row>
    <row r="378" spans="1:14" x14ac:dyDescent="0.25">
      <c r="A378" s="348"/>
      <c r="B378" s="348"/>
      <c r="C378" s="348"/>
      <c r="D378" s="348"/>
      <c r="E378" s="348"/>
      <c r="F378" s="348"/>
      <c r="G378" s="348"/>
      <c r="H378" s="348"/>
      <c r="I378" s="348"/>
      <c r="J378" s="348"/>
      <c r="K378" s="348"/>
      <c r="L378" s="372" t="s">
        <v>35</v>
      </c>
      <c r="M378" s="347"/>
      <c r="N378" s="347"/>
    </row>
    <row r="379" spans="1:14" x14ac:dyDescent="0.25">
      <c r="A379" s="355"/>
      <c r="B379" s="365"/>
      <c r="C379" s="365"/>
      <c r="D379" s="365"/>
      <c r="E379" s="365"/>
      <c r="F379" s="365"/>
      <c r="G379" s="365"/>
      <c r="H379" s="365"/>
      <c r="I379" s="365"/>
      <c r="J379" s="365"/>
      <c r="K379" s="365"/>
      <c r="L379" s="347"/>
      <c r="M379" s="347"/>
      <c r="N379" s="347"/>
    </row>
    <row r="380" spans="1:14" x14ac:dyDescent="0.25">
      <c r="A380" s="354" t="str">
        <f>name!A25</f>
        <v>Other manufacturing</v>
      </c>
      <c r="B380" s="515">
        <f>B$6</f>
        <v>2007</v>
      </c>
      <c r="C380" s="515"/>
      <c r="D380" s="515"/>
      <c r="E380" s="369"/>
      <c r="F380" s="515">
        <f>F363</f>
        <v>2017</v>
      </c>
      <c r="G380" s="515"/>
      <c r="H380" s="515"/>
      <c r="I380" s="369"/>
      <c r="J380" s="515">
        <f>J363</f>
        <v>2027</v>
      </c>
      <c r="K380" s="515"/>
      <c r="L380" s="515"/>
      <c r="M380" s="347"/>
      <c r="N380" s="347"/>
    </row>
    <row r="381" spans="1:14" x14ac:dyDescent="0.25">
      <c r="A381" s="370"/>
      <c r="B381" s="371" t="s">
        <v>387</v>
      </c>
      <c r="C381" s="371" t="s">
        <v>388</v>
      </c>
      <c r="D381" s="371" t="s">
        <v>32</v>
      </c>
      <c r="E381" s="371"/>
      <c r="F381" s="371" t="s">
        <v>387</v>
      </c>
      <c r="G381" s="371" t="s">
        <v>388</v>
      </c>
      <c r="H381" s="371" t="s">
        <v>32</v>
      </c>
      <c r="I381" s="371"/>
      <c r="J381" s="371" t="s">
        <v>387</v>
      </c>
      <c r="K381" s="371" t="s">
        <v>388</v>
      </c>
      <c r="L381" s="371" t="s">
        <v>32</v>
      </c>
      <c r="M381" s="347"/>
      <c r="N381" s="347"/>
    </row>
    <row r="382" spans="1:14" s="286" customFormat="1" x14ac:dyDescent="0.25">
      <c r="A382" s="374"/>
      <c r="B382" s="375"/>
      <c r="C382" s="375"/>
      <c r="D382" s="375"/>
      <c r="E382" s="375"/>
      <c r="F382" s="375"/>
      <c r="G382" s="375"/>
      <c r="H382" s="375"/>
      <c r="I382" s="375"/>
      <c r="J382" s="375"/>
      <c r="K382" s="375"/>
      <c r="L382" s="375"/>
      <c r="M382" s="347"/>
      <c r="N382" s="347"/>
    </row>
    <row r="383" spans="1:14" x14ac:dyDescent="0.25">
      <c r="A383" s="362" t="str">
        <f>name!E$4</f>
        <v>Managers, directors and senior officials</v>
      </c>
      <c r="B383" s="440">
        <v>3.0192887520948744</v>
      </c>
      <c r="C383" s="440">
        <v>7.4960607946300248</v>
      </c>
      <c r="D383" s="440">
        <f>SUM(B383:C383)</f>
        <v>10.515349546724899</v>
      </c>
      <c r="E383" s="441"/>
      <c r="F383" s="440">
        <v>4.2275602521738698</v>
      </c>
      <c r="G383" s="440">
        <v>7.3448102902532248</v>
      </c>
      <c r="H383" s="440">
        <f>SUM(F383:G383)</f>
        <v>11.572370542427095</v>
      </c>
      <c r="I383" s="441"/>
      <c r="J383" s="440">
        <v>5.3835801300236978</v>
      </c>
      <c r="K383" s="440">
        <v>7.9059066316756139</v>
      </c>
      <c r="L383" s="440">
        <f>SUM(J383:K383)</f>
        <v>13.289486761699312</v>
      </c>
      <c r="M383" s="347"/>
      <c r="N383" s="347"/>
    </row>
    <row r="384" spans="1:14" x14ac:dyDescent="0.25">
      <c r="A384" s="362" t="str">
        <f>name!E$5</f>
        <v>Professional occupations</v>
      </c>
      <c r="B384" s="440">
        <v>3.570105881013288</v>
      </c>
      <c r="C384" s="440">
        <v>6.3267860498971737</v>
      </c>
      <c r="D384" s="440">
        <f t="shared" ref="D384:D391" si="148">SUM(B384:C384)</f>
        <v>9.8968919309104617</v>
      </c>
      <c r="E384" s="441"/>
      <c r="F384" s="440">
        <v>4.3566429742260677</v>
      </c>
      <c r="G384" s="440">
        <v>6.4684596980314479</v>
      </c>
      <c r="H384" s="440">
        <f t="shared" ref="H384:H391" si="149">SUM(F384:G384)</f>
        <v>10.825102672257515</v>
      </c>
      <c r="I384" s="441"/>
      <c r="J384" s="440">
        <v>5.4682440883148722</v>
      </c>
      <c r="K384" s="440">
        <v>7.1665105912984766</v>
      </c>
      <c r="L384" s="440">
        <f t="shared" ref="L384:L391" si="150">SUM(J384:K384)</f>
        <v>12.634754679613348</v>
      </c>
      <c r="M384" s="347"/>
      <c r="N384" s="347"/>
    </row>
    <row r="385" spans="1:14" x14ac:dyDescent="0.25">
      <c r="A385" s="362" t="str">
        <f>name!E$6</f>
        <v>Associate professional and technical</v>
      </c>
      <c r="B385" s="440">
        <v>5.4247344764432528</v>
      </c>
      <c r="C385" s="440">
        <v>8.2505802905689496</v>
      </c>
      <c r="D385" s="440">
        <f t="shared" si="148"/>
        <v>13.675314767012203</v>
      </c>
      <c r="E385" s="441"/>
      <c r="F385" s="440">
        <v>6.0343177380020832</v>
      </c>
      <c r="G385" s="440">
        <v>6.5906375189820512</v>
      </c>
      <c r="H385" s="440">
        <f t="shared" si="149"/>
        <v>12.624955256984133</v>
      </c>
      <c r="I385" s="441"/>
      <c r="J385" s="440">
        <v>6.8534002565242806</v>
      </c>
      <c r="K385" s="440">
        <v>6.7553496707898395</v>
      </c>
      <c r="L385" s="440">
        <f t="shared" si="150"/>
        <v>13.60874992731412</v>
      </c>
      <c r="M385" s="347"/>
      <c r="N385" s="347"/>
    </row>
    <row r="386" spans="1:14" x14ac:dyDescent="0.25">
      <c r="A386" s="362" t="str">
        <f>name!E$7</f>
        <v>Administrative and secretarial</v>
      </c>
      <c r="B386" s="440">
        <v>12.316732429731761</v>
      </c>
      <c r="C386" s="440">
        <v>1.2915706577191846</v>
      </c>
      <c r="D386" s="440">
        <f t="shared" si="148"/>
        <v>13.608303087450945</v>
      </c>
      <c r="E386" s="441"/>
      <c r="F386" s="440">
        <v>8.2249012671767225</v>
      </c>
      <c r="G386" s="440">
        <v>2.5890127115036226</v>
      </c>
      <c r="H386" s="440">
        <f t="shared" si="149"/>
        <v>10.813913978680345</v>
      </c>
      <c r="I386" s="441"/>
      <c r="J386" s="440">
        <v>6.9539863799652828</v>
      </c>
      <c r="K386" s="440">
        <v>2.3633670623998833</v>
      </c>
      <c r="L386" s="440">
        <f t="shared" si="150"/>
        <v>9.3173534423651656</v>
      </c>
      <c r="M386" s="347"/>
      <c r="N386" s="347"/>
    </row>
    <row r="387" spans="1:14" x14ac:dyDescent="0.25">
      <c r="A387" s="362" t="str">
        <f>name!E$8</f>
        <v>Skilled trades occupations</v>
      </c>
      <c r="B387" s="440">
        <v>6.0545172592966674</v>
      </c>
      <c r="C387" s="440">
        <v>27.974796231365566</v>
      </c>
      <c r="D387" s="440">
        <f t="shared" si="148"/>
        <v>34.029313490662233</v>
      </c>
      <c r="E387" s="441"/>
      <c r="F387" s="440">
        <v>4.5735317782489124</v>
      </c>
      <c r="G387" s="440">
        <v>27.26917283853313</v>
      </c>
      <c r="H387" s="440">
        <f t="shared" si="149"/>
        <v>31.842704616782044</v>
      </c>
      <c r="I387" s="441"/>
      <c r="J387" s="440">
        <v>3.3472123070106101</v>
      </c>
      <c r="K387" s="440">
        <v>23.075107925060717</v>
      </c>
      <c r="L387" s="440">
        <f t="shared" si="150"/>
        <v>26.422320232071328</v>
      </c>
      <c r="M387" s="347"/>
      <c r="N387" s="347"/>
    </row>
    <row r="388" spans="1:14" x14ac:dyDescent="0.25">
      <c r="A388" s="362" t="str">
        <f>name!E$9</f>
        <v>Caring, leisure and other service</v>
      </c>
      <c r="B388" s="440">
        <v>0.84311206147000939</v>
      </c>
      <c r="C388" s="440">
        <v>0.19106079346219598</v>
      </c>
      <c r="D388" s="440">
        <f t="shared" si="148"/>
        <v>1.0341728549322053</v>
      </c>
      <c r="E388" s="441"/>
      <c r="F388" s="440">
        <v>0.71888066877847245</v>
      </c>
      <c r="G388" s="440">
        <v>0.21818956993758098</v>
      </c>
      <c r="H388" s="440">
        <f t="shared" si="149"/>
        <v>0.93707023871605344</v>
      </c>
      <c r="I388" s="441"/>
      <c r="J388" s="440">
        <v>0.81602573396513411</v>
      </c>
      <c r="K388" s="440">
        <v>0.25904808549130487</v>
      </c>
      <c r="L388" s="440">
        <f t="shared" si="150"/>
        <v>1.0750738194564389</v>
      </c>
      <c r="M388" s="347"/>
      <c r="N388" s="347"/>
    </row>
    <row r="389" spans="1:14" x14ac:dyDescent="0.25">
      <c r="A389" s="362" t="str">
        <f>name!E$10</f>
        <v>Sales and customer service</v>
      </c>
      <c r="B389" s="440">
        <v>3.0395664901573398</v>
      </c>
      <c r="C389" s="440">
        <v>1.3521491992393189</v>
      </c>
      <c r="D389" s="440">
        <f t="shared" si="148"/>
        <v>4.3917156893966585</v>
      </c>
      <c r="E389" s="441"/>
      <c r="F389" s="440">
        <v>2.4837698249502362</v>
      </c>
      <c r="G389" s="440">
        <v>2.6015497173017481</v>
      </c>
      <c r="H389" s="440">
        <f t="shared" si="149"/>
        <v>5.0853195422519839</v>
      </c>
      <c r="I389" s="441"/>
      <c r="J389" s="440">
        <v>2.5719822783869932</v>
      </c>
      <c r="K389" s="440">
        <v>2.2588858401912</v>
      </c>
      <c r="L389" s="440">
        <f t="shared" si="150"/>
        <v>4.8308681185781932</v>
      </c>
      <c r="M389" s="347"/>
      <c r="N389" s="347"/>
    </row>
    <row r="390" spans="1:14" x14ac:dyDescent="0.25">
      <c r="A390" s="362" t="str">
        <f>name!E$11</f>
        <v>Process, plant and machine operatives</v>
      </c>
      <c r="B390" s="440">
        <v>9.4521463049461989</v>
      </c>
      <c r="C390" s="440">
        <v>12.062901901854246</v>
      </c>
      <c r="D390" s="440">
        <f t="shared" si="148"/>
        <v>21.515048206800444</v>
      </c>
      <c r="E390" s="441"/>
      <c r="F390" s="440">
        <v>5.0734811651122209</v>
      </c>
      <c r="G390" s="440">
        <v>9.1531622474751053</v>
      </c>
      <c r="H390" s="440">
        <f t="shared" si="149"/>
        <v>14.226643412587325</v>
      </c>
      <c r="I390" s="441"/>
      <c r="J390" s="440">
        <v>3.6915829019599373</v>
      </c>
      <c r="K390" s="440">
        <v>8.4439852923789598</v>
      </c>
      <c r="L390" s="440">
        <f t="shared" si="150"/>
        <v>12.135568194338898</v>
      </c>
      <c r="M390" s="347"/>
      <c r="N390" s="347"/>
    </row>
    <row r="391" spans="1:14" x14ac:dyDescent="0.25">
      <c r="A391" s="362" t="str">
        <f>name!E$12</f>
        <v>Elementary occupations</v>
      </c>
      <c r="B391" s="440">
        <v>2.1777963445540665</v>
      </c>
      <c r="C391" s="440">
        <v>4.3140940811048152</v>
      </c>
      <c r="D391" s="440">
        <f t="shared" si="148"/>
        <v>6.4918904256588821</v>
      </c>
      <c r="E391" s="441"/>
      <c r="F391" s="440">
        <v>1.6449143312622303</v>
      </c>
      <c r="G391" s="440">
        <v>3.8920054078682487</v>
      </c>
      <c r="H391" s="440">
        <f t="shared" si="149"/>
        <v>5.5369197391304787</v>
      </c>
      <c r="I391" s="441"/>
      <c r="J391" s="440">
        <v>1.7539859238003606</v>
      </c>
      <c r="K391" s="440">
        <v>3.2848389004680323</v>
      </c>
      <c r="L391" s="440">
        <f t="shared" si="150"/>
        <v>5.0388248242683931</v>
      </c>
      <c r="M391" s="347"/>
      <c r="N391" s="347"/>
    </row>
    <row r="392" spans="1:14" s="286" customFormat="1" x14ac:dyDescent="0.25">
      <c r="A392" s="362"/>
      <c r="B392" s="440"/>
      <c r="C392" s="440"/>
      <c r="D392" s="440"/>
      <c r="E392" s="441"/>
      <c r="F392" s="440"/>
      <c r="G392" s="440"/>
      <c r="H392" s="440"/>
      <c r="I392" s="441"/>
      <c r="J392" s="440"/>
      <c r="K392" s="440"/>
      <c r="L392" s="440"/>
      <c r="M392" s="347"/>
      <c r="N392" s="347"/>
    </row>
    <row r="393" spans="1:14" x14ac:dyDescent="0.25">
      <c r="A393" s="357" t="s">
        <v>32</v>
      </c>
      <c r="B393" s="450">
        <f>SUM(B383:B391)</f>
        <v>45.897999999707459</v>
      </c>
      <c r="C393" s="450">
        <f t="shared" ref="C393:D393" si="151">SUM(C383:C391)</f>
        <v>69.259999999841469</v>
      </c>
      <c r="D393" s="450">
        <f t="shared" si="151"/>
        <v>115.15799999954893</v>
      </c>
      <c r="E393" s="450"/>
      <c r="F393" s="450">
        <f t="shared" ref="F393:H393" si="152">SUM(F383:F391)</f>
        <v>37.337999999930815</v>
      </c>
      <c r="G393" s="450">
        <f t="shared" si="152"/>
        <v>66.126999999886166</v>
      </c>
      <c r="H393" s="450">
        <f t="shared" si="152"/>
        <v>103.46499999981697</v>
      </c>
      <c r="I393" s="450"/>
      <c r="J393" s="450">
        <f t="shared" ref="J393:L393" si="153">SUM(J383:J391)</f>
        <v>36.839999999951168</v>
      </c>
      <c r="K393" s="450">
        <f t="shared" si="153"/>
        <v>61.51299999975403</v>
      </c>
      <c r="L393" s="450">
        <f t="shared" si="153"/>
        <v>98.352999999705204</v>
      </c>
      <c r="M393" s="347"/>
      <c r="N393" s="347"/>
    </row>
    <row r="394" spans="1:14" x14ac:dyDescent="0.25">
      <c r="A394" s="348"/>
      <c r="B394" s="348"/>
      <c r="C394" s="348"/>
      <c r="D394" s="348"/>
      <c r="E394" s="348"/>
      <c r="F394" s="348"/>
      <c r="G394" s="348"/>
      <c r="H394" s="348"/>
      <c r="I394" s="348"/>
      <c r="J394" s="348"/>
      <c r="K394" s="348"/>
      <c r="L394" s="353"/>
      <c r="M394" s="347"/>
      <c r="N394" s="347"/>
    </row>
    <row r="395" spans="1:14" x14ac:dyDescent="0.25">
      <c r="A395" s="348"/>
      <c r="B395" s="348"/>
      <c r="C395" s="348"/>
      <c r="D395" s="348"/>
      <c r="E395" s="348"/>
      <c r="F395" s="348"/>
      <c r="G395" s="348"/>
      <c r="H395" s="348"/>
      <c r="I395" s="348"/>
      <c r="J395" s="348"/>
      <c r="K395" s="348"/>
      <c r="L395" s="372" t="s">
        <v>35</v>
      </c>
      <c r="M395" s="347"/>
      <c r="N395" s="347"/>
    </row>
    <row r="396" spans="1:14" x14ac:dyDescent="0.25">
      <c r="A396" s="355"/>
      <c r="B396" s="365"/>
      <c r="C396" s="365"/>
      <c r="D396" s="365"/>
      <c r="E396" s="365"/>
      <c r="F396" s="365"/>
      <c r="G396" s="365"/>
      <c r="H396" s="365"/>
      <c r="I396" s="365"/>
      <c r="J396" s="365"/>
      <c r="K396" s="365"/>
      <c r="L396" s="347"/>
      <c r="M396" s="347"/>
      <c r="N396" s="347"/>
    </row>
    <row r="397" spans="1:14" x14ac:dyDescent="0.25">
      <c r="A397" s="354" t="str">
        <f>name!A26</f>
        <v>Repair and installation</v>
      </c>
      <c r="B397" s="515">
        <f>B$6</f>
        <v>2007</v>
      </c>
      <c r="C397" s="515"/>
      <c r="D397" s="515"/>
      <c r="E397" s="369"/>
      <c r="F397" s="515">
        <f>F380</f>
        <v>2017</v>
      </c>
      <c r="G397" s="515"/>
      <c r="H397" s="515"/>
      <c r="I397" s="369"/>
      <c r="J397" s="515">
        <f>J380</f>
        <v>2027</v>
      </c>
      <c r="K397" s="515"/>
      <c r="L397" s="515"/>
      <c r="M397" s="347"/>
      <c r="N397" s="347"/>
    </row>
    <row r="398" spans="1:14" x14ac:dyDescent="0.25">
      <c r="A398" s="370"/>
      <c r="B398" s="371" t="s">
        <v>387</v>
      </c>
      <c r="C398" s="371" t="s">
        <v>388</v>
      </c>
      <c r="D398" s="371" t="s">
        <v>32</v>
      </c>
      <c r="E398" s="371"/>
      <c r="F398" s="371" t="s">
        <v>387</v>
      </c>
      <c r="G398" s="371" t="s">
        <v>388</v>
      </c>
      <c r="H398" s="371" t="s">
        <v>32</v>
      </c>
      <c r="I398" s="371"/>
      <c r="J398" s="371" t="s">
        <v>387</v>
      </c>
      <c r="K398" s="371" t="s">
        <v>388</v>
      </c>
      <c r="L398" s="371" t="s">
        <v>32</v>
      </c>
      <c r="M398" s="347"/>
      <c r="N398" s="347"/>
    </row>
    <row r="399" spans="1:14" s="286" customFormat="1" x14ac:dyDescent="0.25">
      <c r="A399" s="374"/>
      <c r="B399" s="375"/>
      <c r="C399" s="375"/>
      <c r="D399" s="375"/>
      <c r="E399" s="375"/>
      <c r="F399" s="375"/>
      <c r="G399" s="375"/>
      <c r="H399" s="375"/>
      <c r="I399" s="375"/>
      <c r="J399" s="375"/>
      <c r="K399" s="375"/>
      <c r="L399" s="375"/>
      <c r="M399" s="347"/>
      <c r="N399" s="347"/>
    </row>
    <row r="400" spans="1:14" x14ac:dyDescent="0.25">
      <c r="A400" s="362" t="str">
        <f>name!E$4</f>
        <v>Managers, directors and senior officials</v>
      </c>
      <c r="B400" s="440">
        <v>1.5597932697428822</v>
      </c>
      <c r="C400" s="440">
        <v>12.334881287328198</v>
      </c>
      <c r="D400" s="440">
        <f>SUM(B400:C400)</f>
        <v>13.894674557071081</v>
      </c>
      <c r="E400" s="441"/>
      <c r="F400" s="440">
        <v>2.6671596205141266</v>
      </c>
      <c r="G400" s="440">
        <v>17.297703510369029</v>
      </c>
      <c r="H400" s="440">
        <f>SUM(F400:G400)</f>
        <v>19.964863130883156</v>
      </c>
      <c r="I400" s="441"/>
      <c r="J400" s="440">
        <v>3.0868801492775497</v>
      </c>
      <c r="K400" s="440">
        <v>17.018290627182246</v>
      </c>
      <c r="L400" s="440">
        <f>SUM(J400:K400)</f>
        <v>20.105170776459797</v>
      </c>
      <c r="M400" s="347"/>
      <c r="N400" s="347"/>
    </row>
    <row r="401" spans="1:14" x14ac:dyDescent="0.25">
      <c r="A401" s="362" t="str">
        <f>name!E$5</f>
        <v>Professional occupations</v>
      </c>
      <c r="B401" s="440">
        <v>1.9878836292564865</v>
      </c>
      <c r="C401" s="440">
        <v>19.710413689237125</v>
      </c>
      <c r="D401" s="440">
        <f t="shared" ref="D401:D408" si="154">SUM(B401:C401)</f>
        <v>21.698297318493612</v>
      </c>
      <c r="E401" s="441"/>
      <c r="F401" s="440">
        <v>2.8063526978006776</v>
      </c>
      <c r="G401" s="440">
        <v>25.957763009101377</v>
      </c>
      <c r="H401" s="440">
        <f t="shared" ref="H401:H408" si="155">SUM(F401:G401)</f>
        <v>28.764115706902054</v>
      </c>
      <c r="I401" s="441"/>
      <c r="J401" s="440">
        <v>3.2856426934226168</v>
      </c>
      <c r="K401" s="440">
        <v>25.918858074390045</v>
      </c>
      <c r="L401" s="440">
        <f t="shared" ref="L401:L408" si="156">SUM(J401:K401)</f>
        <v>29.204500767812661</v>
      </c>
      <c r="M401" s="347"/>
      <c r="N401" s="347"/>
    </row>
    <row r="402" spans="1:14" x14ac:dyDescent="0.25">
      <c r="A402" s="362" t="str">
        <f>name!E$6</f>
        <v>Associate professional and technical</v>
      </c>
      <c r="B402" s="440">
        <v>2.3328730755711051</v>
      </c>
      <c r="C402" s="440">
        <v>13.946490984028479</v>
      </c>
      <c r="D402" s="440">
        <f t="shared" si="154"/>
        <v>16.279364059599583</v>
      </c>
      <c r="E402" s="441"/>
      <c r="F402" s="440">
        <v>3.0961536353300581</v>
      </c>
      <c r="G402" s="440">
        <v>15.710153793992337</v>
      </c>
      <c r="H402" s="440">
        <f t="shared" si="155"/>
        <v>18.806307429322395</v>
      </c>
      <c r="I402" s="441"/>
      <c r="J402" s="440">
        <v>3.391133563890159</v>
      </c>
      <c r="K402" s="440">
        <v>14.917077413556187</v>
      </c>
      <c r="L402" s="440">
        <f t="shared" si="156"/>
        <v>18.308210977446347</v>
      </c>
      <c r="M402" s="347"/>
      <c r="N402" s="347"/>
    </row>
    <row r="403" spans="1:14" x14ac:dyDescent="0.25">
      <c r="A403" s="362" t="str">
        <f>name!E$7</f>
        <v>Administrative and secretarial</v>
      </c>
      <c r="B403" s="440">
        <v>4.6531083354476728</v>
      </c>
      <c r="C403" s="440">
        <v>3.4791223185113545</v>
      </c>
      <c r="D403" s="440">
        <f t="shared" si="154"/>
        <v>8.1322306539590272</v>
      </c>
      <c r="E403" s="441"/>
      <c r="F403" s="440">
        <v>5.0784372865369383</v>
      </c>
      <c r="G403" s="440">
        <v>3.3598236819533942</v>
      </c>
      <c r="H403" s="440">
        <f t="shared" si="155"/>
        <v>8.4382609684903329</v>
      </c>
      <c r="I403" s="441"/>
      <c r="J403" s="440">
        <v>4.2356773202446538</v>
      </c>
      <c r="K403" s="440">
        <v>3.0800399407214751</v>
      </c>
      <c r="L403" s="440">
        <f t="shared" si="156"/>
        <v>7.315717260966129</v>
      </c>
      <c r="M403" s="347"/>
      <c r="N403" s="347"/>
    </row>
    <row r="404" spans="1:14" x14ac:dyDescent="0.25">
      <c r="A404" s="362" t="str">
        <f>name!E$8</f>
        <v>Skilled trades occupations</v>
      </c>
      <c r="B404" s="440">
        <v>0.88153599759636747</v>
      </c>
      <c r="C404" s="440">
        <v>32.854197448075993</v>
      </c>
      <c r="D404" s="440">
        <f t="shared" si="154"/>
        <v>33.735733445672359</v>
      </c>
      <c r="E404" s="441"/>
      <c r="F404" s="440">
        <v>0.92351797023750348</v>
      </c>
      <c r="G404" s="440">
        <v>34.000696293456734</v>
      </c>
      <c r="H404" s="440">
        <f t="shared" si="155"/>
        <v>34.924214263694239</v>
      </c>
      <c r="I404" s="441"/>
      <c r="J404" s="440">
        <v>0.76418791459012458</v>
      </c>
      <c r="K404" s="440">
        <v>28.847234757532288</v>
      </c>
      <c r="L404" s="440">
        <f t="shared" si="156"/>
        <v>29.611422672122412</v>
      </c>
      <c r="M404" s="347"/>
      <c r="N404" s="347"/>
    </row>
    <row r="405" spans="1:14" x14ac:dyDescent="0.25">
      <c r="A405" s="362" t="str">
        <f>name!E$9</f>
        <v>Caring, leisure and other service</v>
      </c>
      <c r="B405" s="440">
        <v>0.87137220395894788</v>
      </c>
      <c r="C405" s="440">
        <v>0.39920543693733718</v>
      </c>
      <c r="D405" s="440">
        <f t="shared" si="154"/>
        <v>1.270577640896285</v>
      </c>
      <c r="E405" s="441"/>
      <c r="F405" s="440">
        <v>1.2439031566569374</v>
      </c>
      <c r="G405" s="440">
        <v>0.68884290193623265</v>
      </c>
      <c r="H405" s="440">
        <f t="shared" si="155"/>
        <v>1.9327460585931702</v>
      </c>
      <c r="I405" s="441"/>
      <c r="J405" s="440">
        <v>1.2321575853041882</v>
      </c>
      <c r="K405" s="440">
        <v>0.79798127881762315</v>
      </c>
      <c r="L405" s="440">
        <f t="shared" si="156"/>
        <v>2.0301388641218114</v>
      </c>
      <c r="M405" s="347"/>
      <c r="N405" s="347"/>
    </row>
    <row r="406" spans="1:14" x14ac:dyDescent="0.25">
      <c r="A406" s="362" t="str">
        <f>name!E$10</f>
        <v>Sales and customer service</v>
      </c>
      <c r="B406" s="440">
        <v>0.89023720950705232</v>
      </c>
      <c r="C406" s="440">
        <v>1.453497533787651</v>
      </c>
      <c r="D406" s="440">
        <f t="shared" si="154"/>
        <v>2.3437347432947035</v>
      </c>
      <c r="E406" s="441"/>
      <c r="F406" s="440">
        <v>1.2824377516154413</v>
      </c>
      <c r="G406" s="440">
        <v>2.4228330983936912</v>
      </c>
      <c r="H406" s="440">
        <f t="shared" si="155"/>
        <v>3.7052708500091325</v>
      </c>
      <c r="I406" s="441"/>
      <c r="J406" s="440">
        <v>1.3691807817578765</v>
      </c>
      <c r="K406" s="440">
        <v>2.2154283949350777</v>
      </c>
      <c r="L406" s="440">
        <f t="shared" si="156"/>
        <v>3.584609176692954</v>
      </c>
      <c r="M406" s="347"/>
      <c r="N406" s="347"/>
    </row>
    <row r="407" spans="1:14" x14ac:dyDescent="0.25">
      <c r="A407" s="362" t="str">
        <f>name!E$11</f>
        <v>Process, plant and machine operatives</v>
      </c>
      <c r="B407" s="440">
        <v>3.2718285392931468</v>
      </c>
      <c r="C407" s="440">
        <v>17.044172198882134</v>
      </c>
      <c r="D407" s="440">
        <f t="shared" si="154"/>
        <v>20.31600073817528</v>
      </c>
      <c r="E407" s="441"/>
      <c r="F407" s="440">
        <v>2.8983018871734885</v>
      </c>
      <c r="G407" s="440">
        <v>15.972555587745182</v>
      </c>
      <c r="H407" s="440">
        <f t="shared" si="155"/>
        <v>18.870857474918672</v>
      </c>
      <c r="I407" s="441"/>
      <c r="J407" s="440">
        <v>2.1851481705321465</v>
      </c>
      <c r="K407" s="440">
        <v>13.815216956921558</v>
      </c>
      <c r="L407" s="440">
        <f t="shared" si="156"/>
        <v>16.000365127453705</v>
      </c>
      <c r="M407" s="347"/>
      <c r="N407" s="347"/>
    </row>
    <row r="408" spans="1:14" x14ac:dyDescent="0.25">
      <c r="A408" s="362" t="str">
        <f>name!E$12</f>
        <v>Elementary occupations</v>
      </c>
      <c r="B408" s="440">
        <v>1.3783677395134435</v>
      </c>
      <c r="C408" s="440">
        <v>3.9770191029895976</v>
      </c>
      <c r="D408" s="440">
        <f t="shared" si="154"/>
        <v>5.3553868425030409</v>
      </c>
      <c r="E408" s="441"/>
      <c r="F408" s="440">
        <v>1.4437359942099139</v>
      </c>
      <c r="G408" s="440">
        <v>4.2026281226448505</v>
      </c>
      <c r="H408" s="440">
        <f t="shared" si="155"/>
        <v>5.6463641168547642</v>
      </c>
      <c r="I408" s="441"/>
      <c r="J408" s="440">
        <v>1.3409918210222043</v>
      </c>
      <c r="K408" s="440">
        <v>3.6368725556391208</v>
      </c>
      <c r="L408" s="440">
        <f t="shared" si="156"/>
        <v>4.9778643766613246</v>
      </c>
      <c r="M408" s="347"/>
      <c r="N408" s="347"/>
    </row>
    <row r="409" spans="1:14" s="286" customFormat="1" x14ac:dyDescent="0.25">
      <c r="A409" s="362"/>
      <c r="B409" s="440"/>
      <c r="C409" s="440"/>
      <c r="D409" s="440"/>
      <c r="E409" s="441"/>
      <c r="F409" s="440"/>
      <c r="G409" s="440"/>
      <c r="H409" s="440"/>
      <c r="I409" s="441"/>
      <c r="J409" s="440"/>
      <c r="K409" s="440"/>
      <c r="L409" s="440"/>
      <c r="M409" s="347"/>
      <c r="N409" s="347"/>
    </row>
    <row r="410" spans="1:14" x14ac:dyDescent="0.25">
      <c r="A410" s="357" t="s">
        <v>32</v>
      </c>
      <c r="B410" s="450">
        <f>SUM(B400:B408)</f>
        <v>17.826999999887107</v>
      </c>
      <c r="C410" s="450">
        <f t="shared" ref="C410:D410" si="157">SUM(C400:C408)</f>
        <v>105.19899999977788</v>
      </c>
      <c r="D410" s="450">
        <f t="shared" si="157"/>
        <v>123.02599999966498</v>
      </c>
      <c r="E410" s="450"/>
      <c r="F410" s="450">
        <f t="shared" ref="F410:H410" si="158">SUM(F400:F408)</f>
        <v>21.440000000075084</v>
      </c>
      <c r="G410" s="450">
        <f t="shared" si="158"/>
        <v>119.61299999959282</v>
      </c>
      <c r="H410" s="450">
        <f t="shared" si="158"/>
        <v>141.05299999966792</v>
      </c>
      <c r="I410" s="450"/>
      <c r="J410" s="450">
        <f t="shared" ref="J410:L410" si="159">SUM(J400:J408)</f>
        <v>20.891000000041519</v>
      </c>
      <c r="K410" s="450">
        <f t="shared" si="159"/>
        <v>110.2469999996956</v>
      </c>
      <c r="L410" s="450">
        <f t="shared" si="159"/>
        <v>131.13799999973713</v>
      </c>
      <c r="M410" s="347"/>
      <c r="N410" s="347"/>
    </row>
    <row r="411" spans="1:14" x14ac:dyDescent="0.25">
      <c r="A411" s="348"/>
      <c r="B411" s="348"/>
      <c r="C411" s="348"/>
      <c r="D411" s="348"/>
      <c r="E411" s="348"/>
      <c r="F411" s="348"/>
      <c r="G411" s="348"/>
      <c r="H411" s="348"/>
      <c r="I411" s="348"/>
      <c r="J411" s="348"/>
      <c r="K411" s="348"/>
      <c r="L411" s="353"/>
      <c r="M411" s="347"/>
      <c r="N411" s="347"/>
    </row>
    <row r="412" spans="1:14" x14ac:dyDescent="0.25">
      <c r="A412" s="348"/>
      <c r="B412" s="348"/>
      <c r="C412" s="348"/>
      <c r="D412" s="348"/>
      <c r="E412" s="348"/>
      <c r="F412" s="348"/>
      <c r="G412" s="348"/>
      <c r="H412" s="348"/>
      <c r="I412" s="348"/>
      <c r="J412" s="348"/>
      <c r="K412" s="348"/>
      <c r="L412" s="372" t="s">
        <v>35</v>
      </c>
      <c r="M412" s="347"/>
      <c r="N412" s="347"/>
    </row>
    <row r="413" spans="1:14" x14ac:dyDescent="0.25">
      <c r="A413" s="355"/>
      <c r="B413" s="365"/>
      <c r="C413" s="365"/>
      <c r="D413" s="365"/>
      <c r="E413" s="365"/>
      <c r="F413" s="365"/>
      <c r="G413" s="365"/>
      <c r="H413" s="365"/>
      <c r="I413" s="365"/>
      <c r="J413" s="365"/>
      <c r="K413" s="365"/>
      <c r="L413" s="347"/>
      <c r="M413" s="347"/>
      <c r="N413" s="347"/>
    </row>
    <row r="414" spans="1:14" x14ac:dyDescent="0.25">
      <c r="A414" s="354" t="str">
        <f>name!A27</f>
        <v>Electricity, gas, etc</v>
      </c>
      <c r="B414" s="515">
        <f>B$6</f>
        <v>2007</v>
      </c>
      <c r="C414" s="515"/>
      <c r="D414" s="515"/>
      <c r="E414" s="369"/>
      <c r="F414" s="515">
        <f>F397</f>
        <v>2017</v>
      </c>
      <c r="G414" s="515"/>
      <c r="H414" s="515"/>
      <c r="I414" s="369"/>
      <c r="J414" s="515">
        <f>J397</f>
        <v>2027</v>
      </c>
      <c r="K414" s="515"/>
      <c r="L414" s="515"/>
      <c r="M414" s="347"/>
      <c r="N414" s="347"/>
    </row>
    <row r="415" spans="1:14" x14ac:dyDescent="0.25">
      <c r="A415" s="370"/>
      <c r="B415" s="371" t="s">
        <v>387</v>
      </c>
      <c r="C415" s="371" t="s">
        <v>388</v>
      </c>
      <c r="D415" s="371" t="s">
        <v>32</v>
      </c>
      <c r="E415" s="371"/>
      <c r="F415" s="371" t="s">
        <v>387</v>
      </c>
      <c r="G415" s="371" t="s">
        <v>388</v>
      </c>
      <c r="H415" s="371" t="s">
        <v>32</v>
      </c>
      <c r="I415" s="371"/>
      <c r="J415" s="371" t="s">
        <v>387</v>
      </c>
      <c r="K415" s="371" t="s">
        <v>388</v>
      </c>
      <c r="L415" s="371" t="s">
        <v>32</v>
      </c>
      <c r="M415" s="347"/>
      <c r="N415" s="347"/>
    </row>
    <row r="416" spans="1:14" s="286" customFormat="1" x14ac:dyDescent="0.25">
      <c r="A416" s="374"/>
      <c r="B416" s="375"/>
      <c r="C416" s="375"/>
      <c r="D416" s="375"/>
      <c r="E416" s="375"/>
      <c r="F416" s="375"/>
      <c r="G416" s="375"/>
      <c r="H416" s="375"/>
      <c r="I416" s="375"/>
      <c r="J416" s="375"/>
      <c r="K416" s="375"/>
      <c r="L416" s="375"/>
      <c r="M416" s="347"/>
      <c r="N416" s="347"/>
    </row>
    <row r="417" spans="1:14" x14ac:dyDescent="0.25">
      <c r="A417" s="362" t="str">
        <f>name!E$4</f>
        <v>Managers, directors and senior officials</v>
      </c>
      <c r="B417" s="440">
        <v>1.6364639169143069</v>
      </c>
      <c r="C417" s="440">
        <v>6.1237521588230033</v>
      </c>
      <c r="D417" s="440">
        <f>SUM(B417:C417)</f>
        <v>7.7602160757373104</v>
      </c>
      <c r="E417" s="441"/>
      <c r="F417" s="440">
        <v>3.8765163448448088</v>
      </c>
      <c r="G417" s="440">
        <v>12.113427831230576</v>
      </c>
      <c r="H417" s="440">
        <f>SUM(F417:G417)</f>
        <v>15.989944176075385</v>
      </c>
      <c r="I417" s="441"/>
      <c r="J417" s="440">
        <v>3.7748922188236671</v>
      </c>
      <c r="K417" s="440">
        <v>14.958953073524702</v>
      </c>
      <c r="L417" s="440">
        <f>SUM(J417:K417)</f>
        <v>18.73384529234837</v>
      </c>
      <c r="M417" s="347"/>
      <c r="N417" s="347"/>
    </row>
    <row r="418" spans="1:14" x14ac:dyDescent="0.25">
      <c r="A418" s="362" t="str">
        <f>name!E$5</f>
        <v>Professional occupations</v>
      </c>
      <c r="B418" s="440">
        <v>2.7969841075707635</v>
      </c>
      <c r="C418" s="440">
        <v>14.723062863516381</v>
      </c>
      <c r="D418" s="440">
        <f t="shared" ref="D418:D425" si="160">SUM(B418:C418)</f>
        <v>17.520046971087144</v>
      </c>
      <c r="E418" s="441"/>
      <c r="F418" s="440">
        <v>5.1047995704553948</v>
      </c>
      <c r="G418" s="440">
        <v>24.971285278674586</v>
      </c>
      <c r="H418" s="440">
        <f t="shared" ref="H418:H425" si="161">SUM(F418:G418)</f>
        <v>30.07608484912998</v>
      </c>
      <c r="I418" s="441"/>
      <c r="J418" s="440">
        <v>4.8130658078780071</v>
      </c>
      <c r="K418" s="440">
        <v>28.654937320719139</v>
      </c>
      <c r="L418" s="440">
        <f t="shared" ref="L418:L425" si="162">SUM(J418:K418)</f>
        <v>33.468003128597147</v>
      </c>
      <c r="M418" s="347"/>
      <c r="N418" s="347"/>
    </row>
    <row r="419" spans="1:14" x14ac:dyDescent="0.25">
      <c r="A419" s="362" t="str">
        <f>name!E$6</f>
        <v>Associate professional and technical</v>
      </c>
      <c r="B419" s="440">
        <v>3.2002152570632392</v>
      </c>
      <c r="C419" s="440">
        <v>8.8333892063857515</v>
      </c>
      <c r="D419" s="440">
        <f t="shared" si="160"/>
        <v>12.033604463448992</v>
      </c>
      <c r="E419" s="441"/>
      <c r="F419" s="440">
        <v>5.5822800264312331</v>
      </c>
      <c r="G419" s="440">
        <v>17.420179643140163</v>
      </c>
      <c r="H419" s="440">
        <f t="shared" si="161"/>
        <v>23.002459669571394</v>
      </c>
      <c r="I419" s="441"/>
      <c r="J419" s="440">
        <v>4.9979474057001845</v>
      </c>
      <c r="K419" s="440">
        <v>19.573429456186453</v>
      </c>
      <c r="L419" s="440">
        <f t="shared" si="162"/>
        <v>24.571376861886637</v>
      </c>
      <c r="M419" s="347"/>
      <c r="N419" s="347"/>
    </row>
    <row r="420" spans="1:14" x14ac:dyDescent="0.25">
      <c r="A420" s="362" t="str">
        <f>name!E$7</f>
        <v>Administrative and secretarial</v>
      </c>
      <c r="B420" s="440">
        <v>7.409623011154264</v>
      </c>
      <c r="C420" s="440">
        <v>3.0413279307237473</v>
      </c>
      <c r="D420" s="440">
        <f t="shared" si="160"/>
        <v>10.450950941878011</v>
      </c>
      <c r="E420" s="441"/>
      <c r="F420" s="440">
        <v>9.9199041003132056</v>
      </c>
      <c r="G420" s="440">
        <v>5.4325015841378095</v>
      </c>
      <c r="H420" s="440">
        <f t="shared" si="161"/>
        <v>15.352405684451014</v>
      </c>
      <c r="I420" s="441"/>
      <c r="J420" s="440">
        <v>5.9724511246009033</v>
      </c>
      <c r="K420" s="440">
        <v>5.4891031531977168</v>
      </c>
      <c r="L420" s="440">
        <f t="shared" si="162"/>
        <v>11.461554277798619</v>
      </c>
      <c r="M420" s="347"/>
      <c r="N420" s="347"/>
    </row>
    <row r="421" spans="1:14" x14ac:dyDescent="0.25">
      <c r="A421" s="362" t="str">
        <f>name!E$8</f>
        <v>Skilled trades occupations</v>
      </c>
      <c r="B421" s="440">
        <v>0.54058938099091525</v>
      </c>
      <c r="C421" s="440">
        <v>16.669233374343513</v>
      </c>
      <c r="D421" s="440">
        <f t="shared" si="160"/>
        <v>17.209822755334429</v>
      </c>
      <c r="E421" s="441"/>
      <c r="F421" s="440">
        <v>0.86094656933138236</v>
      </c>
      <c r="G421" s="440">
        <v>25.596099164198638</v>
      </c>
      <c r="H421" s="440">
        <f t="shared" si="161"/>
        <v>26.45704573353002</v>
      </c>
      <c r="I421" s="441"/>
      <c r="J421" s="440">
        <v>0.64160789681495789</v>
      </c>
      <c r="K421" s="440">
        <v>24.50048257488778</v>
      </c>
      <c r="L421" s="440">
        <f t="shared" si="162"/>
        <v>25.142090471702737</v>
      </c>
      <c r="M421" s="347"/>
      <c r="N421" s="347"/>
    </row>
    <row r="422" spans="1:14" x14ac:dyDescent="0.25">
      <c r="A422" s="362" t="str">
        <f>name!E$9</f>
        <v>Caring, leisure and other service</v>
      </c>
      <c r="B422" s="440">
        <v>1.709858468407222</v>
      </c>
      <c r="C422" s="440">
        <v>0.70521472022695908</v>
      </c>
      <c r="D422" s="440">
        <f t="shared" si="160"/>
        <v>2.4150731886341812</v>
      </c>
      <c r="E422" s="441"/>
      <c r="F422" s="440">
        <v>2.2352848861400845</v>
      </c>
      <c r="G422" s="440">
        <v>1.2411073589621919</v>
      </c>
      <c r="H422" s="440">
        <f t="shared" si="161"/>
        <v>3.4763922451022764</v>
      </c>
      <c r="I422" s="441"/>
      <c r="J422" s="440">
        <v>1.8724470749740976</v>
      </c>
      <c r="K422" s="440">
        <v>1.4281169633244539</v>
      </c>
      <c r="L422" s="440">
        <f t="shared" si="162"/>
        <v>3.3005640382985515</v>
      </c>
      <c r="M422" s="347"/>
      <c r="N422" s="347"/>
    </row>
    <row r="423" spans="1:14" x14ac:dyDescent="0.25">
      <c r="A423" s="362" t="str">
        <f>name!E$10</f>
        <v>Sales and customer service</v>
      </c>
      <c r="B423" s="440">
        <v>6.0982995558637798</v>
      </c>
      <c r="C423" s="440">
        <v>5.9224757319135275</v>
      </c>
      <c r="D423" s="440">
        <f t="shared" si="160"/>
        <v>12.020775287777308</v>
      </c>
      <c r="E423" s="441"/>
      <c r="F423" s="440">
        <v>10.568142747120101</v>
      </c>
      <c r="G423" s="440">
        <v>8.8297376169331514</v>
      </c>
      <c r="H423" s="440">
        <f t="shared" si="161"/>
        <v>19.39788036405325</v>
      </c>
      <c r="I423" s="441"/>
      <c r="J423" s="440">
        <v>9.1858831600846838</v>
      </c>
      <c r="K423" s="440">
        <v>9.3927056695306099</v>
      </c>
      <c r="L423" s="440">
        <f t="shared" si="162"/>
        <v>18.578588829615292</v>
      </c>
      <c r="M423" s="347"/>
      <c r="N423" s="347"/>
    </row>
    <row r="424" spans="1:14" x14ac:dyDescent="0.25">
      <c r="A424" s="362" t="str">
        <f>name!E$11</f>
        <v>Process, plant and machine operatives</v>
      </c>
      <c r="B424" s="440">
        <v>0.15403575790422355</v>
      </c>
      <c r="C424" s="440">
        <v>3.5313435061580685</v>
      </c>
      <c r="D424" s="440">
        <f t="shared" si="160"/>
        <v>3.6853792640622922</v>
      </c>
      <c r="E424" s="441"/>
      <c r="F424" s="440">
        <v>0.23113958839623583</v>
      </c>
      <c r="G424" s="440">
        <v>7.1518942537257599</v>
      </c>
      <c r="H424" s="440">
        <f t="shared" si="161"/>
        <v>7.3830338421219954</v>
      </c>
      <c r="I424" s="441"/>
      <c r="J424" s="440">
        <v>0.13647023299214975</v>
      </c>
      <c r="K424" s="440">
        <v>7.2685686127977549</v>
      </c>
      <c r="L424" s="440">
        <f t="shared" si="162"/>
        <v>7.405038845789905</v>
      </c>
      <c r="M424" s="347"/>
      <c r="N424" s="347"/>
    </row>
    <row r="425" spans="1:14" x14ac:dyDescent="0.25">
      <c r="A425" s="362" t="str">
        <f>name!E$12</f>
        <v>Elementary occupations</v>
      </c>
      <c r="B425" s="440">
        <v>0.53693054397927764</v>
      </c>
      <c r="C425" s="440">
        <v>1.3602005077702533</v>
      </c>
      <c r="D425" s="440">
        <f t="shared" si="160"/>
        <v>1.8971310517495308</v>
      </c>
      <c r="E425" s="441"/>
      <c r="F425" s="440">
        <v>0.93398616691666736</v>
      </c>
      <c r="G425" s="440">
        <v>1.929767268545455</v>
      </c>
      <c r="H425" s="440">
        <f t="shared" si="161"/>
        <v>2.8637534354621224</v>
      </c>
      <c r="I425" s="441"/>
      <c r="J425" s="440">
        <v>0.69323507799113526</v>
      </c>
      <c r="K425" s="440">
        <v>1.818703175521861</v>
      </c>
      <c r="L425" s="440">
        <f t="shared" si="162"/>
        <v>2.5119382535129962</v>
      </c>
      <c r="M425" s="347"/>
      <c r="N425" s="347"/>
    </row>
    <row r="426" spans="1:14" s="286" customFormat="1" x14ac:dyDescent="0.25">
      <c r="A426" s="362"/>
      <c r="B426" s="440"/>
      <c r="C426" s="440"/>
      <c r="D426" s="440"/>
      <c r="E426" s="441"/>
      <c r="F426" s="440"/>
      <c r="G426" s="440"/>
      <c r="H426" s="440"/>
      <c r="I426" s="441"/>
      <c r="J426" s="440"/>
      <c r="K426" s="440"/>
      <c r="L426" s="440"/>
      <c r="M426" s="347"/>
      <c r="N426" s="347"/>
    </row>
    <row r="427" spans="1:14" x14ac:dyDescent="0.25">
      <c r="A427" s="357" t="s">
        <v>32</v>
      </c>
      <c r="B427" s="450">
        <f>SUM(B417:B425)</f>
        <v>24.082999999847992</v>
      </c>
      <c r="C427" s="450">
        <f t="shared" ref="C427:D427" si="163">SUM(C417:C425)</f>
        <v>60.909999999861206</v>
      </c>
      <c r="D427" s="450">
        <f t="shared" si="163"/>
        <v>84.992999999709198</v>
      </c>
      <c r="E427" s="450"/>
      <c r="F427" s="450">
        <f t="shared" ref="F427:H427" si="164">SUM(F417:F425)</f>
        <v>39.31299999994912</v>
      </c>
      <c r="G427" s="450">
        <f t="shared" si="164"/>
        <v>104.68599999954833</v>
      </c>
      <c r="H427" s="450">
        <f t="shared" si="164"/>
        <v>143.99899999949744</v>
      </c>
      <c r="I427" s="450"/>
      <c r="J427" s="450">
        <f t="shared" ref="J427:L427" si="165">SUM(J417:J425)</f>
        <v>32.087999999859782</v>
      </c>
      <c r="K427" s="450">
        <f t="shared" si="165"/>
        <v>113.08499999969047</v>
      </c>
      <c r="L427" s="450">
        <f t="shared" si="165"/>
        <v>145.17299999955026</v>
      </c>
      <c r="M427" s="347"/>
      <c r="N427" s="347"/>
    </row>
    <row r="428" spans="1:14" x14ac:dyDescent="0.25">
      <c r="A428" s="348"/>
      <c r="B428" s="348"/>
      <c r="C428" s="348"/>
      <c r="D428" s="348"/>
      <c r="E428" s="348"/>
      <c r="F428" s="348"/>
      <c r="G428" s="348"/>
      <c r="H428" s="348"/>
      <c r="I428" s="348"/>
      <c r="J428" s="348"/>
      <c r="K428" s="348"/>
      <c r="L428" s="353"/>
      <c r="M428" s="347"/>
      <c r="N428" s="347"/>
    </row>
    <row r="429" spans="1:14" x14ac:dyDescent="0.25">
      <c r="A429" s="348"/>
      <c r="B429" s="348"/>
      <c r="C429" s="348"/>
      <c r="D429" s="348"/>
      <c r="E429" s="348"/>
      <c r="F429" s="348"/>
      <c r="G429" s="348"/>
      <c r="H429" s="348"/>
      <c r="I429" s="348"/>
      <c r="J429" s="348"/>
      <c r="K429" s="348"/>
      <c r="L429" s="372" t="s">
        <v>35</v>
      </c>
      <c r="M429" s="347"/>
      <c r="N429" s="347"/>
    </row>
    <row r="430" spans="1:14" x14ac:dyDescent="0.25">
      <c r="A430" s="355"/>
      <c r="B430" s="365"/>
      <c r="C430" s="365"/>
      <c r="D430" s="365"/>
      <c r="E430" s="365"/>
      <c r="F430" s="365"/>
      <c r="G430" s="365"/>
      <c r="H430" s="365"/>
      <c r="I430" s="365"/>
      <c r="J430" s="365"/>
      <c r="K430" s="365"/>
      <c r="L430" s="347"/>
      <c r="M430" s="347"/>
      <c r="N430" s="347"/>
    </row>
    <row r="431" spans="1:14" x14ac:dyDescent="0.25">
      <c r="A431" s="354" t="str">
        <f>name!A28</f>
        <v>Water</v>
      </c>
      <c r="B431" s="515">
        <f>B$6</f>
        <v>2007</v>
      </c>
      <c r="C431" s="515"/>
      <c r="D431" s="515"/>
      <c r="E431" s="369"/>
      <c r="F431" s="515">
        <f>F414</f>
        <v>2017</v>
      </c>
      <c r="G431" s="515"/>
      <c r="H431" s="515"/>
      <c r="I431" s="369"/>
      <c r="J431" s="515">
        <f>J414</f>
        <v>2027</v>
      </c>
      <c r="K431" s="515"/>
      <c r="L431" s="515"/>
      <c r="M431" s="347"/>
      <c r="N431" s="347"/>
    </row>
    <row r="432" spans="1:14" x14ac:dyDescent="0.25">
      <c r="A432" s="370"/>
      <c r="B432" s="371" t="s">
        <v>387</v>
      </c>
      <c r="C432" s="371" t="s">
        <v>388</v>
      </c>
      <c r="D432" s="371" t="s">
        <v>32</v>
      </c>
      <c r="E432" s="371"/>
      <c r="F432" s="371" t="s">
        <v>387</v>
      </c>
      <c r="G432" s="371" t="s">
        <v>388</v>
      </c>
      <c r="H432" s="371" t="s">
        <v>32</v>
      </c>
      <c r="I432" s="371"/>
      <c r="J432" s="371" t="s">
        <v>387</v>
      </c>
      <c r="K432" s="371" t="s">
        <v>388</v>
      </c>
      <c r="L432" s="371" t="s">
        <v>32</v>
      </c>
      <c r="M432" s="347"/>
      <c r="N432" s="347"/>
    </row>
    <row r="433" spans="1:14" s="286" customFormat="1" x14ac:dyDescent="0.25">
      <c r="A433" s="374"/>
      <c r="B433" s="375"/>
      <c r="C433" s="375"/>
      <c r="D433" s="375"/>
      <c r="E433" s="375"/>
      <c r="F433" s="375"/>
      <c r="G433" s="375"/>
      <c r="H433" s="375"/>
      <c r="I433" s="375"/>
      <c r="J433" s="375"/>
      <c r="K433" s="375"/>
      <c r="L433" s="375"/>
      <c r="M433" s="347"/>
      <c r="N433" s="347"/>
    </row>
    <row r="434" spans="1:14" x14ac:dyDescent="0.25">
      <c r="A434" s="362" t="str">
        <f>name!E$4</f>
        <v>Managers, directors and senior officials</v>
      </c>
      <c r="B434" s="440">
        <v>0.55348274785414997</v>
      </c>
      <c r="C434" s="440">
        <v>2.4705838885465043</v>
      </c>
      <c r="D434" s="440">
        <f>SUM(B434:C434)</f>
        <v>3.0240666364006543</v>
      </c>
      <c r="E434" s="441"/>
      <c r="F434" s="440">
        <v>0.98925401445756311</v>
      </c>
      <c r="G434" s="440">
        <v>3.6824017887206955</v>
      </c>
      <c r="H434" s="440">
        <f>SUM(F434:G434)</f>
        <v>4.6716558031782585</v>
      </c>
      <c r="I434" s="441"/>
      <c r="J434" s="440">
        <v>1.5462716285554794</v>
      </c>
      <c r="K434" s="440">
        <v>4.3236163156005754</v>
      </c>
      <c r="L434" s="440">
        <f>SUM(J434:K434)</f>
        <v>5.869887944156055</v>
      </c>
      <c r="M434" s="347"/>
      <c r="N434" s="347"/>
    </row>
    <row r="435" spans="1:14" x14ac:dyDescent="0.25">
      <c r="A435" s="362" t="str">
        <f>name!E$5</f>
        <v>Professional occupations</v>
      </c>
      <c r="B435" s="440">
        <v>1.0140561300390396</v>
      </c>
      <c r="C435" s="440">
        <v>4.2510411929707486</v>
      </c>
      <c r="D435" s="440">
        <f t="shared" ref="D435:D442" si="166">SUM(B435:C435)</f>
        <v>5.2650973230097886</v>
      </c>
      <c r="E435" s="441"/>
      <c r="F435" s="440">
        <v>1.7240946333740499</v>
      </c>
      <c r="G435" s="440">
        <v>4.9219767342337599</v>
      </c>
      <c r="H435" s="440">
        <f t="shared" ref="H435:H442" si="167">SUM(F435:G435)</f>
        <v>6.64607136760781</v>
      </c>
      <c r="I435" s="441"/>
      <c r="J435" s="440">
        <v>2.789578041061898</v>
      </c>
      <c r="K435" s="440">
        <v>5.6129485290638783</v>
      </c>
      <c r="L435" s="440">
        <f t="shared" ref="L435:L442" si="168">SUM(J435:K435)</f>
        <v>8.4025265701257759</v>
      </c>
      <c r="M435" s="347"/>
      <c r="N435" s="347"/>
    </row>
    <row r="436" spans="1:14" x14ac:dyDescent="0.25">
      <c r="A436" s="362" t="str">
        <f>name!E$6</f>
        <v>Associate professional and technical</v>
      </c>
      <c r="B436" s="440">
        <v>1.5826529445764432</v>
      </c>
      <c r="C436" s="440">
        <v>3.8195182217196617</v>
      </c>
      <c r="D436" s="440">
        <f t="shared" si="166"/>
        <v>5.4021711662961049</v>
      </c>
      <c r="E436" s="441"/>
      <c r="F436" s="440">
        <v>2.4389214381359126</v>
      </c>
      <c r="G436" s="440">
        <v>4.3319247734948396</v>
      </c>
      <c r="H436" s="440">
        <f t="shared" si="167"/>
        <v>6.7708462116307526</v>
      </c>
      <c r="I436" s="441"/>
      <c r="J436" s="440">
        <v>3.5030500113035932</v>
      </c>
      <c r="K436" s="440">
        <v>4.9075751311811331</v>
      </c>
      <c r="L436" s="440">
        <f t="shared" si="168"/>
        <v>8.4106251424847258</v>
      </c>
      <c r="M436" s="347"/>
      <c r="N436" s="347"/>
    </row>
    <row r="437" spans="1:14" x14ac:dyDescent="0.25">
      <c r="A437" s="362" t="str">
        <f>name!E$7</f>
        <v>Administrative and secretarial</v>
      </c>
      <c r="B437" s="440">
        <v>1.8443466051111463</v>
      </c>
      <c r="C437" s="440">
        <v>0.99345647454894626</v>
      </c>
      <c r="D437" s="440">
        <f t="shared" si="166"/>
        <v>2.8378030796600928</v>
      </c>
      <c r="E437" s="441"/>
      <c r="F437" s="440">
        <v>2.4751835443030004</v>
      </c>
      <c r="G437" s="440">
        <v>1.0249395565318797</v>
      </c>
      <c r="H437" s="440">
        <f t="shared" si="167"/>
        <v>3.5001231008348803</v>
      </c>
      <c r="I437" s="441"/>
      <c r="J437" s="440">
        <v>2.5668714423085452</v>
      </c>
      <c r="K437" s="440">
        <v>1.1716780956234718</v>
      </c>
      <c r="L437" s="440">
        <f t="shared" si="168"/>
        <v>3.7385495379320171</v>
      </c>
      <c r="M437" s="347"/>
      <c r="N437" s="347"/>
    </row>
    <row r="438" spans="1:14" x14ac:dyDescent="0.25">
      <c r="A438" s="362" t="str">
        <f>name!E$8</f>
        <v>Skilled trades occupations</v>
      </c>
      <c r="B438" s="440">
        <v>0.16818456527999917</v>
      </c>
      <c r="C438" s="440">
        <v>4.3514537962915689</v>
      </c>
      <c r="D438" s="440">
        <f t="shared" si="166"/>
        <v>4.5196383615715678</v>
      </c>
      <c r="E438" s="441"/>
      <c r="F438" s="440">
        <v>0.19293596237519689</v>
      </c>
      <c r="G438" s="440">
        <v>5.1653238193964723</v>
      </c>
      <c r="H438" s="440">
        <f t="shared" si="167"/>
        <v>5.3582597817716691</v>
      </c>
      <c r="I438" s="441"/>
      <c r="J438" s="440">
        <v>0.22770070195474978</v>
      </c>
      <c r="K438" s="440">
        <v>4.8747012537152603</v>
      </c>
      <c r="L438" s="440">
        <f t="shared" si="168"/>
        <v>5.1024019556700102</v>
      </c>
      <c r="M438" s="347"/>
      <c r="N438" s="347"/>
    </row>
    <row r="439" spans="1:14" x14ac:dyDescent="0.25">
      <c r="A439" s="362" t="str">
        <f>name!E$9</f>
        <v>Caring, leisure and other service</v>
      </c>
      <c r="B439" s="440">
        <v>0.46152698921230412</v>
      </c>
      <c r="C439" s="440">
        <v>5.2702220475324621E-2</v>
      </c>
      <c r="D439" s="440">
        <f t="shared" si="166"/>
        <v>0.51422920968762875</v>
      </c>
      <c r="E439" s="441"/>
      <c r="F439" s="440">
        <v>0.45279310464496636</v>
      </c>
      <c r="G439" s="440">
        <v>7.470040215481541E-2</v>
      </c>
      <c r="H439" s="440">
        <f t="shared" si="167"/>
        <v>0.5274935067997818</v>
      </c>
      <c r="I439" s="441"/>
      <c r="J439" s="440">
        <v>0.65326300643397406</v>
      </c>
      <c r="K439" s="440">
        <v>9.684000464075998E-2</v>
      </c>
      <c r="L439" s="440">
        <f t="shared" si="168"/>
        <v>0.75010301107473398</v>
      </c>
      <c r="M439" s="347"/>
      <c r="N439" s="347"/>
    </row>
    <row r="440" spans="1:14" x14ac:dyDescent="0.25">
      <c r="A440" s="362" t="str">
        <f>name!E$10</f>
        <v>Sales and customer service</v>
      </c>
      <c r="B440" s="440">
        <v>1.1182662132451757</v>
      </c>
      <c r="C440" s="440">
        <v>1.0005463581870375</v>
      </c>
      <c r="D440" s="440">
        <f t="shared" si="166"/>
        <v>2.1188125714322132</v>
      </c>
      <c r="E440" s="441"/>
      <c r="F440" s="440">
        <v>1.7889900017047426</v>
      </c>
      <c r="G440" s="440">
        <v>1.1404433475374209</v>
      </c>
      <c r="H440" s="440">
        <f t="shared" si="167"/>
        <v>2.9294333492421636</v>
      </c>
      <c r="I440" s="441"/>
      <c r="J440" s="440">
        <v>2.2735606491989668</v>
      </c>
      <c r="K440" s="440">
        <v>1.3164740956957406</v>
      </c>
      <c r="L440" s="440">
        <f t="shared" si="168"/>
        <v>3.5900347448947074</v>
      </c>
      <c r="M440" s="347"/>
      <c r="N440" s="347"/>
    </row>
    <row r="441" spans="1:14" x14ac:dyDescent="0.25">
      <c r="A441" s="362" t="str">
        <f>name!E$11</f>
        <v>Process, plant and machine operatives</v>
      </c>
      <c r="B441" s="440">
        <v>0.13029015285682516</v>
      </c>
      <c r="C441" s="440">
        <v>5.5135647447272875</v>
      </c>
      <c r="D441" s="440">
        <f t="shared" si="166"/>
        <v>5.643854897584113</v>
      </c>
      <c r="E441" s="441"/>
      <c r="F441" s="440">
        <v>0.13493818055853951</v>
      </c>
      <c r="G441" s="440">
        <v>5.1307525760910302</v>
      </c>
      <c r="H441" s="440">
        <f t="shared" si="167"/>
        <v>5.2656907566495699</v>
      </c>
      <c r="I441" s="441"/>
      <c r="J441" s="440">
        <v>0.10839939239996212</v>
      </c>
      <c r="K441" s="440">
        <v>4.9014741497543817</v>
      </c>
      <c r="L441" s="440">
        <f t="shared" si="168"/>
        <v>5.0098735421543434</v>
      </c>
      <c r="M441" s="347"/>
      <c r="N441" s="347"/>
    </row>
    <row r="442" spans="1:14" x14ac:dyDescent="0.25">
      <c r="A442" s="362" t="str">
        <f>name!E$12</f>
        <v>Elementary occupations</v>
      </c>
      <c r="B442" s="440">
        <v>0.40219365179475552</v>
      </c>
      <c r="C442" s="440">
        <v>0.96013310248806538</v>
      </c>
      <c r="D442" s="440">
        <f t="shared" si="166"/>
        <v>1.362326754282821</v>
      </c>
      <c r="E442" s="441"/>
      <c r="F442" s="440">
        <v>0.3938891204257467</v>
      </c>
      <c r="G442" s="440">
        <v>1.02953700172954</v>
      </c>
      <c r="H442" s="440">
        <f t="shared" si="167"/>
        <v>1.4234261221552866</v>
      </c>
      <c r="I442" s="441"/>
      <c r="J442" s="440">
        <v>0.37430512674907945</v>
      </c>
      <c r="K442" s="440">
        <v>1.0616924246527957</v>
      </c>
      <c r="L442" s="440">
        <f t="shared" si="168"/>
        <v>1.4359975514018752</v>
      </c>
      <c r="M442" s="347"/>
      <c r="N442" s="347"/>
    </row>
    <row r="443" spans="1:14" s="286" customFormat="1" x14ac:dyDescent="0.25">
      <c r="A443" s="362"/>
      <c r="B443" s="440"/>
      <c r="C443" s="440"/>
      <c r="D443" s="440"/>
      <c r="E443" s="441"/>
      <c r="F443" s="440"/>
      <c r="G443" s="440"/>
      <c r="H443" s="440"/>
      <c r="I443" s="441"/>
      <c r="J443" s="440"/>
      <c r="K443" s="440"/>
      <c r="L443" s="440"/>
      <c r="M443" s="347"/>
      <c r="N443" s="347"/>
    </row>
    <row r="444" spans="1:14" x14ac:dyDescent="0.25">
      <c r="A444" s="357" t="s">
        <v>32</v>
      </c>
      <c r="B444" s="450">
        <f>SUM(B434:B442)</f>
        <v>7.2749999999698387</v>
      </c>
      <c r="C444" s="450">
        <f t="shared" ref="C444:D444" si="169">SUM(C434:C442)</f>
        <v>23.412999999955144</v>
      </c>
      <c r="D444" s="450">
        <f t="shared" si="169"/>
        <v>30.687999999924983</v>
      </c>
      <c r="E444" s="450"/>
      <c r="F444" s="450">
        <f t="shared" ref="F444:H444" si="170">SUM(F434:F442)</f>
        <v>10.590999999979719</v>
      </c>
      <c r="G444" s="450">
        <f t="shared" si="170"/>
        <v>26.501999999890455</v>
      </c>
      <c r="H444" s="450">
        <f t="shared" si="170"/>
        <v>37.092999999870166</v>
      </c>
      <c r="I444" s="450"/>
      <c r="J444" s="450">
        <f t="shared" ref="J444:L444" si="171">SUM(J434:J442)</f>
        <v>14.042999999966248</v>
      </c>
      <c r="K444" s="450">
        <f t="shared" si="171"/>
        <v>28.266999999927993</v>
      </c>
      <c r="L444" s="450">
        <f t="shared" si="171"/>
        <v>42.309999999894245</v>
      </c>
      <c r="M444" s="347"/>
      <c r="N444" s="347"/>
    </row>
    <row r="445" spans="1:14" x14ac:dyDescent="0.25">
      <c r="A445" s="348"/>
      <c r="B445" s="348"/>
      <c r="C445" s="348"/>
      <c r="D445" s="348"/>
      <c r="E445" s="348"/>
      <c r="F445" s="348"/>
      <c r="G445" s="348"/>
      <c r="H445" s="348"/>
      <c r="I445" s="348"/>
      <c r="J445" s="348"/>
      <c r="K445" s="348"/>
      <c r="L445" s="353"/>
      <c r="M445" s="347"/>
      <c r="N445" s="347"/>
    </row>
    <row r="446" spans="1:14" x14ac:dyDescent="0.25">
      <c r="A446" s="348"/>
      <c r="B446" s="348"/>
      <c r="C446" s="348"/>
      <c r="D446" s="348"/>
      <c r="E446" s="348"/>
      <c r="F446" s="348"/>
      <c r="G446" s="348"/>
      <c r="H446" s="348"/>
      <c r="I446" s="348"/>
      <c r="J446" s="348"/>
      <c r="K446" s="348"/>
      <c r="L446" s="372" t="s">
        <v>35</v>
      </c>
      <c r="M446" s="347"/>
      <c r="N446" s="347"/>
    </row>
    <row r="447" spans="1:14" x14ac:dyDescent="0.25">
      <c r="A447" s="355"/>
      <c r="B447" s="365"/>
      <c r="C447" s="365"/>
      <c r="D447" s="365"/>
      <c r="E447" s="365"/>
      <c r="F447" s="365"/>
      <c r="G447" s="365"/>
      <c r="H447" s="365"/>
      <c r="I447" s="365"/>
      <c r="J447" s="365"/>
      <c r="K447" s="365"/>
      <c r="L447" s="347"/>
      <c r="M447" s="347"/>
      <c r="N447" s="347"/>
    </row>
    <row r="448" spans="1:14" x14ac:dyDescent="0.25">
      <c r="A448" s="354" t="str">
        <f>name!A29</f>
        <v>Sewerage</v>
      </c>
      <c r="B448" s="515">
        <f>B$6</f>
        <v>2007</v>
      </c>
      <c r="C448" s="515"/>
      <c r="D448" s="515"/>
      <c r="E448" s="369"/>
      <c r="F448" s="515">
        <f>F431</f>
        <v>2017</v>
      </c>
      <c r="G448" s="515"/>
      <c r="H448" s="515"/>
      <c r="I448" s="369"/>
      <c r="J448" s="515">
        <f>J431</f>
        <v>2027</v>
      </c>
      <c r="K448" s="515"/>
      <c r="L448" s="515"/>
      <c r="M448" s="347"/>
      <c r="N448" s="347"/>
    </row>
    <row r="449" spans="1:14" x14ac:dyDescent="0.25">
      <c r="A449" s="370"/>
      <c r="B449" s="371" t="s">
        <v>387</v>
      </c>
      <c r="C449" s="371" t="s">
        <v>388</v>
      </c>
      <c r="D449" s="371" t="s">
        <v>32</v>
      </c>
      <c r="E449" s="371"/>
      <c r="F449" s="371" t="s">
        <v>387</v>
      </c>
      <c r="G449" s="371" t="s">
        <v>388</v>
      </c>
      <c r="H449" s="371" t="s">
        <v>32</v>
      </c>
      <c r="I449" s="371"/>
      <c r="J449" s="371" t="s">
        <v>387</v>
      </c>
      <c r="K449" s="371" t="s">
        <v>388</v>
      </c>
      <c r="L449" s="371" t="s">
        <v>32</v>
      </c>
      <c r="M449" s="347"/>
      <c r="N449" s="347"/>
    </row>
    <row r="450" spans="1:14" s="286" customFormat="1" x14ac:dyDescent="0.25">
      <c r="A450" s="374"/>
      <c r="B450" s="375"/>
      <c r="C450" s="375"/>
      <c r="D450" s="375"/>
      <c r="E450" s="375"/>
      <c r="F450" s="375"/>
      <c r="G450" s="375"/>
      <c r="H450" s="375"/>
      <c r="I450" s="375"/>
      <c r="J450" s="375"/>
      <c r="K450" s="375"/>
      <c r="L450" s="375"/>
      <c r="M450" s="347"/>
      <c r="N450" s="347"/>
    </row>
    <row r="451" spans="1:14" x14ac:dyDescent="0.25">
      <c r="A451" s="362" t="str">
        <f>name!E$4</f>
        <v>Managers, directors and senior officials</v>
      </c>
      <c r="B451" s="440">
        <v>0.15216812635719526</v>
      </c>
      <c r="C451" s="440">
        <v>0.77193712753748855</v>
      </c>
      <c r="D451" s="440">
        <f>SUM(B451:C451)</f>
        <v>0.92410525389468379</v>
      </c>
      <c r="E451" s="441"/>
      <c r="F451" s="440">
        <v>0.477662777232782</v>
      </c>
      <c r="G451" s="440">
        <v>1.5316489207819399</v>
      </c>
      <c r="H451" s="440">
        <f>SUM(F451:G451)</f>
        <v>2.0093116980147219</v>
      </c>
      <c r="I451" s="441"/>
      <c r="J451" s="440">
        <v>0.44072003712235952</v>
      </c>
      <c r="K451" s="440">
        <v>1.6226987649697884</v>
      </c>
      <c r="L451" s="440">
        <f>SUM(J451:K451)</f>
        <v>2.0634188020921478</v>
      </c>
      <c r="M451" s="347"/>
      <c r="N451" s="347"/>
    </row>
    <row r="452" spans="1:14" x14ac:dyDescent="0.25">
      <c r="A452" s="362" t="str">
        <f>name!E$5</f>
        <v>Professional occupations</v>
      </c>
      <c r="B452" s="440">
        <v>0.17507175530282051</v>
      </c>
      <c r="C452" s="440">
        <v>1.0427157001308642</v>
      </c>
      <c r="D452" s="440">
        <f t="shared" ref="D452:D459" si="172">SUM(B452:C452)</f>
        <v>1.2177874554336847</v>
      </c>
      <c r="E452" s="441"/>
      <c r="F452" s="440">
        <v>0.61338231089501372</v>
      </c>
      <c r="G452" s="440">
        <v>1.1853000382772034</v>
      </c>
      <c r="H452" s="440">
        <f t="shared" ref="H452:H459" si="173">SUM(F452:G452)</f>
        <v>1.7986823491722173</v>
      </c>
      <c r="I452" s="441"/>
      <c r="J452" s="440">
        <v>0.61841872943781151</v>
      </c>
      <c r="K452" s="440">
        <v>1.2854593878086047</v>
      </c>
      <c r="L452" s="440">
        <f t="shared" ref="L452:L459" si="174">SUM(J452:K452)</f>
        <v>1.9038781172464163</v>
      </c>
      <c r="M452" s="347"/>
      <c r="N452" s="347"/>
    </row>
    <row r="453" spans="1:14" x14ac:dyDescent="0.25">
      <c r="A453" s="362" t="str">
        <f>name!E$6</f>
        <v>Associate professional and technical</v>
      </c>
      <c r="B453" s="440">
        <v>0.51251798351944622</v>
      </c>
      <c r="C453" s="440">
        <v>1.0441103538985399</v>
      </c>
      <c r="D453" s="440">
        <f t="shared" si="172"/>
        <v>1.5566283374179861</v>
      </c>
      <c r="E453" s="441"/>
      <c r="F453" s="440">
        <v>2.0490676999801578</v>
      </c>
      <c r="G453" s="440">
        <v>1.4600140732484088</v>
      </c>
      <c r="H453" s="440">
        <f t="shared" si="173"/>
        <v>3.5090817732285666</v>
      </c>
      <c r="I453" s="441"/>
      <c r="J453" s="440">
        <v>1.9568066319366875</v>
      </c>
      <c r="K453" s="440">
        <v>1.4984432043497473</v>
      </c>
      <c r="L453" s="440">
        <f t="shared" si="174"/>
        <v>3.455249836286435</v>
      </c>
      <c r="M453" s="347"/>
      <c r="N453" s="347"/>
    </row>
    <row r="454" spans="1:14" x14ac:dyDescent="0.25">
      <c r="A454" s="362" t="str">
        <f>name!E$7</f>
        <v>Administrative and secretarial</v>
      </c>
      <c r="B454" s="440">
        <v>0.76269901114763483</v>
      </c>
      <c r="C454" s="440">
        <v>0.33404384596546299</v>
      </c>
      <c r="D454" s="440">
        <f t="shared" si="172"/>
        <v>1.0967428571130977</v>
      </c>
      <c r="E454" s="441"/>
      <c r="F454" s="440">
        <v>2.0075018523495332</v>
      </c>
      <c r="G454" s="440">
        <v>0.37148046643287191</v>
      </c>
      <c r="H454" s="440">
        <f t="shared" si="173"/>
        <v>2.3789823187824051</v>
      </c>
      <c r="I454" s="441"/>
      <c r="J454" s="440">
        <v>1.1256035228182413</v>
      </c>
      <c r="K454" s="440">
        <v>0.37547622628418348</v>
      </c>
      <c r="L454" s="440">
        <f t="shared" si="174"/>
        <v>1.5010797491024248</v>
      </c>
      <c r="M454" s="347"/>
      <c r="N454" s="347"/>
    </row>
    <row r="455" spans="1:14" x14ac:dyDescent="0.25">
      <c r="A455" s="362" t="str">
        <f>name!E$8</f>
        <v>Skilled trades occupations</v>
      </c>
      <c r="B455" s="440">
        <v>5.5899707249661972E-2</v>
      </c>
      <c r="C455" s="440">
        <v>0.89986849616148246</v>
      </c>
      <c r="D455" s="440">
        <f t="shared" si="172"/>
        <v>0.95576820341114443</v>
      </c>
      <c r="E455" s="441"/>
      <c r="F455" s="440">
        <v>0.1107178642444477</v>
      </c>
      <c r="G455" s="440">
        <v>0.88352339164589688</v>
      </c>
      <c r="H455" s="440">
        <f t="shared" si="173"/>
        <v>0.99424125589034462</v>
      </c>
      <c r="I455" s="441"/>
      <c r="J455" s="440">
        <v>0.11066682752161652</v>
      </c>
      <c r="K455" s="440">
        <v>0.76110817770451633</v>
      </c>
      <c r="L455" s="440">
        <f t="shared" si="174"/>
        <v>0.87177500522613283</v>
      </c>
      <c r="M455" s="347"/>
      <c r="N455" s="347"/>
    </row>
    <row r="456" spans="1:14" x14ac:dyDescent="0.25">
      <c r="A456" s="362" t="str">
        <f>name!E$9</f>
        <v>Caring, leisure and other service</v>
      </c>
      <c r="B456" s="440">
        <v>0.13942004111939268</v>
      </c>
      <c r="C456" s="440">
        <v>0.28135747959113605</v>
      </c>
      <c r="D456" s="440">
        <f t="shared" si="172"/>
        <v>0.42077752071052876</v>
      </c>
      <c r="E456" s="441"/>
      <c r="F456" s="440">
        <v>0.47566707733016933</v>
      </c>
      <c r="G456" s="440">
        <v>0.25745206227721684</v>
      </c>
      <c r="H456" s="440">
        <f t="shared" si="173"/>
        <v>0.73311913960738617</v>
      </c>
      <c r="I456" s="441"/>
      <c r="J456" s="440">
        <v>0.47713786184838775</v>
      </c>
      <c r="K456" s="440">
        <v>0.31670193710162098</v>
      </c>
      <c r="L456" s="440">
        <f t="shared" si="174"/>
        <v>0.79383979895000878</v>
      </c>
      <c r="M456" s="347"/>
      <c r="N456" s="347"/>
    </row>
    <row r="457" spans="1:14" x14ac:dyDescent="0.25">
      <c r="A457" s="362" t="str">
        <f>name!E$10</f>
        <v>Sales and customer service</v>
      </c>
      <c r="B457" s="440">
        <v>0.10377917906282547</v>
      </c>
      <c r="C457" s="440">
        <v>0.22134195831209813</v>
      </c>
      <c r="D457" s="440">
        <f t="shared" si="172"/>
        <v>0.3251211373749236</v>
      </c>
      <c r="E457" s="441"/>
      <c r="F457" s="440">
        <v>0.37287582080511789</v>
      </c>
      <c r="G457" s="440">
        <v>0.26119491541619561</v>
      </c>
      <c r="H457" s="440">
        <f t="shared" si="173"/>
        <v>0.63407073622131349</v>
      </c>
      <c r="I457" s="441"/>
      <c r="J457" s="440">
        <v>0.34500088611607799</v>
      </c>
      <c r="K457" s="440">
        <v>0.28949097026650944</v>
      </c>
      <c r="L457" s="440">
        <f t="shared" si="174"/>
        <v>0.63449185638258743</v>
      </c>
      <c r="M457" s="347"/>
      <c r="N457" s="347"/>
    </row>
    <row r="458" spans="1:14" x14ac:dyDescent="0.25">
      <c r="A458" s="362" t="str">
        <f>name!E$11</f>
        <v>Process, plant and machine operatives</v>
      </c>
      <c r="B458" s="440">
        <v>6.4400845296915574E-2</v>
      </c>
      <c r="C458" s="440">
        <v>4.4070797574456133</v>
      </c>
      <c r="D458" s="440">
        <f t="shared" si="172"/>
        <v>4.4714806027425285</v>
      </c>
      <c r="E458" s="441"/>
      <c r="F458" s="440">
        <v>0.2004144332048973</v>
      </c>
      <c r="G458" s="440">
        <v>4.2421124012129496</v>
      </c>
      <c r="H458" s="440">
        <f t="shared" si="173"/>
        <v>4.4425268344178468</v>
      </c>
      <c r="I458" s="441"/>
      <c r="J458" s="440">
        <v>0.12671201351900838</v>
      </c>
      <c r="K458" s="440">
        <v>4.5459197711289523</v>
      </c>
      <c r="L458" s="440">
        <f t="shared" si="174"/>
        <v>4.6726317846479608</v>
      </c>
      <c r="M458" s="347"/>
      <c r="N458" s="347"/>
    </row>
    <row r="459" spans="1:14" x14ac:dyDescent="0.25">
      <c r="A459" s="362" t="str">
        <f>name!E$12</f>
        <v>Elementary occupations</v>
      </c>
      <c r="B459" s="440">
        <v>0.30004335093486112</v>
      </c>
      <c r="C459" s="440">
        <v>4.044545280918693</v>
      </c>
      <c r="D459" s="440">
        <f t="shared" si="172"/>
        <v>4.3445886318535543</v>
      </c>
      <c r="E459" s="441"/>
      <c r="F459" s="440">
        <v>0.69171016393627804</v>
      </c>
      <c r="G459" s="440">
        <v>4.5922737306811516</v>
      </c>
      <c r="H459" s="440">
        <f t="shared" si="173"/>
        <v>5.28398389461743</v>
      </c>
      <c r="I459" s="441"/>
      <c r="J459" s="440">
        <v>0.46993348968065746</v>
      </c>
      <c r="K459" s="440">
        <v>5.0367015603178631</v>
      </c>
      <c r="L459" s="440">
        <f t="shared" si="174"/>
        <v>5.5066350499985202</v>
      </c>
      <c r="M459" s="347"/>
      <c r="N459" s="347"/>
    </row>
    <row r="460" spans="1:14" s="286" customFormat="1" x14ac:dyDescent="0.25">
      <c r="A460" s="362"/>
      <c r="B460" s="440"/>
      <c r="C460" s="440"/>
      <c r="D460" s="440"/>
      <c r="E460" s="441"/>
      <c r="F460" s="440"/>
      <c r="G460" s="440"/>
      <c r="H460" s="440"/>
      <c r="I460" s="441"/>
      <c r="J460" s="440"/>
      <c r="K460" s="440"/>
      <c r="L460" s="440"/>
      <c r="M460" s="347"/>
      <c r="N460" s="347"/>
    </row>
    <row r="461" spans="1:14" x14ac:dyDescent="0.25">
      <c r="A461" s="357" t="s">
        <v>32</v>
      </c>
      <c r="B461" s="450">
        <f>SUM(B451:B459)</f>
        <v>2.2659999999907536</v>
      </c>
      <c r="C461" s="450">
        <f t="shared" ref="C461:D461" si="175">SUM(C451:C459)</f>
        <v>13.046999999961379</v>
      </c>
      <c r="D461" s="450">
        <f t="shared" si="175"/>
        <v>15.312999999952133</v>
      </c>
      <c r="E461" s="450"/>
      <c r="F461" s="450">
        <f t="shared" ref="F461:H461" si="176">SUM(F451:F459)</f>
        <v>6.9989999999783974</v>
      </c>
      <c r="G461" s="450">
        <f t="shared" si="176"/>
        <v>14.784999999973836</v>
      </c>
      <c r="H461" s="450">
        <f t="shared" si="176"/>
        <v>21.783999999952229</v>
      </c>
      <c r="I461" s="450"/>
      <c r="J461" s="450">
        <f t="shared" ref="J461:L461" si="177">SUM(J451:J459)</f>
        <v>5.6710000000008485</v>
      </c>
      <c r="K461" s="450">
        <f t="shared" si="177"/>
        <v>15.731999999931787</v>
      </c>
      <c r="L461" s="450">
        <f t="shared" si="177"/>
        <v>21.402999999932632</v>
      </c>
      <c r="M461" s="347"/>
      <c r="N461" s="347"/>
    </row>
    <row r="462" spans="1:14" x14ac:dyDescent="0.25">
      <c r="A462" s="348"/>
      <c r="B462" s="348"/>
      <c r="C462" s="348"/>
      <c r="D462" s="348"/>
      <c r="E462" s="348"/>
      <c r="F462" s="348"/>
      <c r="G462" s="348"/>
      <c r="H462" s="348"/>
      <c r="I462" s="348"/>
      <c r="J462" s="348"/>
      <c r="K462" s="348"/>
      <c r="L462" s="353"/>
      <c r="M462" s="347"/>
      <c r="N462" s="347"/>
    </row>
    <row r="463" spans="1:14" x14ac:dyDescent="0.25">
      <c r="A463" s="348"/>
      <c r="B463" s="348"/>
      <c r="C463" s="348"/>
      <c r="D463" s="348"/>
      <c r="E463" s="348"/>
      <c r="F463" s="348"/>
      <c r="G463" s="348"/>
      <c r="H463" s="348"/>
      <c r="I463" s="348"/>
      <c r="J463" s="348"/>
      <c r="K463" s="348"/>
      <c r="L463" s="372" t="s">
        <v>35</v>
      </c>
      <c r="M463" s="347"/>
      <c r="N463" s="347"/>
    </row>
    <row r="464" spans="1:14" x14ac:dyDescent="0.25">
      <c r="A464" s="355"/>
      <c r="B464" s="365"/>
      <c r="C464" s="365"/>
      <c r="D464" s="365"/>
      <c r="E464" s="365"/>
      <c r="F464" s="365"/>
      <c r="G464" s="365"/>
      <c r="H464" s="365"/>
      <c r="I464" s="365"/>
      <c r="J464" s="365"/>
      <c r="K464" s="365"/>
      <c r="L464" s="347"/>
      <c r="M464" s="347"/>
      <c r="N464" s="347"/>
    </row>
    <row r="465" spans="1:14" x14ac:dyDescent="0.25">
      <c r="A465" s="354" t="str">
        <f>name!A30</f>
        <v>Waste management</v>
      </c>
      <c r="B465" s="515">
        <f>B$6</f>
        <v>2007</v>
      </c>
      <c r="C465" s="515"/>
      <c r="D465" s="515"/>
      <c r="E465" s="369"/>
      <c r="F465" s="515">
        <f>F448</f>
        <v>2017</v>
      </c>
      <c r="G465" s="515"/>
      <c r="H465" s="515"/>
      <c r="I465" s="369"/>
      <c r="J465" s="515">
        <f>J448</f>
        <v>2027</v>
      </c>
      <c r="K465" s="515"/>
      <c r="L465" s="515"/>
      <c r="M465" s="347"/>
      <c r="N465" s="347"/>
    </row>
    <row r="466" spans="1:14" x14ac:dyDescent="0.25">
      <c r="A466" s="370"/>
      <c r="B466" s="371" t="s">
        <v>387</v>
      </c>
      <c r="C466" s="371" t="s">
        <v>388</v>
      </c>
      <c r="D466" s="371" t="s">
        <v>32</v>
      </c>
      <c r="E466" s="371"/>
      <c r="F466" s="371" t="s">
        <v>387</v>
      </c>
      <c r="G466" s="371" t="s">
        <v>388</v>
      </c>
      <c r="H466" s="371" t="s">
        <v>32</v>
      </c>
      <c r="I466" s="371"/>
      <c r="J466" s="371" t="s">
        <v>387</v>
      </c>
      <c r="K466" s="371" t="s">
        <v>388</v>
      </c>
      <c r="L466" s="371" t="s">
        <v>32</v>
      </c>
      <c r="M466" s="347"/>
      <c r="N466" s="347"/>
    </row>
    <row r="467" spans="1:14" s="286" customFormat="1" x14ac:dyDescent="0.25">
      <c r="A467" s="374"/>
      <c r="B467" s="375"/>
      <c r="C467" s="375"/>
      <c r="D467" s="375"/>
      <c r="E467" s="375"/>
      <c r="F467" s="375"/>
      <c r="G467" s="375"/>
      <c r="H467" s="375"/>
      <c r="I467" s="375"/>
      <c r="J467" s="375"/>
      <c r="K467" s="375"/>
      <c r="L467" s="375"/>
      <c r="M467" s="347"/>
      <c r="N467" s="347"/>
    </row>
    <row r="468" spans="1:14" x14ac:dyDescent="0.25">
      <c r="A468" s="362" t="str">
        <f>name!E$4</f>
        <v>Managers, directors and senior officials</v>
      </c>
      <c r="B468" s="440">
        <v>0.9004235668810302</v>
      </c>
      <c r="C468" s="440">
        <v>7.0925873702641438</v>
      </c>
      <c r="D468" s="440">
        <f>SUM(B468:C468)</f>
        <v>7.9930109371451739</v>
      </c>
      <c r="E468" s="441"/>
      <c r="F468" s="440">
        <v>2.8486987397246235</v>
      </c>
      <c r="G468" s="440">
        <v>13.113776631014757</v>
      </c>
      <c r="H468" s="440">
        <f>SUM(F468:G468)</f>
        <v>15.96247537073938</v>
      </c>
      <c r="I468" s="441"/>
      <c r="J468" s="440">
        <v>3.6081567389426152</v>
      </c>
      <c r="K468" s="440">
        <v>14.752686396448</v>
      </c>
      <c r="L468" s="440">
        <f>SUM(J468:K468)</f>
        <v>18.360843135390617</v>
      </c>
      <c r="M468" s="347"/>
      <c r="N468" s="347"/>
    </row>
    <row r="469" spans="1:14" x14ac:dyDescent="0.25">
      <c r="A469" s="362" t="str">
        <f>name!E$5</f>
        <v>Professional occupations</v>
      </c>
      <c r="B469" s="440">
        <v>1.4100195563013993</v>
      </c>
      <c r="C469" s="440">
        <v>6.8545167994330605</v>
      </c>
      <c r="D469" s="440">
        <f t="shared" ref="D469:D476" si="178">SUM(B469:C469)</f>
        <v>8.2645363557344602</v>
      </c>
      <c r="E469" s="441"/>
      <c r="F469" s="440">
        <v>5.2529941961666973</v>
      </c>
      <c r="G469" s="440">
        <v>7.3595794178674803</v>
      </c>
      <c r="H469" s="440">
        <f t="shared" ref="H469:H476" si="179">SUM(F469:G469)</f>
        <v>12.612573614034178</v>
      </c>
      <c r="I469" s="441"/>
      <c r="J469" s="440">
        <v>6.8923724501672785</v>
      </c>
      <c r="K469" s="440">
        <v>7.6489910163394397</v>
      </c>
      <c r="L469" s="440">
        <f t="shared" ref="L469:L476" si="180">SUM(J469:K469)</f>
        <v>14.541363466506718</v>
      </c>
      <c r="M469" s="347"/>
      <c r="N469" s="347"/>
    </row>
    <row r="470" spans="1:14" x14ac:dyDescent="0.25">
      <c r="A470" s="362" t="str">
        <f>name!E$6</f>
        <v>Associate professional and technical</v>
      </c>
      <c r="B470" s="440">
        <v>3.198223999572011</v>
      </c>
      <c r="C470" s="440">
        <v>7.0128059550934028</v>
      </c>
      <c r="D470" s="440">
        <f t="shared" si="178"/>
        <v>10.211029954665413</v>
      </c>
      <c r="E470" s="441"/>
      <c r="F470" s="440">
        <v>8.7476744701985947</v>
      </c>
      <c r="G470" s="440">
        <v>9.3899788205162142</v>
      </c>
      <c r="H470" s="440">
        <f t="shared" si="179"/>
        <v>18.137653290714809</v>
      </c>
      <c r="I470" s="441"/>
      <c r="J470" s="440">
        <v>10.526833719529458</v>
      </c>
      <c r="K470" s="440">
        <v>9.5013181465632446</v>
      </c>
      <c r="L470" s="440">
        <f t="shared" si="180"/>
        <v>20.028151866092703</v>
      </c>
      <c r="M470" s="347"/>
      <c r="N470" s="347"/>
    </row>
    <row r="471" spans="1:14" x14ac:dyDescent="0.25">
      <c r="A471" s="362" t="str">
        <f>name!E$7</f>
        <v>Administrative and secretarial</v>
      </c>
      <c r="B471" s="440">
        <v>5.3956016902045869</v>
      </c>
      <c r="C471" s="440">
        <v>2.3862758426739235</v>
      </c>
      <c r="D471" s="440">
        <f t="shared" si="178"/>
        <v>7.7818775328785108</v>
      </c>
      <c r="E471" s="441"/>
      <c r="F471" s="440">
        <v>9.255795786527349</v>
      </c>
      <c r="G471" s="440">
        <v>3.5679426454647252</v>
      </c>
      <c r="H471" s="440">
        <f t="shared" si="179"/>
        <v>12.823738431992075</v>
      </c>
      <c r="I471" s="441"/>
      <c r="J471" s="440">
        <v>7.2996832405706895</v>
      </c>
      <c r="K471" s="440">
        <v>4.2739426600236641</v>
      </c>
      <c r="L471" s="440">
        <f t="shared" si="180"/>
        <v>11.573625900594354</v>
      </c>
      <c r="M471" s="347"/>
      <c r="N471" s="347"/>
    </row>
    <row r="472" spans="1:14" x14ac:dyDescent="0.25">
      <c r="A472" s="362" t="str">
        <f>name!E$8</f>
        <v>Skilled trades occupations</v>
      </c>
      <c r="B472" s="440">
        <v>1.0802039481419659</v>
      </c>
      <c r="C472" s="440">
        <v>8.4564365255029834</v>
      </c>
      <c r="D472" s="440">
        <f t="shared" si="178"/>
        <v>9.5366404736449493</v>
      </c>
      <c r="E472" s="441"/>
      <c r="F472" s="440">
        <v>1.8434937679404839</v>
      </c>
      <c r="G472" s="440">
        <v>11.492314952737459</v>
      </c>
      <c r="H472" s="440">
        <f t="shared" si="179"/>
        <v>13.335808720677942</v>
      </c>
      <c r="I472" s="441"/>
      <c r="J472" s="440">
        <v>2.0871794811900091</v>
      </c>
      <c r="K472" s="440">
        <v>11.769261156547337</v>
      </c>
      <c r="L472" s="440">
        <f t="shared" si="180"/>
        <v>13.856440637737347</v>
      </c>
      <c r="M472" s="347"/>
      <c r="N472" s="347"/>
    </row>
    <row r="473" spans="1:14" x14ac:dyDescent="0.25">
      <c r="A473" s="362" t="str">
        <f>name!E$9</f>
        <v>Caring, leisure and other service</v>
      </c>
      <c r="B473" s="440">
        <v>0.77110776367889966</v>
      </c>
      <c r="C473" s="440">
        <v>1.4292725007606299</v>
      </c>
      <c r="D473" s="440">
        <f t="shared" si="178"/>
        <v>2.2003802644395298</v>
      </c>
      <c r="E473" s="441"/>
      <c r="F473" s="440">
        <v>1.9263140934082079</v>
      </c>
      <c r="G473" s="440">
        <v>1.4473568077554695</v>
      </c>
      <c r="H473" s="440">
        <f t="shared" si="179"/>
        <v>3.3736709011636776</v>
      </c>
      <c r="I473" s="441"/>
      <c r="J473" s="440">
        <v>2.3347563416520414</v>
      </c>
      <c r="K473" s="440">
        <v>1.8666061963651108</v>
      </c>
      <c r="L473" s="440">
        <f t="shared" si="180"/>
        <v>4.2013625380171522</v>
      </c>
      <c r="M473" s="347"/>
      <c r="N473" s="347"/>
    </row>
    <row r="474" spans="1:14" x14ac:dyDescent="0.25">
      <c r="A474" s="362" t="str">
        <f>name!E$10</f>
        <v>Sales and customer service</v>
      </c>
      <c r="B474" s="440">
        <v>0.80569930719467497</v>
      </c>
      <c r="C474" s="440">
        <v>1.2654120925929937</v>
      </c>
      <c r="D474" s="440">
        <f t="shared" si="178"/>
        <v>2.0711113997876689</v>
      </c>
      <c r="E474" s="441"/>
      <c r="F474" s="440">
        <v>1.9660645644036432</v>
      </c>
      <c r="G474" s="440">
        <v>2.0223462296275474</v>
      </c>
      <c r="H474" s="440">
        <f t="shared" si="179"/>
        <v>3.9884107940311906</v>
      </c>
      <c r="I474" s="441"/>
      <c r="J474" s="440">
        <v>2.0332063001906748</v>
      </c>
      <c r="K474" s="440">
        <v>2.4604616232814664</v>
      </c>
      <c r="L474" s="440">
        <f t="shared" si="180"/>
        <v>4.4936679234721417</v>
      </c>
      <c r="M474" s="347"/>
      <c r="N474" s="347"/>
    </row>
    <row r="475" spans="1:14" x14ac:dyDescent="0.25">
      <c r="A475" s="362" t="str">
        <f>name!E$11</f>
        <v>Process, plant and machine operatives</v>
      </c>
      <c r="B475" s="440">
        <v>1.1439183895726228</v>
      </c>
      <c r="C475" s="440">
        <v>34.876852304834593</v>
      </c>
      <c r="D475" s="440">
        <f t="shared" si="178"/>
        <v>36.020770694407219</v>
      </c>
      <c r="E475" s="441"/>
      <c r="F475" s="440">
        <v>2.2861232182067011</v>
      </c>
      <c r="G475" s="440">
        <v>35.811534894164183</v>
      </c>
      <c r="H475" s="440">
        <f t="shared" si="179"/>
        <v>38.097658112370887</v>
      </c>
      <c r="I475" s="441"/>
      <c r="J475" s="440">
        <v>1.8278443268584672</v>
      </c>
      <c r="K475" s="440">
        <v>39.021664815470665</v>
      </c>
      <c r="L475" s="440">
        <f t="shared" si="180"/>
        <v>40.849509142329133</v>
      </c>
      <c r="M475" s="347"/>
      <c r="N475" s="347"/>
    </row>
    <row r="476" spans="1:14" x14ac:dyDescent="0.25">
      <c r="A476" s="362" t="str">
        <f>name!E$12</f>
        <v>Elementary occupations</v>
      </c>
      <c r="B476" s="440">
        <v>2.5888017783619479</v>
      </c>
      <c r="C476" s="440">
        <v>26.320840608609178</v>
      </c>
      <c r="D476" s="440">
        <f t="shared" si="178"/>
        <v>28.909642386971125</v>
      </c>
      <c r="E476" s="441"/>
      <c r="F476" s="440">
        <v>3.7148411631964424</v>
      </c>
      <c r="G476" s="440">
        <v>27.076169600536659</v>
      </c>
      <c r="H476" s="440">
        <f t="shared" si="179"/>
        <v>30.791010763733102</v>
      </c>
      <c r="I476" s="441"/>
      <c r="J476" s="440">
        <v>2.9129674007745203</v>
      </c>
      <c r="K476" s="440">
        <v>27.004067988346701</v>
      </c>
      <c r="L476" s="440">
        <f t="shared" si="180"/>
        <v>29.917035389121221</v>
      </c>
      <c r="M476" s="347"/>
      <c r="N476" s="347"/>
    </row>
    <row r="477" spans="1:14" s="286" customFormat="1" x14ac:dyDescent="0.25">
      <c r="A477" s="362"/>
      <c r="B477" s="440"/>
      <c r="C477" s="440"/>
      <c r="D477" s="440"/>
      <c r="E477" s="441"/>
      <c r="F477" s="440"/>
      <c r="G477" s="440"/>
      <c r="H477" s="440"/>
      <c r="I477" s="441"/>
      <c r="J477" s="440"/>
      <c r="K477" s="440"/>
      <c r="L477" s="440"/>
      <c r="M477" s="347"/>
      <c r="N477" s="347"/>
    </row>
    <row r="478" spans="1:14" x14ac:dyDescent="0.25">
      <c r="A478" s="357" t="s">
        <v>32</v>
      </c>
      <c r="B478" s="450">
        <f>SUM(B468:B476)</f>
        <v>17.29399999990914</v>
      </c>
      <c r="C478" s="450">
        <f t="shared" ref="C478:D478" si="181">SUM(C468:C476)</f>
        <v>95.694999999764903</v>
      </c>
      <c r="D478" s="450">
        <f t="shared" si="181"/>
        <v>112.98899999967405</v>
      </c>
      <c r="E478" s="450"/>
      <c r="F478" s="450">
        <f t="shared" ref="F478:H478" si="182">SUM(F468:F476)</f>
        <v>37.841999999772746</v>
      </c>
      <c r="G478" s="450">
        <f t="shared" si="182"/>
        <v>111.28099999968448</v>
      </c>
      <c r="H478" s="450">
        <f t="shared" si="182"/>
        <v>149.12299999945725</v>
      </c>
      <c r="I478" s="450"/>
      <c r="J478" s="450">
        <f t="shared" ref="J478:L478" si="183">SUM(J468:J476)</f>
        <v>39.522999999875758</v>
      </c>
      <c r="K478" s="450">
        <f t="shared" si="183"/>
        <v>118.29899999938563</v>
      </c>
      <c r="L478" s="450">
        <f t="shared" si="183"/>
        <v>157.82199999926138</v>
      </c>
      <c r="M478" s="347"/>
      <c r="N478" s="347"/>
    </row>
    <row r="479" spans="1:14" x14ac:dyDescent="0.25">
      <c r="A479" s="348"/>
      <c r="B479" s="348"/>
      <c r="C479" s="348"/>
      <c r="D479" s="348"/>
      <c r="E479" s="348"/>
      <c r="F479" s="348"/>
      <c r="G479" s="348"/>
      <c r="H479" s="348"/>
      <c r="I479" s="348"/>
      <c r="J479" s="348"/>
      <c r="K479" s="348"/>
      <c r="L479" s="353"/>
      <c r="M479" s="347"/>
      <c r="N479" s="347"/>
    </row>
    <row r="480" spans="1:14" x14ac:dyDescent="0.25">
      <c r="A480" s="348"/>
      <c r="B480" s="348"/>
      <c r="C480" s="348"/>
      <c r="D480" s="348"/>
      <c r="E480" s="348"/>
      <c r="F480" s="348"/>
      <c r="G480" s="348"/>
      <c r="H480" s="348"/>
      <c r="I480" s="348"/>
      <c r="J480" s="348"/>
      <c r="K480" s="348"/>
      <c r="L480" s="372" t="s">
        <v>35</v>
      </c>
      <c r="M480" s="347"/>
      <c r="N480" s="347"/>
    </row>
    <row r="481" spans="1:14" x14ac:dyDescent="0.25">
      <c r="A481" s="355"/>
      <c r="B481" s="365"/>
      <c r="C481" s="365"/>
      <c r="D481" s="365"/>
      <c r="E481" s="365"/>
      <c r="F481" s="365"/>
      <c r="G481" s="365"/>
      <c r="H481" s="365"/>
      <c r="I481" s="365"/>
      <c r="J481" s="365"/>
      <c r="K481" s="365"/>
      <c r="L481" s="347"/>
      <c r="M481" s="347"/>
      <c r="N481" s="347"/>
    </row>
    <row r="482" spans="1:14" x14ac:dyDescent="0.25">
      <c r="A482" s="354" t="str">
        <f>name!A31</f>
        <v>Construction</v>
      </c>
      <c r="B482" s="515">
        <f>B$6</f>
        <v>2007</v>
      </c>
      <c r="C482" s="515"/>
      <c r="D482" s="515"/>
      <c r="E482" s="369"/>
      <c r="F482" s="515">
        <f>F465</f>
        <v>2017</v>
      </c>
      <c r="G482" s="515"/>
      <c r="H482" s="515"/>
      <c r="I482" s="369"/>
      <c r="J482" s="515">
        <f>J465</f>
        <v>2027</v>
      </c>
      <c r="K482" s="515"/>
      <c r="L482" s="515"/>
      <c r="M482" s="347"/>
      <c r="N482" s="347"/>
    </row>
    <row r="483" spans="1:14" x14ac:dyDescent="0.25">
      <c r="A483" s="370"/>
      <c r="B483" s="371" t="s">
        <v>387</v>
      </c>
      <c r="C483" s="371" t="s">
        <v>388</v>
      </c>
      <c r="D483" s="371" t="s">
        <v>32</v>
      </c>
      <c r="E483" s="371"/>
      <c r="F483" s="371" t="s">
        <v>387</v>
      </c>
      <c r="G483" s="371" t="s">
        <v>388</v>
      </c>
      <c r="H483" s="371" t="s">
        <v>32</v>
      </c>
      <c r="I483" s="371"/>
      <c r="J483" s="371" t="s">
        <v>387</v>
      </c>
      <c r="K483" s="371" t="s">
        <v>388</v>
      </c>
      <c r="L483" s="371" t="s">
        <v>32</v>
      </c>
      <c r="M483" s="347"/>
      <c r="N483" s="347"/>
    </row>
    <row r="484" spans="1:14" s="286" customFormat="1" x14ac:dyDescent="0.25">
      <c r="A484" s="374"/>
      <c r="B484" s="375"/>
      <c r="C484" s="375"/>
      <c r="D484" s="375"/>
      <c r="E484" s="375"/>
      <c r="F484" s="375"/>
      <c r="G484" s="375"/>
      <c r="H484" s="375"/>
      <c r="I484" s="375"/>
      <c r="J484" s="375"/>
      <c r="K484" s="375"/>
      <c r="L484" s="375"/>
      <c r="M484" s="347"/>
      <c r="N484" s="347"/>
    </row>
    <row r="485" spans="1:14" x14ac:dyDescent="0.25">
      <c r="A485" s="362" t="str">
        <f>name!E$4</f>
        <v>Managers, directors and senior officials</v>
      </c>
      <c r="B485" s="440">
        <v>9.8259558475967985</v>
      </c>
      <c r="C485" s="440">
        <v>36.674836895502501</v>
      </c>
      <c r="D485" s="440">
        <f>SUM(B485:C485)</f>
        <v>46.500792743099296</v>
      </c>
      <c r="E485" s="441"/>
      <c r="F485" s="440">
        <v>18.80707887019776</v>
      </c>
      <c r="G485" s="440">
        <v>53.922088782156663</v>
      </c>
      <c r="H485" s="440">
        <f>SUM(F485:G485)</f>
        <v>72.72916765235442</v>
      </c>
      <c r="I485" s="441"/>
      <c r="J485" s="440">
        <v>24.406552445870926</v>
      </c>
      <c r="K485" s="440">
        <v>60.321534848742672</v>
      </c>
      <c r="L485" s="440">
        <f>SUM(J485:K485)</f>
        <v>84.728087294613601</v>
      </c>
      <c r="M485" s="347"/>
      <c r="N485" s="347"/>
    </row>
    <row r="486" spans="1:14" x14ac:dyDescent="0.25">
      <c r="A486" s="362" t="str">
        <f>name!E$5</f>
        <v>Professional occupations</v>
      </c>
      <c r="B486" s="440">
        <v>11.780394680531149</v>
      </c>
      <c r="C486" s="440">
        <v>36.626196922548552</v>
      </c>
      <c r="D486" s="440">
        <f t="shared" ref="D486:D493" si="184">SUM(B486:C486)</f>
        <v>48.406591603079704</v>
      </c>
      <c r="E486" s="441"/>
      <c r="F486" s="440">
        <v>15.701037194093882</v>
      </c>
      <c r="G486" s="440">
        <v>53.134995538137197</v>
      </c>
      <c r="H486" s="440">
        <f t="shared" ref="H486:H493" si="185">SUM(F486:G486)</f>
        <v>68.836032732231075</v>
      </c>
      <c r="I486" s="441"/>
      <c r="J486" s="440">
        <v>19.953669021428919</v>
      </c>
      <c r="K486" s="440">
        <v>59.508876502534811</v>
      </c>
      <c r="L486" s="440">
        <f t="shared" ref="L486:L493" si="186">SUM(J486:K486)</f>
        <v>79.462545523963726</v>
      </c>
      <c r="M486" s="347"/>
      <c r="N486" s="347"/>
    </row>
    <row r="487" spans="1:14" x14ac:dyDescent="0.25">
      <c r="A487" s="362" t="str">
        <f>name!E$6</f>
        <v>Associate professional and technical</v>
      </c>
      <c r="B487" s="440">
        <v>12.589328833423403</v>
      </c>
      <c r="C487" s="440">
        <v>27.21859804567152</v>
      </c>
      <c r="D487" s="440">
        <f t="shared" si="184"/>
        <v>39.807926879094921</v>
      </c>
      <c r="E487" s="441"/>
      <c r="F487" s="440">
        <v>17.711744233675287</v>
      </c>
      <c r="G487" s="440">
        <v>37.273705650040561</v>
      </c>
      <c r="H487" s="440">
        <f t="shared" si="185"/>
        <v>54.985449883715845</v>
      </c>
      <c r="I487" s="441"/>
      <c r="J487" s="440">
        <v>22.03233045069706</v>
      </c>
      <c r="K487" s="440">
        <v>41.136919269147015</v>
      </c>
      <c r="L487" s="440">
        <f t="shared" si="186"/>
        <v>63.169249719844075</v>
      </c>
      <c r="M487" s="347"/>
      <c r="N487" s="347"/>
    </row>
    <row r="488" spans="1:14" x14ac:dyDescent="0.25">
      <c r="A488" s="362" t="str">
        <f>name!E$7</f>
        <v>Administrative and secretarial</v>
      </c>
      <c r="B488" s="440">
        <v>58.161727453651544</v>
      </c>
      <c r="C488" s="440">
        <v>6.9019572678467416</v>
      </c>
      <c r="D488" s="440">
        <f t="shared" si="184"/>
        <v>65.063684721498291</v>
      </c>
      <c r="E488" s="441"/>
      <c r="F488" s="440">
        <v>56.480975549402153</v>
      </c>
      <c r="G488" s="440">
        <v>9.5469697932974888</v>
      </c>
      <c r="H488" s="440">
        <f t="shared" si="185"/>
        <v>66.027945342699638</v>
      </c>
      <c r="I488" s="441"/>
      <c r="J488" s="440">
        <v>45.57496002621825</v>
      </c>
      <c r="K488" s="440">
        <v>10.319179593654418</v>
      </c>
      <c r="L488" s="440">
        <f t="shared" si="186"/>
        <v>55.894139619872668</v>
      </c>
      <c r="M488" s="347"/>
      <c r="N488" s="347"/>
    </row>
    <row r="489" spans="1:14" x14ac:dyDescent="0.25">
      <c r="A489" s="362" t="str">
        <f>name!E$8</f>
        <v>Skilled trades occupations</v>
      </c>
      <c r="B489" s="440">
        <v>4.9397066968883667</v>
      </c>
      <c r="C489" s="440">
        <v>284.30581514205591</v>
      </c>
      <c r="D489" s="440">
        <f t="shared" si="184"/>
        <v>289.24552183894428</v>
      </c>
      <c r="E489" s="441"/>
      <c r="F489" s="440">
        <v>8.4797401341936745</v>
      </c>
      <c r="G489" s="440">
        <v>317.81087274176627</v>
      </c>
      <c r="H489" s="440">
        <f t="shared" si="185"/>
        <v>326.29061287595994</v>
      </c>
      <c r="I489" s="441"/>
      <c r="J489" s="440">
        <v>10.87644312908583</v>
      </c>
      <c r="K489" s="440">
        <v>312.2582738006476</v>
      </c>
      <c r="L489" s="440">
        <f t="shared" si="186"/>
        <v>323.13471692973343</v>
      </c>
      <c r="M489" s="347"/>
      <c r="N489" s="347"/>
    </row>
    <row r="490" spans="1:14" x14ac:dyDescent="0.25">
      <c r="A490" s="362" t="str">
        <f>name!E$9</f>
        <v>Caring, leisure and other service</v>
      </c>
      <c r="B490" s="440">
        <v>0.62176589211426536</v>
      </c>
      <c r="C490" s="440">
        <v>0.74936751435255111</v>
      </c>
      <c r="D490" s="440">
        <f t="shared" si="184"/>
        <v>1.3711334064668166</v>
      </c>
      <c r="E490" s="441"/>
      <c r="F490" s="440">
        <v>0.74914335464053461</v>
      </c>
      <c r="G490" s="440">
        <v>1.399398977538707</v>
      </c>
      <c r="H490" s="440">
        <f t="shared" si="185"/>
        <v>2.1485423321792414</v>
      </c>
      <c r="I490" s="441"/>
      <c r="J490" s="440">
        <v>0.83966017028596551</v>
      </c>
      <c r="K490" s="440">
        <v>1.5609622686561957</v>
      </c>
      <c r="L490" s="440">
        <f t="shared" si="186"/>
        <v>2.4006224389421611</v>
      </c>
      <c r="M490" s="347"/>
      <c r="N490" s="347"/>
    </row>
    <row r="491" spans="1:14" x14ac:dyDescent="0.25">
      <c r="A491" s="362" t="str">
        <f>name!E$10</f>
        <v>Sales and customer service</v>
      </c>
      <c r="B491" s="440">
        <v>6.8961620350433321</v>
      </c>
      <c r="C491" s="440">
        <v>3.4179350654421885</v>
      </c>
      <c r="D491" s="440">
        <f t="shared" si="184"/>
        <v>10.314097100485521</v>
      </c>
      <c r="E491" s="441"/>
      <c r="F491" s="440">
        <v>8.8659222367162762</v>
      </c>
      <c r="G491" s="440">
        <v>5.8912884449100575</v>
      </c>
      <c r="H491" s="440">
        <f t="shared" si="185"/>
        <v>14.757210681626333</v>
      </c>
      <c r="I491" s="441"/>
      <c r="J491" s="440">
        <v>9.6175227203972682</v>
      </c>
      <c r="K491" s="440">
        <v>6.2372382792870305</v>
      </c>
      <c r="L491" s="440">
        <f t="shared" si="186"/>
        <v>15.854760999684299</v>
      </c>
      <c r="M491" s="347"/>
      <c r="N491" s="347"/>
    </row>
    <row r="492" spans="1:14" x14ac:dyDescent="0.25">
      <c r="A492" s="362" t="str">
        <f>name!E$11</f>
        <v>Process, plant and machine operatives</v>
      </c>
      <c r="B492" s="440">
        <v>0.77148299101653484</v>
      </c>
      <c r="C492" s="440">
        <v>52.261298406031827</v>
      </c>
      <c r="D492" s="440">
        <f t="shared" si="184"/>
        <v>53.03278139704836</v>
      </c>
      <c r="E492" s="441"/>
      <c r="F492" s="440">
        <v>1.0680965107138971</v>
      </c>
      <c r="G492" s="440">
        <v>56.913720864793952</v>
      </c>
      <c r="H492" s="440">
        <f t="shared" si="185"/>
        <v>57.981817375507852</v>
      </c>
      <c r="I492" s="441"/>
      <c r="J492" s="440">
        <v>0.82088853429688891</v>
      </c>
      <c r="K492" s="440">
        <v>56.196405348080994</v>
      </c>
      <c r="L492" s="440">
        <f t="shared" si="186"/>
        <v>57.017293882377885</v>
      </c>
      <c r="M492" s="347"/>
      <c r="N492" s="347"/>
    </row>
    <row r="493" spans="1:14" x14ac:dyDescent="0.25">
      <c r="A493" s="362" t="str">
        <f>name!E$12</f>
        <v>Elementary occupations</v>
      </c>
      <c r="B493" s="440">
        <v>4.5484755691999093</v>
      </c>
      <c r="C493" s="440">
        <v>43.463994743144255</v>
      </c>
      <c r="D493" s="440">
        <f t="shared" si="184"/>
        <v>48.012470312344163</v>
      </c>
      <c r="E493" s="441"/>
      <c r="F493" s="440">
        <v>4.0052619163436107</v>
      </c>
      <c r="G493" s="440">
        <v>37.236959208935616</v>
      </c>
      <c r="H493" s="440">
        <f t="shared" si="185"/>
        <v>41.242221125279229</v>
      </c>
      <c r="I493" s="441"/>
      <c r="J493" s="440">
        <v>4.0259735019195508</v>
      </c>
      <c r="K493" s="440">
        <v>35.157610098588762</v>
      </c>
      <c r="L493" s="440">
        <f t="shared" si="186"/>
        <v>39.183583600508314</v>
      </c>
      <c r="M493" s="347"/>
      <c r="N493" s="347"/>
    </row>
    <row r="494" spans="1:14" s="286" customFormat="1" x14ac:dyDescent="0.25">
      <c r="A494" s="362"/>
      <c r="B494" s="440"/>
      <c r="C494" s="440"/>
      <c r="D494" s="440"/>
      <c r="E494" s="441"/>
      <c r="F494" s="440"/>
      <c r="G494" s="440"/>
      <c r="H494" s="440"/>
      <c r="I494" s="441"/>
      <c r="J494" s="440"/>
      <c r="K494" s="440"/>
      <c r="L494" s="440"/>
      <c r="M494" s="347"/>
      <c r="N494" s="347"/>
    </row>
    <row r="495" spans="1:14" x14ac:dyDescent="0.25">
      <c r="A495" s="357" t="s">
        <v>32</v>
      </c>
      <c r="B495" s="450">
        <f>SUM(B485:B493)</f>
        <v>110.13499999946531</v>
      </c>
      <c r="C495" s="450">
        <f t="shared" ref="C495:D495" si="187">SUM(C485:C493)</f>
        <v>491.62000000259604</v>
      </c>
      <c r="D495" s="450">
        <f t="shared" si="187"/>
        <v>601.75500000206137</v>
      </c>
      <c r="E495" s="450"/>
      <c r="F495" s="450">
        <f t="shared" ref="F495:H495" si="188">SUM(F485:F493)</f>
        <v>131.86899999997709</v>
      </c>
      <c r="G495" s="450">
        <f t="shared" si="188"/>
        <v>573.13000000157649</v>
      </c>
      <c r="H495" s="450">
        <f t="shared" si="188"/>
        <v>704.99900000155355</v>
      </c>
      <c r="I495" s="450"/>
      <c r="J495" s="450">
        <f t="shared" ref="J495:L495" si="189">SUM(J485:J493)</f>
        <v>138.14800000020065</v>
      </c>
      <c r="K495" s="450">
        <f t="shared" si="189"/>
        <v>582.69700000933949</v>
      </c>
      <c r="L495" s="450">
        <f t="shared" si="189"/>
        <v>720.84500000954017</v>
      </c>
      <c r="M495" s="347"/>
      <c r="N495" s="347"/>
    </row>
    <row r="496" spans="1:14" x14ac:dyDescent="0.25">
      <c r="A496" s="348"/>
      <c r="B496" s="348"/>
      <c r="C496" s="348"/>
      <c r="D496" s="348"/>
      <c r="E496" s="348"/>
      <c r="F496" s="348"/>
      <c r="G496" s="348"/>
      <c r="H496" s="348"/>
      <c r="I496" s="348"/>
      <c r="J496" s="348"/>
      <c r="K496" s="348"/>
      <c r="L496" s="353"/>
      <c r="M496" s="347"/>
      <c r="N496" s="347"/>
    </row>
    <row r="497" spans="1:14" x14ac:dyDescent="0.25">
      <c r="A497" s="348"/>
      <c r="B497" s="348"/>
      <c r="C497" s="348"/>
      <c r="D497" s="348"/>
      <c r="E497" s="348"/>
      <c r="F497" s="348"/>
      <c r="G497" s="348"/>
      <c r="H497" s="348"/>
      <c r="I497" s="348"/>
      <c r="J497" s="348"/>
      <c r="K497" s="348"/>
      <c r="L497" s="372" t="s">
        <v>35</v>
      </c>
      <c r="M497" s="347"/>
      <c r="N497" s="347"/>
    </row>
    <row r="498" spans="1:14" x14ac:dyDescent="0.25">
      <c r="A498" s="355"/>
      <c r="B498" s="365"/>
      <c r="C498" s="365"/>
      <c r="D498" s="365"/>
      <c r="E498" s="365"/>
      <c r="F498" s="365"/>
      <c r="G498" s="365"/>
      <c r="H498" s="365"/>
      <c r="I498" s="365"/>
      <c r="J498" s="365"/>
      <c r="K498" s="365"/>
      <c r="L498" s="347"/>
      <c r="M498" s="347"/>
      <c r="N498" s="347"/>
    </row>
    <row r="499" spans="1:14" x14ac:dyDescent="0.25">
      <c r="A499" s="354" t="str">
        <f>name!A32</f>
        <v>Civil engineering</v>
      </c>
      <c r="B499" s="515">
        <f>B$6</f>
        <v>2007</v>
      </c>
      <c r="C499" s="515"/>
      <c r="D499" s="515"/>
      <c r="E499" s="369"/>
      <c r="F499" s="515">
        <f>F482</f>
        <v>2017</v>
      </c>
      <c r="G499" s="515"/>
      <c r="H499" s="515"/>
      <c r="I499" s="369"/>
      <c r="J499" s="515">
        <f>J482</f>
        <v>2027</v>
      </c>
      <c r="K499" s="515"/>
      <c r="L499" s="515"/>
      <c r="M499" s="347"/>
      <c r="N499" s="347"/>
    </row>
    <row r="500" spans="1:14" x14ac:dyDescent="0.25">
      <c r="A500" s="370"/>
      <c r="B500" s="371" t="s">
        <v>387</v>
      </c>
      <c r="C500" s="371" t="s">
        <v>388</v>
      </c>
      <c r="D500" s="371" t="s">
        <v>32</v>
      </c>
      <c r="E500" s="371"/>
      <c r="F500" s="371" t="s">
        <v>387</v>
      </c>
      <c r="G500" s="371" t="s">
        <v>388</v>
      </c>
      <c r="H500" s="371" t="s">
        <v>32</v>
      </c>
      <c r="I500" s="371"/>
      <c r="J500" s="371" t="s">
        <v>387</v>
      </c>
      <c r="K500" s="371" t="s">
        <v>388</v>
      </c>
      <c r="L500" s="371" t="s">
        <v>32</v>
      </c>
      <c r="M500" s="347"/>
      <c r="N500" s="347"/>
    </row>
    <row r="501" spans="1:14" s="286" customFormat="1" x14ac:dyDescent="0.25">
      <c r="A501" s="374"/>
      <c r="B501" s="375"/>
      <c r="C501" s="375"/>
      <c r="D501" s="375"/>
      <c r="E501" s="375"/>
      <c r="F501" s="375"/>
      <c r="G501" s="375"/>
      <c r="H501" s="375"/>
      <c r="I501" s="375"/>
      <c r="J501" s="375"/>
      <c r="K501" s="375"/>
      <c r="L501" s="375"/>
      <c r="M501" s="347"/>
      <c r="N501" s="347"/>
    </row>
    <row r="502" spans="1:14" x14ac:dyDescent="0.25">
      <c r="A502" s="362" t="str">
        <f>name!E$4</f>
        <v>Managers, directors and senior officials</v>
      </c>
      <c r="B502" s="440">
        <v>3.2393956477315879</v>
      </c>
      <c r="C502" s="440">
        <v>28.056542927470783</v>
      </c>
      <c r="D502" s="440">
        <f>SUM(B502:C502)</f>
        <v>31.295938575202371</v>
      </c>
      <c r="E502" s="441"/>
      <c r="F502" s="440">
        <v>4.7228003675799552</v>
      </c>
      <c r="G502" s="440">
        <v>29.799611455870089</v>
      </c>
      <c r="H502" s="440">
        <f>SUM(F502:G502)</f>
        <v>34.522411823450042</v>
      </c>
      <c r="I502" s="441"/>
      <c r="J502" s="440">
        <v>6.1267930536809283</v>
      </c>
      <c r="K502" s="440">
        <v>33.393963319075048</v>
      </c>
      <c r="L502" s="440">
        <f>SUM(J502:K502)</f>
        <v>39.520756372755976</v>
      </c>
      <c r="M502" s="347"/>
      <c r="N502" s="347"/>
    </row>
    <row r="503" spans="1:14" x14ac:dyDescent="0.25">
      <c r="A503" s="362" t="str">
        <f>name!E$5</f>
        <v>Professional occupations</v>
      </c>
      <c r="B503" s="440">
        <v>3.4012836492534797</v>
      </c>
      <c r="C503" s="440">
        <v>28.083598449118778</v>
      </c>
      <c r="D503" s="440">
        <f t="shared" ref="D503:D510" si="190">SUM(B503:C503)</f>
        <v>31.484882098372257</v>
      </c>
      <c r="E503" s="441"/>
      <c r="F503" s="440">
        <v>3.434619198826073</v>
      </c>
      <c r="G503" s="440">
        <v>29.332753622921167</v>
      </c>
      <c r="H503" s="440">
        <f t="shared" ref="H503:H510" si="191">SUM(F503:G503)</f>
        <v>32.767372821747237</v>
      </c>
      <c r="I503" s="441"/>
      <c r="J503" s="440">
        <v>4.3606100949782434</v>
      </c>
      <c r="K503" s="440">
        <v>32.868944716329423</v>
      </c>
      <c r="L503" s="440">
        <f t="shared" ref="L503:L510" si="192">SUM(J503:K503)</f>
        <v>37.229554811307665</v>
      </c>
      <c r="M503" s="347"/>
      <c r="N503" s="347"/>
    </row>
    <row r="504" spans="1:14" x14ac:dyDescent="0.25">
      <c r="A504" s="362" t="str">
        <f>name!E$6</f>
        <v>Associate professional and technical</v>
      </c>
      <c r="B504" s="440">
        <v>3.8203023939651612</v>
      </c>
      <c r="C504" s="440">
        <v>20.567809774510621</v>
      </c>
      <c r="D504" s="440">
        <f t="shared" si="190"/>
        <v>24.388112168475782</v>
      </c>
      <c r="E504" s="441"/>
      <c r="F504" s="440">
        <v>4.1796498340078898</v>
      </c>
      <c r="G504" s="440">
        <v>20.748239564735879</v>
      </c>
      <c r="H504" s="440">
        <f t="shared" si="191"/>
        <v>24.927889398743769</v>
      </c>
      <c r="I504" s="441"/>
      <c r="J504" s="440">
        <v>5.2142235391248537</v>
      </c>
      <c r="K504" s="440">
        <v>22.92844755893606</v>
      </c>
      <c r="L504" s="440">
        <f t="shared" si="192"/>
        <v>28.142671098060916</v>
      </c>
      <c r="M504" s="347"/>
      <c r="N504" s="347"/>
    </row>
    <row r="505" spans="1:14" x14ac:dyDescent="0.25">
      <c r="A505" s="362" t="str">
        <f>name!E$7</f>
        <v>Administrative and secretarial</v>
      </c>
      <c r="B505" s="440">
        <v>17.475884450866417</v>
      </c>
      <c r="C505" s="440">
        <v>4.7184907334513611</v>
      </c>
      <c r="D505" s="440">
        <f t="shared" si="190"/>
        <v>22.194375184317778</v>
      </c>
      <c r="E505" s="441"/>
      <c r="F505" s="440">
        <v>13.916811969843549</v>
      </c>
      <c r="G505" s="440">
        <v>5.499785891599454</v>
      </c>
      <c r="H505" s="440">
        <f t="shared" si="191"/>
        <v>19.416597861443002</v>
      </c>
      <c r="I505" s="441"/>
      <c r="J505" s="440">
        <v>11.410553076233787</v>
      </c>
      <c r="K505" s="440">
        <v>6.021209775080794</v>
      </c>
      <c r="L505" s="440">
        <f t="shared" si="192"/>
        <v>17.431762851314581</v>
      </c>
      <c r="M505" s="347"/>
      <c r="N505" s="347"/>
    </row>
    <row r="506" spans="1:14" x14ac:dyDescent="0.25">
      <c r="A506" s="362" t="str">
        <f>name!E$8</f>
        <v>Skilled trades occupations</v>
      </c>
      <c r="B506" s="440">
        <v>1.6022052423149884</v>
      </c>
      <c r="C506" s="440">
        <v>215.8142901864455</v>
      </c>
      <c r="D506" s="440">
        <f t="shared" si="190"/>
        <v>217.4164954287605</v>
      </c>
      <c r="E506" s="441"/>
      <c r="F506" s="440">
        <v>1.7823188617858206</v>
      </c>
      <c r="G506" s="440">
        <v>172.75088190435929</v>
      </c>
      <c r="H506" s="440">
        <f t="shared" si="191"/>
        <v>174.53320076614511</v>
      </c>
      <c r="I506" s="441"/>
      <c r="J506" s="440">
        <v>2.296547900262742</v>
      </c>
      <c r="K506" s="440">
        <v>169.25479334047071</v>
      </c>
      <c r="L506" s="440">
        <f t="shared" si="192"/>
        <v>171.55134124073345</v>
      </c>
      <c r="M506" s="347"/>
      <c r="N506" s="347"/>
    </row>
    <row r="507" spans="1:14" x14ac:dyDescent="0.25">
      <c r="A507" s="362" t="str">
        <f>name!E$9</f>
        <v>Caring, leisure and other service</v>
      </c>
      <c r="B507" s="440">
        <v>0.20014260199074538</v>
      </c>
      <c r="C507" s="440">
        <v>0.43908531730977896</v>
      </c>
      <c r="D507" s="440">
        <f t="shared" si="190"/>
        <v>0.63922791930052436</v>
      </c>
      <c r="E507" s="441"/>
      <c r="F507" s="440">
        <v>0.18237283524155853</v>
      </c>
      <c r="G507" s="440">
        <v>0.64254380877445938</v>
      </c>
      <c r="H507" s="440">
        <f t="shared" si="191"/>
        <v>0.82491664401601794</v>
      </c>
      <c r="I507" s="441"/>
      <c r="J507" s="440">
        <v>0.20453213191988193</v>
      </c>
      <c r="K507" s="440">
        <v>0.72904583672047962</v>
      </c>
      <c r="L507" s="440">
        <f t="shared" si="192"/>
        <v>0.93357796864036158</v>
      </c>
      <c r="M507" s="347"/>
      <c r="N507" s="347"/>
    </row>
    <row r="508" spans="1:14" x14ac:dyDescent="0.25">
      <c r="A508" s="362" t="str">
        <f>name!E$10</f>
        <v>Sales and customer service</v>
      </c>
      <c r="B508" s="440">
        <v>2.1927673075578049</v>
      </c>
      <c r="C508" s="440">
        <v>2.3748574398339808</v>
      </c>
      <c r="D508" s="440">
        <f t="shared" si="190"/>
        <v>4.5676247473917861</v>
      </c>
      <c r="E508" s="441"/>
      <c r="F508" s="440">
        <v>2.2301800394528684</v>
      </c>
      <c r="G508" s="440">
        <v>3.3082768479147884</v>
      </c>
      <c r="H508" s="440">
        <f t="shared" si="191"/>
        <v>5.5384568873676567</v>
      </c>
      <c r="I508" s="441"/>
      <c r="J508" s="440">
        <v>2.4227131163261113</v>
      </c>
      <c r="K508" s="440">
        <v>3.5498516305990626</v>
      </c>
      <c r="L508" s="440">
        <f t="shared" si="192"/>
        <v>5.9725647469251744</v>
      </c>
      <c r="M508" s="347"/>
      <c r="N508" s="347"/>
    </row>
    <row r="509" spans="1:14" x14ac:dyDescent="0.25">
      <c r="A509" s="362" t="str">
        <f>name!E$11</f>
        <v>Process, plant and machine operatives</v>
      </c>
      <c r="B509" s="440">
        <v>0.23620862981275992</v>
      </c>
      <c r="C509" s="440">
        <v>39.990630440273662</v>
      </c>
      <c r="D509" s="440">
        <f t="shared" si="190"/>
        <v>40.22683907008642</v>
      </c>
      <c r="E509" s="441"/>
      <c r="F509" s="440">
        <v>0.25954603398249088</v>
      </c>
      <c r="G509" s="440">
        <v>32.195179888478549</v>
      </c>
      <c r="H509" s="440">
        <f t="shared" si="191"/>
        <v>32.454725922461037</v>
      </c>
      <c r="I509" s="441"/>
      <c r="J509" s="440">
        <v>0.20086895132780178</v>
      </c>
      <c r="K509" s="440">
        <v>31.785729257193839</v>
      </c>
      <c r="L509" s="440">
        <f t="shared" si="192"/>
        <v>31.986598208521642</v>
      </c>
      <c r="M509" s="347"/>
      <c r="N509" s="347"/>
    </row>
    <row r="510" spans="1:14" x14ac:dyDescent="0.25">
      <c r="A510" s="362" t="str">
        <f>name!E$12</f>
        <v>Elementary occupations</v>
      </c>
      <c r="B510" s="440">
        <v>1.5298100763341189</v>
      </c>
      <c r="C510" s="440">
        <v>31.812694734070849</v>
      </c>
      <c r="D510" s="440">
        <f t="shared" si="190"/>
        <v>33.342504810404968</v>
      </c>
      <c r="E510" s="441"/>
      <c r="F510" s="440">
        <v>1.1587008592839789</v>
      </c>
      <c r="G510" s="440">
        <v>20.205727015736262</v>
      </c>
      <c r="H510" s="440">
        <f t="shared" si="191"/>
        <v>21.36442787502024</v>
      </c>
      <c r="I510" s="441"/>
      <c r="J510" s="440">
        <v>1.17215813620303</v>
      </c>
      <c r="K510" s="440">
        <v>19.131014569935012</v>
      </c>
      <c r="L510" s="440">
        <f t="shared" si="192"/>
        <v>20.303172706138042</v>
      </c>
      <c r="M510" s="347"/>
      <c r="N510" s="347"/>
    </row>
    <row r="511" spans="1:14" s="286" customFormat="1" x14ac:dyDescent="0.25">
      <c r="A511" s="362"/>
      <c r="B511" s="440"/>
      <c r="C511" s="440"/>
      <c r="D511" s="440"/>
      <c r="E511" s="441"/>
      <c r="F511" s="440"/>
      <c r="G511" s="440"/>
      <c r="H511" s="440"/>
      <c r="I511" s="441"/>
      <c r="J511" s="440"/>
      <c r="K511" s="440"/>
      <c r="L511" s="440"/>
      <c r="M511" s="347"/>
      <c r="N511" s="347"/>
    </row>
    <row r="512" spans="1:14" x14ac:dyDescent="0.25">
      <c r="A512" s="357" t="s">
        <v>32</v>
      </c>
      <c r="B512" s="450">
        <f>SUM(B502:B510)</f>
        <v>33.697999999827061</v>
      </c>
      <c r="C512" s="450">
        <f t="shared" ref="C512:D512" si="193">SUM(C502:C510)</f>
        <v>371.85800000248537</v>
      </c>
      <c r="D512" s="450">
        <f t="shared" si="193"/>
        <v>405.55600000231243</v>
      </c>
      <c r="E512" s="450"/>
      <c r="F512" s="450">
        <f t="shared" ref="F512:H512" si="194">SUM(F502:F510)</f>
        <v>31.867000000004186</v>
      </c>
      <c r="G512" s="450">
        <f t="shared" si="194"/>
        <v>314.48300000038995</v>
      </c>
      <c r="H512" s="450">
        <f t="shared" si="194"/>
        <v>346.35000000039406</v>
      </c>
      <c r="I512" s="450"/>
      <c r="J512" s="450">
        <f t="shared" ref="J512:L512" si="195">SUM(J502:J510)</f>
        <v>33.409000000057375</v>
      </c>
      <c r="K512" s="450">
        <f t="shared" si="195"/>
        <v>319.66300000434046</v>
      </c>
      <c r="L512" s="450">
        <f t="shared" si="195"/>
        <v>353.07200000439775</v>
      </c>
      <c r="M512" s="347"/>
      <c r="N512" s="347"/>
    </row>
    <row r="513" spans="1:14" x14ac:dyDescent="0.25">
      <c r="A513" s="348"/>
      <c r="B513" s="348"/>
      <c r="C513" s="348"/>
      <c r="D513" s="348"/>
      <c r="E513" s="348"/>
      <c r="F513" s="348"/>
      <c r="G513" s="348"/>
      <c r="H513" s="348"/>
      <c r="I513" s="348"/>
      <c r="J513" s="348"/>
      <c r="K513" s="348"/>
      <c r="L513" s="353"/>
      <c r="M513" s="347"/>
      <c r="N513" s="347"/>
    </row>
    <row r="514" spans="1:14" x14ac:dyDescent="0.25">
      <c r="A514" s="348"/>
      <c r="B514" s="348"/>
      <c r="C514" s="348"/>
      <c r="D514" s="348"/>
      <c r="E514" s="348"/>
      <c r="F514" s="348"/>
      <c r="G514" s="348"/>
      <c r="H514" s="348"/>
      <c r="I514" s="348"/>
      <c r="J514" s="348"/>
      <c r="K514" s="348"/>
      <c r="L514" s="372" t="s">
        <v>35</v>
      </c>
      <c r="M514" s="347"/>
      <c r="N514" s="347"/>
    </row>
    <row r="515" spans="1:14" x14ac:dyDescent="0.25">
      <c r="A515" s="355"/>
      <c r="B515" s="365"/>
      <c r="C515" s="365"/>
      <c r="D515" s="365"/>
      <c r="E515" s="365"/>
      <c r="F515" s="365"/>
      <c r="G515" s="365"/>
      <c r="H515" s="365"/>
      <c r="I515" s="365"/>
      <c r="J515" s="365"/>
      <c r="K515" s="365"/>
      <c r="L515" s="347"/>
      <c r="M515" s="347"/>
      <c r="N515" s="347"/>
    </row>
    <row r="516" spans="1:14" x14ac:dyDescent="0.25">
      <c r="A516" s="354" t="str">
        <f>name!A33</f>
        <v>Specialised construction</v>
      </c>
      <c r="B516" s="515">
        <f>B$6</f>
        <v>2007</v>
      </c>
      <c r="C516" s="515"/>
      <c r="D516" s="515"/>
      <c r="E516" s="369"/>
      <c r="F516" s="515">
        <f>F499</f>
        <v>2017</v>
      </c>
      <c r="G516" s="515"/>
      <c r="H516" s="515"/>
      <c r="I516" s="369"/>
      <c r="J516" s="515">
        <f>J499</f>
        <v>2027</v>
      </c>
      <c r="K516" s="515"/>
      <c r="L516" s="515"/>
      <c r="M516" s="347"/>
      <c r="N516" s="347"/>
    </row>
    <row r="517" spans="1:14" x14ac:dyDescent="0.25">
      <c r="A517" s="370"/>
      <c r="B517" s="371" t="s">
        <v>387</v>
      </c>
      <c r="C517" s="371" t="s">
        <v>388</v>
      </c>
      <c r="D517" s="371" t="s">
        <v>32</v>
      </c>
      <c r="E517" s="371"/>
      <c r="F517" s="371" t="s">
        <v>387</v>
      </c>
      <c r="G517" s="371" t="s">
        <v>388</v>
      </c>
      <c r="H517" s="371" t="s">
        <v>32</v>
      </c>
      <c r="I517" s="371"/>
      <c r="J517" s="371" t="s">
        <v>387</v>
      </c>
      <c r="K517" s="371" t="s">
        <v>388</v>
      </c>
      <c r="L517" s="371" t="s">
        <v>32</v>
      </c>
      <c r="M517" s="347"/>
      <c r="N517" s="347"/>
    </row>
    <row r="518" spans="1:14" s="286" customFormat="1" x14ac:dyDescent="0.25">
      <c r="A518" s="374"/>
      <c r="B518" s="375"/>
      <c r="C518" s="375"/>
      <c r="D518" s="375"/>
      <c r="E518" s="375"/>
      <c r="F518" s="375"/>
      <c r="G518" s="375"/>
      <c r="H518" s="375"/>
      <c r="I518" s="375"/>
      <c r="J518" s="375"/>
      <c r="K518" s="375"/>
      <c r="L518" s="375"/>
      <c r="M518" s="347"/>
      <c r="N518" s="347"/>
    </row>
    <row r="519" spans="1:14" x14ac:dyDescent="0.25">
      <c r="A519" s="362" t="str">
        <f>name!E$4</f>
        <v>Managers, directors and senior officials</v>
      </c>
      <c r="B519" s="440">
        <v>13.621827562383361</v>
      </c>
      <c r="C519" s="440">
        <v>85.276968237467926</v>
      </c>
      <c r="D519" s="440">
        <f>SUM(B519:C519)</f>
        <v>98.898795799851285</v>
      </c>
      <c r="E519" s="441"/>
      <c r="F519" s="440">
        <v>22.408200712268616</v>
      </c>
      <c r="G519" s="440">
        <v>101.64977119458254</v>
      </c>
      <c r="H519" s="440">
        <f>SUM(F519:G519)</f>
        <v>124.05797190685115</v>
      </c>
      <c r="I519" s="441"/>
      <c r="J519" s="440">
        <v>29.373410117917054</v>
      </c>
      <c r="K519" s="440">
        <v>113.65798494414402</v>
      </c>
      <c r="L519" s="440">
        <f>SUM(J519:K519)</f>
        <v>143.03139506206108</v>
      </c>
      <c r="M519" s="347"/>
      <c r="N519" s="347"/>
    </row>
    <row r="520" spans="1:14" x14ac:dyDescent="0.25">
      <c r="A520" s="362" t="str">
        <f>name!E$5</f>
        <v>Professional occupations</v>
      </c>
      <c r="B520" s="440">
        <v>14.242102350072372</v>
      </c>
      <c r="C520" s="440">
        <v>85.207040122961217</v>
      </c>
      <c r="D520" s="440">
        <f t="shared" ref="D520:D527" si="196">SUM(B520:C520)</f>
        <v>99.449142473033589</v>
      </c>
      <c r="E520" s="441"/>
      <c r="F520" s="440">
        <v>16.78035377020932</v>
      </c>
      <c r="G520" s="440">
        <v>99.991290592559295</v>
      </c>
      <c r="H520" s="440">
        <f t="shared" ref="H520:H527" si="197">SUM(F520:G520)</f>
        <v>116.77164436276861</v>
      </c>
      <c r="I520" s="441"/>
      <c r="J520" s="440">
        <v>21.529341347698555</v>
      </c>
      <c r="K520" s="440">
        <v>112.03793966667556</v>
      </c>
      <c r="L520" s="440">
        <f t="shared" ref="L520:L527" si="198">SUM(J520:K520)</f>
        <v>133.56728101437412</v>
      </c>
      <c r="M520" s="347"/>
      <c r="N520" s="347"/>
    </row>
    <row r="521" spans="1:14" x14ac:dyDescent="0.25">
      <c r="A521" s="362" t="str">
        <f>name!E$6</f>
        <v>Associate professional and technical</v>
      </c>
      <c r="B521" s="440">
        <v>16.461336583990544</v>
      </c>
      <c r="C521" s="440">
        <v>62.510887464356593</v>
      </c>
      <c r="D521" s="440">
        <f t="shared" si="196"/>
        <v>78.97222404834713</v>
      </c>
      <c r="E521" s="441"/>
      <c r="F521" s="440">
        <v>20.074050359698749</v>
      </c>
      <c r="G521" s="440">
        <v>69.482002910453346</v>
      </c>
      <c r="H521" s="440">
        <f t="shared" si="197"/>
        <v>89.556053270152091</v>
      </c>
      <c r="I521" s="441"/>
      <c r="J521" s="440">
        <v>25.307874569993622</v>
      </c>
      <c r="K521" s="440">
        <v>76.788195799082786</v>
      </c>
      <c r="L521" s="440">
        <f t="shared" si="198"/>
        <v>102.09607036907641</v>
      </c>
      <c r="M521" s="347"/>
      <c r="N521" s="347"/>
    </row>
    <row r="522" spans="1:14" x14ac:dyDescent="0.25">
      <c r="A522" s="362" t="str">
        <f>name!E$7</f>
        <v>Administrative and secretarial</v>
      </c>
      <c r="B522" s="440">
        <v>82.552554540047993</v>
      </c>
      <c r="C522" s="440">
        <v>14.906290708503178</v>
      </c>
      <c r="D522" s="440">
        <f t="shared" si="196"/>
        <v>97.458845248551171</v>
      </c>
      <c r="E522" s="441"/>
      <c r="F522" s="440">
        <v>74.621857756058574</v>
      </c>
      <c r="G522" s="440">
        <v>17.855399302897272</v>
      </c>
      <c r="H522" s="440">
        <f t="shared" si="197"/>
        <v>92.477257058955843</v>
      </c>
      <c r="I522" s="441"/>
      <c r="J522" s="440">
        <v>62.997548037015022</v>
      </c>
      <c r="K522" s="440">
        <v>19.438072566145888</v>
      </c>
      <c r="L522" s="440">
        <f t="shared" si="198"/>
        <v>82.435620603160913</v>
      </c>
      <c r="M522" s="347"/>
      <c r="N522" s="347"/>
    </row>
    <row r="523" spans="1:14" x14ac:dyDescent="0.25">
      <c r="A523" s="362" t="str">
        <f>name!E$8</f>
        <v>Skilled trades occupations</v>
      </c>
      <c r="B523" s="440">
        <v>6.8081173955849819</v>
      </c>
      <c r="C523" s="440">
        <v>663.30882284919039</v>
      </c>
      <c r="D523" s="440">
        <f t="shared" si="196"/>
        <v>670.11694024477538</v>
      </c>
      <c r="E523" s="441"/>
      <c r="F523" s="440">
        <v>9.3022218927800857</v>
      </c>
      <c r="G523" s="440">
        <v>592.23059489415186</v>
      </c>
      <c r="H523" s="440">
        <f t="shared" si="197"/>
        <v>601.5328167869319</v>
      </c>
      <c r="I523" s="441"/>
      <c r="J523" s="440">
        <v>12.072240208918675</v>
      </c>
      <c r="K523" s="440">
        <v>581.4251248923913</v>
      </c>
      <c r="L523" s="440">
        <f t="shared" si="198"/>
        <v>593.49736510130992</v>
      </c>
      <c r="M523" s="347"/>
      <c r="N523" s="347"/>
    </row>
    <row r="524" spans="1:14" x14ac:dyDescent="0.25">
      <c r="A524" s="362" t="str">
        <f>name!E$9</f>
        <v>Caring, leisure and other service</v>
      </c>
      <c r="B524" s="440">
        <v>0.87314711179151527</v>
      </c>
      <c r="C524" s="440">
        <v>1.4311228596008774</v>
      </c>
      <c r="D524" s="440">
        <f t="shared" si="196"/>
        <v>2.3042699713923929</v>
      </c>
      <c r="E524" s="441"/>
      <c r="F524" s="440">
        <v>0.88611004770193136</v>
      </c>
      <c r="G524" s="440">
        <v>2.3859511786566974</v>
      </c>
      <c r="H524" s="440">
        <f t="shared" si="197"/>
        <v>3.2720612263586286</v>
      </c>
      <c r="I524" s="441"/>
      <c r="J524" s="440">
        <v>1.0031449050431862</v>
      </c>
      <c r="K524" s="440">
        <v>2.6835480291416718</v>
      </c>
      <c r="L524" s="440">
        <f t="shared" si="198"/>
        <v>3.6866929341848582</v>
      </c>
      <c r="M524" s="347"/>
      <c r="N524" s="347"/>
    </row>
    <row r="525" spans="1:14" x14ac:dyDescent="0.25">
      <c r="A525" s="362" t="str">
        <f>name!E$10</f>
        <v>Sales and customer service</v>
      </c>
      <c r="B525" s="440">
        <v>9.9213634145545981</v>
      </c>
      <c r="C525" s="440">
        <v>7.4225731412420792</v>
      </c>
      <c r="D525" s="440">
        <f t="shared" si="196"/>
        <v>17.343936555796677</v>
      </c>
      <c r="E525" s="441"/>
      <c r="F525" s="440">
        <v>11.316965196655888</v>
      </c>
      <c r="G525" s="440">
        <v>10.998895653237065</v>
      </c>
      <c r="H525" s="440">
        <f t="shared" si="197"/>
        <v>22.315860849892953</v>
      </c>
      <c r="I525" s="441"/>
      <c r="J525" s="440">
        <v>12.572423008327874</v>
      </c>
      <c r="K525" s="440">
        <v>11.73696453653816</v>
      </c>
      <c r="L525" s="440">
        <f t="shared" si="198"/>
        <v>24.309387544866034</v>
      </c>
      <c r="M525" s="347"/>
      <c r="N525" s="347"/>
    </row>
    <row r="526" spans="1:14" x14ac:dyDescent="0.25">
      <c r="A526" s="362" t="str">
        <f>name!E$11</f>
        <v>Process, plant and machine operatives</v>
      </c>
      <c r="B526" s="440">
        <v>0.99540400597257261</v>
      </c>
      <c r="C526" s="440">
        <v>121.76371463788897</v>
      </c>
      <c r="D526" s="440">
        <f t="shared" si="196"/>
        <v>122.75911864386154</v>
      </c>
      <c r="E526" s="441"/>
      <c r="F526" s="440">
        <v>1.1838971695535474</v>
      </c>
      <c r="G526" s="440">
        <v>107.24830892398319</v>
      </c>
      <c r="H526" s="440">
        <f t="shared" si="197"/>
        <v>108.43220609353673</v>
      </c>
      <c r="I526" s="441"/>
      <c r="J526" s="440">
        <v>0.93335973163356944</v>
      </c>
      <c r="K526" s="440">
        <v>105.91018758812389</v>
      </c>
      <c r="L526" s="440">
        <f t="shared" si="198"/>
        <v>106.84354731975746</v>
      </c>
      <c r="M526" s="347"/>
      <c r="N526" s="347"/>
    </row>
    <row r="527" spans="1:14" x14ac:dyDescent="0.25">
      <c r="A527" s="362" t="str">
        <f>name!E$12</f>
        <v>Elementary occupations</v>
      </c>
      <c r="B527" s="440">
        <v>7.748147034853158</v>
      </c>
      <c r="C527" s="440">
        <v>98.640579986168831</v>
      </c>
      <c r="D527" s="440">
        <f t="shared" si="196"/>
        <v>106.38872702102199</v>
      </c>
      <c r="E527" s="441"/>
      <c r="F527" s="440">
        <v>5.9843430951137497</v>
      </c>
      <c r="G527" s="440">
        <v>70.29878535222079</v>
      </c>
      <c r="H527" s="440">
        <f t="shared" si="197"/>
        <v>76.283128447334533</v>
      </c>
      <c r="I527" s="441"/>
      <c r="J527" s="440">
        <v>6.1296580736049417</v>
      </c>
      <c r="K527" s="440">
        <v>66.511981994405403</v>
      </c>
      <c r="L527" s="440">
        <f t="shared" si="198"/>
        <v>72.641640068010346</v>
      </c>
      <c r="M527" s="347"/>
      <c r="N527" s="347"/>
    </row>
    <row r="528" spans="1:14" s="286" customFormat="1" x14ac:dyDescent="0.25">
      <c r="A528" s="362"/>
      <c r="B528" s="440"/>
      <c r="C528" s="440"/>
      <c r="D528" s="440"/>
      <c r="E528" s="441"/>
      <c r="F528" s="440"/>
      <c r="G528" s="440"/>
      <c r="H528" s="440"/>
      <c r="I528" s="441"/>
      <c r="J528" s="440"/>
      <c r="K528" s="440"/>
      <c r="L528" s="440"/>
      <c r="M528" s="347"/>
      <c r="N528" s="347"/>
    </row>
    <row r="529" spans="1:14" x14ac:dyDescent="0.25">
      <c r="A529" s="357" t="s">
        <v>32</v>
      </c>
      <c r="B529" s="450">
        <f>SUM(B519:B527)</f>
        <v>153.22399999925111</v>
      </c>
      <c r="C529" s="450">
        <f t="shared" ref="C529:D529" si="199">SUM(C519:C527)</f>
        <v>1140.4680000073802</v>
      </c>
      <c r="D529" s="450">
        <f t="shared" si="199"/>
        <v>1293.6920000066311</v>
      </c>
      <c r="E529" s="450"/>
      <c r="F529" s="450">
        <f t="shared" ref="F529:H529" si="200">SUM(F519:F527)</f>
        <v>162.55800000004047</v>
      </c>
      <c r="G529" s="450">
        <f t="shared" si="200"/>
        <v>1072.1410000027422</v>
      </c>
      <c r="H529" s="450">
        <f t="shared" si="200"/>
        <v>1234.6990000027822</v>
      </c>
      <c r="I529" s="450"/>
      <c r="J529" s="450">
        <f t="shared" ref="J529:L529" si="201">SUM(J519:J527)</f>
        <v>171.91900000015252</v>
      </c>
      <c r="K529" s="450">
        <f t="shared" si="201"/>
        <v>1090.1900000166488</v>
      </c>
      <c r="L529" s="450">
        <f t="shared" si="201"/>
        <v>1262.1090000168008</v>
      </c>
      <c r="M529" s="347"/>
      <c r="N529" s="347"/>
    </row>
    <row r="530" spans="1:14" x14ac:dyDescent="0.25">
      <c r="A530" s="348"/>
      <c r="B530" s="348"/>
      <c r="C530" s="348"/>
      <c r="D530" s="348"/>
      <c r="E530" s="348"/>
      <c r="F530" s="348"/>
      <c r="G530" s="348"/>
      <c r="H530" s="348"/>
      <c r="I530" s="348"/>
      <c r="J530" s="348"/>
      <c r="K530" s="348"/>
      <c r="L530" s="353"/>
      <c r="M530" s="347"/>
      <c r="N530" s="347"/>
    </row>
    <row r="531" spans="1:14" x14ac:dyDescent="0.25">
      <c r="A531" s="348"/>
      <c r="B531" s="348"/>
      <c r="C531" s="348"/>
      <c r="D531" s="348"/>
      <c r="E531" s="348"/>
      <c r="F531" s="348"/>
      <c r="G531" s="348"/>
      <c r="H531" s="348"/>
      <c r="I531" s="348"/>
      <c r="J531" s="348"/>
      <c r="K531" s="348"/>
      <c r="L531" s="372" t="s">
        <v>35</v>
      </c>
      <c r="M531" s="347"/>
      <c r="N531" s="347"/>
    </row>
    <row r="532" spans="1:14" x14ac:dyDescent="0.25">
      <c r="A532" s="355"/>
      <c r="B532" s="365"/>
      <c r="C532" s="365"/>
      <c r="D532" s="365"/>
      <c r="E532" s="365"/>
      <c r="F532" s="365"/>
      <c r="G532" s="365"/>
      <c r="H532" s="365"/>
      <c r="I532" s="365"/>
      <c r="J532" s="365"/>
      <c r="K532" s="365"/>
      <c r="L532" s="347"/>
      <c r="M532" s="347"/>
      <c r="N532" s="347"/>
    </row>
    <row r="533" spans="1:14" x14ac:dyDescent="0.25">
      <c r="A533" s="354" t="str">
        <f>name!A34</f>
        <v>Motor vehicle trade</v>
      </c>
      <c r="B533" s="515">
        <f>B$6</f>
        <v>2007</v>
      </c>
      <c r="C533" s="515"/>
      <c r="D533" s="515"/>
      <c r="E533" s="369"/>
      <c r="F533" s="515">
        <f>F516</f>
        <v>2017</v>
      </c>
      <c r="G533" s="515"/>
      <c r="H533" s="515"/>
      <c r="I533" s="369"/>
      <c r="J533" s="515">
        <f>J516</f>
        <v>2027</v>
      </c>
      <c r="K533" s="515"/>
      <c r="L533" s="515"/>
      <c r="M533" s="347"/>
      <c r="N533" s="347"/>
    </row>
    <row r="534" spans="1:14" x14ac:dyDescent="0.25">
      <c r="A534" s="370"/>
      <c r="B534" s="371" t="s">
        <v>387</v>
      </c>
      <c r="C534" s="371" t="s">
        <v>388</v>
      </c>
      <c r="D534" s="371" t="s">
        <v>32</v>
      </c>
      <c r="E534" s="371"/>
      <c r="F534" s="371" t="s">
        <v>387</v>
      </c>
      <c r="G534" s="371" t="s">
        <v>388</v>
      </c>
      <c r="H534" s="371" t="s">
        <v>32</v>
      </c>
      <c r="I534" s="371"/>
      <c r="J534" s="371" t="s">
        <v>387</v>
      </c>
      <c r="K534" s="371" t="s">
        <v>388</v>
      </c>
      <c r="L534" s="371" t="s">
        <v>32</v>
      </c>
      <c r="M534" s="347"/>
      <c r="N534" s="347"/>
    </row>
    <row r="535" spans="1:14" s="286" customFormat="1" x14ac:dyDescent="0.25">
      <c r="A535" s="374"/>
      <c r="B535" s="375"/>
      <c r="C535" s="375"/>
      <c r="D535" s="375"/>
      <c r="E535" s="375"/>
      <c r="F535" s="375"/>
      <c r="G535" s="375"/>
      <c r="H535" s="375"/>
      <c r="I535" s="375"/>
      <c r="J535" s="375"/>
      <c r="K535" s="375"/>
      <c r="L535" s="375"/>
      <c r="M535" s="347"/>
      <c r="N535" s="347"/>
    </row>
    <row r="536" spans="1:14" x14ac:dyDescent="0.25">
      <c r="A536" s="362" t="str">
        <f>name!E$4</f>
        <v>Managers, directors and senior officials</v>
      </c>
      <c r="B536" s="440">
        <v>6.8229460670503936</v>
      </c>
      <c r="C536" s="440">
        <v>65.254114786820608</v>
      </c>
      <c r="D536" s="440">
        <f>SUM(B536:C536)</f>
        <v>72.077060853871004</v>
      </c>
      <c r="E536" s="441"/>
      <c r="F536" s="440">
        <v>8.1680774145577377</v>
      </c>
      <c r="G536" s="440">
        <v>69.024534743657242</v>
      </c>
      <c r="H536" s="440">
        <f>SUM(F536:G536)</f>
        <v>77.192612158214985</v>
      </c>
      <c r="I536" s="441"/>
      <c r="J536" s="440">
        <v>10.712727538974978</v>
      </c>
      <c r="K536" s="440">
        <v>71.746253874069751</v>
      </c>
      <c r="L536" s="440">
        <f>SUM(J536:K536)</f>
        <v>82.458981413044725</v>
      </c>
      <c r="M536" s="347"/>
      <c r="N536" s="347"/>
    </row>
    <row r="537" spans="1:14" x14ac:dyDescent="0.25">
      <c r="A537" s="362" t="str">
        <f>name!E$5</f>
        <v>Professional occupations</v>
      </c>
      <c r="B537" s="440">
        <v>4.6847051817739125</v>
      </c>
      <c r="C537" s="440">
        <v>19.073330883081653</v>
      </c>
      <c r="D537" s="440">
        <f t="shared" ref="D537:D544" si="202">SUM(B537:C537)</f>
        <v>23.758036064855567</v>
      </c>
      <c r="E537" s="441"/>
      <c r="F537" s="440">
        <v>4.8892437375129338</v>
      </c>
      <c r="G537" s="440">
        <v>19.467945495698121</v>
      </c>
      <c r="H537" s="440">
        <f t="shared" ref="H537:H544" si="203">SUM(F537:G537)</f>
        <v>24.357189233211056</v>
      </c>
      <c r="I537" s="441"/>
      <c r="J537" s="440">
        <v>6.7863096197273824</v>
      </c>
      <c r="K537" s="440">
        <v>21.509824618378445</v>
      </c>
      <c r="L537" s="440">
        <f t="shared" ref="L537:L544" si="204">SUM(J537:K537)</f>
        <v>28.296134238105829</v>
      </c>
      <c r="M537" s="347"/>
      <c r="N537" s="347"/>
    </row>
    <row r="538" spans="1:14" x14ac:dyDescent="0.25">
      <c r="A538" s="362" t="str">
        <f>name!E$6</f>
        <v>Associate professional and technical</v>
      </c>
      <c r="B538" s="440">
        <v>9.0309900211359277</v>
      </c>
      <c r="C538" s="440">
        <v>32.030467994848728</v>
      </c>
      <c r="D538" s="440">
        <f t="shared" si="202"/>
        <v>41.061458015984655</v>
      </c>
      <c r="E538" s="441"/>
      <c r="F538" s="440">
        <v>9.3973373754907907</v>
      </c>
      <c r="G538" s="440">
        <v>34.070152855955897</v>
      </c>
      <c r="H538" s="440">
        <f t="shared" si="203"/>
        <v>43.467490231446689</v>
      </c>
      <c r="I538" s="441"/>
      <c r="J538" s="440">
        <v>12.568482388161659</v>
      </c>
      <c r="K538" s="440">
        <v>36.589854684754755</v>
      </c>
      <c r="L538" s="440">
        <f t="shared" si="204"/>
        <v>49.15833707291641</v>
      </c>
      <c r="M538" s="347"/>
      <c r="N538" s="347"/>
    </row>
    <row r="539" spans="1:14" x14ac:dyDescent="0.25">
      <c r="A539" s="362" t="str">
        <f>name!E$7</f>
        <v>Administrative and secretarial</v>
      </c>
      <c r="B539" s="440">
        <v>54.495732446406926</v>
      </c>
      <c r="C539" s="440">
        <v>18.787487137567325</v>
      </c>
      <c r="D539" s="440">
        <f t="shared" si="202"/>
        <v>73.283219583974244</v>
      </c>
      <c r="E539" s="441"/>
      <c r="F539" s="440">
        <v>36.927284161006966</v>
      </c>
      <c r="G539" s="440">
        <v>31.794714465564358</v>
      </c>
      <c r="H539" s="440">
        <f t="shared" si="203"/>
        <v>68.72199862657132</v>
      </c>
      <c r="I539" s="441"/>
      <c r="J539" s="440">
        <v>31.078680201323454</v>
      </c>
      <c r="K539" s="440">
        <v>33.713777470696265</v>
      </c>
      <c r="L539" s="440">
        <f t="shared" si="204"/>
        <v>64.792457672019722</v>
      </c>
      <c r="M539" s="347"/>
      <c r="N539" s="347"/>
    </row>
    <row r="540" spans="1:14" x14ac:dyDescent="0.25">
      <c r="A540" s="362" t="str">
        <f>name!E$8</f>
        <v>Skilled trades occupations</v>
      </c>
      <c r="B540" s="440">
        <v>3.3146807049292928</v>
      </c>
      <c r="C540" s="440">
        <v>212.85877797946983</v>
      </c>
      <c r="D540" s="440">
        <f t="shared" si="202"/>
        <v>216.17345868439912</v>
      </c>
      <c r="E540" s="441"/>
      <c r="F540" s="440">
        <v>2.7442932821947639</v>
      </c>
      <c r="G540" s="440">
        <v>215.63359996987739</v>
      </c>
      <c r="H540" s="440">
        <f t="shared" si="203"/>
        <v>218.37789325207217</v>
      </c>
      <c r="I540" s="441"/>
      <c r="J540" s="440">
        <v>2.7113741923342052</v>
      </c>
      <c r="K540" s="440">
        <v>192.62313939961635</v>
      </c>
      <c r="L540" s="440">
        <f t="shared" si="204"/>
        <v>195.33451359195055</v>
      </c>
      <c r="M540" s="347"/>
      <c r="N540" s="347"/>
    </row>
    <row r="541" spans="1:14" x14ac:dyDescent="0.25">
      <c r="A541" s="362" t="str">
        <f>name!E$9</f>
        <v>Caring, leisure and other service</v>
      </c>
      <c r="B541" s="440">
        <v>14.70983447790138</v>
      </c>
      <c r="C541" s="440">
        <v>1.2524476231680832</v>
      </c>
      <c r="D541" s="440">
        <f t="shared" si="202"/>
        <v>15.962282101069462</v>
      </c>
      <c r="E541" s="441"/>
      <c r="F541" s="440">
        <v>15.80203709031791</v>
      </c>
      <c r="G541" s="440">
        <v>1.508419755202457</v>
      </c>
      <c r="H541" s="440">
        <f t="shared" si="203"/>
        <v>17.310456845520367</v>
      </c>
      <c r="I541" s="441"/>
      <c r="J541" s="440">
        <v>22.180546943154539</v>
      </c>
      <c r="K541" s="440">
        <v>1.8817016876767365</v>
      </c>
      <c r="L541" s="440">
        <f t="shared" si="204"/>
        <v>24.062248630831277</v>
      </c>
      <c r="M541" s="347"/>
      <c r="N541" s="347"/>
    </row>
    <row r="542" spans="1:14" x14ac:dyDescent="0.25">
      <c r="A542" s="362" t="str">
        <f>name!E$10</f>
        <v>Sales and customer service</v>
      </c>
      <c r="B542" s="440">
        <v>31.245934820488724</v>
      </c>
      <c r="C542" s="440">
        <v>55.29806642072564</v>
      </c>
      <c r="D542" s="440">
        <f t="shared" si="202"/>
        <v>86.54400124121436</v>
      </c>
      <c r="E542" s="441"/>
      <c r="F542" s="440">
        <v>27.74890013932815</v>
      </c>
      <c r="G542" s="440">
        <v>81.243145452243297</v>
      </c>
      <c r="H542" s="440">
        <f t="shared" si="203"/>
        <v>108.99204559157144</v>
      </c>
      <c r="I542" s="441"/>
      <c r="J542" s="440">
        <v>27.521910668955478</v>
      </c>
      <c r="K542" s="440">
        <v>80.154689178832143</v>
      </c>
      <c r="L542" s="440">
        <f t="shared" si="204"/>
        <v>107.67659984778763</v>
      </c>
      <c r="M542" s="347"/>
      <c r="N542" s="347"/>
    </row>
    <row r="543" spans="1:14" x14ac:dyDescent="0.25">
      <c r="A543" s="362" t="str">
        <f>name!E$11</f>
        <v>Process, plant and machine operatives</v>
      </c>
      <c r="B543" s="440">
        <v>3.571196656104946</v>
      </c>
      <c r="C543" s="440">
        <v>43.136884724631926</v>
      </c>
      <c r="D543" s="440">
        <f t="shared" si="202"/>
        <v>46.708081380736871</v>
      </c>
      <c r="E543" s="441"/>
      <c r="F543" s="440">
        <v>3.6228812837156839</v>
      </c>
      <c r="G543" s="440">
        <v>39.335124544378722</v>
      </c>
      <c r="H543" s="440">
        <f t="shared" si="203"/>
        <v>42.958005828094407</v>
      </c>
      <c r="I543" s="441"/>
      <c r="J543" s="440">
        <v>4.6023446355460917</v>
      </c>
      <c r="K543" s="440">
        <v>41.123800247030083</v>
      </c>
      <c r="L543" s="440">
        <f t="shared" si="204"/>
        <v>45.726144882576172</v>
      </c>
      <c r="M543" s="347"/>
      <c r="N543" s="347"/>
    </row>
    <row r="544" spans="1:14" x14ac:dyDescent="0.25">
      <c r="A544" s="362" t="str">
        <f>name!E$12</f>
        <v>Elementary occupations</v>
      </c>
      <c r="B544" s="440">
        <v>6.0359796240485792</v>
      </c>
      <c r="C544" s="440">
        <v>19.283422448373045</v>
      </c>
      <c r="D544" s="440">
        <f t="shared" si="202"/>
        <v>25.319402072421624</v>
      </c>
      <c r="E544" s="441"/>
      <c r="F544" s="440">
        <v>4.8949455166735953</v>
      </c>
      <c r="G544" s="440">
        <v>25.852362716459645</v>
      </c>
      <c r="H544" s="440">
        <f t="shared" si="203"/>
        <v>30.747308233133239</v>
      </c>
      <c r="I544" s="441"/>
      <c r="J544" s="440">
        <v>4.4606238116655357</v>
      </c>
      <c r="K544" s="440">
        <v>30.111958836538705</v>
      </c>
      <c r="L544" s="440">
        <f t="shared" si="204"/>
        <v>34.572582648204239</v>
      </c>
      <c r="M544" s="347"/>
      <c r="N544" s="347"/>
    </row>
    <row r="545" spans="1:14" s="286" customFormat="1" x14ac:dyDescent="0.25">
      <c r="A545" s="362"/>
      <c r="B545" s="440"/>
      <c r="C545" s="440"/>
      <c r="D545" s="440"/>
      <c r="E545" s="441"/>
      <c r="F545" s="440"/>
      <c r="G545" s="440"/>
      <c r="H545" s="440"/>
      <c r="I545" s="441"/>
      <c r="J545" s="440"/>
      <c r="K545" s="440"/>
      <c r="L545" s="440"/>
      <c r="M545" s="347"/>
      <c r="N545" s="347"/>
    </row>
    <row r="546" spans="1:14" x14ac:dyDescent="0.25">
      <c r="A546" s="357" t="s">
        <v>32</v>
      </c>
      <c r="B546" s="450">
        <f>SUM(B536:B544)</f>
        <v>133.91199999984008</v>
      </c>
      <c r="C546" s="450">
        <f t="shared" ref="C546:D546" si="205">SUM(C536:C544)</f>
        <v>466.97499999868683</v>
      </c>
      <c r="D546" s="450">
        <f t="shared" si="205"/>
        <v>600.8869999985269</v>
      </c>
      <c r="E546" s="450"/>
      <c r="F546" s="450">
        <f t="shared" ref="F546:H546" si="206">SUM(F536:F544)</f>
        <v>114.19500000079853</v>
      </c>
      <c r="G546" s="450">
        <f t="shared" si="206"/>
        <v>517.92999999903714</v>
      </c>
      <c r="H546" s="450">
        <f t="shared" si="206"/>
        <v>632.12499999983572</v>
      </c>
      <c r="I546" s="450"/>
      <c r="J546" s="450">
        <f t="shared" ref="J546:L546" si="207">SUM(J536:J544)</f>
        <v>122.62299999984333</v>
      </c>
      <c r="K546" s="450">
        <f t="shared" si="207"/>
        <v>509.45499999759323</v>
      </c>
      <c r="L546" s="450">
        <f t="shared" si="207"/>
        <v>632.07799999743656</v>
      </c>
      <c r="M546" s="347"/>
      <c r="N546" s="347"/>
    </row>
    <row r="547" spans="1:14" x14ac:dyDescent="0.25">
      <c r="A547" s="348"/>
      <c r="B547" s="348"/>
      <c r="C547" s="348"/>
      <c r="D547" s="348"/>
      <c r="E547" s="348"/>
      <c r="F547" s="348"/>
      <c r="G547" s="348"/>
      <c r="H547" s="348"/>
      <c r="I547" s="348"/>
      <c r="J547" s="348"/>
      <c r="K547" s="348"/>
      <c r="L547" s="353"/>
      <c r="M547" s="347"/>
      <c r="N547" s="347"/>
    </row>
    <row r="548" spans="1:14" x14ac:dyDescent="0.25">
      <c r="A548" s="348"/>
      <c r="B548" s="348"/>
      <c r="C548" s="348"/>
      <c r="D548" s="348"/>
      <c r="E548" s="348"/>
      <c r="F548" s="348"/>
      <c r="G548" s="348"/>
      <c r="H548" s="348"/>
      <c r="I548" s="348"/>
      <c r="J548" s="348"/>
      <c r="K548" s="348"/>
      <c r="L548" s="372" t="s">
        <v>35</v>
      </c>
      <c r="M548" s="347"/>
      <c r="N548" s="347"/>
    </row>
    <row r="549" spans="1:14" x14ac:dyDescent="0.25">
      <c r="A549" s="355"/>
      <c r="B549" s="365"/>
      <c r="C549" s="365"/>
      <c r="D549" s="365"/>
      <c r="E549" s="365"/>
      <c r="F549" s="365"/>
      <c r="G549" s="365"/>
      <c r="H549" s="365"/>
      <c r="I549" s="365"/>
      <c r="J549" s="365"/>
      <c r="K549" s="365"/>
      <c r="L549" s="347"/>
      <c r="M549" s="347"/>
      <c r="N549" s="347"/>
    </row>
    <row r="550" spans="1:14" x14ac:dyDescent="0.25">
      <c r="A550" s="354" t="str">
        <f>name!A35</f>
        <v>Wholesale trade</v>
      </c>
      <c r="B550" s="515">
        <f>B$6</f>
        <v>2007</v>
      </c>
      <c r="C550" s="515"/>
      <c r="D550" s="515"/>
      <c r="E550" s="369"/>
      <c r="F550" s="515">
        <f>F533</f>
        <v>2017</v>
      </c>
      <c r="G550" s="515"/>
      <c r="H550" s="515"/>
      <c r="I550" s="369"/>
      <c r="J550" s="515">
        <f>J533</f>
        <v>2027</v>
      </c>
      <c r="K550" s="515"/>
      <c r="L550" s="515"/>
      <c r="M550" s="347"/>
      <c r="N550" s="347"/>
    </row>
    <row r="551" spans="1:14" x14ac:dyDescent="0.25">
      <c r="A551" s="370"/>
      <c r="B551" s="371" t="s">
        <v>387</v>
      </c>
      <c r="C551" s="371" t="s">
        <v>388</v>
      </c>
      <c r="D551" s="371" t="s">
        <v>32</v>
      </c>
      <c r="E551" s="371"/>
      <c r="F551" s="371" t="s">
        <v>387</v>
      </c>
      <c r="G551" s="371" t="s">
        <v>388</v>
      </c>
      <c r="H551" s="371" t="s">
        <v>32</v>
      </c>
      <c r="I551" s="371"/>
      <c r="J551" s="371" t="s">
        <v>387</v>
      </c>
      <c r="K551" s="371" t="s">
        <v>388</v>
      </c>
      <c r="L551" s="371" t="s">
        <v>32</v>
      </c>
      <c r="M551" s="347"/>
      <c r="N551" s="347"/>
    </row>
    <row r="552" spans="1:14" s="286" customFormat="1" x14ac:dyDescent="0.25">
      <c r="A552" s="374"/>
      <c r="B552" s="375"/>
      <c r="C552" s="375"/>
      <c r="D552" s="375"/>
      <c r="E552" s="375"/>
      <c r="F552" s="375"/>
      <c r="G552" s="375"/>
      <c r="H552" s="375"/>
      <c r="I552" s="375"/>
      <c r="J552" s="375"/>
      <c r="K552" s="375"/>
      <c r="L552" s="375"/>
      <c r="M552" s="347"/>
      <c r="N552" s="347"/>
    </row>
    <row r="553" spans="1:14" x14ac:dyDescent="0.25">
      <c r="A553" s="362" t="str">
        <f>name!E$4</f>
        <v>Managers, directors and senior officials</v>
      </c>
      <c r="B553" s="440">
        <v>37.022544242268658</v>
      </c>
      <c r="C553" s="440">
        <v>168.77151581211879</v>
      </c>
      <c r="D553" s="440">
        <f>SUM(B553:C553)</f>
        <v>205.79406005438744</v>
      </c>
      <c r="E553" s="441"/>
      <c r="F553" s="440">
        <v>48.471382091724195</v>
      </c>
      <c r="G553" s="440">
        <v>166.80621347054756</v>
      </c>
      <c r="H553" s="440">
        <f>SUM(F553:G553)</f>
        <v>215.27759556227176</v>
      </c>
      <c r="I553" s="441"/>
      <c r="J553" s="440">
        <v>63.340831472923831</v>
      </c>
      <c r="K553" s="440">
        <v>166.14359359778899</v>
      </c>
      <c r="L553" s="440">
        <f>SUM(J553:K553)</f>
        <v>229.48442507071283</v>
      </c>
      <c r="M553" s="347"/>
      <c r="N553" s="347"/>
    </row>
    <row r="554" spans="1:14" x14ac:dyDescent="0.25">
      <c r="A554" s="362" t="str">
        <f>name!E$5</f>
        <v>Professional occupations</v>
      </c>
      <c r="B554" s="440">
        <v>25.447504509547276</v>
      </c>
      <c r="C554" s="440">
        <v>72.092102331728583</v>
      </c>
      <c r="D554" s="440">
        <f t="shared" ref="D554:D561" si="208">SUM(B554:C554)</f>
        <v>97.539606841275855</v>
      </c>
      <c r="E554" s="441"/>
      <c r="F554" s="440">
        <v>27.574037603702923</v>
      </c>
      <c r="G554" s="440">
        <v>70.841145884390372</v>
      </c>
      <c r="H554" s="440">
        <f t="shared" ref="H554:H561" si="209">SUM(F554:G554)</f>
        <v>98.415183488093291</v>
      </c>
      <c r="I554" s="441"/>
      <c r="J554" s="440">
        <v>36.067703758078274</v>
      </c>
      <c r="K554" s="440">
        <v>69.33300788457602</v>
      </c>
      <c r="L554" s="440">
        <f t="shared" ref="L554:L561" si="210">SUM(J554:K554)</f>
        <v>105.4007116426543</v>
      </c>
      <c r="M554" s="347"/>
      <c r="N554" s="347"/>
    </row>
    <row r="555" spans="1:14" x14ac:dyDescent="0.25">
      <c r="A555" s="362" t="str">
        <f>name!E$6</f>
        <v>Associate professional and technical</v>
      </c>
      <c r="B555" s="440">
        <v>57.511470267492754</v>
      </c>
      <c r="C555" s="440">
        <v>131.3220371416048</v>
      </c>
      <c r="D555" s="440">
        <f t="shared" si="208"/>
        <v>188.83350740909754</v>
      </c>
      <c r="E555" s="441"/>
      <c r="F555" s="440">
        <v>66.427866850410069</v>
      </c>
      <c r="G555" s="440">
        <v>123.93609058550646</v>
      </c>
      <c r="H555" s="440">
        <f t="shared" si="209"/>
        <v>190.36395743591652</v>
      </c>
      <c r="I555" s="441"/>
      <c r="J555" s="440">
        <v>81.94063876264461</v>
      </c>
      <c r="K555" s="440">
        <v>121.62156704212315</v>
      </c>
      <c r="L555" s="440">
        <f t="shared" si="210"/>
        <v>203.56220580476776</v>
      </c>
      <c r="M555" s="347"/>
      <c r="N555" s="347"/>
    </row>
    <row r="556" spans="1:14" x14ac:dyDescent="0.25">
      <c r="A556" s="362" t="str">
        <f>name!E$7</f>
        <v>Administrative and secretarial</v>
      </c>
      <c r="B556" s="440">
        <v>154.21523956598617</v>
      </c>
      <c r="C556" s="440">
        <v>64.828180672809353</v>
      </c>
      <c r="D556" s="440">
        <f t="shared" si="208"/>
        <v>219.04342023879553</v>
      </c>
      <c r="E556" s="441"/>
      <c r="F556" s="440">
        <v>122.91590901814666</v>
      </c>
      <c r="G556" s="440">
        <v>57.216327551072247</v>
      </c>
      <c r="H556" s="440">
        <f t="shared" si="209"/>
        <v>180.13223656921892</v>
      </c>
      <c r="I556" s="441"/>
      <c r="J556" s="440">
        <v>103.52903744209783</v>
      </c>
      <c r="K556" s="440">
        <v>54.619504483481933</v>
      </c>
      <c r="L556" s="440">
        <f t="shared" si="210"/>
        <v>158.14854192557976</v>
      </c>
      <c r="M556" s="347"/>
      <c r="N556" s="347"/>
    </row>
    <row r="557" spans="1:14" x14ac:dyDescent="0.25">
      <c r="A557" s="362" t="str">
        <f>name!E$8</f>
        <v>Skilled trades occupations</v>
      </c>
      <c r="B557" s="440">
        <v>5.0300011976999928</v>
      </c>
      <c r="C557" s="440">
        <v>59.478923787138953</v>
      </c>
      <c r="D557" s="440">
        <f t="shared" si="208"/>
        <v>64.508924984838941</v>
      </c>
      <c r="E557" s="441"/>
      <c r="F557" s="440">
        <v>5.3746378258351557</v>
      </c>
      <c r="G557" s="440">
        <v>65.347631678381106</v>
      </c>
      <c r="H557" s="440">
        <f t="shared" si="209"/>
        <v>70.722269504216257</v>
      </c>
      <c r="I557" s="441"/>
      <c r="J557" s="440">
        <v>5.0714101394788873</v>
      </c>
      <c r="K557" s="440">
        <v>54.508058371847135</v>
      </c>
      <c r="L557" s="440">
        <f t="shared" si="210"/>
        <v>59.57946851132602</v>
      </c>
      <c r="M557" s="347"/>
      <c r="N557" s="347"/>
    </row>
    <row r="558" spans="1:14" x14ac:dyDescent="0.25">
      <c r="A558" s="362" t="str">
        <f>name!E$9</f>
        <v>Caring, leisure and other service</v>
      </c>
      <c r="B558" s="440">
        <v>3.4478092423655404</v>
      </c>
      <c r="C558" s="440">
        <v>1.30504533199047</v>
      </c>
      <c r="D558" s="440">
        <f t="shared" si="208"/>
        <v>4.7528545743560109</v>
      </c>
      <c r="E558" s="441"/>
      <c r="F558" s="440">
        <v>3.5663185260544115</v>
      </c>
      <c r="G558" s="440">
        <v>1.1474559592623903</v>
      </c>
      <c r="H558" s="440">
        <f t="shared" si="209"/>
        <v>4.7137744853168018</v>
      </c>
      <c r="I558" s="441"/>
      <c r="J558" s="440">
        <v>4.1213559438814382</v>
      </c>
      <c r="K558" s="440">
        <v>1.3472955381873122</v>
      </c>
      <c r="L558" s="440">
        <f t="shared" si="210"/>
        <v>5.4686514820687506</v>
      </c>
      <c r="M558" s="347"/>
      <c r="N558" s="347"/>
    </row>
    <row r="559" spans="1:14" x14ac:dyDescent="0.25">
      <c r="A559" s="362" t="str">
        <f>name!E$10</f>
        <v>Sales and customer service</v>
      </c>
      <c r="B559" s="440">
        <v>62.468186316744365</v>
      </c>
      <c r="C559" s="440">
        <v>74.593366508879143</v>
      </c>
      <c r="D559" s="440">
        <f t="shared" si="208"/>
        <v>137.06155282562349</v>
      </c>
      <c r="E559" s="441"/>
      <c r="F559" s="440">
        <v>60.686552170838681</v>
      </c>
      <c r="G559" s="440">
        <v>76.166949526485183</v>
      </c>
      <c r="H559" s="440">
        <f t="shared" si="209"/>
        <v>136.85350169732385</v>
      </c>
      <c r="I559" s="441"/>
      <c r="J559" s="440">
        <v>59.627414431003196</v>
      </c>
      <c r="K559" s="440">
        <v>68.489001307342704</v>
      </c>
      <c r="L559" s="440">
        <f t="shared" si="210"/>
        <v>128.11641573834589</v>
      </c>
      <c r="M559" s="347"/>
      <c r="N559" s="347"/>
    </row>
    <row r="560" spans="1:14" x14ac:dyDescent="0.25">
      <c r="A560" s="362" t="str">
        <f>name!E$11</f>
        <v>Process, plant and machine operatives</v>
      </c>
      <c r="B560" s="440">
        <v>21.939288631568633</v>
      </c>
      <c r="C560" s="440">
        <v>164.27831624198564</v>
      </c>
      <c r="D560" s="440">
        <f t="shared" si="208"/>
        <v>186.21760487355428</v>
      </c>
      <c r="E560" s="441"/>
      <c r="F560" s="440">
        <v>34.273520926735976</v>
      </c>
      <c r="G560" s="440">
        <v>156.29213632410486</v>
      </c>
      <c r="H560" s="440">
        <f t="shared" si="209"/>
        <v>190.56565725084084</v>
      </c>
      <c r="I560" s="441"/>
      <c r="J560" s="440">
        <v>24.109171549569894</v>
      </c>
      <c r="K560" s="440">
        <v>149.59836295509959</v>
      </c>
      <c r="L560" s="440">
        <f t="shared" si="210"/>
        <v>173.70753450466947</v>
      </c>
      <c r="M560" s="347"/>
      <c r="N560" s="347"/>
    </row>
    <row r="561" spans="1:14" x14ac:dyDescent="0.25">
      <c r="A561" s="362" t="str">
        <f>name!E$12</f>
        <v>Elementary occupations</v>
      </c>
      <c r="B561" s="440">
        <v>38.030956023467567</v>
      </c>
      <c r="C561" s="440">
        <v>105.96351216852106</v>
      </c>
      <c r="D561" s="440">
        <f t="shared" si="208"/>
        <v>143.99446819198863</v>
      </c>
      <c r="E561" s="441"/>
      <c r="F561" s="440">
        <v>44.023774987035885</v>
      </c>
      <c r="G561" s="440">
        <v>94.864049019388858</v>
      </c>
      <c r="H561" s="440">
        <f t="shared" si="209"/>
        <v>138.88782400642475</v>
      </c>
      <c r="I561" s="441"/>
      <c r="J561" s="440">
        <v>46.58843649724033</v>
      </c>
      <c r="K561" s="440">
        <v>86.433608817078607</v>
      </c>
      <c r="L561" s="440">
        <f t="shared" si="210"/>
        <v>133.02204531431894</v>
      </c>
      <c r="M561" s="347"/>
      <c r="N561" s="347"/>
    </row>
    <row r="562" spans="1:14" s="286" customFormat="1" x14ac:dyDescent="0.25">
      <c r="A562" s="362"/>
      <c r="B562" s="440"/>
      <c r="C562" s="440"/>
      <c r="D562" s="440"/>
      <c r="E562" s="441"/>
      <c r="F562" s="440"/>
      <c r="G562" s="440"/>
      <c r="H562" s="440"/>
      <c r="I562" s="441"/>
      <c r="J562" s="440"/>
      <c r="K562" s="440"/>
      <c r="L562" s="440"/>
      <c r="M562" s="347"/>
      <c r="N562" s="347"/>
    </row>
    <row r="563" spans="1:14" x14ac:dyDescent="0.25">
      <c r="A563" s="357" t="s">
        <v>32</v>
      </c>
      <c r="B563" s="450">
        <f>SUM(B553:B561)</f>
        <v>405.112999997141</v>
      </c>
      <c r="C563" s="450">
        <f t="shared" ref="C563:D563" si="211">SUM(C553:C561)</f>
        <v>842.6329999967769</v>
      </c>
      <c r="D563" s="450">
        <f t="shared" si="211"/>
        <v>1247.7459999939178</v>
      </c>
      <c r="E563" s="450"/>
      <c r="F563" s="450">
        <f t="shared" ref="F563:H563" si="212">SUM(F553:F561)</f>
        <v>413.31400000048404</v>
      </c>
      <c r="G563" s="450">
        <f t="shared" si="212"/>
        <v>812.61799999913899</v>
      </c>
      <c r="H563" s="450">
        <f t="shared" si="212"/>
        <v>1225.931999999623</v>
      </c>
      <c r="I563" s="450"/>
      <c r="J563" s="450">
        <f t="shared" ref="J563:L563" si="213">SUM(J553:J561)</f>
        <v>424.39599999691831</v>
      </c>
      <c r="K563" s="450">
        <f t="shared" si="213"/>
        <v>772.09399999752543</v>
      </c>
      <c r="L563" s="450">
        <f t="shared" si="213"/>
        <v>1196.4899999944439</v>
      </c>
      <c r="M563" s="347"/>
      <c r="N563" s="347"/>
    </row>
    <row r="564" spans="1:14" x14ac:dyDescent="0.25">
      <c r="A564" s="348"/>
      <c r="B564" s="348"/>
      <c r="C564" s="348"/>
      <c r="D564" s="348"/>
      <c r="E564" s="348"/>
      <c r="F564" s="348"/>
      <c r="G564" s="348"/>
      <c r="H564" s="348"/>
      <c r="I564" s="348"/>
      <c r="J564" s="348"/>
      <c r="K564" s="348"/>
      <c r="L564" s="353"/>
      <c r="M564" s="347"/>
      <c r="N564" s="347"/>
    </row>
    <row r="565" spans="1:14" x14ac:dyDescent="0.25">
      <c r="A565" s="348"/>
      <c r="B565" s="348"/>
      <c r="C565" s="348"/>
      <c r="D565" s="348"/>
      <c r="E565" s="348"/>
      <c r="F565" s="348"/>
      <c r="G565" s="348"/>
      <c r="H565" s="348"/>
      <c r="I565" s="348"/>
      <c r="J565" s="348"/>
      <c r="K565" s="348"/>
      <c r="L565" s="372" t="s">
        <v>35</v>
      </c>
      <c r="M565" s="347"/>
      <c r="N565" s="347"/>
    </row>
    <row r="566" spans="1:14" x14ac:dyDescent="0.25">
      <c r="A566" s="355"/>
      <c r="B566" s="365"/>
      <c r="C566" s="365"/>
      <c r="D566" s="365"/>
      <c r="E566" s="365"/>
      <c r="F566" s="365"/>
      <c r="G566" s="365"/>
      <c r="H566" s="365"/>
      <c r="I566" s="365"/>
      <c r="J566" s="365"/>
      <c r="K566" s="365"/>
      <c r="L566" s="347"/>
      <c r="M566" s="347"/>
      <c r="N566" s="347"/>
    </row>
    <row r="567" spans="1:14" x14ac:dyDescent="0.25">
      <c r="A567" s="354" t="str">
        <f>name!A36</f>
        <v>Retail trade</v>
      </c>
      <c r="B567" s="515">
        <f>B$6</f>
        <v>2007</v>
      </c>
      <c r="C567" s="515"/>
      <c r="D567" s="515"/>
      <c r="E567" s="369"/>
      <c r="F567" s="515">
        <f>F550</f>
        <v>2017</v>
      </c>
      <c r="G567" s="515"/>
      <c r="H567" s="515"/>
      <c r="I567" s="369"/>
      <c r="J567" s="515">
        <f>J550</f>
        <v>2027</v>
      </c>
      <c r="K567" s="515"/>
      <c r="L567" s="515"/>
      <c r="M567" s="347"/>
      <c r="N567" s="347"/>
    </row>
    <row r="568" spans="1:14" x14ac:dyDescent="0.25">
      <c r="A568" s="370"/>
      <c r="B568" s="371" t="s">
        <v>387</v>
      </c>
      <c r="C568" s="371" t="s">
        <v>388</v>
      </c>
      <c r="D568" s="371" t="s">
        <v>32</v>
      </c>
      <c r="E568" s="371"/>
      <c r="F568" s="371" t="s">
        <v>387</v>
      </c>
      <c r="G568" s="371" t="s">
        <v>388</v>
      </c>
      <c r="H568" s="371" t="s">
        <v>32</v>
      </c>
      <c r="I568" s="371"/>
      <c r="J568" s="371" t="s">
        <v>387</v>
      </c>
      <c r="K568" s="371" t="s">
        <v>388</v>
      </c>
      <c r="L568" s="371" t="s">
        <v>32</v>
      </c>
      <c r="M568" s="347"/>
      <c r="N568" s="347"/>
    </row>
    <row r="569" spans="1:14" s="286" customFormat="1" x14ac:dyDescent="0.25">
      <c r="A569" s="374"/>
      <c r="B569" s="375"/>
      <c r="C569" s="375"/>
      <c r="D569" s="375"/>
      <c r="E569" s="375"/>
      <c r="F569" s="375"/>
      <c r="G569" s="375"/>
      <c r="H569" s="375"/>
      <c r="I569" s="375"/>
      <c r="J569" s="375"/>
      <c r="K569" s="375"/>
      <c r="L569" s="375"/>
      <c r="M569" s="347"/>
      <c r="N569" s="347"/>
    </row>
    <row r="570" spans="1:14" x14ac:dyDescent="0.25">
      <c r="A570" s="362" t="str">
        <f>name!E$4</f>
        <v>Managers, directors and senior officials</v>
      </c>
      <c r="B570" s="440">
        <v>134.93182797167793</v>
      </c>
      <c r="C570" s="440">
        <v>199.05400418029353</v>
      </c>
      <c r="D570" s="440">
        <f>SUM(B570:C570)</f>
        <v>333.98583215197147</v>
      </c>
      <c r="E570" s="441"/>
      <c r="F570" s="440">
        <v>187.0172340504221</v>
      </c>
      <c r="G570" s="440">
        <v>211.2696428920332</v>
      </c>
      <c r="H570" s="440">
        <f>SUM(F570:G570)</f>
        <v>398.28687694245531</v>
      </c>
      <c r="I570" s="441"/>
      <c r="J570" s="440">
        <v>232.53631660422761</v>
      </c>
      <c r="K570" s="440">
        <v>211.81738786130637</v>
      </c>
      <c r="L570" s="440">
        <f>SUM(J570:K570)</f>
        <v>444.35370446553395</v>
      </c>
      <c r="M570" s="347"/>
      <c r="N570" s="347"/>
    </row>
    <row r="571" spans="1:14" x14ac:dyDescent="0.25">
      <c r="A571" s="362" t="str">
        <f>name!E$5</f>
        <v>Professional occupations</v>
      </c>
      <c r="B571" s="440">
        <v>87.71114128303563</v>
      </c>
      <c r="C571" s="440">
        <v>73.588559357237202</v>
      </c>
      <c r="D571" s="440">
        <f t="shared" ref="D571:D578" si="214">SUM(B571:C571)</f>
        <v>161.29970064027282</v>
      </c>
      <c r="E571" s="441"/>
      <c r="F571" s="440">
        <v>130.42881587303984</v>
      </c>
      <c r="G571" s="440">
        <v>91.667662993319595</v>
      </c>
      <c r="H571" s="440">
        <f t="shared" ref="H571:H578" si="215">SUM(F571:G571)</f>
        <v>222.09647886635943</v>
      </c>
      <c r="I571" s="441"/>
      <c r="J571" s="440">
        <v>173.35976853621568</v>
      </c>
      <c r="K571" s="440">
        <v>98.45859539169966</v>
      </c>
      <c r="L571" s="440">
        <f t="shared" ref="L571:L578" si="216">SUM(J571:K571)</f>
        <v>271.81836392791536</v>
      </c>
      <c r="M571" s="347"/>
      <c r="N571" s="347"/>
    </row>
    <row r="572" spans="1:14" x14ac:dyDescent="0.25">
      <c r="A572" s="362" t="str">
        <f>name!E$6</f>
        <v>Associate professional and technical</v>
      </c>
      <c r="B572" s="440">
        <v>95.771515410431064</v>
      </c>
      <c r="C572" s="440">
        <v>87.497219828281288</v>
      </c>
      <c r="D572" s="440">
        <f t="shared" si="214"/>
        <v>183.26873523871234</v>
      </c>
      <c r="E572" s="441"/>
      <c r="F572" s="440">
        <v>127.23619113450347</v>
      </c>
      <c r="G572" s="440">
        <v>95.622609215441699</v>
      </c>
      <c r="H572" s="440">
        <f t="shared" si="215"/>
        <v>222.85880034994517</v>
      </c>
      <c r="I572" s="441"/>
      <c r="J572" s="440">
        <v>163.68983782467956</v>
      </c>
      <c r="K572" s="440">
        <v>106.07628069197939</v>
      </c>
      <c r="L572" s="440">
        <f t="shared" si="216"/>
        <v>269.76611851665893</v>
      </c>
      <c r="M572" s="347"/>
      <c r="N572" s="347"/>
    </row>
    <row r="573" spans="1:14" x14ac:dyDescent="0.25">
      <c r="A573" s="362" t="str">
        <f>name!E$7</f>
        <v>Administrative and secretarial</v>
      </c>
      <c r="B573" s="440">
        <v>167.26069690149106</v>
      </c>
      <c r="C573" s="440">
        <v>51.570792271164436</v>
      </c>
      <c r="D573" s="440">
        <f t="shared" si="214"/>
        <v>218.83148917265549</v>
      </c>
      <c r="E573" s="441"/>
      <c r="F573" s="440">
        <v>139.91254429838625</v>
      </c>
      <c r="G573" s="440">
        <v>52.390770466928906</v>
      </c>
      <c r="H573" s="440">
        <f t="shared" si="215"/>
        <v>192.30331476531515</v>
      </c>
      <c r="I573" s="441"/>
      <c r="J573" s="440">
        <v>130.63805469457711</v>
      </c>
      <c r="K573" s="440">
        <v>63.557882250268499</v>
      </c>
      <c r="L573" s="440">
        <f t="shared" si="216"/>
        <v>194.19593694484561</v>
      </c>
      <c r="M573" s="347"/>
      <c r="N573" s="347"/>
    </row>
    <row r="574" spans="1:14" x14ac:dyDescent="0.25">
      <c r="A574" s="362" t="str">
        <f>name!E$8</f>
        <v>Skilled trades occupations</v>
      </c>
      <c r="B574" s="440">
        <v>45.734128317841943</v>
      </c>
      <c r="C574" s="440">
        <v>122.50454684507582</v>
      </c>
      <c r="D574" s="440">
        <f t="shared" si="214"/>
        <v>168.23867516291776</v>
      </c>
      <c r="E574" s="441"/>
      <c r="F574" s="440">
        <v>40.847723666513168</v>
      </c>
      <c r="G574" s="440">
        <v>99.545521744480737</v>
      </c>
      <c r="H574" s="440">
        <f t="shared" si="215"/>
        <v>140.3932454109939</v>
      </c>
      <c r="I574" s="441"/>
      <c r="J574" s="440">
        <v>34.992909564098575</v>
      </c>
      <c r="K574" s="440">
        <v>88.989413193468963</v>
      </c>
      <c r="L574" s="440">
        <f t="shared" si="216"/>
        <v>123.98232275756754</v>
      </c>
      <c r="M574" s="347"/>
      <c r="N574" s="347"/>
    </row>
    <row r="575" spans="1:14" x14ac:dyDescent="0.25">
      <c r="A575" s="362" t="str">
        <f>name!E$9</f>
        <v>Caring, leisure and other service</v>
      </c>
      <c r="B575" s="440">
        <v>9.6451390344267391</v>
      </c>
      <c r="C575" s="440">
        <v>5.084271446627759</v>
      </c>
      <c r="D575" s="440">
        <f t="shared" si="214"/>
        <v>14.729410481054497</v>
      </c>
      <c r="E575" s="441"/>
      <c r="F575" s="440">
        <v>11.708251184303725</v>
      </c>
      <c r="G575" s="440">
        <v>5.1128538997461845</v>
      </c>
      <c r="H575" s="440">
        <f t="shared" si="215"/>
        <v>16.821105084049911</v>
      </c>
      <c r="I575" s="441"/>
      <c r="J575" s="440">
        <v>13.069567834010442</v>
      </c>
      <c r="K575" s="440">
        <v>7.8486285585874045</v>
      </c>
      <c r="L575" s="440">
        <f t="shared" si="216"/>
        <v>20.918196392597846</v>
      </c>
      <c r="M575" s="347"/>
      <c r="N575" s="347"/>
    </row>
    <row r="576" spans="1:14" x14ac:dyDescent="0.25">
      <c r="A576" s="362" t="str">
        <f>name!E$10</f>
        <v>Sales and customer service</v>
      </c>
      <c r="B576" s="440">
        <v>1127.3098729687645</v>
      </c>
      <c r="C576" s="440">
        <v>506.96599353799411</v>
      </c>
      <c r="D576" s="440">
        <f t="shared" si="214"/>
        <v>1634.2758665067586</v>
      </c>
      <c r="E576" s="441"/>
      <c r="F576" s="440">
        <v>1026.1609611477243</v>
      </c>
      <c r="G576" s="440">
        <v>496.98914981691797</v>
      </c>
      <c r="H576" s="440">
        <f t="shared" si="215"/>
        <v>1523.1501109646422</v>
      </c>
      <c r="I576" s="441"/>
      <c r="J576" s="440">
        <v>900.07861114180616</v>
      </c>
      <c r="K576" s="440">
        <v>537.33391032801751</v>
      </c>
      <c r="L576" s="440">
        <f t="shared" si="216"/>
        <v>1437.4125214698238</v>
      </c>
      <c r="M576" s="347"/>
      <c r="N576" s="347"/>
    </row>
    <row r="577" spans="1:14" x14ac:dyDescent="0.25">
      <c r="A577" s="362" t="str">
        <f>name!E$11</f>
        <v>Process, plant and machine operatives</v>
      </c>
      <c r="B577" s="440">
        <v>22.22692178230254</v>
      </c>
      <c r="C577" s="440">
        <v>78.104894278214957</v>
      </c>
      <c r="D577" s="440">
        <f t="shared" si="214"/>
        <v>100.3318160605175</v>
      </c>
      <c r="E577" s="441"/>
      <c r="F577" s="440">
        <v>20.069943616143465</v>
      </c>
      <c r="G577" s="440">
        <v>75.412480848023407</v>
      </c>
      <c r="H577" s="440">
        <f t="shared" si="215"/>
        <v>95.482424464166868</v>
      </c>
      <c r="I577" s="441"/>
      <c r="J577" s="440">
        <v>14.641860993162918</v>
      </c>
      <c r="K577" s="440">
        <v>88.067674834030697</v>
      </c>
      <c r="L577" s="440">
        <f t="shared" si="216"/>
        <v>102.70953582719362</v>
      </c>
      <c r="M577" s="347"/>
      <c r="N577" s="347"/>
    </row>
    <row r="578" spans="1:14" x14ac:dyDescent="0.25">
      <c r="A578" s="362" t="str">
        <f>name!E$12</f>
        <v>Elementary occupations</v>
      </c>
      <c r="B578" s="440">
        <v>166.59075635579609</v>
      </c>
      <c r="C578" s="440">
        <v>182.81071824301156</v>
      </c>
      <c r="D578" s="440">
        <f t="shared" si="214"/>
        <v>349.40147459880768</v>
      </c>
      <c r="E578" s="441"/>
      <c r="F578" s="440">
        <v>149.59233508609751</v>
      </c>
      <c r="G578" s="440">
        <v>161.10430811935191</v>
      </c>
      <c r="H578" s="440">
        <f t="shared" si="215"/>
        <v>310.69664320544939</v>
      </c>
      <c r="I578" s="441"/>
      <c r="J578" s="440">
        <v>127.86107282622349</v>
      </c>
      <c r="K578" s="440">
        <v>224.24422688250169</v>
      </c>
      <c r="L578" s="440">
        <f t="shared" si="216"/>
        <v>352.10529970872517</v>
      </c>
      <c r="M578" s="347"/>
      <c r="N578" s="347"/>
    </row>
    <row r="579" spans="1:14" s="286" customFormat="1" x14ac:dyDescent="0.25">
      <c r="A579" s="362"/>
      <c r="B579" s="440"/>
      <c r="C579" s="440"/>
      <c r="D579" s="440"/>
      <c r="E579" s="441"/>
      <c r="F579" s="440"/>
      <c r="G579" s="440"/>
      <c r="H579" s="440"/>
      <c r="I579" s="441"/>
      <c r="J579" s="440"/>
      <c r="K579" s="440"/>
      <c r="L579" s="440"/>
      <c r="M579" s="347"/>
      <c r="N579" s="347"/>
    </row>
    <row r="580" spans="1:14" x14ac:dyDescent="0.25">
      <c r="A580" s="357" t="s">
        <v>32</v>
      </c>
      <c r="B580" s="450">
        <f>SUM(B570:B578)</f>
        <v>1857.1820000257676</v>
      </c>
      <c r="C580" s="450">
        <f t="shared" ref="C580:D580" si="217">SUM(C570:C578)</f>
        <v>1307.1809999879006</v>
      </c>
      <c r="D580" s="450">
        <f t="shared" si="217"/>
        <v>3164.3630000136682</v>
      </c>
      <c r="E580" s="450"/>
      <c r="F580" s="450">
        <f t="shared" ref="F580:H580" si="218">SUM(F570:F578)</f>
        <v>1832.9740000571339</v>
      </c>
      <c r="G580" s="450">
        <f t="shared" si="218"/>
        <v>1289.1149999962436</v>
      </c>
      <c r="H580" s="450">
        <f t="shared" si="218"/>
        <v>3122.0890000533773</v>
      </c>
      <c r="I580" s="450"/>
      <c r="J580" s="450">
        <f t="shared" ref="J580:L580" si="219">SUM(J570:J578)</f>
        <v>1790.8680000190016</v>
      </c>
      <c r="K580" s="450">
        <f t="shared" si="219"/>
        <v>1426.39399999186</v>
      </c>
      <c r="L580" s="450">
        <f t="shared" si="219"/>
        <v>3217.2620000108618</v>
      </c>
      <c r="M580" s="347"/>
      <c r="N580" s="347"/>
    </row>
    <row r="581" spans="1:14" x14ac:dyDescent="0.25">
      <c r="A581" s="348"/>
      <c r="B581" s="348"/>
      <c r="C581" s="348"/>
      <c r="D581" s="348"/>
      <c r="E581" s="348"/>
      <c r="F581" s="348"/>
      <c r="G581" s="348"/>
      <c r="H581" s="348"/>
      <c r="I581" s="348"/>
      <c r="J581" s="348"/>
      <c r="K581" s="348"/>
      <c r="L581" s="353"/>
      <c r="M581" s="347"/>
      <c r="N581" s="347"/>
    </row>
    <row r="582" spans="1:14" x14ac:dyDescent="0.25">
      <c r="A582" s="348"/>
      <c r="B582" s="348"/>
      <c r="C582" s="348"/>
      <c r="D582" s="348"/>
      <c r="E582" s="348"/>
      <c r="F582" s="348"/>
      <c r="G582" s="348"/>
      <c r="H582" s="348"/>
      <c r="I582" s="348"/>
      <c r="J582" s="348"/>
      <c r="K582" s="348"/>
      <c r="L582" s="372" t="s">
        <v>35</v>
      </c>
      <c r="M582" s="347"/>
      <c r="N582" s="347"/>
    </row>
    <row r="583" spans="1:14" x14ac:dyDescent="0.25">
      <c r="A583" s="355"/>
      <c r="B583" s="365"/>
      <c r="C583" s="365"/>
      <c r="D583" s="365"/>
      <c r="E583" s="365"/>
      <c r="F583" s="365"/>
      <c r="G583" s="365"/>
      <c r="H583" s="365"/>
      <c r="I583" s="365"/>
      <c r="J583" s="365"/>
      <c r="K583" s="365"/>
      <c r="L583" s="347"/>
      <c r="M583" s="347"/>
      <c r="N583" s="347"/>
    </row>
    <row r="584" spans="1:14" x14ac:dyDescent="0.25">
      <c r="A584" s="354" t="str">
        <f>name!A37</f>
        <v>Land transport, etc</v>
      </c>
      <c r="B584" s="515">
        <f>B$6</f>
        <v>2007</v>
      </c>
      <c r="C584" s="515"/>
      <c r="D584" s="515"/>
      <c r="E584" s="369"/>
      <c r="F584" s="515">
        <f>F567</f>
        <v>2017</v>
      </c>
      <c r="G584" s="515"/>
      <c r="H584" s="515"/>
      <c r="I584" s="369"/>
      <c r="J584" s="515">
        <f>J567</f>
        <v>2027</v>
      </c>
      <c r="K584" s="515"/>
      <c r="L584" s="515"/>
      <c r="M584" s="347"/>
      <c r="N584" s="347"/>
    </row>
    <row r="585" spans="1:14" x14ac:dyDescent="0.25">
      <c r="A585" s="370"/>
      <c r="B585" s="371" t="s">
        <v>387</v>
      </c>
      <c r="C585" s="371" t="s">
        <v>388</v>
      </c>
      <c r="D585" s="371" t="s">
        <v>32</v>
      </c>
      <c r="E585" s="371"/>
      <c r="F585" s="371" t="s">
        <v>387</v>
      </c>
      <c r="G585" s="371" t="s">
        <v>388</v>
      </c>
      <c r="H585" s="371" t="s">
        <v>32</v>
      </c>
      <c r="I585" s="371"/>
      <c r="J585" s="371" t="s">
        <v>387</v>
      </c>
      <c r="K585" s="371" t="s">
        <v>388</v>
      </c>
      <c r="L585" s="371" t="s">
        <v>32</v>
      </c>
      <c r="M585" s="347"/>
      <c r="N585" s="347"/>
    </row>
    <row r="586" spans="1:14" s="286" customFormat="1" x14ac:dyDescent="0.25">
      <c r="A586" s="374"/>
      <c r="B586" s="375"/>
      <c r="C586" s="375"/>
      <c r="D586" s="375"/>
      <c r="E586" s="375"/>
      <c r="F586" s="375"/>
      <c r="G586" s="375"/>
      <c r="H586" s="375"/>
      <c r="I586" s="375"/>
      <c r="J586" s="375"/>
      <c r="K586" s="375"/>
      <c r="L586" s="375"/>
      <c r="M586" s="347"/>
      <c r="N586" s="347"/>
    </row>
    <row r="587" spans="1:14" x14ac:dyDescent="0.25">
      <c r="A587" s="362" t="str">
        <f>name!E$4</f>
        <v>Managers, directors and senior officials</v>
      </c>
      <c r="B587" s="440">
        <v>7.6915903662083496</v>
      </c>
      <c r="C587" s="440">
        <v>29.833014409910867</v>
      </c>
      <c r="D587" s="440">
        <f>SUM(B587:C587)</f>
        <v>37.524604776119219</v>
      </c>
      <c r="E587" s="441"/>
      <c r="F587" s="440">
        <v>11.328778735120679</v>
      </c>
      <c r="G587" s="440">
        <v>38.992410807003033</v>
      </c>
      <c r="H587" s="440">
        <f>SUM(F587:G587)</f>
        <v>50.321189542123712</v>
      </c>
      <c r="I587" s="441"/>
      <c r="J587" s="440">
        <v>19.199730943792698</v>
      </c>
      <c r="K587" s="440">
        <v>34.209064196286697</v>
      </c>
      <c r="L587" s="440">
        <f>SUM(J587:K587)</f>
        <v>53.408795140079391</v>
      </c>
      <c r="M587" s="347"/>
      <c r="N587" s="347"/>
    </row>
    <row r="588" spans="1:14" x14ac:dyDescent="0.25">
      <c r="A588" s="362" t="str">
        <f>name!E$5</f>
        <v>Professional occupations</v>
      </c>
      <c r="B588" s="440">
        <v>6.7402397603694393</v>
      </c>
      <c r="C588" s="440">
        <v>21.570395520916893</v>
      </c>
      <c r="D588" s="440">
        <f t="shared" ref="D588:D595" si="220">SUM(B588:C588)</f>
        <v>28.310635281286331</v>
      </c>
      <c r="E588" s="441"/>
      <c r="F588" s="440">
        <v>10.934938377928283</v>
      </c>
      <c r="G588" s="440">
        <v>23.221737375813539</v>
      </c>
      <c r="H588" s="440">
        <f t="shared" ref="H588:H595" si="221">SUM(F588:G588)</f>
        <v>34.156675753741823</v>
      </c>
      <c r="I588" s="441"/>
      <c r="J588" s="440">
        <v>21.747942220623056</v>
      </c>
      <c r="K588" s="440">
        <v>20.547077769949123</v>
      </c>
      <c r="L588" s="440">
        <f t="shared" ref="L588:L595" si="222">SUM(J588:K588)</f>
        <v>42.295019990572179</v>
      </c>
      <c r="M588" s="347"/>
      <c r="N588" s="347"/>
    </row>
    <row r="589" spans="1:14" x14ac:dyDescent="0.25">
      <c r="A589" s="362" t="str">
        <f>name!E$6</f>
        <v>Associate professional and technical</v>
      </c>
      <c r="B589" s="440">
        <v>8.2865502695394007</v>
      </c>
      <c r="C589" s="440">
        <v>32.619920936180712</v>
      </c>
      <c r="D589" s="440">
        <f t="shared" si="220"/>
        <v>40.906471205720109</v>
      </c>
      <c r="E589" s="441"/>
      <c r="F589" s="440">
        <v>12.065054610800184</v>
      </c>
      <c r="G589" s="440">
        <v>45.391652526726546</v>
      </c>
      <c r="H589" s="440">
        <f t="shared" si="221"/>
        <v>57.456707137526728</v>
      </c>
      <c r="I589" s="441"/>
      <c r="J589" s="440">
        <v>22.016169286697771</v>
      </c>
      <c r="K589" s="440">
        <v>40.869698490272846</v>
      </c>
      <c r="L589" s="440">
        <f t="shared" si="222"/>
        <v>62.885867776970613</v>
      </c>
      <c r="M589" s="347"/>
      <c r="N589" s="347"/>
    </row>
    <row r="590" spans="1:14" x14ac:dyDescent="0.25">
      <c r="A590" s="362" t="str">
        <f>name!E$7</f>
        <v>Administrative and secretarial</v>
      </c>
      <c r="B590" s="440">
        <v>43.389123732106583</v>
      </c>
      <c r="C590" s="440">
        <v>23.498502147302634</v>
      </c>
      <c r="D590" s="440">
        <f t="shared" si="220"/>
        <v>66.887625879409214</v>
      </c>
      <c r="E590" s="441"/>
      <c r="F590" s="440">
        <v>38.980884889809026</v>
      </c>
      <c r="G590" s="440">
        <v>32.727743697127146</v>
      </c>
      <c r="H590" s="440">
        <f t="shared" si="221"/>
        <v>71.708628586936172</v>
      </c>
      <c r="I590" s="441"/>
      <c r="J590" s="440">
        <v>47.487919249546714</v>
      </c>
      <c r="K590" s="440">
        <v>22.469133362116178</v>
      </c>
      <c r="L590" s="440">
        <f t="shared" si="222"/>
        <v>69.957052611662888</v>
      </c>
      <c r="M590" s="347"/>
      <c r="N590" s="347"/>
    </row>
    <row r="591" spans="1:14" x14ac:dyDescent="0.25">
      <c r="A591" s="362" t="str">
        <f>name!E$8</f>
        <v>Skilled trades occupations</v>
      </c>
      <c r="B591" s="440">
        <v>1.443206770203008</v>
      </c>
      <c r="C591" s="440">
        <v>44.600722798505636</v>
      </c>
      <c r="D591" s="440">
        <f t="shared" si="220"/>
        <v>46.043929568708641</v>
      </c>
      <c r="E591" s="441"/>
      <c r="F591" s="440">
        <v>1.4541826560788058</v>
      </c>
      <c r="G591" s="440">
        <v>51.678458630356765</v>
      </c>
      <c r="H591" s="440">
        <f t="shared" si="221"/>
        <v>53.132641286435572</v>
      </c>
      <c r="I591" s="441"/>
      <c r="J591" s="440">
        <v>2.1897539781886359</v>
      </c>
      <c r="K591" s="440">
        <v>37.693983071604741</v>
      </c>
      <c r="L591" s="440">
        <f t="shared" si="222"/>
        <v>39.883737049793375</v>
      </c>
      <c r="M591" s="347"/>
      <c r="N591" s="347"/>
    </row>
    <row r="592" spans="1:14" x14ac:dyDescent="0.25">
      <c r="A592" s="362" t="str">
        <f>name!E$9</f>
        <v>Caring, leisure and other service</v>
      </c>
      <c r="B592" s="440">
        <v>12.365347944647407</v>
      </c>
      <c r="C592" s="440">
        <v>9.5780985755925485</v>
      </c>
      <c r="D592" s="440">
        <f t="shared" si="220"/>
        <v>21.943446520239956</v>
      </c>
      <c r="E592" s="441"/>
      <c r="F592" s="440">
        <v>16.308511580820134</v>
      </c>
      <c r="G592" s="440">
        <v>19.555313749624911</v>
      </c>
      <c r="H592" s="440">
        <f t="shared" si="221"/>
        <v>35.863825330445046</v>
      </c>
      <c r="I592" s="441"/>
      <c r="J592" s="440">
        <v>26.445475999492317</v>
      </c>
      <c r="K592" s="440">
        <v>20.624770312499106</v>
      </c>
      <c r="L592" s="440">
        <f t="shared" si="222"/>
        <v>47.070246311991426</v>
      </c>
      <c r="M592" s="347"/>
      <c r="N592" s="347"/>
    </row>
    <row r="593" spans="1:14" x14ac:dyDescent="0.25">
      <c r="A593" s="362" t="str">
        <f>name!E$10</f>
        <v>Sales and customer service</v>
      </c>
      <c r="B593" s="440">
        <v>5.9125722196695838</v>
      </c>
      <c r="C593" s="440">
        <v>6.4533505557994859</v>
      </c>
      <c r="D593" s="440">
        <f t="shared" si="220"/>
        <v>12.36592277546907</v>
      </c>
      <c r="E593" s="441"/>
      <c r="F593" s="440">
        <v>6.9516252243791898</v>
      </c>
      <c r="G593" s="440">
        <v>8.8696684543482913</v>
      </c>
      <c r="H593" s="440">
        <f t="shared" si="221"/>
        <v>15.821293678727482</v>
      </c>
      <c r="I593" s="441"/>
      <c r="J593" s="440">
        <v>11.108001258936099</v>
      </c>
      <c r="K593" s="440">
        <v>8.7759652536247064</v>
      </c>
      <c r="L593" s="440">
        <f t="shared" si="222"/>
        <v>19.883966512560804</v>
      </c>
      <c r="M593" s="347"/>
      <c r="N593" s="347"/>
    </row>
    <row r="594" spans="1:14" x14ac:dyDescent="0.25">
      <c r="A594" s="362" t="str">
        <f>name!E$11</f>
        <v>Process, plant and machine operatives</v>
      </c>
      <c r="B594" s="440">
        <v>17.011544193422306</v>
      </c>
      <c r="C594" s="440">
        <v>427.93622339927578</v>
      </c>
      <c r="D594" s="440">
        <f t="shared" si="220"/>
        <v>444.94776759269809</v>
      </c>
      <c r="E594" s="441"/>
      <c r="F594" s="440">
        <v>18.095677727405871</v>
      </c>
      <c r="G594" s="440">
        <v>473.46681757710661</v>
      </c>
      <c r="H594" s="440">
        <f t="shared" si="221"/>
        <v>491.56249530451248</v>
      </c>
      <c r="I594" s="441"/>
      <c r="J594" s="440">
        <v>25.684209943748485</v>
      </c>
      <c r="K594" s="440">
        <v>404.26761345145434</v>
      </c>
      <c r="L594" s="440">
        <f t="shared" si="222"/>
        <v>429.95182339520284</v>
      </c>
      <c r="M594" s="347"/>
      <c r="N594" s="347"/>
    </row>
    <row r="595" spans="1:14" x14ac:dyDescent="0.25">
      <c r="A595" s="362" t="str">
        <f>name!E$12</f>
        <v>Elementary occupations</v>
      </c>
      <c r="B595" s="440">
        <v>7.1878247432803954</v>
      </c>
      <c r="C595" s="440">
        <v>23.612771654551572</v>
      </c>
      <c r="D595" s="440">
        <f t="shared" si="220"/>
        <v>30.800596397831967</v>
      </c>
      <c r="E595" s="441"/>
      <c r="F595" s="440">
        <v>6.7203461979030275</v>
      </c>
      <c r="G595" s="440">
        <v>27.332197198810398</v>
      </c>
      <c r="H595" s="440">
        <f t="shared" si="221"/>
        <v>34.052543396713425</v>
      </c>
      <c r="I595" s="441"/>
      <c r="J595" s="440">
        <v>10.056797118100171</v>
      </c>
      <c r="K595" s="440">
        <v>20.286694089788693</v>
      </c>
      <c r="L595" s="440">
        <f t="shared" si="222"/>
        <v>30.343491207888864</v>
      </c>
      <c r="M595" s="347"/>
      <c r="N595" s="347"/>
    </row>
    <row r="596" spans="1:14" s="286" customFormat="1" x14ac:dyDescent="0.25">
      <c r="A596" s="362"/>
      <c r="B596" s="440"/>
      <c r="C596" s="440"/>
      <c r="D596" s="440"/>
      <c r="E596" s="441"/>
      <c r="F596" s="440"/>
      <c r="G596" s="440"/>
      <c r="H596" s="440"/>
      <c r="I596" s="441"/>
      <c r="J596" s="440"/>
      <c r="K596" s="440"/>
      <c r="L596" s="440"/>
      <c r="M596" s="347"/>
      <c r="N596" s="347"/>
    </row>
    <row r="597" spans="1:14" x14ac:dyDescent="0.25">
      <c r="A597" s="357" t="s">
        <v>32</v>
      </c>
      <c r="B597" s="450">
        <f>SUM(B587:B595)</f>
        <v>110.02799999944649</v>
      </c>
      <c r="C597" s="450">
        <f t="shared" ref="C597:D597" si="223">SUM(C587:C595)</f>
        <v>619.70299999803615</v>
      </c>
      <c r="D597" s="450">
        <f t="shared" si="223"/>
        <v>729.73099999748263</v>
      </c>
      <c r="E597" s="450"/>
      <c r="F597" s="450">
        <f t="shared" ref="F597:H597" si="224">SUM(F587:F595)</f>
        <v>122.8400000002452</v>
      </c>
      <c r="G597" s="450">
        <f t="shared" si="224"/>
        <v>721.23600001691727</v>
      </c>
      <c r="H597" s="450">
        <f t="shared" si="224"/>
        <v>844.07600001716241</v>
      </c>
      <c r="I597" s="450"/>
      <c r="J597" s="450">
        <f t="shared" ref="J597:L597" si="225">SUM(J587:J595)</f>
        <v>185.93599999912595</v>
      </c>
      <c r="K597" s="450">
        <f t="shared" si="225"/>
        <v>609.74399999759646</v>
      </c>
      <c r="L597" s="450">
        <f t="shared" si="225"/>
        <v>795.67999999672236</v>
      </c>
      <c r="M597" s="347"/>
      <c r="N597" s="347"/>
    </row>
    <row r="598" spans="1:14" x14ac:dyDescent="0.25">
      <c r="A598" s="348"/>
      <c r="B598" s="348"/>
      <c r="C598" s="348"/>
      <c r="D598" s="348"/>
      <c r="E598" s="348"/>
      <c r="F598" s="348"/>
      <c r="G598" s="348"/>
      <c r="H598" s="348"/>
      <c r="I598" s="348"/>
      <c r="J598" s="348"/>
      <c r="K598" s="348"/>
      <c r="L598" s="353"/>
      <c r="M598" s="347"/>
      <c r="N598" s="347"/>
    </row>
    <row r="599" spans="1:14" x14ac:dyDescent="0.25">
      <c r="A599" s="348"/>
      <c r="B599" s="348"/>
      <c r="C599" s="348"/>
      <c r="D599" s="348"/>
      <c r="E599" s="348"/>
      <c r="F599" s="348"/>
      <c r="G599" s="348"/>
      <c r="H599" s="348"/>
      <c r="I599" s="348"/>
      <c r="J599" s="348"/>
      <c r="K599" s="348"/>
      <c r="L599" s="372" t="s">
        <v>35</v>
      </c>
      <c r="M599" s="347"/>
      <c r="N599" s="347"/>
    </row>
    <row r="600" spans="1:14" x14ac:dyDescent="0.25">
      <c r="A600" s="355"/>
      <c r="B600" s="365"/>
      <c r="C600" s="365"/>
      <c r="D600" s="365"/>
      <c r="E600" s="365"/>
      <c r="F600" s="365"/>
      <c r="G600" s="365"/>
      <c r="H600" s="365"/>
      <c r="I600" s="365"/>
      <c r="J600" s="365"/>
      <c r="K600" s="365"/>
      <c r="L600" s="347"/>
      <c r="M600" s="347"/>
      <c r="N600" s="347"/>
    </row>
    <row r="601" spans="1:14" x14ac:dyDescent="0.25">
      <c r="A601" s="354" t="str">
        <f>name!A38</f>
        <v>Water transport</v>
      </c>
      <c r="B601" s="515">
        <f>B$6</f>
        <v>2007</v>
      </c>
      <c r="C601" s="515"/>
      <c r="D601" s="515"/>
      <c r="E601" s="369"/>
      <c r="F601" s="515">
        <f>F584</f>
        <v>2017</v>
      </c>
      <c r="G601" s="515"/>
      <c r="H601" s="515"/>
      <c r="I601" s="369"/>
      <c r="J601" s="515">
        <f>J584</f>
        <v>2027</v>
      </c>
      <c r="K601" s="515"/>
      <c r="L601" s="515"/>
      <c r="M601" s="347"/>
      <c r="N601" s="347"/>
    </row>
    <row r="602" spans="1:14" x14ac:dyDescent="0.25">
      <c r="A602" s="370"/>
      <c r="B602" s="371" t="s">
        <v>387</v>
      </c>
      <c r="C602" s="371" t="s">
        <v>388</v>
      </c>
      <c r="D602" s="371" t="s">
        <v>32</v>
      </c>
      <c r="E602" s="371"/>
      <c r="F602" s="371" t="s">
        <v>387</v>
      </c>
      <c r="G602" s="371" t="s">
        <v>388</v>
      </c>
      <c r="H602" s="371" t="s">
        <v>32</v>
      </c>
      <c r="I602" s="371"/>
      <c r="J602" s="371" t="s">
        <v>387</v>
      </c>
      <c r="K602" s="371" t="s">
        <v>388</v>
      </c>
      <c r="L602" s="371" t="s">
        <v>32</v>
      </c>
      <c r="M602" s="347"/>
      <c r="N602" s="347"/>
    </row>
    <row r="603" spans="1:14" s="286" customFormat="1" x14ac:dyDescent="0.25">
      <c r="A603" s="374"/>
      <c r="B603" s="375"/>
      <c r="C603" s="375"/>
      <c r="D603" s="375"/>
      <c r="E603" s="375"/>
      <c r="F603" s="375"/>
      <c r="G603" s="375"/>
      <c r="H603" s="375"/>
      <c r="I603" s="375"/>
      <c r="J603" s="375"/>
      <c r="K603" s="375"/>
      <c r="L603" s="375"/>
      <c r="M603" s="347"/>
      <c r="N603" s="347"/>
    </row>
    <row r="604" spans="1:14" x14ac:dyDescent="0.25">
      <c r="A604" s="362" t="str">
        <f>name!E$4</f>
        <v>Managers, directors and senior officials</v>
      </c>
      <c r="B604" s="440">
        <v>0.4067690219215247</v>
      </c>
      <c r="C604" s="440">
        <v>1.2054405970112687</v>
      </c>
      <c r="D604" s="440">
        <f>SUM(B604:C604)</f>
        <v>1.6122096189327935</v>
      </c>
      <c r="E604" s="441"/>
      <c r="F604" s="440">
        <v>0.48819930019712049</v>
      </c>
      <c r="G604" s="440">
        <v>1.4674374103295926</v>
      </c>
      <c r="H604" s="440">
        <f>SUM(F604:G604)</f>
        <v>1.9556367105267132</v>
      </c>
      <c r="I604" s="441"/>
      <c r="J604" s="440">
        <v>0.50340936832496319</v>
      </c>
      <c r="K604" s="440">
        <v>1.1297904362472408</v>
      </c>
      <c r="L604" s="440">
        <f>SUM(J604:K604)</f>
        <v>1.633199804572204</v>
      </c>
      <c r="M604" s="347"/>
      <c r="N604" s="347"/>
    </row>
    <row r="605" spans="1:14" x14ac:dyDescent="0.25">
      <c r="A605" s="362" t="str">
        <f>name!E$5</f>
        <v>Professional occupations</v>
      </c>
      <c r="B605" s="440">
        <v>0.60016244346474512</v>
      </c>
      <c r="C605" s="440">
        <v>1.3070705033570811</v>
      </c>
      <c r="D605" s="440">
        <f t="shared" ref="D605:D612" si="226">SUM(B605:C605)</f>
        <v>1.9072329468218263</v>
      </c>
      <c r="E605" s="441"/>
      <c r="F605" s="440">
        <v>0.58947782623199596</v>
      </c>
      <c r="G605" s="440">
        <v>1.4004542592834883</v>
      </c>
      <c r="H605" s="440">
        <f t="shared" ref="H605:H612" si="227">SUM(F605:G605)</f>
        <v>1.9899320855154843</v>
      </c>
      <c r="I605" s="441"/>
      <c r="J605" s="440">
        <v>0.59719506665191324</v>
      </c>
      <c r="K605" s="440">
        <v>1.0040807440049588</v>
      </c>
      <c r="L605" s="440">
        <f t="shared" ref="L605:L612" si="228">SUM(J605:K605)</f>
        <v>1.6012758106568721</v>
      </c>
      <c r="M605" s="347"/>
      <c r="N605" s="347"/>
    </row>
    <row r="606" spans="1:14" x14ac:dyDescent="0.25">
      <c r="A606" s="362" t="str">
        <f>name!E$6</f>
        <v>Associate professional and technical</v>
      </c>
      <c r="B606" s="440">
        <v>0.86665812822755794</v>
      </c>
      <c r="C606" s="440">
        <v>3.6029263571253956</v>
      </c>
      <c r="D606" s="440">
        <f t="shared" si="226"/>
        <v>4.4695844853529536</v>
      </c>
      <c r="E606" s="441"/>
      <c r="F606" s="440">
        <v>0.82569578673727118</v>
      </c>
      <c r="G606" s="440">
        <v>2.9325397113785776</v>
      </c>
      <c r="H606" s="440">
        <f t="shared" si="227"/>
        <v>3.758235498115849</v>
      </c>
      <c r="I606" s="441"/>
      <c r="J606" s="440">
        <v>0.764602780994453</v>
      </c>
      <c r="K606" s="440">
        <v>1.9194872792694446</v>
      </c>
      <c r="L606" s="440">
        <f t="shared" si="228"/>
        <v>2.6840900602638977</v>
      </c>
      <c r="M606" s="347"/>
      <c r="N606" s="347"/>
    </row>
    <row r="607" spans="1:14" x14ac:dyDescent="0.25">
      <c r="A607" s="362" t="str">
        <f>name!E$7</f>
        <v>Administrative and secretarial</v>
      </c>
      <c r="B607" s="440">
        <v>2.7143307190083008</v>
      </c>
      <c r="C607" s="440">
        <v>1.3317862014307591</v>
      </c>
      <c r="D607" s="440">
        <f t="shared" si="226"/>
        <v>4.0461169204390597</v>
      </c>
      <c r="E607" s="441"/>
      <c r="F607" s="440">
        <v>2.1290962921997552</v>
      </c>
      <c r="G607" s="440">
        <v>0.92156285193237664</v>
      </c>
      <c r="H607" s="440">
        <f t="shared" si="227"/>
        <v>3.0506591441321316</v>
      </c>
      <c r="I607" s="441"/>
      <c r="J607" s="440">
        <v>1.4176412707337209</v>
      </c>
      <c r="K607" s="440">
        <v>0.61125462520148965</v>
      </c>
      <c r="L607" s="440">
        <f t="shared" si="228"/>
        <v>2.0288958959352108</v>
      </c>
      <c r="M607" s="347"/>
      <c r="N607" s="347"/>
    </row>
    <row r="608" spans="1:14" x14ac:dyDescent="0.25">
      <c r="A608" s="362" t="str">
        <f>name!E$8</f>
        <v>Skilled trades occupations</v>
      </c>
      <c r="B608" s="440">
        <v>0.13981099325851204</v>
      </c>
      <c r="C608" s="440">
        <v>0.74352010042347338</v>
      </c>
      <c r="D608" s="440">
        <f t="shared" si="226"/>
        <v>0.88333109368198537</v>
      </c>
      <c r="E608" s="441"/>
      <c r="F608" s="440">
        <v>0.15642739947729425</v>
      </c>
      <c r="G608" s="440">
        <v>0.39612255353120746</v>
      </c>
      <c r="H608" s="440">
        <f t="shared" si="227"/>
        <v>0.55254995300850174</v>
      </c>
      <c r="I608" s="441"/>
      <c r="J608" s="440">
        <v>0.11695530338325119</v>
      </c>
      <c r="K608" s="440">
        <v>0.19845644774517107</v>
      </c>
      <c r="L608" s="440">
        <f t="shared" si="228"/>
        <v>0.31541175112842224</v>
      </c>
      <c r="M608" s="347"/>
      <c r="N608" s="347"/>
    </row>
    <row r="609" spans="1:14" x14ac:dyDescent="0.25">
      <c r="A609" s="362" t="str">
        <f>name!E$9</f>
        <v>Caring, leisure and other service</v>
      </c>
      <c r="B609" s="440">
        <v>0.98416155128945748</v>
      </c>
      <c r="C609" s="440">
        <v>0.27199734816230375</v>
      </c>
      <c r="D609" s="440">
        <f t="shared" si="226"/>
        <v>1.2561588994517612</v>
      </c>
      <c r="E609" s="441"/>
      <c r="F609" s="440">
        <v>0.70418411423558702</v>
      </c>
      <c r="G609" s="440">
        <v>0.22405831266922244</v>
      </c>
      <c r="H609" s="440">
        <f t="shared" si="227"/>
        <v>0.92824242690480951</v>
      </c>
      <c r="I609" s="441"/>
      <c r="J609" s="440">
        <v>0.55337258502200548</v>
      </c>
      <c r="K609" s="440">
        <v>0.15703231630545311</v>
      </c>
      <c r="L609" s="440">
        <f t="shared" si="228"/>
        <v>0.71040490132745859</v>
      </c>
      <c r="M609" s="347"/>
      <c r="N609" s="347"/>
    </row>
    <row r="610" spans="1:14" x14ac:dyDescent="0.25">
      <c r="A610" s="362" t="str">
        <f>name!E$10</f>
        <v>Sales and customer service</v>
      </c>
      <c r="B610" s="440">
        <v>0.58403354075557423</v>
      </c>
      <c r="C610" s="440">
        <v>0.39648825825926559</v>
      </c>
      <c r="D610" s="440">
        <f t="shared" si="226"/>
        <v>0.98052179901483982</v>
      </c>
      <c r="E610" s="441"/>
      <c r="F610" s="440">
        <v>0.54522606988912259</v>
      </c>
      <c r="G610" s="440">
        <v>0.39184660208357858</v>
      </c>
      <c r="H610" s="440">
        <f t="shared" si="227"/>
        <v>0.93707267197270117</v>
      </c>
      <c r="I610" s="441"/>
      <c r="J610" s="440">
        <v>0.42278322233451832</v>
      </c>
      <c r="K610" s="440">
        <v>0.27686360467004545</v>
      </c>
      <c r="L610" s="440">
        <f t="shared" si="228"/>
        <v>0.69964682700456371</v>
      </c>
      <c r="M610" s="347"/>
      <c r="N610" s="347"/>
    </row>
    <row r="611" spans="1:14" x14ac:dyDescent="0.25">
      <c r="A611" s="362" t="str">
        <f>name!E$11</f>
        <v>Process, plant and machine operatives</v>
      </c>
      <c r="B611" s="440">
        <v>9.9516878228470398E-2</v>
      </c>
      <c r="C611" s="440">
        <v>2.111972379269933</v>
      </c>
      <c r="D611" s="440">
        <f t="shared" si="226"/>
        <v>2.2114892574984033</v>
      </c>
      <c r="E611" s="441"/>
      <c r="F611" s="440">
        <v>0.13733501193186687</v>
      </c>
      <c r="G611" s="440">
        <v>0.74458407728349107</v>
      </c>
      <c r="H611" s="440">
        <f t="shared" si="227"/>
        <v>0.88191908921535789</v>
      </c>
      <c r="I611" s="441"/>
      <c r="J611" s="440">
        <v>0.11434427998946842</v>
      </c>
      <c r="K611" s="440">
        <v>0.31937129224752325</v>
      </c>
      <c r="L611" s="440">
        <f t="shared" si="228"/>
        <v>0.43371557223699164</v>
      </c>
      <c r="M611" s="347"/>
      <c r="N611" s="347"/>
    </row>
    <row r="612" spans="1:14" x14ac:dyDescent="0.25">
      <c r="A612" s="362" t="str">
        <f>name!E$12</f>
        <v>Elementary occupations</v>
      </c>
      <c r="B612" s="440">
        <v>0.18955672380048075</v>
      </c>
      <c r="C612" s="440">
        <v>0.91079825493386302</v>
      </c>
      <c r="D612" s="440">
        <f t="shared" si="226"/>
        <v>1.1003549787343438</v>
      </c>
      <c r="E612" s="441"/>
      <c r="F612" s="440">
        <v>0.2003581990870526</v>
      </c>
      <c r="G612" s="440">
        <v>0.7213942215094723</v>
      </c>
      <c r="H612" s="440">
        <f t="shared" si="227"/>
        <v>0.92175242059652485</v>
      </c>
      <c r="I612" s="441"/>
      <c r="J612" s="440">
        <v>0.16369612254173455</v>
      </c>
      <c r="K612" s="440">
        <v>0.40766325429550737</v>
      </c>
      <c r="L612" s="440">
        <f t="shared" si="228"/>
        <v>0.57135937683724192</v>
      </c>
      <c r="M612" s="347"/>
      <c r="N612" s="347"/>
    </row>
    <row r="613" spans="1:14" s="286" customFormat="1" x14ac:dyDescent="0.25">
      <c r="A613" s="362"/>
      <c r="B613" s="440"/>
      <c r="C613" s="440"/>
      <c r="D613" s="440"/>
      <c r="E613" s="441"/>
      <c r="F613" s="440"/>
      <c r="G613" s="440"/>
      <c r="H613" s="440"/>
      <c r="I613" s="441"/>
      <c r="J613" s="440"/>
      <c r="K613" s="440"/>
      <c r="L613" s="440"/>
      <c r="M613" s="347"/>
      <c r="N613" s="347"/>
    </row>
    <row r="614" spans="1:14" x14ac:dyDescent="0.25">
      <c r="A614" s="357" t="s">
        <v>32</v>
      </c>
      <c r="B614" s="450">
        <f>SUM(B604:B612)</f>
        <v>6.5849999999546229</v>
      </c>
      <c r="C614" s="450">
        <f t="shared" ref="C614:D614" si="229">SUM(C604:C612)</f>
        <v>11.881999999973344</v>
      </c>
      <c r="D614" s="450">
        <f t="shared" si="229"/>
        <v>18.466999999927964</v>
      </c>
      <c r="E614" s="450"/>
      <c r="F614" s="450">
        <f t="shared" ref="F614:H614" si="230">SUM(F604:F612)</f>
        <v>5.7759999999870661</v>
      </c>
      <c r="G614" s="450">
        <f t="shared" si="230"/>
        <v>9.2000000000010065</v>
      </c>
      <c r="H614" s="450">
        <f t="shared" si="230"/>
        <v>14.975999999988071</v>
      </c>
      <c r="I614" s="450"/>
      <c r="J614" s="450">
        <f t="shared" ref="J614:L614" si="231">SUM(J604:J612)</f>
        <v>4.6539999999760289</v>
      </c>
      <c r="K614" s="450">
        <f t="shared" si="231"/>
        <v>6.0239999999868346</v>
      </c>
      <c r="L614" s="450">
        <f t="shared" si="231"/>
        <v>10.677999999962864</v>
      </c>
      <c r="M614" s="347"/>
      <c r="N614" s="347"/>
    </row>
    <row r="615" spans="1:14" x14ac:dyDescent="0.25">
      <c r="A615" s="348"/>
      <c r="B615" s="348"/>
      <c r="C615" s="348"/>
      <c r="D615" s="348"/>
      <c r="E615" s="348"/>
      <c r="F615" s="348"/>
      <c r="G615" s="348"/>
      <c r="H615" s="348"/>
      <c r="I615" s="348"/>
      <c r="J615" s="348"/>
      <c r="K615" s="348"/>
      <c r="L615" s="353"/>
      <c r="M615" s="347"/>
      <c r="N615" s="347"/>
    </row>
    <row r="616" spans="1:14" x14ac:dyDescent="0.25">
      <c r="A616" s="348"/>
      <c r="B616" s="348"/>
      <c r="C616" s="348"/>
      <c r="D616" s="348"/>
      <c r="E616" s="348"/>
      <c r="F616" s="348"/>
      <c r="G616" s="348"/>
      <c r="H616" s="348"/>
      <c r="I616" s="348"/>
      <c r="J616" s="348"/>
      <c r="K616" s="348"/>
      <c r="L616" s="372" t="s">
        <v>35</v>
      </c>
      <c r="M616" s="347"/>
      <c r="N616" s="347"/>
    </row>
    <row r="617" spans="1:14" x14ac:dyDescent="0.25">
      <c r="A617" s="355"/>
      <c r="B617" s="365"/>
      <c r="C617" s="365"/>
      <c r="D617" s="365"/>
      <c r="E617" s="365"/>
      <c r="F617" s="365"/>
      <c r="G617" s="365"/>
      <c r="H617" s="365"/>
      <c r="I617" s="365"/>
      <c r="J617" s="365"/>
      <c r="K617" s="365"/>
      <c r="L617" s="347"/>
      <c r="M617" s="347"/>
      <c r="N617" s="347"/>
    </row>
    <row r="618" spans="1:14" x14ac:dyDescent="0.25">
      <c r="A618" s="354" t="str">
        <f>name!A39</f>
        <v>Air transport</v>
      </c>
      <c r="B618" s="515">
        <f>B$6</f>
        <v>2007</v>
      </c>
      <c r="C618" s="515"/>
      <c r="D618" s="515"/>
      <c r="E618" s="369"/>
      <c r="F618" s="515">
        <f>F601</f>
        <v>2017</v>
      </c>
      <c r="G618" s="515"/>
      <c r="H618" s="515"/>
      <c r="I618" s="369"/>
      <c r="J618" s="515">
        <f>J601</f>
        <v>2027</v>
      </c>
      <c r="K618" s="515"/>
      <c r="L618" s="515"/>
      <c r="M618" s="347"/>
      <c r="N618" s="347"/>
    </row>
    <row r="619" spans="1:14" x14ac:dyDescent="0.25">
      <c r="A619" s="370"/>
      <c r="B619" s="371" t="s">
        <v>387</v>
      </c>
      <c r="C619" s="371" t="s">
        <v>388</v>
      </c>
      <c r="D619" s="371" t="s">
        <v>32</v>
      </c>
      <c r="E619" s="371"/>
      <c r="F619" s="371" t="s">
        <v>387</v>
      </c>
      <c r="G619" s="371" t="s">
        <v>388</v>
      </c>
      <c r="H619" s="371" t="s">
        <v>32</v>
      </c>
      <c r="I619" s="371"/>
      <c r="J619" s="371" t="s">
        <v>387</v>
      </c>
      <c r="K619" s="371" t="s">
        <v>388</v>
      </c>
      <c r="L619" s="371" t="s">
        <v>32</v>
      </c>
      <c r="M619" s="347"/>
      <c r="N619" s="347"/>
    </row>
    <row r="620" spans="1:14" s="286" customFormat="1" x14ac:dyDescent="0.25">
      <c r="A620" s="374"/>
      <c r="B620" s="375"/>
      <c r="C620" s="375"/>
      <c r="D620" s="375"/>
      <c r="E620" s="375"/>
      <c r="F620" s="375"/>
      <c r="G620" s="375"/>
      <c r="H620" s="375"/>
      <c r="I620" s="375"/>
      <c r="J620" s="375"/>
      <c r="K620" s="375"/>
      <c r="L620" s="375"/>
      <c r="M620" s="347"/>
      <c r="N620" s="347"/>
    </row>
    <row r="621" spans="1:14" x14ac:dyDescent="0.25">
      <c r="A621" s="362" t="str">
        <f>name!E$4</f>
        <v>Managers, directors and senior officials</v>
      </c>
      <c r="B621" s="440">
        <v>1.1294020248142065</v>
      </c>
      <c r="C621" s="440">
        <v>3.3801185096667914</v>
      </c>
      <c r="D621" s="440">
        <f>SUM(B621:C621)</f>
        <v>4.5095205344809983</v>
      </c>
      <c r="E621" s="441"/>
      <c r="F621" s="440">
        <v>1.180925408021742</v>
      </c>
      <c r="G621" s="440">
        <v>3.9173080061840437</v>
      </c>
      <c r="H621" s="440">
        <f>SUM(F621:G621)</f>
        <v>5.0982334142057857</v>
      </c>
      <c r="I621" s="441"/>
      <c r="J621" s="440">
        <v>1.5846674649360173</v>
      </c>
      <c r="K621" s="440">
        <v>4.142703705462675</v>
      </c>
      <c r="L621" s="440">
        <f>SUM(J621:K621)</f>
        <v>5.7273711703986923</v>
      </c>
      <c r="M621" s="347"/>
      <c r="N621" s="347"/>
    </row>
    <row r="622" spans="1:14" x14ac:dyDescent="0.25">
      <c r="A622" s="362" t="str">
        <f>name!E$5</f>
        <v>Professional occupations</v>
      </c>
      <c r="B622" s="440">
        <v>2.346450982768375</v>
      </c>
      <c r="C622" s="440">
        <v>4.789098022598834</v>
      </c>
      <c r="D622" s="440">
        <f t="shared" ref="D622:D629" si="232">SUM(B622:C622)</f>
        <v>7.135549005367209</v>
      </c>
      <c r="E622" s="441"/>
      <c r="F622" s="440">
        <v>2.4602297881845754</v>
      </c>
      <c r="G622" s="440">
        <v>5.2040924833183517</v>
      </c>
      <c r="H622" s="440">
        <f t="shared" ref="H622:H629" si="233">SUM(F622:G622)</f>
        <v>7.6643222715029271</v>
      </c>
      <c r="I622" s="441"/>
      <c r="J622" s="440">
        <v>3.1597476571182903</v>
      </c>
      <c r="K622" s="440">
        <v>5.4405424007140706</v>
      </c>
      <c r="L622" s="440">
        <f t="shared" ref="L622:L629" si="234">SUM(J622:K622)</f>
        <v>8.6002900578323604</v>
      </c>
      <c r="M622" s="347"/>
      <c r="N622" s="347"/>
    </row>
    <row r="623" spans="1:14" x14ac:dyDescent="0.25">
      <c r="A623" s="362" t="str">
        <f>name!E$6</f>
        <v>Associate professional and technical</v>
      </c>
      <c r="B623" s="440">
        <v>4.2877336253382694</v>
      </c>
      <c r="C623" s="440">
        <v>13.852553624809742</v>
      </c>
      <c r="D623" s="440">
        <f t="shared" si="232"/>
        <v>18.140287250148013</v>
      </c>
      <c r="E623" s="441"/>
      <c r="F623" s="440">
        <v>4.8302021407751248</v>
      </c>
      <c r="G623" s="440">
        <v>12.387203678172741</v>
      </c>
      <c r="H623" s="440">
        <f t="shared" si="233"/>
        <v>17.217405818947867</v>
      </c>
      <c r="I623" s="441"/>
      <c r="J623" s="440">
        <v>5.8257329485873663</v>
      </c>
      <c r="K623" s="440">
        <v>12.014034304527041</v>
      </c>
      <c r="L623" s="440">
        <f t="shared" si="234"/>
        <v>17.839767253114406</v>
      </c>
      <c r="M623" s="347"/>
      <c r="N623" s="347"/>
    </row>
    <row r="624" spans="1:14" x14ac:dyDescent="0.25">
      <c r="A624" s="362" t="str">
        <f>name!E$7</f>
        <v>Administrative and secretarial</v>
      </c>
      <c r="B624" s="440">
        <v>5.5270874716654994</v>
      </c>
      <c r="C624" s="440">
        <v>3.705847498359268</v>
      </c>
      <c r="D624" s="440">
        <f t="shared" si="232"/>
        <v>9.2329349700247683</v>
      </c>
      <c r="E624" s="441"/>
      <c r="F624" s="440">
        <v>4.1976433089128005</v>
      </c>
      <c r="G624" s="440">
        <v>2.6233174400334862</v>
      </c>
      <c r="H624" s="440">
        <f t="shared" si="233"/>
        <v>6.8209607489462867</v>
      </c>
      <c r="I624" s="441"/>
      <c r="J624" s="440">
        <v>3.5196922786522662</v>
      </c>
      <c r="K624" s="440">
        <v>2.5529148461548048</v>
      </c>
      <c r="L624" s="440">
        <f t="shared" si="234"/>
        <v>6.072607124807071</v>
      </c>
      <c r="M624" s="347"/>
      <c r="N624" s="347"/>
    </row>
    <row r="625" spans="1:14" x14ac:dyDescent="0.25">
      <c r="A625" s="362" t="str">
        <f>name!E$8</f>
        <v>Skilled trades occupations</v>
      </c>
      <c r="B625" s="440">
        <v>0.41527760104188122</v>
      </c>
      <c r="C625" s="440">
        <v>6.6663521984811815</v>
      </c>
      <c r="D625" s="440">
        <f t="shared" si="232"/>
        <v>7.0816297995230624</v>
      </c>
      <c r="E625" s="441"/>
      <c r="F625" s="440">
        <v>0.3205324136780735</v>
      </c>
      <c r="G625" s="440">
        <v>5.3233259071455308</v>
      </c>
      <c r="H625" s="440">
        <f t="shared" si="233"/>
        <v>5.6438583208236039</v>
      </c>
      <c r="I625" s="441"/>
      <c r="J625" s="440">
        <v>0.28535313645703569</v>
      </c>
      <c r="K625" s="440">
        <v>4.829879152853354</v>
      </c>
      <c r="L625" s="440">
        <f t="shared" si="234"/>
        <v>5.1152322893103896</v>
      </c>
      <c r="M625" s="347"/>
      <c r="N625" s="347"/>
    </row>
    <row r="626" spans="1:14" x14ac:dyDescent="0.25">
      <c r="A626" s="362" t="str">
        <f>name!E$9</f>
        <v>Caring, leisure and other service</v>
      </c>
      <c r="B626" s="440">
        <v>23.417033922040105</v>
      </c>
      <c r="C626" s="440">
        <v>5.0385457178065742</v>
      </c>
      <c r="D626" s="440">
        <f t="shared" si="232"/>
        <v>28.455579639846679</v>
      </c>
      <c r="E626" s="441"/>
      <c r="F626" s="440">
        <v>18.163314197322883</v>
      </c>
      <c r="G626" s="440">
        <v>3.3637195475570043</v>
      </c>
      <c r="H626" s="440">
        <f t="shared" si="233"/>
        <v>21.527033744879887</v>
      </c>
      <c r="I626" s="441"/>
      <c r="J626" s="440">
        <v>17.248070626044932</v>
      </c>
      <c r="K626" s="440">
        <v>3.6198469817889563</v>
      </c>
      <c r="L626" s="440">
        <f t="shared" si="234"/>
        <v>20.867917607833888</v>
      </c>
      <c r="M626" s="347"/>
      <c r="N626" s="347"/>
    </row>
    <row r="627" spans="1:14" x14ac:dyDescent="0.25">
      <c r="A627" s="362" t="str">
        <f>name!E$10</f>
        <v>Sales and customer service</v>
      </c>
      <c r="B627" s="440">
        <v>2.3302030283140915</v>
      </c>
      <c r="C627" s="440">
        <v>1.4962392335945243</v>
      </c>
      <c r="D627" s="440">
        <f t="shared" si="232"/>
        <v>3.8264422619086158</v>
      </c>
      <c r="E627" s="441"/>
      <c r="F627" s="440">
        <v>2.4613582915250873</v>
      </c>
      <c r="G627" s="440">
        <v>1.4083824477414968</v>
      </c>
      <c r="H627" s="440">
        <f t="shared" si="233"/>
        <v>3.8697407392665841</v>
      </c>
      <c r="I627" s="441"/>
      <c r="J627" s="440">
        <v>2.6254103102433368</v>
      </c>
      <c r="K627" s="440">
        <v>1.4982260852260438</v>
      </c>
      <c r="L627" s="440">
        <f t="shared" si="234"/>
        <v>4.1236363954693811</v>
      </c>
      <c r="M627" s="347"/>
      <c r="N627" s="347"/>
    </row>
    <row r="628" spans="1:14" x14ac:dyDescent="0.25">
      <c r="A628" s="362" t="str">
        <f>name!E$11</f>
        <v>Process, plant and machine operatives</v>
      </c>
      <c r="B628" s="440">
        <v>1.380549243972544</v>
      </c>
      <c r="C628" s="440">
        <v>5.4620331865479947</v>
      </c>
      <c r="D628" s="440">
        <f t="shared" si="232"/>
        <v>6.8425824305205385</v>
      </c>
      <c r="E628" s="441"/>
      <c r="F628" s="440">
        <v>1.1159984895755224</v>
      </c>
      <c r="G628" s="440">
        <v>4.7119004213594513</v>
      </c>
      <c r="H628" s="440">
        <f t="shared" si="233"/>
        <v>5.8278989109349739</v>
      </c>
      <c r="I628" s="441"/>
      <c r="J628" s="440">
        <v>0.90676611956924025</v>
      </c>
      <c r="K628" s="440">
        <v>4.714739363625811</v>
      </c>
      <c r="L628" s="440">
        <f t="shared" si="234"/>
        <v>5.6215054831950511</v>
      </c>
      <c r="M628" s="347"/>
      <c r="N628" s="347"/>
    </row>
    <row r="629" spans="1:14" x14ac:dyDescent="0.25">
      <c r="A629" s="362" t="str">
        <f>name!E$12</f>
        <v>Elementary occupations</v>
      </c>
      <c r="B629" s="440">
        <v>2.4262620999317264</v>
      </c>
      <c r="C629" s="440">
        <v>1.8692120079810262</v>
      </c>
      <c r="D629" s="440">
        <f t="shared" si="232"/>
        <v>4.295474107912753</v>
      </c>
      <c r="E629" s="441"/>
      <c r="F629" s="440">
        <v>2.6117959622827596</v>
      </c>
      <c r="G629" s="440">
        <v>1.6567500686122596</v>
      </c>
      <c r="H629" s="440">
        <f t="shared" si="233"/>
        <v>4.2685460308950187</v>
      </c>
      <c r="I629" s="441"/>
      <c r="J629" s="440">
        <v>2.5625594583995621</v>
      </c>
      <c r="K629" s="440">
        <v>1.6611131597154525</v>
      </c>
      <c r="L629" s="440">
        <f t="shared" si="234"/>
        <v>4.2236726181150148</v>
      </c>
      <c r="M629" s="347"/>
      <c r="N629" s="347"/>
    </row>
    <row r="630" spans="1:14" s="286" customFormat="1" x14ac:dyDescent="0.25">
      <c r="A630" s="362"/>
      <c r="B630" s="440"/>
      <c r="C630" s="440"/>
      <c r="D630" s="440"/>
      <c r="E630" s="441"/>
      <c r="F630" s="440"/>
      <c r="G630" s="440"/>
      <c r="H630" s="440"/>
      <c r="I630" s="441"/>
      <c r="J630" s="440"/>
      <c r="K630" s="440"/>
      <c r="L630" s="440"/>
      <c r="M630" s="347"/>
      <c r="N630" s="347"/>
    </row>
    <row r="631" spans="1:14" x14ac:dyDescent="0.25">
      <c r="A631" s="357" t="s">
        <v>32</v>
      </c>
      <c r="B631" s="450">
        <f>SUM(B621:B629)</f>
        <v>43.259999999886702</v>
      </c>
      <c r="C631" s="450">
        <f t="shared" ref="C631:D631" si="235">SUM(C621:C629)</f>
        <v>46.259999999845938</v>
      </c>
      <c r="D631" s="450">
        <f t="shared" si="235"/>
        <v>89.519999999732633</v>
      </c>
      <c r="E631" s="450"/>
      <c r="F631" s="450">
        <f t="shared" ref="F631:H631" si="236">SUM(F621:F629)</f>
        <v>37.342000000278574</v>
      </c>
      <c r="G631" s="450">
        <f t="shared" si="236"/>
        <v>40.59600000012437</v>
      </c>
      <c r="H631" s="450">
        <f t="shared" si="236"/>
        <v>77.938000000402937</v>
      </c>
      <c r="I631" s="450"/>
      <c r="J631" s="450">
        <f t="shared" ref="J631:L631" si="237">SUM(J621:J629)</f>
        <v>37.718000000008054</v>
      </c>
      <c r="K631" s="450">
        <f t="shared" si="237"/>
        <v>40.474000000068209</v>
      </c>
      <c r="L631" s="450">
        <f t="shared" si="237"/>
        <v>78.192000000076249</v>
      </c>
      <c r="M631" s="347"/>
      <c r="N631" s="347"/>
    </row>
    <row r="632" spans="1:14" x14ac:dyDescent="0.25">
      <c r="A632" s="348"/>
      <c r="B632" s="348"/>
      <c r="C632" s="348"/>
      <c r="D632" s="348"/>
      <c r="E632" s="348"/>
      <c r="F632" s="348"/>
      <c r="G632" s="348"/>
      <c r="H632" s="348"/>
      <c r="I632" s="348"/>
      <c r="J632" s="348"/>
      <c r="K632" s="348"/>
      <c r="L632" s="353"/>
      <c r="M632" s="347"/>
      <c r="N632" s="347"/>
    </row>
    <row r="633" spans="1:14" x14ac:dyDescent="0.25">
      <c r="A633" s="348"/>
      <c r="B633" s="348"/>
      <c r="C633" s="348"/>
      <c r="D633" s="348"/>
      <c r="E633" s="348"/>
      <c r="F633" s="348"/>
      <c r="G633" s="348"/>
      <c r="H633" s="348"/>
      <c r="I633" s="348"/>
      <c r="J633" s="348"/>
      <c r="K633" s="348"/>
      <c r="L633" s="372" t="s">
        <v>35</v>
      </c>
      <c r="M633" s="347"/>
      <c r="N633" s="347"/>
    </row>
    <row r="634" spans="1:14" x14ac:dyDescent="0.25">
      <c r="A634" s="355"/>
      <c r="B634" s="365"/>
      <c r="C634" s="365"/>
      <c r="D634" s="365"/>
      <c r="E634" s="365"/>
      <c r="F634" s="365"/>
      <c r="G634" s="365"/>
      <c r="H634" s="365"/>
      <c r="I634" s="365"/>
      <c r="J634" s="365"/>
      <c r="K634" s="365"/>
      <c r="L634" s="347"/>
      <c r="M634" s="347"/>
      <c r="N634" s="347"/>
    </row>
    <row r="635" spans="1:14" x14ac:dyDescent="0.25">
      <c r="A635" s="354" t="str">
        <f>name!A40</f>
        <v>Warehousing, etc</v>
      </c>
      <c r="B635" s="515">
        <f>B$6</f>
        <v>2007</v>
      </c>
      <c r="C635" s="515"/>
      <c r="D635" s="515"/>
      <c r="E635" s="369"/>
      <c r="F635" s="515">
        <f>F618</f>
        <v>2017</v>
      </c>
      <c r="G635" s="515"/>
      <c r="H635" s="515"/>
      <c r="I635" s="369"/>
      <c r="J635" s="515">
        <f>J618</f>
        <v>2027</v>
      </c>
      <c r="K635" s="515"/>
      <c r="L635" s="515"/>
      <c r="M635" s="347"/>
      <c r="N635" s="347"/>
    </row>
    <row r="636" spans="1:14" x14ac:dyDescent="0.25">
      <c r="A636" s="370"/>
      <c r="B636" s="371" t="s">
        <v>387</v>
      </c>
      <c r="C636" s="371" t="s">
        <v>388</v>
      </c>
      <c r="D636" s="371" t="s">
        <v>32</v>
      </c>
      <c r="E636" s="371"/>
      <c r="F636" s="371" t="s">
        <v>387</v>
      </c>
      <c r="G636" s="371" t="s">
        <v>388</v>
      </c>
      <c r="H636" s="371" t="s">
        <v>32</v>
      </c>
      <c r="I636" s="371"/>
      <c r="J636" s="371" t="s">
        <v>387</v>
      </c>
      <c r="K636" s="371" t="s">
        <v>388</v>
      </c>
      <c r="L636" s="371" t="s">
        <v>32</v>
      </c>
      <c r="M636" s="347"/>
      <c r="N636" s="347"/>
    </row>
    <row r="637" spans="1:14" s="286" customFormat="1" x14ac:dyDescent="0.25">
      <c r="A637" s="374"/>
      <c r="B637" s="375"/>
      <c r="C637" s="375"/>
      <c r="D637" s="375"/>
      <c r="E637" s="375"/>
      <c r="F637" s="375"/>
      <c r="G637" s="375"/>
      <c r="H637" s="375"/>
      <c r="I637" s="375"/>
      <c r="J637" s="375"/>
      <c r="K637" s="375"/>
      <c r="L637" s="375"/>
      <c r="M637" s="347"/>
      <c r="N637" s="347"/>
    </row>
    <row r="638" spans="1:14" x14ac:dyDescent="0.25">
      <c r="A638" s="362" t="str">
        <f>name!E$4</f>
        <v>Managers, directors and senior officials</v>
      </c>
      <c r="B638" s="440">
        <v>4.6241271674581172</v>
      </c>
      <c r="C638" s="440">
        <v>33.010552410010156</v>
      </c>
      <c r="D638" s="440">
        <f>SUM(B638:C638)</f>
        <v>37.634679577468276</v>
      </c>
      <c r="E638" s="441"/>
      <c r="F638" s="440">
        <v>7.1081062401684871</v>
      </c>
      <c r="G638" s="440">
        <v>60.513771133409961</v>
      </c>
      <c r="H638" s="440">
        <f>SUM(F638:G638)</f>
        <v>67.621877373578442</v>
      </c>
      <c r="I638" s="441"/>
      <c r="J638" s="440">
        <v>10.205851850493731</v>
      </c>
      <c r="K638" s="440">
        <v>63.061284154232474</v>
      </c>
      <c r="L638" s="440">
        <f>SUM(J638:K638)</f>
        <v>73.267136004726211</v>
      </c>
      <c r="M638" s="347"/>
      <c r="N638" s="347"/>
    </row>
    <row r="639" spans="1:14" x14ac:dyDescent="0.25">
      <c r="A639" s="362" t="str">
        <f>name!E$5</f>
        <v>Professional occupations</v>
      </c>
      <c r="B639" s="440">
        <v>2.5691565818284432</v>
      </c>
      <c r="C639" s="440">
        <v>21.202521489957714</v>
      </c>
      <c r="D639" s="440">
        <f t="shared" ref="D639:D646" si="238">SUM(B639:C639)</f>
        <v>23.771678071786159</v>
      </c>
      <c r="E639" s="441"/>
      <c r="F639" s="440">
        <v>5.3457364833923533</v>
      </c>
      <c r="G639" s="440">
        <v>35.07354485570832</v>
      </c>
      <c r="H639" s="440">
        <f t="shared" ref="H639:H646" si="239">SUM(F639:G639)</f>
        <v>40.419281339100671</v>
      </c>
      <c r="I639" s="441"/>
      <c r="J639" s="440">
        <v>8.0777875883883183</v>
      </c>
      <c r="K639" s="440">
        <v>36.559700117691271</v>
      </c>
      <c r="L639" s="440">
        <f t="shared" ref="L639:L646" si="240">SUM(J639:K639)</f>
        <v>44.63748770607959</v>
      </c>
      <c r="M639" s="347"/>
      <c r="N639" s="347"/>
    </row>
    <row r="640" spans="1:14" x14ac:dyDescent="0.25">
      <c r="A640" s="362" t="str">
        <f>name!E$6</f>
        <v>Associate professional and technical</v>
      </c>
      <c r="B640" s="440">
        <v>4.5140824086641205</v>
      </c>
      <c r="C640" s="440">
        <v>35.795378006272337</v>
      </c>
      <c r="D640" s="440">
        <f t="shared" si="238"/>
        <v>40.30946041493646</v>
      </c>
      <c r="E640" s="441"/>
      <c r="F640" s="440">
        <v>6.7912911212316489</v>
      </c>
      <c r="G640" s="440">
        <v>45.62567049301893</v>
      </c>
      <c r="H640" s="440">
        <f t="shared" si="239"/>
        <v>52.416961614250582</v>
      </c>
      <c r="I640" s="441"/>
      <c r="J640" s="440">
        <v>9.3140745014100297</v>
      </c>
      <c r="K640" s="440">
        <v>50.65017151834644</v>
      </c>
      <c r="L640" s="440">
        <f t="shared" si="240"/>
        <v>59.964246019756473</v>
      </c>
      <c r="M640" s="347"/>
      <c r="N640" s="347"/>
    </row>
    <row r="641" spans="1:14" x14ac:dyDescent="0.25">
      <c r="A641" s="362" t="str">
        <f>name!E$7</f>
        <v>Administrative and secretarial</v>
      </c>
      <c r="B641" s="440">
        <v>12.102386017618329</v>
      </c>
      <c r="C641" s="440">
        <v>26.578352090464183</v>
      </c>
      <c r="D641" s="440">
        <f t="shared" si="238"/>
        <v>38.680738108082508</v>
      </c>
      <c r="E641" s="441"/>
      <c r="F641" s="440">
        <v>25.086496995435198</v>
      </c>
      <c r="G641" s="440">
        <v>36.710168482865349</v>
      </c>
      <c r="H641" s="440">
        <f t="shared" si="239"/>
        <v>61.796665478300547</v>
      </c>
      <c r="I641" s="441"/>
      <c r="J641" s="440">
        <v>23.79699459730201</v>
      </c>
      <c r="K641" s="440">
        <v>33.861819071645805</v>
      </c>
      <c r="L641" s="440">
        <f t="shared" si="240"/>
        <v>57.658813668947815</v>
      </c>
      <c r="M641" s="347"/>
      <c r="N641" s="347"/>
    </row>
    <row r="642" spans="1:14" x14ac:dyDescent="0.25">
      <c r="A642" s="362" t="str">
        <f>name!E$8</f>
        <v>Skilled trades occupations</v>
      </c>
      <c r="B642" s="440">
        <v>0.44736715917211073</v>
      </c>
      <c r="C642" s="440">
        <v>18.72169241086732</v>
      </c>
      <c r="D642" s="440">
        <f t="shared" si="238"/>
        <v>19.16905957003943</v>
      </c>
      <c r="E642" s="441"/>
      <c r="F642" s="440">
        <v>0.75689562708282687</v>
      </c>
      <c r="G642" s="440">
        <v>19.546959150948759</v>
      </c>
      <c r="H642" s="440">
        <f t="shared" si="239"/>
        <v>20.303854778031585</v>
      </c>
      <c r="I642" s="441"/>
      <c r="J642" s="440">
        <v>1.0954268737151018</v>
      </c>
      <c r="K642" s="440">
        <v>19.288302396017844</v>
      </c>
      <c r="L642" s="440">
        <f t="shared" si="240"/>
        <v>20.383729269732946</v>
      </c>
      <c r="M642" s="347"/>
      <c r="N642" s="347"/>
    </row>
    <row r="643" spans="1:14" x14ac:dyDescent="0.25">
      <c r="A643" s="362" t="str">
        <f>name!E$9</f>
        <v>Caring, leisure and other service</v>
      </c>
      <c r="B643" s="440">
        <v>17.543296313838916</v>
      </c>
      <c r="C643" s="440">
        <v>16.386976601235595</v>
      </c>
      <c r="D643" s="440">
        <f t="shared" si="238"/>
        <v>33.930272915074511</v>
      </c>
      <c r="E643" s="441"/>
      <c r="F643" s="440">
        <v>34.520480401426738</v>
      </c>
      <c r="G643" s="440">
        <v>29.499235340751405</v>
      </c>
      <c r="H643" s="440">
        <f t="shared" si="239"/>
        <v>64.019715742178136</v>
      </c>
      <c r="I643" s="441"/>
      <c r="J643" s="440">
        <v>36.975420903513964</v>
      </c>
      <c r="K643" s="440">
        <v>31.344740441782161</v>
      </c>
      <c r="L643" s="440">
        <f t="shared" si="240"/>
        <v>68.320161345296128</v>
      </c>
      <c r="M643" s="347"/>
      <c r="N643" s="347"/>
    </row>
    <row r="644" spans="1:14" x14ac:dyDescent="0.25">
      <c r="A644" s="362" t="str">
        <f>name!E$10</f>
        <v>Sales and customer service</v>
      </c>
      <c r="B644" s="440">
        <v>3.8743458920215854</v>
      </c>
      <c r="C644" s="440">
        <v>12.387750364383317</v>
      </c>
      <c r="D644" s="440">
        <f t="shared" si="238"/>
        <v>16.262096256404902</v>
      </c>
      <c r="E644" s="441"/>
      <c r="F644" s="440">
        <v>9.9535568034316899</v>
      </c>
      <c r="G644" s="440">
        <v>26.046153608486058</v>
      </c>
      <c r="H644" s="440">
        <f t="shared" si="239"/>
        <v>35.999710411917746</v>
      </c>
      <c r="I644" s="441"/>
      <c r="J644" s="440">
        <v>11.188819842909288</v>
      </c>
      <c r="K644" s="440">
        <v>24.815602415519038</v>
      </c>
      <c r="L644" s="440">
        <f t="shared" si="240"/>
        <v>36.004422258428328</v>
      </c>
      <c r="M644" s="347"/>
      <c r="N644" s="347"/>
    </row>
    <row r="645" spans="1:14" x14ac:dyDescent="0.25">
      <c r="A645" s="362" t="str">
        <f>name!E$11</f>
        <v>Process, plant and machine operatives</v>
      </c>
      <c r="B645" s="440">
        <v>1.3833654967450468</v>
      </c>
      <c r="C645" s="440">
        <v>88.352808201734675</v>
      </c>
      <c r="D645" s="440">
        <f t="shared" si="238"/>
        <v>89.736173698479718</v>
      </c>
      <c r="E645" s="441"/>
      <c r="F645" s="440">
        <v>3.5469780029878004</v>
      </c>
      <c r="G645" s="440">
        <v>115.97319240579428</v>
      </c>
      <c r="H645" s="440">
        <f t="shared" si="239"/>
        <v>119.52017040878208</v>
      </c>
      <c r="I645" s="441"/>
      <c r="J645" s="440">
        <v>4.1865356725877501</v>
      </c>
      <c r="K645" s="440">
        <v>116.71489742086101</v>
      </c>
      <c r="L645" s="440">
        <f t="shared" si="240"/>
        <v>120.90143309344876</v>
      </c>
      <c r="M645" s="347"/>
      <c r="N645" s="347"/>
    </row>
    <row r="646" spans="1:14" x14ac:dyDescent="0.25">
      <c r="A646" s="362" t="str">
        <f>name!E$12</f>
        <v>Elementary occupations</v>
      </c>
      <c r="B646" s="440">
        <v>5.9088729623958987</v>
      </c>
      <c r="C646" s="440">
        <v>74.955968423370607</v>
      </c>
      <c r="D646" s="440">
        <f t="shared" si="238"/>
        <v>80.86484138576651</v>
      </c>
      <c r="E646" s="441"/>
      <c r="F646" s="440">
        <v>13.368458324658583</v>
      </c>
      <c r="G646" s="440">
        <v>103.64130452859757</v>
      </c>
      <c r="H646" s="440">
        <f t="shared" si="239"/>
        <v>117.00976285325615</v>
      </c>
      <c r="I646" s="441"/>
      <c r="J646" s="440">
        <v>17.102088169082322</v>
      </c>
      <c r="K646" s="440">
        <v>84.388482461836361</v>
      </c>
      <c r="L646" s="440">
        <f t="shared" si="240"/>
        <v>101.49057063091868</v>
      </c>
      <c r="M646" s="347"/>
      <c r="N646" s="347"/>
    </row>
    <row r="647" spans="1:14" s="286" customFormat="1" x14ac:dyDescent="0.25">
      <c r="A647" s="362"/>
      <c r="B647" s="440"/>
      <c r="C647" s="440"/>
      <c r="D647" s="440"/>
      <c r="E647" s="441"/>
      <c r="F647" s="440"/>
      <c r="G647" s="440"/>
      <c r="H647" s="440"/>
      <c r="I647" s="441"/>
      <c r="J647" s="440"/>
      <c r="K647" s="440"/>
      <c r="L647" s="440"/>
      <c r="M647" s="347"/>
      <c r="N647" s="347"/>
    </row>
    <row r="648" spans="1:14" x14ac:dyDescent="0.25">
      <c r="A648" s="357" t="s">
        <v>32</v>
      </c>
      <c r="B648" s="450">
        <f>SUM(B638:B646)</f>
        <v>52.966999999742569</v>
      </c>
      <c r="C648" s="450">
        <f t="shared" ref="C648:D648" si="241">SUM(C638:C646)</f>
        <v>327.39199999829589</v>
      </c>
      <c r="D648" s="450">
        <f t="shared" si="241"/>
        <v>380.35899999803843</v>
      </c>
      <c r="E648" s="450"/>
      <c r="F648" s="450">
        <f t="shared" ref="F648:H648" si="242">SUM(F638:F646)</f>
        <v>106.47799999981532</v>
      </c>
      <c r="G648" s="450">
        <f t="shared" si="242"/>
        <v>472.62999999958066</v>
      </c>
      <c r="H648" s="450">
        <f t="shared" si="242"/>
        <v>579.10799999939593</v>
      </c>
      <c r="I648" s="450"/>
      <c r="J648" s="450">
        <f t="shared" ref="J648:L648" si="243">SUM(J638:J646)</f>
        <v>121.9429999994025</v>
      </c>
      <c r="K648" s="450">
        <f t="shared" si="243"/>
        <v>460.68499999793244</v>
      </c>
      <c r="L648" s="450">
        <f t="shared" si="243"/>
        <v>582.62799999733488</v>
      </c>
      <c r="M648" s="347"/>
      <c r="N648" s="347"/>
    </row>
    <row r="649" spans="1:14" x14ac:dyDescent="0.25">
      <c r="A649" s="348"/>
      <c r="B649" s="348"/>
      <c r="C649" s="348"/>
      <c r="D649" s="348"/>
      <c r="E649" s="348"/>
      <c r="F649" s="348"/>
      <c r="G649" s="348"/>
      <c r="H649" s="348"/>
      <c r="I649" s="348"/>
      <c r="J649" s="348"/>
      <c r="K649" s="348"/>
      <c r="L649" s="353"/>
      <c r="M649" s="347"/>
      <c r="N649" s="347"/>
    </row>
    <row r="650" spans="1:14" x14ac:dyDescent="0.25">
      <c r="A650" s="348"/>
      <c r="B650" s="348"/>
      <c r="C650" s="348"/>
      <c r="D650" s="348"/>
      <c r="E650" s="348"/>
      <c r="F650" s="348"/>
      <c r="G650" s="348"/>
      <c r="H650" s="348"/>
      <c r="I650" s="348"/>
      <c r="J650" s="348"/>
      <c r="K650" s="348"/>
      <c r="L650" s="372" t="s">
        <v>35</v>
      </c>
      <c r="M650" s="347"/>
      <c r="N650" s="347"/>
    </row>
    <row r="651" spans="1:14" x14ac:dyDescent="0.25">
      <c r="A651" s="355"/>
      <c r="B651" s="365"/>
      <c r="C651" s="365"/>
      <c r="D651" s="365"/>
      <c r="E651" s="365"/>
      <c r="F651" s="365"/>
      <c r="G651" s="365"/>
      <c r="H651" s="365"/>
      <c r="I651" s="365"/>
      <c r="J651" s="365"/>
      <c r="K651" s="365"/>
      <c r="L651" s="347"/>
      <c r="M651" s="347"/>
      <c r="N651" s="347"/>
    </row>
    <row r="652" spans="1:14" x14ac:dyDescent="0.25">
      <c r="A652" s="354" t="str">
        <f>name!A41</f>
        <v>Postal and courier</v>
      </c>
      <c r="B652" s="515">
        <f>B$6</f>
        <v>2007</v>
      </c>
      <c r="C652" s="515"/>
      <c r="D652" s="515"/>
      <c r="E652" s="369"/>
      <c r="F652" s="515">
        <f>F635</f>
        <v>2017</v>
      </c>
      <c r="G652" s="515"/>
      <c r="H652" s="515"/>
      <c r="I652" s="369"/>
      <c r="J652" s="515">
        <f>J635</f>
        <v>2027</v>
      </c>
      <c r="K652" s="515"/>
      <c r="L652" s="515"/>
      <c r="M652" s="347"/>
      <c r="N652" s="347"/>
    </row>
    <row r="653" spans="1:14" x14ac:dyDescent="0.25">
      <c r="A653" s="370"/>
      <c r="B653" s="371" t="s">
        <v>387</v>
      </c>
      <c r="C653" s="371" t="s">
        <v>388</v>
      </c>
      <c r="D653" s="371" t="s">
        <v>32</v>
      </c>
      <c r="E653" s="371"/>
      <c r="F653" s="371" t="s">
        <v>387</v>
      </c>
      <c r="G653" s="371" t="s">
        <v>388</v>
      </c>
      <c r="H653" s="371" t="s">
        <v>32</v>
      </c>
      <c r="I653" s="371"/>
      <c r="J653" s="371" t="s">
        <v>387</v>
      </c>
      <c r="K653" s="371" t="s">
        <v>388</v>
      </c>
      <c r="L653" s="371" t="s">
        <v>32</v>
      </c>
      <c r="M653" s="347"/>
      <c r="N653" s="347"/>
    </row>
    <row r="654" spans="1:14" s="286" customFormat="1" x14ac:dyDescent="0.25">
      <c r="A654" s="374"/>
      <c r="B654" s="375"/>
      <c r="C654" s="375"/>
      <c r="D654" s="375"/>
      <c r="E654" s="375"/>
      <c r="F654" s="375"/>
      <c r="G654" s="375"/>
      <c r="H654" s="375"/>
      <c r="I654" s="375"/>
      <c r="J654" s="375"/>
      <c r="K654" s="375"/>
      <c r="L654" s="375"/>
      <c r="M654" s="347"/>
      <c r="N654" s="347"/>
    </row>
    <row r="655" spans="1:14" x14ac:dyDescent="0.25">
      <c r="A655" s="362" t="str">
        <f>name!E$4</f>
        <v>Managers, directors and senior officials</v>
      </c>
      <c r="B655" s="440">
        <v>7.0549908748650125</v>
      </c>
      <c r="C655" s="440">
        <v>10.809814038451071</v>
      </c>
      <c r="D655" s="440">
        <f>SUM(B655:C655)</f>
        <v>17.864804913316085</v>
      </c>
      <c r="E655" s="441"/>
      <c r="F655" s="440">
        <v>11.499177865191532</v>
      </c>
      <c r="G655" s="440">
        <v>11.947223124225303</v>
      </c>
      <c r="H655" s="440">
        <f>SUM(F655:G655)</f>
        <v>23.446400989416837</v>
      </c>
      <c r="I655" s="441"/>
      <c r="J655" s="440">
        <v>16.308128835059541</v>
      </c>
      <c r="K655" s="440">
        <v>12.09814736804679</v>
      </c>
      <c r="L655" s="440">
        <f>SUM(J655:K655)</f>
        <v>28.40627620310633</v>
      </c>
      <c r="M655" s="347"/>
      <c r="N655" s="347"/>
    </row>
    <row r="656" spans="1:14" x14ac:dyDescent="0.25">
      <c r="A656" s="362" t="str">
        <f>name!E$5</f>
        <v>Professional occupations</v>
      </c>
      <c r="B656" s="440">
        <v>4.7194619742014288</v>
      </c>
      <c r="C656" s="440">
        <v>6.9805896392235915</v>
      </c>
      <c r="D656" s="440">
        <f t="shared" ref="D656:D663" si="244">SUM(B656:C656)</f>
        <v>11.700051613425021</v>
      </c>
      <c r="E656" s="441"/>
      <c r="F656" s="440">
        <v>6.6539631856380916</v>
      </c>
      <c r="G656" s="440">
        <v>5.5439404368512939</v>
      </c>
      <c r="H656" s="440">
        <f t="shared" ref="H656:H663" si="245">SUM(F656:G656)</f>
        <v>12.197903622489385</v>
      </c>
      <c r="I656" s="441"/>
      <c r="J656" s="440">
        <v>9.1276085320657145</v>
      </c>
      <c r="K656" s="440">
        <v>5.4037737069216867</v>
      </c>
      <c r="L656" s="440">
        <f t="shared" ref="L656:L663" si="246">SUM(J656:K656)</f>
        <v>14.531382238987401</v>
      </c>
      <c r="M656" s="347"/>
      <c r="N656" s="347"/>
    </row>
    <row r="657" spans="1:14" x14ac:dyDescent="0.25">
      <c r="A657" s="362" t="str">
        <f>name!E$6</f>
        <v>Associate professional and technical</v>
      </c>
      <c r="B657" s="440">
        <v>6.6663223709000734</v>
      </c>
      <c r="C657" s="440">
        <v>12.021398046111429</v>
      </c>
      <c r="D657" s="440">
        <f t="shared" si="244"/>
        <v>18.687720417011501</v>
      </c>
      <c r="E657" s="441"/>
      <c r="F657" s="440">
        <v>9.0285993662131183</v>
      </c>
      <c r="G657" s="440">
        <v>8.5538366322318797</v>
      </c>
      <c r="H657" s="440">
        <f t="shared" si="245"/>
        <v>17.582435998445</v>
      </c>
      <c r="I657" s="441"/>
      <c r="J657" s="440">
        <v>11.811337237858057</v>
      </c>
      <c r="K657" s="440">
        <v>7.8555935857964307</v>
      </c>
      <c r="L657" s="440">
        <f t="shared" si="246"/>
        <v>19.666930823654489</v>
      </c>
      <c r="M657" s="347"/>
      <c r="N657" s="347"/>
    </row>
    <row r="658" spans="1:14" x14ac:dyDescent="0.25">
      <c r="A658" s="362" t="str">
        <f>name!E$7</f>
        <v>Administrative and secretarial</v>
      </c>
      <c r="B658" s="440">
        <v>34.364010130356114</v>
      </c>
      <c r="C658" s="440">
        <v>9.2865712935271123</v>
      </c>
      <c r="D658" s="440">
        <f t="shared" si="244"/>
        <v>43.650581423883224</v>
      </c>
      <c r="E658" s="441"/>
      <c r="F658" s="440">
        <v>40.961841795133878</v>
      </c>
      <c r="G658" s="440">
        <v>8.3382949998102607</v>
      </c>
      <c r="H658" s="440">
        <f t="shared" si="245"/>
        <v>49.300136794944137</v>
      </c>
      <c r="I658" s="441"/>
      <c r="J658" s="440">
        <v>43.454162696562328</v>
      </c>
      <c r="K658" s="440">
        <v>7.5223434034149852</v>
      </c>
      <c r="L658" s="440">
        <f t="shared" si="246"/>
        <v>50.976506099977314</v>
      </c>
      <c r="M658" s="347"/>
      <c r="N658" s="347"/>
    </row>
    <row r="659" spans="1:14" x14ac:dyDescent="0.25">
      <c r="A659" s="362" t="str">
        <f>name!E$8</f>
        <v>Skilled trades occupations</v>
      </c>
      <c r="B659" s="440">
        <v>1.0846494552222794</v>
      </c>
      <c r="C659" s="440">
        <v>13.893106920103714</v>
      </c>
      <c r="D659" s="440">
        <f t="shared" si="244"/>
        <v>14.977756375325994</v>
      </c>
      <c r="E659" s="441"/>
      <c r="F659" s="440">
        <v>1.110358437878761</v>
      </c>
      <c r="G659" s="440">
        <v>11.829826025945549</v>
      </c>
      <c r="H659" s="440">
        <f t="shared" si="245"/>
        <v>12.940184463824309</v>
      </c>
      <c r="I659" s="441"/>
      <c r="J659" s="440">
        <v>1.104191688080548</v>
      </c>
      <c r="K659" s="440">
        <v>9.86765162925448</v>
      </c>
      <c r="L659" s="440">
        <f t="shared" si="246"/>
        <v>10.971843317335027</v>
      </c>
      <c r="M659" s="347"/>
      <c r="N659" s="347"/>
    </row>
    <row r="660" spans="1:14" x14ac:dyDescent="0.25">
      <c r="A660" s="362" t="str">
        <f>name!E$9</f>
        <v>Caring, leisure and other service</v>
      </c>
      <c r="B660" s="440">
        <v>3.1437366830363755</v>
      </c>
      <c r="C660" s="440">
        <v>3.7639012221466421</v>
      </c>
      <c r="D660" s="440">
        <f t="shared" si="244"/>
        <v>6.9076379051830177</v>
      </c>
      <c r="E660" s="441"/>
      <c r="F660" s="440">
        <v>3.2748843565281538</v>
      </c>
      <c r="G660" s="440">
        <v>4.0151754072458905</v>
      </c>
      <c r="H660" s="440">
        <f t="shared" si="245"/>
        <v>7.2900597637740443</v>
      </c>
      <c r="I660" s="441"/>
      <c r="J660" s="440">
        <v>3.745305589644198</v>
      </c>
      <c r="K660" s="440">
        <v>4.5903046549764275</v>
      </c>
      <c r="L660" s="440">
        <f t="shared" si="246"/>
        <v>8.3356102446206251</v>
      </c>
      <c r="M660" s="347"/>
      <c r="N660" s="347"/>
    </row>
    <row r="661" spans="1:14" x14ac:dyDescent="0.25">
      <c r="A661" s="362" t="str">
        <f>name!E$10</f>
        <v>Sales and customer service</v>
      </c>
      <c r="B661" s="440">
        <v>11.133969884237567</v>
      </c>
      <c r="C661" s="440">
        <v>4.3424127607049483</v>
      </c>
      <c r="D661" s="440">
        <f t="shared" si="244"/>
        <v>15.476382644942515</v>
      </c>
      <c r="E661" s="441"/>
      <c r="F661" s="440">
        <v>14.534907157992453</v>
      </c>
      <c r="G661" s="440">
        <v>5.2278183159469744</v>
      </c>
      <c r="H661" s="440">
        <f t="shared" si="245"/>
        <v>19.762725473939426</v>
      </c>
      <c r="I661" s="441"/>
      <c r="J661" s="440">
        <v>18.092076087155778</v>
      </c>
      <c r="K661" s="440">
        <v>5.2278974544632071</v>
      </c>
      <c r="L661" s="440">
        <f t="shared" si="246"/>
        <v>23.319973541618985</v>
      </c>
      <c r="M661" s="347"/>
      <c r="N661" s="347"/>
    </row>
    <row r="662" spans="1:14" x14ac:dyDescent="0.25">
      <c r="A662" s="362" t="str">
        <f>name!E$11</f>
        <v>Process, plant and machine operatives</v>
      </c>
      <c r="B662" s="440">
        <v>2.4514574744720479</v>
      </c>
      <c r="C662" s="440">
        <v>36.013061206112994</v>
      </c>
      <c r="D662" s="440">
        <f t="shared" si="244"/>
        <v>38.464518680585044</v>
      </c>
      <c r="E662" s="441"/>
      <c r="F662" s="440">
        <v>3.1803585330873601</v>
      </c>
      <c r="G662" s="440">
        <v>33.447623718076564</v>
      </c>
      <c r="H662" s="440">
        <f t="shared" si="245"/>
        <v>36.627982251163921</v>
      </c>
      <c r="I662" s="441"/>
      <c r="J662" s="440">
        <v>3.6110289739167913</v>
      </c>
      <c r="K662" s="440">
        <v>33.288639792339282</v>
      </c>
      <c r="L662" s="440">
        <f t="shared" si="246"/>
        <v>36.89966876625607</v>
      </c>
      <c r="M662" s="347"/>
      <c r="N662" s="347"/>
    </row>
    <row r="663" spans="1:14" x14ac:dyDescent="0.25">
      <c r="A663" s="362" t="str">
        <f>name!E$12</f>
        <v>Elementary occupations</v>
      </c>
      <c r="B663" s="440">
        <v>32.925401152138768</v>
      </c>
      <c r="C663" s="440">
        <v>85.271144872562701</v>
      </c>
      <c r="D663" s="440">
        <f t="shared" si="244"/>
        <v>118.19654602470146</v>
      </c>
      <c r="E663" s="441"/>
      <c r="F663" s="440">
        <v>36.3819093027492</v>
      </c>
      <c r="G663" s="440">
        <v>71.415261340248549</v>
      </c>
      <c r="H663" s="440">
        <f t="shared" si="245"/>
        <v>107.79717064299774</v>
      </c>
      <c r="I663" s="441"/>
      <c r="J663" s="440">
        <v>38.752160359235653</v>
      </c>
      <c r="K663" s="440">
        <v>70.448648404247848</v>
      </c>
      <c r="L663" s="440">
        <f t="shared" si="246"/>
        <v>109.20080876348351</v>
      </c>
      <c r="M663" s="347"/>
      <c r="N663" s="347"/>
    </row>
    <row r="664" spans="1:14" s="286" customFormat="1" x14ac:dyDescent="0.25">
      <c r="A664" s="362"/>
      <c r="B664" s="440"/>
      <c r="C664" s="440"/>
      <c r="D664" s="440"/>
      <c r="E664" s="441"/>
      <c r="F664" s="440"/>
      <c r="G664" s="440"/>
      <c r="H664" s="440"/>
      <c r="I664" s="441"/>
      <c r="J664" s="440"/>
      <c r="K664" s="440"/>
      <c r="L664" s="440"/>
      <c r="M664" s="347"/>
      <c r="N664" s="347"/>
    </row>
    <row r="665" spans="1:14" x14ac:dyDescent="0.25">
      <c r="A665" s="357" t="s">
        <v>32</v>
      </c>
      <c r="B665" s="450">
        <f>SUM(B655:B663)</f>
        <v>103.54399999942967</v>
      </c>
      <c r="C665" s="450">
        <f t="shared" ref="C665:D665" si="247">SUM(C655:C663)</f>
        <v>182.3819999989442</v>
      </c>
      <c r="D665" s="450">
        <f t="shared" si="247"/>
        <v>285.92599999837387</v>
      </c>
      <c r="E665" s="450"/>
      <c r="F665" s="450">
        <f t="shared" ref="F665:H665" si="248">SUM(F655:F663)</f>
        <v>126.62600000041255</v>
      </c>
      <c r="G665" s="450">
        <f t="shared" si="248"/>
        <v>160.31900000058226</v>
      </c>
      <c r="H665" s="450">
        <f t="shared" si="248"/>
        <v>286.94500000099481</v>
      </c>
      <c r="I665" s="450"/>
      <c r="J665" s="450">
        <f t="shared" ref="J665:L665" si="249">SUM(J655:J663)</f>
        <v>146.00599999957859</v>
      </c>
      <c r="K665" s="450">
        <f t="shared" si="249"/>
        <v>156.30299999946112</v>
      </c>
      <c r="L665" s="450">
        <f t="shared" si="249"/>
        <v>302.30899999903977</v>
      </c>
      <c r="M665" s="347"/>
      <c r="N665" s="347"/>
    </row>
    <row r="666" spans="1:14" x14ac:dyDescent="0.25">
      <c r="A666" s="348"/>
      <c r="B666" s="348"/>
      <c r="C666" s="348"/>
      <c r="D666" s="348"/>
      <c r="E666" s="348"/>
      <c r="F666" s="348"/>
      <c r="G666" s="348"/>
      <c r="H666" s="348"/>
      <c r="I666" s="348"/>
      <c r="J666" s="348"/>
      <c r="K666" s="348"/>
      <c r="L666" s="353"/>
      <c r="M666" s="347"/>
      <c r="N666" s="347"/>
    </row>
    <row r="667" spans="1:14" x14ac:dyDescent="0.25">
      <c r="A667" s="348"/>
      <c r="B667" s="348"/>
      <c r="C667" s="348"/>
      <c r="D667" s="348"/>
      <c r="E667" s="348"/>
      <c r="F667" s="348"/>
      <c r="G667" s="348"/>
      <c r="H667" s="348"/>
      <c r="I667" s="348"/>
      <c r="J667" s="348"/>
      <c r="K667" s="348"/>
      <c r="L667" s="372" t="s">
        <v>35</v>
      </c>
      <c r="M667" s="347"/>
      <c r="N667" s="347"/>
    </row>
    <row r="668" spans="1:14" x14ac:dyDescent="0.25">
      <c r="A668" s="355"/>
      <c r="B668" s="365"/>
      <c r="C668" s="365"/>
      <c r="D668" s="365"/>
      <c r="E668" s="365"/>
      <c r="F668" s="365"/>
      <c r="G668" s="365"/>
      <c r="H668" s="365"/>
      <c r="I668" s="365"/>
      <c r="J668" s="365"/>
      <c r="K668" s="365"/>
      <c r="L668" s="347"/>
      <c r="M668" s="347"/>
      <c r="N668" s="347"/>
    </row>
    <row r="669" spans="1:14" x14ac:dyDescent="0.25">
      <c r="A669" s="354" t="str">
        <f>name!A42</f>
        <v>Accommodation</v>
      </c>
      <c r="B669" s="515">
        <f>B$6</f>
        <v>2007</v>
      </c>
      <c r="C669" s="515"/>
      <c r="D669" s="515"/>
      <c r="E669" s="369"/>
      <c r="F669" s="515">
        <f>F652</f>
        <v>2017</v>
      </c>
      <c r="G669" s="515"/>
      <c r="H669" s="515"/>
      <c r="I669" s="369"/>
      <c r="J669" s="515">
        <f>J652</f>
        <v>2027</v>
      </c>
      <c r="K669" s="515"/>
      <c r="L669" s="515"/>
      <c r="M669" s="347"/>
      <c r="N669" s="347"/>
    </row>
    <row r="670" spans="1:14" x14ac:dyDescent="0.25">
      <c r="A670" s="370"/>
      <c r="B670" s="371" t="s">
        <v>387</v>
      </c>
      <c r="C670" s="371" t="s">
        <v>388</v>
      </c>
      <c r="D670" s="371" t="s">
        <v>32</v>
      </c>
      <c r="E670" s="371"/>
      <c r="F670" s="371" t="s">
        <v>387</v>
      </c>
      <c r="G670" s="371" t="s">
        <v>388</v>
      </c>
      <c r="H670" s="371" t="s">
        <v>32</v>
      </c>
      <c r="I670" s="371"/>
      <c r="J670" s="371" t="s">
        <v>387</v>
      </c>
      <c r="K670" s="371" t="s">
        <v>388</v>
      </c>
      <c r="L670" s="371" t="s">
        <v>32</v>
      </c>
      <c r="M670" s="347"/>
      <c r="N670" s="347"/>
    </row>
    <row r="671" spans="1:14" s="286" customFormat="1" x14ac:dyDescent="0.25">
      <c r="A671" s="374"/>
      <c r="B671" s="375"/>
      <c r="C671" s="375"/>
      <c r="D671" s="375"/>
      <c r="E671" s="375"/>
      <c r="F671" s="375"/>
      <c r="G671" s="375"/>
      <c r="H671" s="375"/>
      <c r="I671" s="375"/>
      <c r="J671" s="375"/>
      <c r="K671" s="375"/>
      <c r="L671" s="375"/>
      <c r="M671" s="347"/>
      <c r="N671" s="347"/>
    </row>
    <row r="672" spans="1:14" x14ac:dyDescent="0.25">
      <c r="A672" s="362" t="str">
        <f>name!E$4</f>
        <v>Managers, directors and senior officials</v>
      </c>
      <c r="B672" s="440">
        <v>28.52163917786358</v>
      </c>
      <c r="C672" s="440">
        <v>35.152925875269133</v>
      </c>
      <c r="D672" s="440">
        <f>SUM(B672:C672)</f>
        <v>63.67456505313271</v>
      </c>
      <c r="E672" s="441"/>
      <c r="F672" s="440">
        <v>48.927402673616378</v>
      </c>
      <c r="G672" s="440">
        <v>45.71355078331279</v>
      </c>
      <c r="H672" s="440">
        <f>SUM(F672:G672)</f>
        <v>94.640953456929168</v>
      </c>
      <c r="I672" s="441"/>
      <c r="J672" s="440">
        <v>56.950954432408196</v>
      </c>
      <c r="K672" s="440">
        <v>50.416276315886947</v>
      </c>
      <c r="L672" s="440">
        <f>SUM(J672:K672)</f>
        <v>107.36723074829514</v>
      </c>
      <c r="M672" s="347"/>
      <c r="N672" s="347"/>
    </row>
    <row r="673" spans="1:14" x14ac:dyDescent="0.25">
      <c r="A673" s="362" t="str">
        <f>name!E$5</f>
        <v>Professional occupations</v>
      </c>
      <c r="B673" s="440">
        <v>5.6846851660132822</v>
      </c>
      <c r="C673" s="440">
        <v>5.70309796193854</v>
      </c>
      <c r="D673" s="440">
        <f t="shared" ref="D673:D680" si="250">SUM(B673:C673)</f>
        <v>11.387783127951822</v>
      </c>
      <c r="E673" s="441"/>
      <c r="F673" s="440">
        <v>8.3864432480916253</v>
      </c>
      <c r="G673" s="440">
        <v>7.2175266250816312</v>
      </c>
      <c r="H673" s="440">
        <f t="shared" ref="H673:H680" si="251">SUM(F673:G673)</f>
        <v>15.603969873173256</v>
      </c>
      <c r="I673" s="441"/>
      <c r="J673" s="440">
        <v>10.430546842476588</v>
      </c>
      <c r="K673" s="440">
        <v>7.9659916529232886</v>
      </c>
      <c r="L673" s="440">
        <f t="shared" ref="L673:L680" si="252">SUM(J673:K673)</f>
        <v>18.396538495399877</v>
      </c>
      <c r="M673" s="347"/>
      <c r="N673" s="347"/>
    </row>
    <row r="674" spans="1:14" x14ac:dyDescent="0.25">
      <c r="A674" s="362" t="str">
        <f>name!E$6</f>
        <v>Associate professional and technical</v>
      </c>
      <c r="B674" s="440">
        <v>5.8366449760398256</v>
      </c>
      <c r="C674" s="440">
        <v>6.0269742990961461</v>
      </c>
      <c r="D674" s="440">
        <f t="shared" si="250"/>
        <v>11.863619275135971</v>
      </c>
      <c r="E674" s="441"/>
      <c r="F674" s="440">
        <v>11.440542660786047</v>
      </c>
      <c r="G674" s="440">
        <v>7.3457635287663159</v>
      </c>
      <c r="H674" s="440">
        <f t="shared" si="251"/>
        <v>18.786306189552363</v>
      </c>
      <c r="I674" s="441"/>
      <c r="J674" s="440">
        <v>15.253984015365347</v>
      </c>
      <c r="K674" s="440">
        <v>8.0926983909279908</v>
      </c>
      <c r="L674" s="440">
        <f t="shared" si="252"/>
        <v>23.34668240629334</v>
      </c>
      <c r="M674" s="347"/>
      <c r="N674" s="347"/>
    </row>
    <row r="675" spans="1:14" x14ac:dyDescent="0.25">
      <c r="A675" s="362" t="str">
        <f>name!E$7</f>
        <v>Administrative and secretarial</v>
      </c>
      <c r="B675" s="440">
        <v>18.250694255502314</v>
      </c>
      <c r="C675" s="440">
        <v>6.2478290097652227</v>
      </c>
      <c r="D675" s="440">
        <f t="shared" si="250"/>
        <v>24.498523265267536</v>
      </c>
      <c r="E675" s="441"/>
      <c r="F675" s="440">
        <v>21.989942224685393</v>
      </c>
      <c r="G675" s="440">
        <v>6.2741708852551223</v>
      </c>
      <c r="H675" s="440">
        <f t="shared" si="251"/>
        <v>28.264113109940517</v>
      </c>
      <c r="I675" s="441"/>
      <c r="J675" s="440">
        <v>19.737462222885458</v>
      </c>
      <c r="K675" s="440">
        <v>7.1306558020561788</v>
      </c>
      <c r="L675" s="440">
        <f t="shared" si="252"/>
        <v>26.868118024941637</v>
      </c>
      <c r="M675" s="347"/>
      <c r="N675" s="347"/>
    </row>
    <row r="676" spans="1:14" x14ac:dyDescent="0.25">
      <c r="A676" s="362" t="str">
        <f>name!E$8</f>
        <v>Skilled trades occupations</v>
      </c>
      <c r="B676" s="440">
        <v>22.249903918290606</v>
      </c>
      <c r="C676" s="440">
        <v>54.543105819057722</v>
      </c>
      <c r="D676" s="440">
        <f t="shared" si="250"/>
        <v>76.793009737348328</v>
      </c>
      <c r="E676" s="441"/>
      <c r="F676" s="440">
        <v>25.806332041684687</v>
      </c>
      <c r="G676" s="440">
        <v>62.074118050683694</v>
      </c>
      <c r="H676" s="440">
        <f t="shared" si="251"/>
        <v>87.880450092368378</v>
      </c>
      <c r="I676" s="441"/>
      <c r="J676" s="440">
        <v>24.501503738563351</v>
      </c>
      <c r="K676" s="440">
        <v>51.542771458835304</v>
      </c>
      <c r="L676" s="440">
        <f t="shared" si="252"/>
        <v>76.044275197398662</v>
      </c>
      <c r="M676" s="347"/>
      <c r="N676" s="347"/>
    </row>
    <row r="677" spans="1:14" x14ac:dyDescent="0.25">
      <c r="A677" s="362" t="str">
        <f>name!E$9</f>
        <v>Caring, leisure and other service</v>
      </c>
      <c r="B677" s="440">
        <v>12.003997999592301</v>
      </c>
      <c r="C677" s="440">
        <v>4.3952856766705954</v>
      </c>
      <c r="D677" s="440">
        <f t="shared" si="250"/>
        <v>16.399283676262897</v>
      </c>
      <c r="E677" s="441"/>
      <c r="F677" s="440">
        <v>20.551372743855843</v>
      </c>
      <c r="G677" s="440">
        <v>3.2589003123204621</v>
      </c>
      <c r="H677" s="440">
        <f t="shared" si="251"/>
        <v>23.810273056176307</v>
      </c>
      <c r="I677" s="441"/>
      <c r="J677" s="440">
        <v>23.001597102452831</v>
      </c>
      <c r="K677" s="440">
        <v>3.7523980646077861</v>
      </c>
      <c r="L677" s="440">
        <f t="shared" si="252"/>
        <v>26.753995167060616</v>
      </c>
      <c r="M677" s="347"/>
      <c r="N677" s="347"/>
    </row>
    <row r="678" spans="1:14" x14ac:dyDescent="0.25">
      <c r="A678" s="362" t="str">
        <f>name!E$10</f>
        <v>Sales and customer service</v>
      </c>
      <c r="B678" s="440">
        <v>17.375587994710681</v>
      </c>
      <c r="C678" s="440">
        <v>10.039937646961214</v>
      </c>
      <c r="D678" s="440">
        <f t="shared" si="250"/>
        <v>27.415525641671895</v>
      </c>
      <c r="E678" s="441"/>
      <c r="F678" s="440">
        <v>21.712601576134638</v>
      </c>
      <c r="G678" s="440">
        <v>11.416099767626758</v>
      </c>
      <c r="H678" s="440">
        <f t="shared" si="251"/>
        <v>33.128701343761392</v>
      </c>
      <c r="I678" s="441"/>
      <c r="J678" s="440">
        <v>24.874266115144685</v>
      </c>
      <c r="K678" s="440">
        <v>11.950386898156047</v>
      </c>
      <c r="L678" s="440">
        <f t="shared" si="252"/>
        <v>36.824653013300733</v>
      </c>
      <c r="M678" s="347"/>
      <c r="N678" s="347"/>
    </row>
    <row r="679" spans="1:14" x14ac:dyDescent="0.25">
      <c r="A679" s="362" t="str">
        <f>name!E$11</f>
        <v>Process, plant and machine operatives</v>
      </c>
      <c r="B679" s="440">
        <v>1.4199055063230355</v>
      </c>
      <c r="C679" s="440">
        <v>8.385778337550585</v>
      </c>
      <c r="D679" s="440">
        <f t="shared" si="250"/>
        <v>9.80568384387362</v>
      </c>
      <c r="E679" s="441"/>
      <c r="F679" s="440">
        <v>2.4280858399585674</v>
      </c>
      <c r="G679" s="440">
        <v>10.688730920756361</v>
      </c>
      <c r="H679" s="440">
        <f t="shared" si="251"/>
        <v>13.116816760714929</v>
      </c>
      <c r="I679" s="441"/>
      <c r="J679" s="440">
        <v>1.9139936593166957</v>
      </c>
      <c r="K679" s="440">
        <v>10.120203980108339</v>
      </c>
      <c r="L679" s="440">
        <f t="shared" si="252"/>
        <v>12.034197639425035</v>
      </c>
      <c r="M679" s="347"/>
      <c r="N679" s="347"/>
    </row>
    <row r="680" spans="1:14" x14ac:dyDescent="0.25">
      <c r="A680" s="362" t="str">
        <f>name!E$12</f>
        <v>Elementary occupations</v>
      </c>
      <c r="B680" s="440">
        <v>134.48794100656085</v>
      </c>
      <c r="C680" s="440">
        <v>64.392065372174613</v>
      </c>
      <c r="D680" s="440">
        <f t="shared" si="250"/>
        <v>198.88000637873546</v>
      </c>
      <c r="E680" s="441"/>
      <c r="F680" s="440">
        <v>148.00527699702712</v>
      </c>
      <c r="G680" s="440">
        <v>83.165139125716237</v>
      </c>
      <c r="H680" s="440">
        <f t="shared" si="251"/>
        <v>231.17041612274335</v>
      </c>
      <c r="I680" s="441"/>
      <c r="J680" s="440">
        <v>151.45969187387044</v>
      </c>
      <c r="K680" s="440">
        <v>97.84761743533862</v>
      </c>
      <c r="L680" s="440">
        <f t="shared" si="252"/>
        <v>249.30730930920907</v>
      </c>
      <c r="M680" s="347"/>
      <c r="N680" s="347"/>
    </row>
    <row r="681" spans="1:14" s="286" customFormat="1" x14ac:dyDescent="0.25">
      <c r="A681" s="362"/>
      <c r="B681" s="440"/>
      <c r="C681" s="440"/>
      <c r="D681" s="440"/>
      <c r="E681" s="441"/>
      <c r="F681" s="440"/>
      <c r="G681" s="440"/>
      <c r="H681" s="440"/>
      <c r="I681" s="441"/>
      <c r="J681" s="440"/>
      <c r="K681" s="440"/>
      <c r="L681" s="440"/>
      <c r="M681" s="347"/>
      <c r="N681" s="347"/>
    </row>
    <row r="682" spans="1:14" x14ac:dyDescent="0.25">
      <c r="A682" s="357" t="s">
        <v>32</v>
      </c>
      <c r="B682" s="450">
        <f>SUM(B672:B680)</f>
        <v>245.83100000089649</v>
      </c>
      <c r="C682" s="450">
        <f t="shared" ref="C682:D682" si="253">SUM(C672:C680)</f>
        <v>194.88699999848379</v>
      </c>
      <c r="D682" s="450">
        <f t="shared" si="253"/>
        <v>440.71799999938025</v>
      </c>
      <c r="E682" s="450"/>
      <c r="F682" s="450">
        <f t="shared" ref="F682:H682" si="254">SUM(F672:F680)</f>
        <v>309.24800000584025</v>
      </c>
      <c r="G682" s="450">
        <f t="shared" si="254"/>
        <v>237.15399999951939</v>
      </c>
      <c r="H682" s="450">
        <f t="shared" si="254"/>
        <v>546.4020000053597</v>
      </c>
      <c r="I682" s="450"/>
      <c r="J682" s="450">
        <f t="shared" ref="J682:L682" si="255">SUM(J672:J680)</f>
        <v>328.12400000248357</v>
      </c>
      <c r="K682" s="450">
        <f t="shared" si="255"/>
        <v>248.81899999884047</v>
      </c>
      <c r="L682" s="450">
        <f t="shared" si="255"/>
        <v>576.94300000132409</v>
      </c>
      <c r="M682" s="347"/>
      <c r="N682" s="347"/>
    </row>
    <row r="683" spans="1:14" x14ac:dyDescent="0.25">
      <c r="A683" s="348"/>
      <c r="B683" s="348"/>
      <c r="C683" s="348"/>
      <c r="D683" s="348"/>
      <c r="E683" s="348"/>
      <c r="F683" s="348"/>
      <c r="G683" s="348"/>
      <c r="H683" s="348"/>
      <c r="I683" s="348"/>
      <c r="J683" s="348"/>
      <c r="K683" s="348"/>
      <c r="L683" s="353"/>
      <c r="M683" s="347"/>
      <c r="N683" s="347"/>
    </row>
    <row r="684" spans="1:14" x14ac:dyDescent="0.25">
      <c r="A684" s="348"/>
      <c r="B684" s="348"/>
      <c r="C684" s="348"/>
      <c r="D684" s="348"/>
      <c r="E684" s="348"/>
      <c r="F684" s="348"/>
      <c r="G684" s="348"/>
      <c r="H684" s="348"/>
      <c r="I684" s="348"/>
      <c r="J684" s="348"/>
      <c r="K684" s="348"/>
      <c r="L684" s="372" t="s">
        <v>35</v>
      </c>
      <c r="M684" s="347"/>
      <c r="N684" s="347"/>
    </row>
    <row r="685" spans="1:14" x14ac:dyDescent="0.25">
      <c r="A685" s="355"/>
      <c r="B685" s="365"/>
      <c r="C685" s="365"/>
      <c r="D685" s="365"/>
      <c r="E685" s="365"/>
      <c r="F685" s="365"/>
      <c r="G685" s="365"/>
      <c r="H685" s="365"/>
      <c r="I685" s="365"/>
      <c r="J685" s="365"/>
      <c r="K685" s="365"/>
      <c r="L685" s="347"/>
      <c r="M685" s="347"/>
      <c r="N685" s="347"/>
    </row>
    <row r="686" spans="1:14" x14ac:dyDescent="0.25">
      <c r="A686" s="354" t="str">
        <f>name!A43</f>
        <v>Food and beverage services</v>
      </c>
      <c r="B686" s="515">
        <f>B$6</f>
        <v>2007</v>
      </c>
      <c r="C686" s="515"/>
      <c r="D686" s="515"/>
      <c r="E686" s="369"/>
      <c r="F686" s="515">
        <f>F669</f>
        <v>2017</v>
      </c>
      <c r="G686" s="515"/>
      <c r="H686" s="515"/>
      <c r="I686" s="369"/>
      <c r="J686" s="515">
        <f>J669</f>
        <v>2027</v>
      </c>
      <c r="K686" s="515"/>
      <c r="L686" s="515"/>
      <c r="M686" s="347"/>
      <c r="N686" s="347"/>
    </row>
    <row r="687" spans="1:14" x14ac:dyDescent="0.25">
      <c r="A687" s="370"/>
      <c r="B687" s="371" t="s">
        <v>387</v>
      </c>
      <c r="C687" s="371" t="s">
        <v>388</v>
      </c>
      <c r="D687" s="371" t="s">
        <v>32</v>
      </c>
      <c r="E687" s="371"/>
      <c r="F687" s="371" t="s">
        <v>387</v>
      </c>
      <c r="G687" s="371" t="s">
        <v>388</v>
      </c>
      <c r="H687" s="371" t="s">
        <v>32</v>
      </c>
      <c r="I687" s="371"/>
      <c r="J687" s="371" t="s">
        <v>387</v>
      </c>
      <c r="K687" s="371" t="s">
        <v>388</v>
      </c>
      <c r="L687" s="371" t="s">
        <v>32</v>
      </c>
      <c r="M687" s="347"/>
      <c r="N687" s="347"/>
    </row>
    <row r="688" spans="1:14" s="286" customFormat="1" x14ac:dyDescent="0.25">
      <c r="A688" s="374"/>
      <c r="B688" s="375"/>
      <c r="C688" s="375"/>
      <c r="D688" s="375"/>
      <c r="E688" s="375"/>
      <c r="F688" s="375"/>
      <c r="G688" s="375"/>
      <c r="H688" s="375"/>
      <c r="I688" s="375"/>
      <c r="J688" s="375"/>
      <c r="K688" s="375"/>
      <c r="L688" s="375"/>
      <c r="M688" s="347"/>
      <c r="N688" s="347"/>
    </row>
    <row r="689" spans="1:14" x14ac:dyDescent="0.25">
      <c r="A689" s="362" t="str">
        <f>name!E$4</f>
        <v>Managers, directors and senior officials</v>
      </c>
      <c r="B689" s="440">
        <v>72.162197853023173</v>
      </c>
      <c r="C689" s="440">
        <v>116.00024604537403</v>
      </c>
      <c r="D689" s="440">
        <f>SUM(B689:C689)</f>
        <v>188.16244389839721</v>
      </c>
      <c r="E689" s="441"/>
      <c r="F689" s="440">
        <v>86.055522246987451</v>
      </c>
      <c r="G689" s="440">
        <v>134.9913836631905</v>
      </c>
      <c r="H689" s="440">
        <f>SUM(F689:G689)</f>
        <v>221.04690591017794</v>
      </c>
      <c r="I689" s="441"/>
      <c r="J689" s="440">
        <v>106.48815456852972</v>
      </c>
      <c r="K689" s="440">
        <v>146.24498504786106</v>
      </c>
      <c r="L689" s="440">
        <f>SUM(J689:K689)</f>
        <v>252.73313961639079</v>
      </c>
      <c r="M689" s="347"/>
      <c r="N689" s="347"/>
    </row>
    <row r="690" spans="1:14" x14ac:dyDescent="0.25">
      <c r="A690" s="362" t="str">
        <f>name!E$5</f>
        <v>Professional occupations</v>
      </c>
      <c r="B690" s="440">
        <v>18.993328523030165</v>
      </c>
      <c r="C690" s="440">
        <v>17.918409948190632</v>
      </c>
      <c r="D690" s="440">
        <f t="shared" ref="D690:D697" si="256">SUM(B690:C690)</f>
        <v>36.911738471220801</v>
      </c>
      <c r="E690" s="441"/>
      <c r="F690" s="440">
        <v>22.385045192835452</v>
      </c>
      <c r="G690" s="440">
        <v>22.598869718222936</v>
      </c>
      <c r="H690" s="440">
        <f t="shared" ref="H690:H697" si="257">SUM(F690:G690)</f>
        <v>44.983914911058392</v>
      </c>
      <c r="I690" s="441"/>
      <c r="J690" s="440">
        <v>27.890972001391418</v>
      </c>
      <c r="K690" s="440">
        <v>24.050379644026485</v>
      </c>
      <c r="L690" s="440">
        <f t="shared" ref="L690:L697" si="258">SUM(J690:K690)</f>
        <v>51.941351645417903</v>
      </c>
      <c r="M690" s="347"/>
      <c r="N690" s="347"/>
    </row>
    <row r="691" spans="1:14" x14ac:dyDescent="0.25">
      <c r="A691" s="362" t="str">
        <f>name!E$6</f>
        <v>Associate professional and technical</v>
      </c>
      <c r="B691" s="440">
        <v>20.023736827105523</v>
      </c>
      <c r="C691" s="440">
        <v>20.636234045956495</v>
      </c>
      <c r="D691" s="440">
        <f t="shared" si="256"/>
        <v>40.659970873062022</v>
      </c>
      <c r="E691" s="441"/>
      <c r="F691" s="440">
        <v>33.823717299347322</v>
      </c>
      <c r="G691" s="440">
        <v>25.87085479662224</v>
      </c>
      <c r="H691" s="440">
        <f t="shared" si="257"/>
        <v>59.694572095969562</v>
      </c>
      <c r="I691" s="441"/>
      <c r="J691" s="440">
        <v>45.064404935935791</v>
      </c>
      <c r="K691" s="440">
        <v>26.612995542760014</v>
      </c>
      <c r="L691" s="440">
        <f t="shared" si="258"/>
        <v>71.677400478695802</v>
      </c>
      <c r="M691" s="347"/>
      <c r="N691" s="347"/>
    </row>
    <row r="692" spans="1:14" x14ac:dyDescent="0.25">
      <c r="A692" s="362" t="str">
        <f>name!E$7</f>
        <v>Administrative and secretarial</v>
      </c>
      <c r="B692" s="440">
        <v>62.195430734924969</v>
      </c>
      <c r="C692" s="440">
        <v>19.13811777065979</v>
      </c>
      <c r="D692" s="440">
        <f t="shared" si="256"/>
        <v>81.333548505584758</v>
      </c>
      <c r="E692" s="441"/>
      <c r="F692" s="440">
        <v>64.780959395291703</v>
      </c>
      <c r="G692" s="440">
        <v>20.856724220042622</v>
      </c>
      <c r="H692" s="440">
        <f t="shared" si="257"/>
        <v>85.637683615334325</v>
      </c>
      <c r="I692" s="441"/>
      <c r="J692" s="440">
        <v>57.902202810339091</v>
      </c>
      <c r="K692" s="440">
        <v>21.854862924785959</v>
      </c>
      <c r="L692" s="440">
        <f t="shared" si="258"/>
        <v>79.757065735125053</v>
      </c>
      <c r="M692" s="347"/>
      <c r="N692" s="347"/>
    </row>
    <row r="693" spans="1:14" x14ac:dyDescent="0.25">
      <c r="A693" s="362" t="str">
        <f>name!E$8</f>
        <v>Skilled trades occupations</v>
      </c>
      <c r="B693" s="440">
        <v>75.425151120142147</v>
      </c>
      <c r="C693" s="440">
        <v>180.10324419143498</v>
      </c>
      <c r="D693" s="440">
        <f t="shared" si="256"/>
        <v>255.52839531157713</v>
      </c>
      <c r="E693" s="441"/>
      <c r="F693" s="440">
        <v>69.322255561814302</v>
      </c>
      <c r="G693" s="440">
        <v>215.03273110795715</v>
      </c>
      <c r="H693" s="440">
        <f t="shared" si="257"/>
        <v>284.35498666977145</v>
      </c>
      <c r="I693" s="441"/>
      <c r="J693" s="440">
        <v>65.524102524397222</v>
      </c>
      <c r="K693" s="440">
        <v>171.73609563492624</v>
      </c>
      <c r="L693" s="440">
        <f t="shared" si="258"/>
        <v>237.26019815932347</v>
      </c>
      <c r="M693" s="347"/>
      <c r="N693" s="347"/>
    </row>
    <row r="694" spans="1:14" x14ac:dyDescent="0.25">
      <c r="A694" s="362" t="str">
        <f>name!E$9</f>
        <v>Caring, leisure and other service</v>
      </c>
      <c r="B694" s="440">
        <v>41.598972768487933</v>
      </c>
      <c r="C694" s="440">
        <v>16.763735284840106</v>
      </c>
      <c r="D694" s="440">
        <f t="shared" si="256"/>
        <v>58.362708053328035</v>
      </c>
      <c r="E694" s="441"/>
      <c r="F694" s="440">
        <v>60.661194269151686</v>
      </c>
      <c r="G694" s="440">
        <v>13.061701751795384</v>
      </c>
      <c r="H694" s="440">
        <f t="shared" si="257"/>
        <v>73.722896020947076</v>
      </c>
      <c r="I694" s="441"/>
      <c r="J694" s="440">
        <v>67.097037206385338</v>
      </c>
      <c r="K694" s="440">
        <v>14.145891794897045</v>
      </c>
      <c r="L694" s="440">
        <f t="shared" si="258"/>
        <v>81.242929001282377</v>
      </c>
      <c r="M694" s="347"/>
      <c r="N694" s="347"/>
    </row>
    <row r="695" spans="1:14" x14ac:dyDescent="0.25">
      <c r="A695" s="362" t="str">
        <f>name!E$10</f>
        <v>Sales and customer service</v>
      </c>
      <c r="B695" s="440">
        <v>61.58695245229594</v>
      </c>
      <c r="C695" s="440">
        <v>40.391551366429674</v>
      </c>
      <c r="D695" s="440">
        <f t="shared" si="256"/>
        <v>101.97850381872561</v>
      </c>
      <c r="E695" s="441"/>
      <c r="F695" s="440">
        <v>75.402520186487322</v>
      </c>
      <c r="G695" s="440">
        <v>52.616643648468774</v>
      </c>
      <c r="H695" s="440">
        <f t="shared" si="257"/>
        <v>128.01916383495609</v>
      </c>
      <c r="I695" s="441"/>
      <c r="J695" s="440">
        <v>85.692886084419698</v>
      </c>
      <c r="K695" s="440">
        <v>46.83239605141771</v>
      </c>
      <c r="L695" s="440">
        <f t="shared" si="258"/>
        <v>132.52528213583741</v>
      </c>
      <c r="M695" s="347"/>
      <c r="N695" s="347"/>
    </row>
    <row r="696" spans="1:14" x14ac:dyDescent="0.25">
      <c r="A696" s="362" t="str">
        <f>name!E$11</f>
        <v>Process, plant and machine operatives</v>
      </c>
      <c r="B696" s="440">
        <v>5.1746548060661928</v>
      </c>
      <c r="C696" s="440">
        <v>30.04336851980181</v>
      </c>
      <c r="D696" s="440">
        <f t="shared" si="256"/>
        <v>35.218023325868003</v>
      </c>
      <c r="E696" s="441"/>
      <c r="F696" s="440">
        <v>6.8745655983495597</v>
      </c>
      <c r="G696" s="440">
        <v>47.217189534508407</v>
      </c>
      <c r="H696" s="440">
        <f t="shared" si="257"/>
        <v>54.091755132857969</v>
      </c>
      <c r="I696" s="441"/>
      <c r="J696" s="440">
        <v>5.2843593838521068</v>
      </c>
      <c r="K696" s="440">
        <v>41.980007502161506</v>
      </c>
      <c r="L696" s="440">
        <f t="shared" si="258"/>
        <v>47.264366886013612</v>
      </c>
      <c r="M696" s="347"/>
      <c r="N696" s="347"/>
    </row>
    <row r="697" spans="1:14" x14ac:dyDescent="0.25">
      <c r="A697" s="362" t="str">
        <f>name!E$12</f>
        <v>Elementary occupations</v>
      </c>
      <c r="B697" s="440">
        <v>514.94457491679952</v>
      </c>
      <c r="C697" s="440">
        <v>258.18009282098461</v>
      </c>
      <c r="D697" s="440">
        <f t="shared" si="256"/>
        <v>773.12466773778419</v>
      </c>
      <c r="E697" s="441"/>
      <c r="F697" s="440">
        <v>553.9622202683131</v>
      </c>
      <c r="G697" s="440">
        <v>383.15990155723159</v>
      </c>
      <c r="H697" s="440">
        <f t="shared" si="257"/>
        <v>937.1221218255447</v>
      </c>
      <c r="I697" s="441"/>
      <c r="J697" s="440">
        <v>565.46988049258448</v>
      </c>
      <c r="K697" s="440">
        <v>411.12438585328317</v>
      </c>
      <c r="L697" s="440">
        <f t="shared" si="258"/>
        <v>976.59426634586771</v>
      </c>
      <c r="M697" s="347"/>
      <c r="N697" s="347"/>
    </row>
    <row r="698" spans="1:14" s="286" customFormat="1" x14ac:dyDescent="0.25">
      <c r="A698" s="362"/>
      <c r="B698" s="440"/>
      <c r="C698" s="440"/>
      <c r="D698" s="440"/>
      <c r="E698" s="441"/>
      <c r="F698" s="440"/>
      <c r="G698" s="440"/>
      <c r="H698" s="440"/>
      <c r="I698" s="441"/>
      <c r="J698" s="440"/>
      <c r="K698" s="440"/>
      <c r="L698" s="440"/>
      <c r="M698" s="347"/>
      <c r="N698" s="347"/>
    </row>
    <row r="699" spans="1:14" x14ac:dyDescent="0.25">
      <c r="A699" s="357" t="s">
        <v>32</v>
      </c>
      <c r="B699" s="450">
        <f>SUM(B689:B697)</f>
        <v>872.10500000187562</v>
      </c>
      <c r="C699" s="450">
        <f t="shared" ref="C699:D699" si="259">SUM(C689:C697)</f>
        <v>699.17499999367215</v>
      </c>
      <c r="D699" s="450">
        <f t="shared" si="259"/>
        <v>1571.2799999955478</v>
      </c>
      <c r="E699" s="450"/>
      <c r="F699" s="450">
        <f t="shared" ref="F699:H699" si="260">SUM(F689:F697)</f>
        <v>973.26800001857782</v>
      </c>
      <c r="G699" s="450">
        <f t="shared" si="260"/>
        <v>915.40599999803965</v>
      </c>
      <c r="H699" s="450">
        <f t="shared" si="260"/>
        <v>1888.6740000166174</v>
      </c>
      <c r="I699" s="450"/>
      <c r="J699" s="450">
        <f t="shared" ref="J699:L699" si="261">SUM(J689:J697)</f>
        <v>1026.4140000078348</v>
      </c>
      <c r="K699" s="450">
        <f t="shared" si="261"/>
        <v>904.58199999611929</v>
      </c>
      <c r="L699" s="450">
        <f t="shared" si="261"/>
        <v>1930.9960000039541</v>
      </c>
      <c r="M699" s="347"/>
      <c r="N699" s="347"/>
    </row>
    <row r="700" spans="1:14" x14ac:dyDescent="0.25">
      <c r="A700" s="348"/>
      <c r="B700" s="348"/>
      <c r="C700" s="348"/>
      <c r="D700" s="348"/>
      <c r="E700" s="348"/>
      <c r="F700" s="348"/>
      <c r="G700" s="348"/>
      <c r="H700" s="348"/>
      <c r="I700" s="348"/>
      <c r="J700" s="348"/>
      <c r="K700" s="348"/>
      <c r="L700" s="353"/>
      <c r="M700" s="347"/>
      <c r="N700" s="347"/>
    </row>
    <row r="701" spans="1:14" x14ac:dyDescent="0.25">
      <c r="A701" s="348"/>
      <c r="B701" s="348"/>
      <c r="C701" s="348"/>
      <c r="D701" s="348"/>
      <c r="E701" s="348"/>
      <c r="F701" s="348"/>
      <c r="G701" s="348"/>
      <c r="H701" s="348"/>
      <c r="I701" s="348"/>
      <c r="J701" s="348"/>
      <c r="K701" s="348"/>
      <c r="L701" s="372" t="s">
        <v>35</v>
      </c>
      <c r="M701" s="347"/>
      <c r="N701" s="347"/>
    </row>
    <row r="702" spans="1:14" x14ac:dyDescent="0.25">
      <c r="A702" s="355"/>
      <c r="B702" s="365"/>
      <c r="C702" s="365"/>
      <c r="D702" s="365"/>
      <c r="E702" s="365"/>
      <c r="F702" s="365"/>
      <c r="G702" s="365"/>
      <c r="H702" s="365"/>
      <c r="I702" s="365"/>
      <c r="J702" s="365"/>
      <c r="K702" s="365"/>
      <c r="L702" s="347"/>
      <c r="M702" s="347"/>
      <c r="N702" s="347"/>
    </row>
    <row r="703" spans="1:14" x14ac:dyDescent="0.25">
      <c r="A703" s="354" t="str">
        <f>name!A44</f>
        <v>Publishing activities</v>
      </c>
      <c r="B703" s="515">
        <f>B$6</f>
        <v>2007</v>
      </c>
      <c r="C703" s="515"/>
      <c r="D703" s="515"/>
      <c r="E703" s="369"/>
      <c r="F703" s="515">
        <f>F686</f>
        <v>2017</v>
      </c>
      <c r="G703" s="515"/>
      <c r="H703" s="515"/>
      <c r="I703" s="369"/>
      <c r="J703" s="515">
        <f>J686</f>
        <v>2027</v>
      </c>
      <c r="K703" s="515"/>
      <c r="L703" s="515"/>
      <c r="M703" s="347"/>
      <c r="N703" s="347"/>
    </row>
    <row r="704" spans="1:14" x14ac:dyDescent="0.25">
      <c r="A704" s="370"/>
      <c r="B704" s="371" t="s">
        <v>387</v>
      </c>
      <c r="C704" s="371" t="s">
        <v>388</v>
      </c>
      <c r="D704" s="371" t="s">
        <v>32</v>
      </c>
      <c r="E704" s="371"/>
      <c r="F704" s="371" t="s">
        <v>387</v>
      </c>
      <c r="G704" s="371" t="s">
        <v>388</v>
      </c>
      <c r="H704" s="371" t="s">
        <v>32</v>
      </c>
      <c r="I704" s="371"/>
      <c r="J704" s="371" t="s">
        <v>387</v>
      </c>
      <c r="K704" s="371" t="s">
        <v>388</v>
      </c>
      <c r="L704" s="371" t="s">
        <v>32</v>
      </c>
      <c r="M704" s="347"/>
      <c r="N704" s="347"/>
    </row>
    <row r="705" spans="1:14" s="286" customFormat="1" x14ac:dyDescent="0.25">
      <c r="A705" s="374"/>
      <c r="B705" s="375"/>
      <c r="C705" s="375"/>
      <c r="D705" s="375"/>
      <c r="E705" s="375"/>
      <c r="F705" s="375"/>
      <c r="G705" s="375"/>
      <c r="H705" s="375"/>
      <c r="I705" s="375"/>
      <c r="J705" s="375"/>
      <c r="K705" s="375"/>
      <c r="L705" s="375"/>
      <c r="M705" s="347"/>
      <c r="N705" s="347"/>
    </row>
    <row r="706" spans="1:14" x14ac:dyDescent="0.25">
      <c r="A706" s="362" t="str">
        <f>name!E$4</f>
        <v>Managers, directors and senior officials</v>
      </c>
      <c r="B706" s="440">
        <v>7.8348646086815501</v>
      </c>
      <c r="C706" s="440">
        <v>18.704054193075738</v>
      </c>
      <c r="D706" s="440">
        <f>SUM(B706:C706)</f>
        <v>26.538918801757287</v>
      </c>
      <c r="E706" s="441"/>
      <c r="F706" s="440">
        <v>9.4467945141975722</v>
      </c>
      <c r="G706" s="440">
        <v>21.901468695795813</v>
      </c>
      <c r="H706" s="440">
        <f>SUM(F706:G706)</f>
        <v>31.348263209993384</v>
      </c>
      <c r="I706" s="441"/>
      <c r="J706" s="440">
        <v>9.6346809241777454</v>
      </c>
      <c r="K706" s="440">
        <v>24.1385831475237</v>
      </c>
      <c r="L706" s="440">
        <f>SUM(J706:K706)</f>
        <v>33.773264071701448</v>
      </c>
      <c r="M706" s="347"/>
      <c r="N706" s="347"/>
    </row>
    <row r="707" spans="1:14" x14ac:dyDescent="0.25">
      <c r="A707" s="362" t="str">
        <f>name!E$5</f>
        <v>Professional occupations</v>
      </c>
      <c r="B707" s="440">
        <v>10.367610649481604</v>
      </c>
      <c r="C707" s="440">
        <v>23.547401295712973</v>
      </c>
      <c r="D707" s="440">
        <f t="shared" ref="D707:D714" si="262">SUM(B707:C707)</f>
        <v>33.915011945194578</v>
      </c>
      <c r="E707" s="441"/>
      <c r="F707" s="440">
        <v>10.936511958133933</v>
      </c>
      <c r="G707" s="440">
        <v>29.048012730767297</v>
      </c>
      <c r="H707" s="440">
        <f t="shared" ref="H707:H714" si="263">SUM(F707:G707)</f>
        <v>39.984524688901232</v>
      </c>
      <c r="I707" s="441"/>
      <c r="J707" s="440">
        <v>11.688380736806849</v>
      </c>
      <c r="K707" s="440">
        <v>31.831034007948901</v>
      </c>
      <c r="L707" s="440">
        <f t="shared" ref="L707:L714" si="264">SUM(J707:K707)</f>
        <v>43.51941474475575</v>
      </c>
      <c r="M707" s="347"/>
      <c r="N707" s="347"/>
    </row>
    <row r="708" spans="1:14" x14ac:dyDescent="0.25">
      <c r="A708" s="362" t="str">
        <f>name!E$6</f>
        <v>Associate professional and technical</v>
      </c>
      <c r="B708" s="440">
        <v>22.578857745120974</v>
      </c>
      <c r="C708" s="440">
        <v>29.701697794540902</v>
      </c>
      <c r="D708" s="440">
        <f t="shared" si="262"/>
        <v>52.280555539661876</v>
      </c>
      <c r="E708" s="441"/>
      <c r="F708" s="440">
        <v>28.248209611361947</v>
      </c>
      <c r="G708" s="440">
        <v>27.453882030714698</v>
      </c>
      <c r="H708" s="440">
        <f t="shared" si="263"/>
        <v>55.702091642076645</v>
      </c>
      <c r="I708" s="441"/>
      <c r="J708" s="440">
        <v>27.145343123596234</v>
      </c>
      <c r="K708" s="440">
        <v>28.642014863717687</v>
      </c>
      <c r="L708" s="440">
        <f t="shared" si="264"/>
        <v>55.787357987313925</v>
      </c>
      <c r="M708" s="347"/>
      <c r="N708" s="347"/>
    </row>
    <row r="709" spans="1:14" x14ac:dyDescent="0.25">
      <c r="A709" s="362" t="str">
        <f>name!E$7</f>
        <v>Administrative and secretarial</v>
      </c>
      <c r="B709" s="440">
        <v>18.304644039890835</v>
      </c>
      <c r="C709" s="440">
        <v>3.0662226009109581</v>
      </c>
      <c r="D709" s="440">
        <f t="shared" si="262"/>
        <v>21.370866640801793</v>
      </c>
      <c r="E709" s="441"/>
      <c r="F709" s="440">
        <v>9.8499013020363719</v>
      </c>
      <c r="G709" s="440">
        <v>2.3949819036361686</v>
      </c>
      <c r="H709" s="440">
        <f t="shared" si="263"/>
        <v>12.24488320567254</v>
      </c>
      <c r="I709" s="441"/>
      <c r="J709" s="440">
        <v>7.3614860819683035</v>
      </c>
      <c r="K709" s="440">
        <v>2.3435853402809776</v>
      </c>
      <c r="L709" s="440">
        <f t="shared" si="264"/>
        <v>9.7050714222492811</v>
      </c>
      <c r="M709" s="347"/>
      <c r="N709" s="347"/>
    </row>
    <row r="710" spans="1:14" x14ac:dyDescent="0.25">
      <c r="A710" s="362" t="str">
        <f>name!E$8</f>
        <v>Skilled trades occupations</v>
      </c>
      <c r="B710" s="440">
        <v>4.1548074672927795</v>
      </c>
      <c r="C710" s="440">
        <v>22.292977201647538</v>
      </c>
      <c r="D710" s="440">
        <f t="shared" si="262"/>
        <v>26.447784668940319</v>
      </c>
      <c r="E710" s="441"/>
      <c r="F710" s="440">
        <v>2.255512870841776</v>
      </c>
      <c r="G710" s="440">
        <v>12.826979672549275</v>
      </c>
      <c r="H710" s="440">
        <f t="shared" si="263"/>
        <v>15.082492543391051</v>
      </c>
      <c r="I710" s="441"/>
      <c r="J710" s="440">
        <v>1.6810547802378608</v>
      </c>
      <c r="K710" s="440">
        <v>9.9472787163499454</v>
      </c>
      <c r="L710" s="440">
        <f t="shared" si="264"/>
        <v>11.628333496587807</v>
      </c>
      <c r="M710" s="347"/>
      <c r="N710" s="347"/>
    </row>
    <row r="711" spans="1:14" x14ac:dyDescent="0.25">
      <c r="A711" s="362" t="str">
        <f>name!E$9</f>
        <v>Caring, leisure and other service</v>
      </c>
      <c r="B711" s="440">
        <v>1.1731117108122273</v>
      </c>
      <c r="C711" s="440">
        <v>0.6592376485992022</v>
      </c>
      <c r="D711" s="440">
        <f t="shared" si="262"/>
        <v>1.8323493594114295</v>
      </c>
      <c r="E711" s="441"/>
      <c r="F711" s="440">
        <v>0.95337780177812048</v>
      </c>
      <c r="G711" s="440">
        <v>0.71818789795639848</v>
      </c>
      <c r="H711" s="440">
        <f t="shared" si="263"/>
        <v>1.671565699734519</v>
      </c>
      <c r="I711" s="441"/>
      <c r="J711" s="440">
        <v>0.90669805169287032</v>
      </c>
      <c r="K711" s="440">
        <v>0.97581590933945273</v>
      </c>
      <c r="L711" s="440">
        <f t="shared" si="264"/>
        <v>1.8825139610323229</v>
      </c>
      <c r="M711" s="347"/>
      <c r="N711" s="347"/>
    </row>
    <row r="712" spans="1:14" x14ac:dyDescent="0.25">
      <c r="A712" s="362" t="str">
        <f>name!E$10</f>
        <v>Sales and customer service</v>
      </c>
      <c r="B712" s="440">
        <v>4.6965563577893379</v>
      </c>
      <c r="C712" s="440">
        <v>2.8780023140218156</v>
      </c>
      <c r="D712" s="440">
        <f t="shared" si="262"/>
        <v>7.5745586718111539</v>
      </c>
      <c r="E712" s="441"/>
      <c r="F712" s="440">
        <v>4.487651986474531</v>
      </c>
      <c r="G712" s="440">
        <v>1.8511913725787545</v>
      </c>
      <c r="H712" s="440">
        <f t="shared" si="263"/>
        <v>6.3388433590532856</v>
      </c>
      <c r="I712" s="441"/>
      <c r="J712" s="440">
        <v>4.0300411490578041</v>
      </c>
      <c r="K712" s="440">
        <v>1.9009385853515521</v>
      </c>
      <c r="L712" s="440">
        <f t="shared" si="264"/>
        <v>5.9309797344093562</v>
      </c>
      <c r="M712" s="347"/>
      <c r="N712" s="347"/>
    </row>
    <row r="713" spans="1:14" x14ac:dyDescent="0.25">
      <c r="A713" s="362" t="str">
        <f>name!E$11</f>
        <v>Process, plant and machine operatives</v>
      </c>
      <c r="B713" s="440">
        <v>2.1297886764463474</v>
      </c>
      <c r="C713" s="440">
        <v>5.2030799914401866</v>
      </c>
      <c r="D713" s="440">
        <f t="shared" si="262"/>
        <v>7.332868667886534</v>
      </c>
      <c r="E713" s="441"/>
      <c r="F713" s="440">
        <v>1.2108761044592151</v>
      </c>
      <c r="G713" s="440">
        <v>3.4253281862608964</v>
      </c>
      <c r="H713" s="440">
        <f t="shared" si="263"/>
        <v>4.6362042907201113</v>
      </c>
      <c r="I713" s="441"/>
      <c r="J713" s="440">
        <v>0.73642754808107691</v>
      </c>
      <c r="K713" s="440">
        <v>3.4616378990456247</v>
      </c>
      <c r="L713" s="440">
        <f t="shared" si="264"/>
        <v>4.1980654471267016</v>
      </c>
      <c r="M713" s="347"/>
      <c r="N713" s="347"/>
    </row>
    <row r="714" spans="1:14" x14ac:dyDescent="0.25">
      <c r="A714" s="362" t="str">
        <f>name!E$12</f>
        <v>Elementary occupations</v>
      </c>
      <c r="B714" s="440">
        <v>4.7927587442004551</v>
      </c>
      <c r="C714" s="440">
        <v>7.8323269599104313</v>
      </c>
      <c r="D714" s="440">
        <f t="shared" si="262"/>
        <v>12.625085704110887</v>
      </c>
      <c r="E714" s="441"/>
      <c r="F714" s="440">
        <v>4.472163850282306</v>
      </c>
      <c r="G714" s="440">
        <v>4.1869675087530069</v>
      </c>
      <c r="H714" s="440">
        <f t="shared" si="263"/>
        <v>8.6591313590353138</v>
      </c>
      <c r="I714" s="441"/>
      <c r="J714" s="440">
        <v>4.3558876043730548</v>
      </c>
      <c r="K714" s="440">
        <v>4.1111115293260454</v>
      </c>
      <c r="L714" s="440">
        <f t="shared" si="264"/>
        <v>8.4669991336991011</v>
      </c>
      <c r="M714" s="347"/>
      <c r="N714" s="347"/>
    </row>
    <row r="715" spans="1:14" s="286" customFormat="1" x14ac:dyDescent="0.25">
      <c r="A715" s="362"/>
      <c r="B715" s="440"/>
      <c r="C715" s="440"/>
      <c r="D715" s="440"/>
      <c r="E715" s="441"/>
      <c r="F715" s="440"/>
      <c r="G715" s="440"/>
      <c r="H715" s="440"/>
      <c r="I715" s="441"/>
      <c r="J715" s="440"/>
      <c r="K715" s="440"/>
      <c r="L715" s="440"/>
      <c r="M715" s="347"/>
      <c r="N715" s="347"/>
    </row>
    <row r="716" spans="1:14" x14ac:dyDescent="0.25">
      <c r="A716" s="357" t="s">
        <v>32</v>
      </c>
      <c r="B716" s="450">
        <f>SUM(B706:B714)</f>
        <v>76.032999999716111</v>
      </c>
      <c r="C716" s="450">
        <f t="shared" ref="C716:D716" si="265">SUM(C706:C714)</f>
        <v>113.88499999985974</v>
      </c>
      <c r="D716" s="450">
        <f t="shared" si="265"/>
        <v>189.9179999995759</v>
      </c>
      <c r="E716" s="450"/>
      <c r="F716" s="450">
        <f t="shared" ref="F716:H716" si="266">SUM(F706:F714)</f>
        <v>71.860999999565763</v>
      </c>
      <c r="G716" s="450">
        <f t="shared" si="266"/>
        <v>103.80699999901231</v>
      </c>
      <c r="H716" s="450">
        <f t="shared" si="266"/>
        <v>175.66799999857813</v>
      </c>
      <c r="I716" s="450"/>
      <c r="J716" s="450">
        <f t="shared" ref="J716:L716" si="267">SUM(J706:J714)</f>
        <v>67.539999999991792</v>
      </c>
      <c r="K716" s="450">
        <f t="shared" si="267"/>
        <v>107.35199999888391</v>
      </c>
      <c r="L716" s="450">
        <f t="shared" si="267"/>
        <v>174.89199999887569</v>
      </c>
      <c r="M716" s="347"/>
      <c r="N716" s="347"/>
    </row>
    <row r="717" spans="1:14" x14ac:dyDescent="0.25">
      <c r="A717" s="348"/>
      <c r="B717" s="348"/>
      <c r="C717" s="348"/>
      <c r="D717" s="348"/>
      <c r="E717" s="348"/>
      <c r="F717" s="348"/>
      <c r="G717" s="348"/>
      <c r="H717" s="348"/>
      <c r="I717" s="348"/>
      <c r="J717" s="348"/>
      <c r="K717" s="348"/>
      <c r="L717" s="353"/>
      <c r="M717" s="347"/>
      <c r="N717" s="347"/>
    </row>
    <row r="718" spans="1:14" x14ac:dyDescent="0.25">
      <c r="A718" s="348"/>
      <c r="B718" s="348"/>
      <c r="C718" s="348"/>
      <c r="D718" s="348"/>
      <c r="E718" s="348"/>
      <c r="F718" s="348"/>
      <c r="G718" s="348"/>
      <c r="H718" s="348"/>
      <c r="I718" s="348"/>
      <c r="J718" s="348"/>
      <c r="K718" s="348"/>
      <c r="L718" s="372" t="s">
        <v>35</v>
      </c>
      <c r="M718" s="347"/>
      <c r="N718" s="347"/>
    </row>
    <row r="719" spans="1:14" x14ac:dyDescent="0.25">
      <c r="A719" s="355"/>
      <c r="B719" s="365"/>
      <c r="C719" s="365"/>
      <c r="D719" s="365"/>
      <c r="E719" s="365"/>
      <c r="F719" s="365"/>
      <c r="G719" s="365"/>
      <c r="H719" s="365"/>
      <c r="I719" s="365"/>
      <c r="J719" s="365"/>
      <c r="K719" s="365"/>
      <c r="L719" s="347"/>
      <c r="M719" s="347"/>
      <c r="N719" s="347"/>
    </row>
    <row r="720" spans="1:14" x14ac:dyDescent="0.25">
      <c r="A720" s="354" t="str">
        <f>name!A45</f>
        <v>Film and music</v>
      </c>
      <c r="B720" s="515">
        <f>B$6</f>
        <v>2007</v>
      </c>
      <c r="C720" s="515"/>
      <c r="D720" s="515"/>
      <c r="E720" s="369"/>
      <c r="F720" s="515">
        <f>F703</f>
        <v>2017</v>
      </c>
      <c r="G720" s="515"/>
      <c r="H720" s="515"/>
      <c r="I720" s="369"/>
      <c r="J720" s="515">
        <f>J703</f>
        <v>2027</v>
      </c>
      <c r="K720" s="515"/>
      <c r="L720" s="515"/>
      <c r="M720" s="347"/>
      <c r="N720" s="347"/>
    </row>
    <row r="721" spans="1:14" x14ac:dyDescent="0.25">
      <c r="A721" s="370"/>
      <c r="B721" s="371" t="s">
        <v>387</v>
      </c>
      <c r="C721" s="371" t="s">
        <v>388</v>
      </c>
      <c r="D721" s="371" t="s">
        <v>32</v>
      </c>
      <c r="E721" s="371"/>
      <c r="F721" s="371" t="s">
        <v>387</v>
      </c>
      <c r="G721" s="371" t="s">
        <v>388</v>
      </c>
      <c r="H721" s="371" t="s">
        <v>32</v>
      </c>
      <c r="I721" s="371"/>
      <c r="J721" s="371" t="s">
        <v>387</v>
      </c>
      <c r="K721" s="371" t="s">
        <v>388</v>
      </c>
      <c r="L721" s="371" t="s">
        <v>32</v>
      </c>
      <c r="M721" s="347"/>
      <c r="N721" s="347"/>
    </row>
    <row r="722" spans="1:14" s="286" customFormat="1" x14ac:dyDescent="0.25">
      <c r="A722" s="374"/>
      <c r="B722" s="375"/>
      <c r="C722" s="375"/>
      <c r="D722" s="375"/>
      <c r="E722" s="375"/>
      <c r="F722" s="375"/>
      <c r="G722" s="375"/>
      <c r="H722" s="375"/>
      <c r="I722" s="375"/>
      <c r="J722" s="375"/>
      <c r="K722" s="375"/>
      <c r="L722" s="375"/>
      <c r="M722" s="347"/>
      <c r="N722" s="347"/>
    </row>
    <row r="723" spans="1:14" x14ac:dyDescent="0.25">
      <c r="A723" s="362" t="str">
        <f>name!E$4</f>
        <v>Managers, directors and senior officials</v>
      </c>
      <c r="B723" s="440">
        <v>5.7082261015305047</v>
      </c>
      <c r="C723" s="440">
        <v>6.9925872510813152</v>
      </c>
      <c r="D723" s="440">
        <f>SUM(B723:C723)</f>
        <v>12.700813352611821</v>
      </c>
      <c r="E723" s="441"/>
      <c r="F723" s="440">
        <v>10.329069770635208</v>
      </c>
      <c r="G723" s="440">
        <v>10.318302448961843</v>
      </c>
      <c r="H723" s="440">
        <f>SUM(F723:G723)</f>
        <v>20.647372219597052</v>
      </c>
      <c r="I723" s="441"/>
      <c r="J723" s="440">
        <v>11.692381217378916</v>
      </c>
      <c r="K723" s="440">
        <v>11.239194163728582</v>
      </c>
      <c r="L723" s="440">
        <f>SUM(J723:K723)</f>
        <v>22.9315753811075</v>
      </c>
      <c r="M723" s="347"/>
      <c r="N723" s="347"/>
    </row>
    <row r="724" spans="1:14" x14ac:dyDescent="0.25">
      <c r="A724" s="362" t="str">
        <f>name!E$5</f>
        <v>Professional occupations</v>
      </c>
      <c r="B724" s="440">
        <v>10.926480914371096</v>
      </c>
      <c r="C724" s="440">
        <v>7.012725427264459</v>
      </c>
      <c r="D724" s="440">
        <f t="shared" ref="D724:D731" si="268">SUM(B724:C724)</f>
        <v>17.939206341635554</v>
      </c>
      <c r="E724" s="441"/>
      <c r="F724" s="440">
        <v>15.422412205413213</v>
      </c>
      <c r="G724" s="440">
        <v>10.205629770312076</v>
      </c>
      <c r="H724" s="440">
        <f t="shared" ref="H724:H731" si="269">SUM(F724:G724)</f>
        <v>25.628041975725289</v>
      </c>
      <c r="I724" s="441"/>
      <c r="J724" s="440">
        <v>17.61343707509694</v>
      </c>
      <c r="K724" s="440">
        <v>11.054811136621227</v>
      </c>
      <c r="L724" s="440">
        <f t="shared" ref="L724:L731" si="270">SUM(J724:K724)</f>
        <v>28.668248211718165</v>
      </c>
      <c r="M724" s="347"/>
      <c r="N724" s="347"/>
    </row>
    <row r="725" spans="1:14" x14ac:dyDescent="0.25">
      <c r="A725" s="362" t="str">
        <f>name!E$6</f>
        <v>Associate professional and technical</v>
      </c>
      <c r="B725" s="440">
        <v>20.091930677273567</v>
      </c>
      <c r="C725" s="440">
        <v>23.924527908197902</v>
      </c>
      <c r="D725" s="440">
        <f t="shared" si="268"/>
        <v>44.016458585471469</v>
      </c>
      <c r="E725" s="441"/>
      <c r="F725" s="440">
        <v>24.647059407387125</v>
      </c>
      <c r="G725" s="440">
        <v>32.692367053000865</v>
      </c>
      <c r="H725" s="440">
        <f t="shared" si="269"/>
        <v>57.33942646038799</v>
      </c>
      <c r="I725" s="441"/>
      <c r="J725" s="440">
        <v>25.36190400279494</v>
      </c>
      <c r="K725" s="440">
        <v>33.912892352360167</v>
      </c>
      <c r="L725" s="440">
        <f t="shared" si="270"/>
        <v>59.274796355155104</v>
      </c>
      <c r="M725" s="347"/>
      <c r="N725" s="347"/>
    </row>
    <row r="726" spans="1:14" x14ac:dyDescent="0.25">
      <c r="A726" s="362" t="str">
        <f>name!E$7</f>
        <v>Administrative and secretarial</v>
      </c>
      <c r="B726" s="440">
        <v>15.292163045777141</v>
      </c>
      <c r="C726" s="440">
        <v>2.5463625066422764</v>
      </c>
      <c r="D726" s="440">
        <f t="shared" si="268"/>
        <v>17.838525552419416</v>
      </c>
      <c r="E726" s="441"/>
      <c r="F726" s="440">
        <v>15.05081773129481</v>
      </c>
      <c r="G726" s="440">
        <v>3.0668627357683125</v>
      </c>
      <c r="H726" s="440">
        <f t="shared" si="269"/>
        <v>18.117680467063124</v>
      </c>
      <c r="I726" s="441"/>
      <c r="J726" s="440">
        <v>11.955965271575463</v>
      </c>
      <c r="K726" s="440">
        <v>3.0292533083191859</v>
      </c>
      <c r="L726" s="440">
        <f t="shared" si="270"/>
        <v>14.985218579894649</v>
      </c>
      <c r="M726" s="347"/>
      <c r="N726" s="347"/>
    </row>
    <row r="727" spans="1:14" x14ac:dyDescent="0.25">
      <c r="A727" s="362" t="str">
        <f>name!E$8</f>
        <v>Skilled trades occupations</v>
      </c>
      <c r="B727" s="440">
        <v>1.4121246024945966</v>
      </c>
      <c r="C727" s="440">
        <v>6.2743967250887263</v>
      </c>
      <c r="D727" s="440">
        <f t="shared" si="268"/>
        <v>7.6865213275833231</v>
      </c>
      <c r="E727" s="441"/>
      <c r="F727" s="440">
        <v>2.2980183914329135</v>
      </c>
      <c r="G727" s="440">
        <v>7.1641233835269098</v>
      </c>
      <c r="H727" s="440">
        <f t="shared" si="269"/>
        <v>9.4621417749598233</v>
      </c>
      <c r="I727" s="441"/>
      <c r="J727" s="440">
        <v>2.4319171254260543</v>
      </c>
      <c r="K727" s="440">
        <v>6.7096901871504535</v>
      </c>
      <c r="L727" s="440">
        <f t="shared" si="270"/>
        <v>9.1416073125765074</v>
      </c>
      <c r="M727" s="347"/>
      <c r="N727" s="347"/>
    </row>
    <row r="728" spans="1:14" x14ac:dyDescent="0.25">
      <c r="A728" s="362" t="str">
        <f>name!E$9</f>
        <v>Caring, leisure and other service</v>
      </c>
      <c r="B728" s="440">
        <v>5.0359491957220799</v>
      </c>
      <c r="C728" s="440">
        <v>3.717709675721399</v>
      </c>
      <c r="D728" s="440">
        <f t="shared" si="268"/>
        <v>8.7536588714434789</v>
      </c>
      <c r="E728" s="441"/>
      <c r="F728" s="440">
        <v>6.8105470740424865</v>
      </c>
      <c r="G728" s="440">
        <v>3.841022282456688</v>
      </c>
      <c r="H728" s="440">
        <f t="shared" si="269"/>
        <v>10.651569356499174</v>
      </c>
      <c r="I728" s="441"/>
      <c r="J728" s="440">
        <v>7.3668151542215305</v>
      </c>
      <c r="K728" s="440">
        <v>4.5484518784524486</v>
      </c>
      <c r="L728" s="440">
        <f t="shared" si="270"/>
        <v>11.915267032673979</v>
      </c>
      <c r="M728" s="347"/>
      <c r="N728" s="347"/>
    </row>
    <row r="729" spans="1:14" x14ac:dyDescent="0.25">
      <c r="A729" s="362" t="str">
        <f>name!E$10</f>
        <v>Sales and customer service</v>
      </c>
      <c r="B729" s="440">
        <v>3.5321737353444269</v>
      </c>
      <c r="C729" s="440">
        <v>1.9971488022281785</v>
      </c>
      <c r="D729" s="440">
        <f t="shared" si="268"/>
        <v>5.5293225375726056</v>
      </c>
      <c r="E729" s="441"/>
      <c r="F729" s="440">
        <v>4.9496922539019019</v>
      </c>
      <c r="G729" s="440">
        <v>3.2507734086261788</v>
      </c>
      <c r="H729" s="440">
        <f t="shared" si="269"/>
        <v>8.2004656625280816</v>
      </c>
      <c r="I729" s="441"/>
      <c r="J729" s="440">
        <v>4.8635134687186889</v>
      </c>
      <c r="K729" s="440">
        <v>3.5537205327790127</v>
      </c>
      <c r="L729" s="440">
        <f t="shared" si="270"/>
        <v>8.4172340014977021</v>
      </c>
      <c r="M729" s="347"/>
      <c r="N729" s="347"/>
    </row>
    <row r="730" spans="1:14" x14ac:dyDescent="0.25">
      <c r="A730" s="362" t="str">
        <f>name!E$11</f>
        <v>Process, plant and machine operatives</v>
      </c>
      <c r="B730" s="440">
        <v>0.33864935393425938</v>
      </c>
      <c r="C730" s="440">
        <v>1.4504058364629868</v>
      </c>
      <c r="D730" s="440">
        <f t="shared" si="268"/>
        <v>1.7890551903972463</v>
      </c>
      <c r="E730" s="441"/>
      <c r="F730" s="440">
        <v>0.28559922844290225</v>
      </c>
      <c r="G730" s="440">
        <v>1.4975987807392721</v>
      </c>
      <c r="H730" s="440">
        <f t="shared" si="269"/>
        <v>1.7831980091821744</v>
      </c>
      <c r="I730" s="441"/>
      <c r="J730" s="440">
        <v>0.17135457623915651</v>
      </c>
      <c r="K730" s="440">
        <v>1.6913182330372492</v>
      </c>
      <c r="L730" s="440">
        <f t="shared" si="270"/>
        <v>1.8626728092764058</v>
      </c>
      <c r="M730" s="347"/>
      <c r="N730" s="347"/>
    </row>
    <row r="731" spans="1:14" x14ac:dyDescent="0.25">
      <c r="A731" s="362" t="str">
        <f>name!E$12</f>
        <v>Elementary occupations</v>
      </c>
      <c r="B731" s="440">
        <v>11.530302373401925</v>
      </c>
      <c r="C731" s="440">
        <v>8.0611358671111137</v>
      </c>
      <c r="D731" s="440">
        <f t="shared" si="268"/>
        <v>19.591438240513039</v>
      </c>
      <c r="E731" s="441"/>
      <c r="F731" s="440">
        <v>9.7697839371920594</v>
      </c>
      <c r="G731" s="440">
        <v>11.173320135992645</v>
      </c>
      <c r="H731" s="440">
        <f t="shared" si="269"/>
        <v>20.943104073184706</v>
      </c>
      <c r="I731" s="441"/>
      <c r="J731" s="440">
        <v>9.1107121084690732</v>
      </c>
      <c r="K731" s="440">
        <v>14.420668206550891</v>
      </c>
      <c r="L731" s="440">
        <f t="shared" si="270"/>
        <v>23.531380315019966</v>
      </c>
      <c r="M731" s="347"/>
      <c r="N731" s="347"/>
    </row>
    <row r="732" spans="1:14" s="286" customFormat="1" x14ac:dyDescent="0.25">
      <c r="A732" s="362"/>
      <c r="B732" s="440"/>
      <c r="C732" s="440"/>
      <c r="D732" s="440"/>
      <c r="E732" s="441"/>
      <c r="F732" s="440"/>
      <c r="G732" s="440"/>
      <c r="H732" s="440"/>
      <c r="I732" s="441"/>
      <c r="J732" s="440"/>
      <c r="K732" s="440"/>
      <c r="L732" s="440"/>
      <c r="M732" s="347"/>
      <c r="N732" s="347"/>
    </row>
    <row r="733" spans="1:14" x14ac:dyDescent="0.25">
      <c r="A733" s="357" t="s">
        <v>32</v>
      </c>
      <c r="B733" s="450">
        <f>SUM(B723:B731)</f>
        <v>73.867999999849602</v>
      </c>
      <c r="C733" s="450">
        <f t="shared" ref="C733:D733" si="271">SUM(C723:C731)</f>
        <v>61.976999999798359</v>
      </c>
      <c r="D733" s="450">
        <f t="shared" si="271"/>
        <v>135.84499999964794</v>
      </c>
      <c r="E733" s="450"/>
      <c r="F733" s="450">
        <f t="shared" ref="F733:H733" si="272">SUM(F723:F731)</f>
        <v>89.56299999974263</v>
      </c>
      <c r="G733" s="450">
        <f t="shared" si="272"/>
        <v>83.209999999384777</v>
      </c>
      <c r="H733" s="450">
        <f t="shared" si="272"/>
        <v>172.77299999912742</v>
      </c>
      <c r="I733" s="450"/>
      <c r="J733" s="450">
        <f t="shared" ref="J733:L733" si="273">SUM(J723:J731)</f>
        <v>90.567999999920758</v>
      </c>
      <c r="K733" s="450">
        <f t="shared" si="273"/>
        <v>90.159999998999211</v>
      </c>
      <c r="L733" s="450">
        <f t="shared" si="273"/>
        <v>180.72799999891993</v>
      </c>
      <c r="M733" s="347"/>
      <c r="N733" s="347"/>
    </row>
    <row r="734" spans="1:14" x14ac:dyDescent="0.25">
      <c r="A734" s="348"/>
      <c r="B734" s="348"/>
      <c r="C734" s="348"/>
      <c r="D734" s="348"/>
      <c r="E734" s="348"/>
      <c r="F734" s="348"/>
      <c r="G734" s="348"/>
      <c r="H734" s="348"/>
      <c r="I734" s="348"/>
      <c r="J734" s="348"/>
      <c r="K734" s="348"/>
      <c r="L734" s="353"/>
      <c r="M734" s="347"/>
      <c r="N734" s="347"/>
    </row>
    <row r="735" spans="1:14" x14ac:dyDescent="0.25">
      <c r="A735" s="348"/>
      <c r="B735" s="348"/>
      <c r="C735" s="348"/>
      <c r="D735" s="348"/>
      <c r="E735" s="348"/>
      <c r="F735" s="348"/>
      <c r="G735" s="348"/>
      <c r="H735" s="348"/>
      <c r="I735" s="348"/>
      <c r="J735" s="348"/>
      <c r="K735" s="348"/>
      <c r="L735" s="372" t="s">
        <v>35</v>
      </c>
      <c r="M735" s="347"/>
      <c r="N735" s="347"/>
    </row>
    <row r="736" spans="1:14" x14ac:dyDescent="0.25">
      <c r="A736" s="355"/>
      <c r="B736" s="365"/>
      <c r="C736" s="365"/>
      <c r="D736" s="365"/>
      <c r="E736" s="365"/>
      <c r="F736" s="365"/>
      <c r="G736" s="365"/>
      <c r="H736" s="365"/>
      <c r="I736" s="365"/>
      <c r="J736" s="365"/>
      <c r="K736" s="365"/>
      <c r="L736" s="347"/>
      <c r="M736" s="347"/>
      <c r="N736" s="347"/>
    </row>
    <row r="737" spans="1:14" x14ac:dyDescent="0.25">
      <c r="A737" s="354" t="str">
        <f>name!A46</f>
        <v>Broadcasting</v>
      </c>
      <c r="B737" s="515">
        <f>B$6</f>
        <v>2007</v>
      </c>
      <c r="C737" s="515"/>
      <c r="D737" s="515"/>
      <c r="E737" s="369"/>
      <c r="F737" s="515">
        <f>F720</f>
        <v>2017</v>
      </c>
      <c r="G737" s="515"/>
      <c r="H737" s="515"/>
      <c r="I737" s="369"/>
      <c r="J737" s="515">
        <f>J720</f>
        <v>2027</v>
      </c>
      <c r="K737" s="515"/>
      <c r="L737" s="515"/>
      <c r="M737" s="347"/>
      <c r="N737" s="347"/>
    </row>
    <row r="738" spans="1:14" x14ac:dyDescent="0.25">
      <c r="A738" s="370"/>
      <c r="B738" s="371" t="s">
        <v>387</v>
      </c>
      <c r="C738" s="371" t="s">
        <v>388</v>
      </c>
      <c r="D738" s="371" t="s">
        <v>32</v>
      </c>
      <c r="E738" s="371"/>
      <c r="F738" s="371" t="s">
        <v>387</v>
      </c>
      <c r="G738" s="371" t="s">
        <v>388</v>
      </c>
      <c r="H738" s="371" t="s">
        <v>32</v>
      </c>
      <c r="I738" s="371"/>
      <c r="J738" s="371" t="s">
        <v>387</v>
      </c>
      <c r="K738" s="371" t="s">
        <v>388</v>
      </c>
      <c r="L738" s="371" t="s">
        <v>32</v>
      </c>
      <c r="M738" s="347"/>
      <c r="N738" s="347"/>
    </row>
    <row r="739" spans="1:14" s="286" customFormat="1" x14ac:dyDescent="0.25">
      <c r="A739" s="374"/>
      <c r="B739" s="375"/>
      <c r="C739" s="375"/>
      <c r="D739" s="375"/>
      <c r="E739" s="375"/>
      <c r="F739" s="375"/>
      <c r="G739" s="375"/>
      <c r="H739" s="375"/>
      <c r="I739" s="375"/>
      <c r="J739" s="375"/>
      <c r="K739" s="375"/>
      <c r="L739" s="375"/>
      <c r="M739" s="347"/>
      <c r="N739" s="347"/>
    </row>
    <row r="740" spans="1:14" x14ac:dyDescent="0.25">
      <c r="A740" s="362" t="str">
        <f>name!E$4</f>
        <v>Managers, directors and senior officials</v>
      </c>
      <c r="B740" s="440">
        <v>1.0091866872711015</v>
      </c>
      <c r="C740" s="440">
        <v>2.6880156253853644</v>
      </c>
      <c r="D740" s="440">
        <f>SUM(B740:C740)</f>
        <v>3.6972023126564659</v>
      </c>
      <c r="E740" s="441"/>
      <c r="F740" s="440">
        <v>1.4883880527781921</v>
      </c>
      <c r="G740" s="440">
        <v>4.887364725137239</v>
      </c>
      <c r="H740" s="440">
        <f>SUM(F740:G740)</f>
        <v>6.375752777915431</v>
      </c>
      <c r="I740" s="441"/>
      <c r="J740" s="440">
        <v>1.7576694761056924</v>
      </c>
      <c r="K740" s="440">
        <v>5.3073584300002006</v>
      </c>
      <c r="L740" s="440">
        <f>SUM(J740:K740)</f>
        <v>7.0650279061058932</v>
      </c>
      <c r="M740" s="347"/>
      <c r="N740" s="347"/>
    </row>
    <row r="741" spans="1:14" x14ac:dyDescent="0.25">
      <c r="A741" s="362" t="str">
        <f>name!E$5</f>
        <v>Professional occupations</v>
      </c>
      <c r="B741" s="440">
        <v>1.8254929867611158</v>
      </c>
      <c r="C741" s="440">
        <v>3.2224119315417736</v>
      </c>
      <c r="D741" s="440">
        <f t="shared" ref="D741:D748" si="274">SUM(B741:C741)</f>
        <v>5.0479049183028897</v>
      </c>
      <c r="E741" s="441"/>
      <c r="F741" s="440">
        <v>2.5156995951072005</v>
      </c>
      <c r="G741" s="440">
        <v>6.1910383461353646</v>
      </c>
      <c r="H741" s="440">
        <f t="shared" ref="H741:H748" si="275">SUM(F741:G741)</f>
        <v>8.7067379412425652</v>
      </c>
      <c r="I741" s="441"/>
      <c r="J741" s="440">
        <v>2.9903207840328276</v>
      </c>
      <c r="K741" s="440">
        <v>6.6940542646385399</v>
      </c>
      <c r="L741" s="440">
        <f t="shared" ref="L741:L748" si="276">SUM(J741:K741)</f>
        <v>9.6843750486713667</v>
      </c>
      <c r="M741" s="347"/>
      <c r="N741" s="347"/>
    </row>
    <row r="742" spans="1:14" x14ac:dyDescent="0.25">
      <c r="A742" s="362" t="str">
        <f>name!E$6</f>
        <v>Associate professional and technical</v>
      </c>
      <c r="B742" s="440">
        <v>4.9994064307437336</v>
      </c>
      <c r="C742" s="440">
        <v>7.5225550867960926</v>
      </c>
      <c r="D742" s="440">
        <f t="shared" si="274"/>
        <v>12.521961517539825</v>
      </c>
      <c r="E742" s="441"/>
      <c r="F742" s="440">
        <v>4.5255388738942415</v>
      </c>
      <c r="G742" s="440">
        <v>11.614243427574253</v>
      </c>
      <c r="H742" s="440">
        <f t="shared" si="275"/>
        <v>16.139782301468493</v>
      </c>
      <c r="I742" s="441"/>
      <c r="J742" s="440">
        <v>5.1534633347064753</v>
      </c>
      <c r="K742" s="440">
        <v>11.590464302733322</v>
      </c>
      <c r="L742" s="440">
        <f t="shared" si="276"/>
        <v>16.743927637439796</v>
      </c>
      <c r="M742" s="347"/>
      <c r="N742" s="347"/>
    </row>
    <row r="743" spans="1:14" x14ac:dyDescent="0.25">
      <c r="A743" s="362" t="str">
        <f>name!E$7</f>
        <v>Administrative and secretarial</v>
      </c>
      <c r="B743" s="440">
        <v>1.3384705103728836</v>
      </c>
      <c r="C743" s="440">
        <v>0.85883303478151785</v>
      </c>
      <c r="D743" s="440">
        <f t="shared" si="274"/>
        <v>2.1973035451544014</v>
      </c>
      <c r="E743" s="441"/>
      <c r="F743" s="440">
        <v>1.7744247094014978</v>
      </c>
      <c r="G743" s="440">
        <v>1.4701256185225291</v>
      </c>
      <c r="H743" s="440">
        <f t="shared" si="275"/>
        <v>3.2445503279240269</v>
      </c>
      <c r="I743" s="441"/>
      <c r="J743" s="440">
        <v>1.3608876790517501</v>
      </c>
      <c r="K743" s="440">
        <v>1.4375234318537611</v>
      </c>
      <c r="L743" s="440">
        <f t="shared" si="276"/>
        <v>2.7984111109055112</v>
      </c>
      <c r="M743" s="347"/>
      <c r="N743" s="347"/>
    </row>
    <row r="744" spans="1:14" x14ac:dyDescent="0.25">
      <c r="A744" s="362" t="str">
        <f>name!E$8</f>
        <v>Skilled trades occupations</v>
      </c>
      <c r="B744" s="440">
        <v>0.33869195756094445</v>
      </c>
      <c r="C744" s="440">
        <v>2.8412266821856407</v>
      </c>
      <c r="D744" s="440">
        <f t="shared" si="274"/>
        <v>3.1799186397465853</v>
      </c>
      <c r="E744" s="441"/>
      <c r="F744" s="440">
        <v>0.39280744763728476</v>
      </c>
      <c r="G744" s="440">
        <v>3.9524476999902376</v>
      </c>
      <c r="H744" s="440">
        <f t="shared" si="275"/>
        <v>4.3452551476275225</v>
      </c>
      <c r="I744" s="441"/>
      <c r="J744" s="440">
        <v>0.39995204023818509</v>
      </c>
      <c r="K744" s="440">
        <v>3.6661735253233534</v>
      </c>
      <c r="L744" s="440">
        <f t="shared" si="276"/>
        <v>4.0661255655615385</v>
      </c>
      <c r="M744" s="347"/>
      <c r="N744" s="347"/>
    </row>
    <row r="745" spans="1:14" x14ac:dyDescent="0.25">
      <c r="A745" s="362" t="str">
        <f>name!E$9</f>
        <v>Caring, leisure and other service</v>
      </c>
      <c r="B745" s="440">
        <v>0.42545889840422479</v>
      </c>
      <c r="C745" s="440">
        <v>0.92978627544788195</v>
      </c>
      <c r="D745" s="440">
        <f t="shared" si="274"/>
        <v>1.3552451738521067</v>
      </c>
      <c r="E745" s="441"/>
      <c r="F745" s="440">
        <v>0.68600702163846061</v>
      </c>
      <c r="G745" s="440">
        <v>1.4798644611717799</v>
      </c>
      <c r="H745" s="440">
        <f t="shared" si="275"/>
        <v>2.1658714828102408</v>
      </c>
      <c r="I745" s="441"/>
      <c r="J745" s="440">
        <v>0.71940987274042312</v>
      </c>
      <c r="K745" s="440">
        <v>1.7312517443258106</v>
      </c>
      <c r="L745" s="440">
        <f t="shared" si="276"/>
        <v>2.4506616170662339</v>
      </c>
      <c r="M745" s="347"/>
      <c r="N745" s="347"/>
    </row>
    <row r="746" spans="1:14" x14ac:dyDescent="0.25">
      <c r="A746" s="362" t="str">
        <f>name!E$10</f>
        <v>Sales and customer service</v>
      </c>
      <c r="B746" s="440">
        <v>0.49861550931881549</v>
      </c>
      <c r="C746" s="440">
        <v>1.0917487308591458</v>
      </c>
      <c r="D746" s="440">
        <f t="shared" si="274"/>
        <v>1.5903642401779612</v>
      </c>
      <c r="E746" s="441"/>
      <c r="F746" s="440">
        <v>0.85834477251954588</v>
      </c>
      <c r="G746" s="440">
        <v>1.6856010087061117</v>
      </c>
      <c r="H746" s="440">
        <f t="shared" si="275"/>
        <v>2.5439457812256574</v>
      </c>
      <c r="I746" s="441"/>
      <c r="J746" s="440">
        <v>0.77603666347788292</v>
      </c>
      <c r="K746" s="440">
        <v>1.9045844963049021</v>
      </c>
      <c r="L746" s="440">
        <f t="shared" si="276"/>
        <v>2.6806211597827851</v>
      </c>
      <c r="M746" s="347"/>
      <c r="N746" s="347"/>
    </row>
    <row r="747" spans="1:14" x14ac:dyDescent="0.25">
      <c r="A747" s="362" t="str">
        <f>name!E$11</f>
        <v>Process, plant and machine operatives</v>
      </c>
      <c r="B747" s="440">
        <v>1.7957987971404955E-2</v>
      </c>
      <c r="C747" s="440">
        <v>0.26592423382009905</v>
      </c>
      <c r="D747" s="440">
        <f t="shared" si="274"/>
        <v>0.28388222179150402</v>
      </c>
      <c r="E747" s="441"/>
      <c r="F747" s="440">
        <v>2.3634230835908494E-2</v>
      </c>
      <c r="G747" s="440">
        <v>0.41253498240782643</v>
      </c>
      <c r="H747" s="440">
        <f t="shared" si="275"/>
        <v>0.43616921324373492</v>
      </c>
      <c r="I747" s="441"/>
      <c r="J747" s="440">
        <v>2.1753845218823252E-2</v>
      </c>
      <c r="K747" s="440">
        <v>0.39316403813098999</v>
      </c>
      <c r="L747" s="440">
        <f t="shared" si="276"/>
        <v>0.41491788334981322</v>
      </c>
      <c r="M747" s="347"/>
      <c r="N747" s="347"/>
    </row>
    <row r="748" spans="1:14" x14ac:dyDescent="0.25">
      <c r="A748" s="362" t="str">
        <f>name!E$12</f>
        <v>Elementary occupations</v>
      </c>
      <c r="B748" s="440">
        <v>0.46471903159422345</v>
      </c>
      <c r="C748" s="440">
        <v>0.8154983991578062</v>
      </c>
      <c r="D748" s="440">
        <f t="shared" si="274"/>
        <v>1.2802174307520295</v>
      </c>
      <c r="E748" s="441"/>
      <c r="F748" s="440">
        <v>0.42615529609828817</v>
      </c>
      <c r="G748" s="440">
        <v>1.4187797301035066</v>
      </c>
      <c r="H748" s="440">
        <f t="shared" si="275"/>
        <v>1.8449350262017947</v>
      </c>
      <c r="I748" s="441"/>
      <c r="J748" s="440">
        <v>0.38650630440476968</v>
      </c>
      <c r="K748" s="440">
        <v>1.5934257662798175</v>
      </c>
      <c r="L748" s="440">
        <f t="shared" si="276"/>
        <v>1.9799320706845871</v>
      </c>
      <c r="M748" s="347"/>
      <c r="N748" s="347"/>
    </row>
    <row r="749" spans="1:14" s="286" customFormat="1" x14ac:dyDescent="0.25">
      <c r="A749" s="362"/>
      <c r="B749" s="440"/>
      <c r="C749" s="440"/>
      <c r="D749" s="440"/>
      <c r="E749" s="441"/>
      <c r="F749" s="440"/>
      <c r="G749" s="440"/>
      <c r="H749" s="440"/>
      <c r="I749" s="441"/>
      <c r="J749" s="440"/>
      <c r="K749" s="440"/>
      <c r="L749" s="440"/>
      <c r="M749" s="347"/>
      <c r="N749" s="347"/>
    </row>
    <row r="750" spans="1:14" x14ac:dyDescent="0.25">
      <c r="A750" s="357" t="s">
        <v>32</v>
      </c>
      <c r="B750" s="450">
        <f>SUM(B740:B748)</f>
        <v>10.917999999998449</v>
      </c>
      <c r="C750" s="450">
        <f t="shared" ref="C750:D750" si="277">SUM(C740:C748)</f>
        <v>20.23599999997532</v>
      </c>
      <c r="D750" s="450">
        <f t="shared" si="277"/>
        <v>31.15399999997377</v>
      </c>
      <c r="E750" s="450"/>
      <c r="F750" s="450">
        <f t="shared" ref="F750:H750" si="278">SUM(F740:F748)</f>
        <v>12.690999999910618</v>
      </c>
      <c r="G750" s="450">
        <f t="shared" si="278"/>
        <v>33.111999999748846</v>
      </c>
      <c r="H750" s="450">
        <f t="shared" si="278"/>
        <v>45.802999999659463</v>
      </c>
      <c r="I750" s="450"/>
      <c r="J750" s="450">
        <f t="shared" ref="J750:L750" si="279">SUM(J740:J748)</f>
        <v>13.56599999997683</v>
      </c>
      <c r="K750" s="450">
        <f t="shared" si="279"/>
        <v>34.31799999959069</v>
      </c>
      <c r="L750" s="450">
        <f t="shared" si="279"/>
        <v>47.883999999567529</v>
      </c>
      <c r="M750" s="347"/>
      <c r="N750" s="347"/>
    </row>
    <row r="751" spans="1:14" x14ac:dyDescent="0.25">
      <c r="A751" s="348"/>
      <c r="B751" s="348"/>
      <c r="C751" s="348"/>
      <c r="D751" s="348"/>
      <c r="E751" s="348"/>
      <c r="F751" s="348"/>
      <c r="G751" s="348"/>
      <c r="H751" s="348"/>
      <c r="I751" s="348"/>
      <c r="J751" s="348"/>
      <c r="K751" s="348"/>
      <c r="L751" s="353"/>
      <c r="M751" s="347"/>
      <c r="N751" s="347"/>
    </row>
    <row r="752" spans="1:14" x14ac:dyDescent="0.25">
      <c r="A752" s="348"/>
      <c r="B752" s="348"/>
      <c r="C752" s="348"/>
      <c r="D752" s="348"/>
      <c r="E752" s="348"/>
      <c r="F752" s="348"/>
      <c r="G752" s="348"/>
      <c r="H752" s="348"/>
      <c r="I752" s="348"/>
      <c r="J752" s="348"/>
      <c r="K752" s="348"/>
      <c r="L752" s="372" t="s">
        <v>35</v>
      </c>
      <c r="M752" s="347"/>
      <c r="N752" s="347"/>
    </row>
    <row r="753" spans="1:14" x14ac:dyDescent="0.25">
      <c r="A753" s="355"/>
      <c r="B753" s="365"/>
      <c r="C753" s="365"/>
      <c r="D753" s="365"/>
      <c r="E753" s="365"/>
      <c r="F753" s="365"/>
      <c r="G753" s="365"/>
      <c r="H753" s="365"/>
      <c r="I753" s="365"/>
      <c r="J753" s="365"/>
      <c r="K753" s="365"/>
      <c r="L753" s="347"/>
      <c r="M753" s="347"/>
      <c r="N753" s="347"/>
    </row>
    <row r="754" spans="1:14" x14ac:dyDescent="0.25">
      <c r="A754" s="354" t="str">
        <f>name!A47</f>
        <v>Telecommunications</v>
      </c>
      <c r="B754" s="515">
        <f>B$6</f>
        <v>2007</v>
      </c>
      <c r="C754" s="515"/>
      <c r="D754" s="515"/>
      <c r="E754" s="369"/>
      <c r="F754" s="515">
        <f>F737</f>
        <v>2017</v>
      </c>
      <c r="G754" s="515"/>
      <c r="H754" s="515"/>
      <c r="I754" s="369"/>
      <c r="J754" s="515">
        <f>J737</f>
        <v>2027</v>
      </c>
      <c r="K754" s="515"/>
      <c r="L754" s="515"/>
      <c r="M754" s="347"/>
      <c r="N754" s="347"/>
    </row>
    <row r="755" spans="1:14" x14ac:dyDescent="0.25">
      <c r="A755" s="370"/>
      <c r="B755" s="371" t="s">
        <v>387</v>
      </c>
      <c r="C755" s="371" t="s">
        <v>388</v>
      </c>
      <c r="D755" s="371" t="s">
        <v>32</v>
      </c>
      <c r="E755" s="371"/>
      <c r="F755" s="371" t="s">
        <v>387</v>
      </c>
      <c r="G755" s="371" t="s">
        <v>388</v>
      </c>
      <c r="H755" s="371" t="s">
        <v>32</v>
      </c>
      <c r="I755" s="371"/>
      <c r="J755" s="371" t="s">
        <v>387</v>
      </c>
      <c r="K755" s="371" t="s">
        <v>388</v>
      </c>
      <c r="L755" s="371" t="s">
        <v>32</v>
      </c>
      <c r="M755" s="347"/>
      <c r="N755" s="347"/>
    </row>
    <row r="756" spans="1:14" s="286" customFormat="1" x14ac:dyDescent="0.25">
      <c r="A756" s="374"/>
      <c r="B756" s="375"/>
      <c r="C756" s="375"/>
      <c r="D756" s="375"/>
      <c r="E756" s="375"/>
      <c r="F756" s="375"/>
      <c r="G756" s="375"/>
      <c r="H756" s="375"/>
      <c r="I756" s="375"/>
      <c r="J756" s="375"/>
      <c r="K756" s="375"/>
      <c r="L756" s="375"/>
      <c r="M756" s="347"/>
      <c r="N756" s="347"/>
    </row>
    <row r="757" spans="1:14" x14ac:dyDescent="0.25">
      <c r="A757" s="362" t="str">
        <f>name!E$4</f>
        <v>Managers, directors and senior officials</v>
      </c>
      <c r="B757" s="440">
        <v>4.9818207070216856</v>
      </c>
      <c r="C757" s="440">
        <v>28.536041815038342</v>
      </c>
      <c r="D757" s="440">
        <f>SUM(B757:C757)</f>
        <v>33.517862522060028</v>
      </c>
      <c r="E757" s="441"/>
      <c r="F757" s="440">
        <v>6.6446307834864164</v>
      </c>
      <c r="G757" s="440">
        <v>32.655260391587987</v>
      </c>
      <c r="H757" s="440">
        <f>SUM(F757:G757)</f>
        <v>39.299891175074407</v>
      </c>
      <c r="I757" s="441"/>
      <c r="J757" s="440">
        <v>9.1304436644401701</v>
      </c>
      <c r="K757" s="440">
        <v>34.101157865477681</v>
      </c>
      <c r="L757" s="440">
        <f>SUM(J757:K757)</f>
        <v>43.231601529917853</v>
      </c>
      <c r="M757" s="347"/>
      <c r="N757" s="347"/>
    </row>
    <row r="758" spans="1:14" x14ac:dyDescent="0.25">
      <c r="A758" s="362" t="str">
        <f>name!E$5</f>
        <v>Professional occupations</v>
      </c>
      <c r="B758" s="440">
        <v>5.0805425742773007</v>
      </c>
      <c r="C758" s="440">
        <v>41.667683543884095</v>
      </c>
      <c r="D758" s="440">
        <f t="shared" ref="D758:D765" si="280">SUM(B758:C758)</f>
        <v>46.748226118161398</v>
      </c>
      <c r="E758" s="441"/>
      <c r="F758" s="440">
        <v>5.8500501727454521</v>
      </c>
      <c r="G758" s="440">
        <v>54.635175616393319</v>
      </c>
      <c r="H758" s="440">
        <f t="shared" ref="H758:H765" si="281">SUM(F758:G758)</f>
        <v>60.485225789138774</v>
      </c>
      <c r="I758" s="441"/>
      <c r="J758" s="440">
        <v>7.4544048637428526</v>
      </c>
      <c r="K758" s="440">
        <v>55.682263684353671</v>
      </c>
      <c r="L758" s="440">
        <f t="shared" ref="L758:L765" si="282">SUM(J758:K758)</f>
        <v>63.136668548096523</v>
      </c>
      <c r="M758" s="347"/>
      <c r="N758" s="347"/>
    </row>
    <row r="759" spans="1:14" x14ac:dyDescent="0.25">
      <c r="A759" s="362" t="str">
        <f>name!E$6</f>
        <v>Associate professional and technical</v>
      </c>
      <c r="B759" s="440">
        <v>7.8107662711403201</v>
      </c>
      <c r="C759" s="440">
        <v>27.14176446926222</v>
      </c>
      <c r="D759" s="440">
        <f t="shared" si="280"/>
        <v>34.952530740402537</v>
      </c>
      <c r="E759" s="441"/>
      <c r="F759" s="440">
        <v>7.9616070165945478</v>
      </c>
      <c r="G759" s="440">
        <v>26.817027567612168</v>
      </c>
      <c r="H759" s="440">
        <f t="shared" si="281"/>
        <v>34.778634584206713</v>
      </c>
      <c r="I759" s="441"/>
      <c r="J759" s="440">
        <v>9.7729915480282052</v>
      </c>
      <c r="K759" s="440">
        <v>27.389600203391478</v>
      </c>
      <c r="L759" s="440">
        <f t="shared" si="282"/>
        <v>37.162591751419683</v>
      </c>
      <c r="M759" s="347"/>
      <c r="N759" s="347"/>
    </row>
    <row r="760" spans="1:14" x14ac:dyDescent="0.25">
      <c r="A760" s="362" t="str">
        <f>name!E$7</f>
        <v>Administrative and secretarial</v>
      </c>
      <c r="B760" s="440">
        <v>9.294463812863933</v>
      </c>
      <c r="C760" s="440">
        <v>6.7574037728592424</v>
      </c>
      <c r="D760" s="440">
        <f t="shared" si="280"/>
        <v>16.051867585723176</v>
      </c>
      <c r="E760" s="441"/>
      <c r="F760" s="440">
        <v>5.2161468618933862</v>
      </c>
      <c r="G760" s="440">
        <v>5.6115137090459823</v>
      </c>
      <c r="H760" s="440">
        <f t="shared" si="281"/>
        <v>10.827660570939369</v>
      </c>
      <c r="I760" s="441"/>
      <c r="J760" s="440">
        <v>5.17801556797383</v>
      </c>
      <c r="K760" s="440">
        <v>5.35217048418383</v>
      </c>
      <c r="L760" s="440">
        <f t="shared" si="282"/>
        <v>10.53018605215766</v>
      </c>
      <c r="M760" s="347"/>
      <c r="N760" s="347"/>
    </row>
    <row r="761" spans="1:14" x14ac:dyDescent="0.25">
      <c r="A761" s="362" t="str">
        <f>name!E$8</f>
        <v>Skilled trades occupations</v>
      </c>
      <c r="B761" s="440">
        <v>0.99367797936121838</v>
      </c>
      <c r="C761" s="440">
        <v>35.874730092128551</v>
      </c>
      <c r="D761" s="440">
        <f t="shared" si="280"/>
        <v>36.868408071489768</v>
      </c>
      <c r="E761" s="441"/>
      <c r="F761" s="440">
        <v>0.96737167936523361</v>
      </c>
      <c r="G761" s="440">
        <v>25.214907446921842</v>
      </c>
      <c r="H761" s="440">
        <f t="shared" si="281"/>
        <v>26.182279126287074</v>
      </c>
      <c r="I761" s="441"/>
      <c r="J761" s="440">
        <v>0.79347119846298708</v>
      </c>
      <c r="K761" s="440">
        <v>19.927406301414806</v>
      </c>
      <c r="L761" s="440">
        <f t="shared" si="282"/>
        <v>20.720877499877794</v>
      </c>
      <c r="M761" s="347"/>
      <c r="N761" s="347"/>
    </row>
    <row r="762" spans="1:14" x14ac:dyDescent="0.25">
      <c r="A762" s="362" t="str">
        <f>name!E$9</f>
        <v>Caring, leisure and other service</v>
      </c>
      <c r="B762" s="440">
        <v>0.7407614881866279</v>
      </c>
      <c r="C762" s="440">
        <v>3.8422569689970971</v>
      </c>
      <c r="D762" s="440">
        <f t="shared" si="280"/>
        <v>4.5830184571837247</v>
      </c>
      <c r="E762" s="441"/>
      <c r="F762" s="440">
        <v>0.51147422833451983</v>
      </c>
      <c r="G762" s="440">
        <v>5.031273620947835</v>
      </c>
      <c r="H762" s="440">
        <f t="shared" si="281"/>
        <v>5.542747849282355</v>
      </c>
      <c r="I762" s="441"/>
      <c r="J762" s="440">
        <v>0.720664642561758</v>
      </c>
      <c r="K762" s="440">
        <v>5.9181748508662615</v>
      </c>
      <c r="L762" s="440">
        <f t="shared" si="282"/>
        <v>6.6388394934280193</v>
      </c>
      <c r="M762" s="347"/>
      <c r="N762" s="347"/>
    </row>
    <row r="763" spans="1:14" x14ac:dyDescent="0.25">
      <c r="A763" s="362" t="str">
        <f>name!E$10</f>
        <v>Sales and customer service</v>
      </c>
      <c r="B763" s="440">
        <v>14.763716239040601</v>
      </c>
      <c r="C763" s="440">
        <v>20.374209701893289</v>
      </c>
      <c r="D763" s="440">
        <f t="shared" si="280"/>
        <v>35.13792594093389</v>
      </c>
      <c r="E763" s="441"/>
      <c r="F763" s="440">
        <v>13.726790498330756</v>
      </c>
      <c r="G763" s="440">
        <v>14.621260362468602</v>
      </c>
      <c r="H763" s="440">
        <f t="shared" si="281"/>
        <v>28.348050860799358</v>
      </c>
      <c r="I763" s="441"/>
      <c r="J763" s="440">
        <v>17.956614234592511</v>
      </c>
      <c r="K763" s="440">
        <v>17.307137065827046</v>
      </c>
      <c r="L763" s="440">
        <f t="shared" si="282"/>
        <v>35.263751300419557</v>
      </c>
      <c r="M763" s="347"/>
      <c r="N763" s="347"/>
    </row>
    <row r="764" spans="1:14" x14ac:dyDescent="0.25">
      <c r="A764" s="362" t="str">
        <f>name!E$11</f>
        <v>Process, plant and machine operatives</v>
      </c>
      <c r="B764" s="440">
        <v>0.25065865388455522</v>
      </c>
      <c r="C764" s="440">
        <v>2.8161000203015178</v>
      </c>
      <c r="D764" s="440">
        <f t="shared" si="280"/>
        <v>3.0667586741860733</v>
      </c>
      <c r="E764" s="441"/>
      <c r="F764" s="440">
        <v>0.21182808756084415</v>
      </c>
      <c r="G764" s="440">
        <v>2.2679791589210727</v>
      </c>
      <c r="H764" s="440">
        <f t="shared" si="281"/>
        <v>2.4798072464819167</v>
      </c>
      <c r="I764" s="441"/>
      <c r="J764" s="440">
        <v>0.26307761647670019</v>
      </c>
      <c r="K764" s="440">
        <v>2.4970205205581504</v>
      </c>
      <c r="L764" s="440">
        <f t="shared" si="282"/>
        <v>2.7600981370348507</v>
      </c>
      <c r="M764" s="347"/>
      <c r="N764" s="347"/>
    </row>
    <row r="765" spans="1:14" x14ac:dyDescent="0.25">
      <c r="A765" s="362" t="str">
        <f>name!E$12</f>
        <v>Elementary occupations</v>
      </c>
      <c r="B765" s="440">
        <v>0.60559227404312721</v>
      </c>
      <c r="C765" s="440">
        <v>3.4908096155388129</v>
      </c>
      <c r="D765" s="440">
        <f t="shared" si="280"/>
        <v>4.0964018895819398</v>
      </c>
      <c r="E765" s="441"/>
      <c r="F765" s="440">
        <v>0.41610067158560726</v>
      </c>
      <c r="G765" s="440">
        <v>3.0546021246093593</v>
      </c>
      <c r="H765" s="440">
        <f t="shared" si="281"/>
        <v>3.4707027961949666</v>
      </c>
      <c r="I765" s="441"/>
      <c r="J765" s="440">
        <v>0.58031666384352731</v>
      </c>
      <c r="K765" s="440">
        <v>3.5350690234367939</v>
      </c>
      <c r="L765" s="440">
        <f t="shared" si="282"/>
        <v>4.1153856872803214</v>
      </c>
      <c r="M765" s="347"/>
      <c r="N765" s="347"/>
    </row>
    <row r="766" spans="1:14" s="286" customFormat="1" x14ac:dyDescent="0.25">
      <c r="A766" s="362"/>
      <c r="B766" s="440"/>
      <c r="C766" s="440"/>
      <c r="D766" s="440"/>
      <c r="E766" s="441"/>
      <c r="F766" s="440"/>
      <c r="G766" s="440"/>
      <c r="H766" s="440"/>
      <c r="I766" s="441"/>
      <c r="J766" s="440"/>
      <c r="K766" s="440"/>
      <c r="L766" s="440"/>
      <c r="M766" s="347"/>
      <c r="N766" s="347"/>
    </row>
    <row r="767" spans="1:14" x14ac:dyDescent="0.25">
      <c r="A767" s="357" t="s">
        <v>32</v>
      </c>
      <c r="B767" s="450">
        <f>SUM(B757:B765)</f>
        <v>44.521999999819371</v>
      </c>
      <c r="C767" s="450">
        <f t="shared" ref="C767:D767" si="283">SUM(C757:C765)</f>
        <v>170.50099999990317</v>
      </c>
      <c r="D767" s="450">
        <f t="shared" si="283"/>
        <v>215.02299999972251</v>
      </c>
      <c r="E767" s="450"/>
      <c r="F767" s="450">
        <f t="shared" ref="F767:H767" si="284">SUM(F757:F765)</f>
        <v>41.505999999896765</v>
      </c>
      <c r="G767" s="450">
        <f t="shared" si="284"/>
        <v>169.90899999850816</v>
      </c>
      <c r="H767" s="450">
        <f t="shared" si="284"/>
        <v>211.41499999840497</v>
      </c>
      <c r="I767" s="450"/>
      <c r="J767" s="450">
        <f t="shared" ref="J767:L767" si="285">SUM(J757:J765)</f>
        <v>51.850000000122535</v>
      </c>
      <c r="K767" s="450">
        <f t="shared" si="285"/>
        <v>171.70999999950971</v>
      </c>
      <c r="L767" s="450">
        <f t="shared" si="285"/>
        <v>223.55999999963223</v>
      </c>
      <c r="M767" s="347"/>
      <c r="N767" s="347"/>
    </row>
    <row r="768" spans="1:14" x14ac:dyDescent="0.25">
      <c r="A768" s="348"/>
      <c r="B768" s="348"/>
      <c r="C768" s="348"/>
      <c r="D768" s="348"/>
      <c r="E768" s="348"/>
      <c r="F768" s="348"/>
      <c r="G768" s="348"/>
      <c r="H768" s="348"/>
      <c r="I768" s="348"/>
      <c r="J768" s="348"/>
      <c r="K768" s="348"/>
      <c r="L768" s="353"/>
      <c r="M768" s="347"/>
      <c r="N768" s="347"/>
    </row>
    <row r="769" spans="1:14" x14ac:dyDescent="0.25">
      <c r="A769" s="348"/>
      <c r="B769" s="348"/>
      <c r="C769" s="348"/>
      <c r="D769" s="348"/>
      <c r="E769" s="348"/>
      <c r="F769" s="348"/>
      <c r="G769" s="348"/>
      <c r="H769" s="348"/>
      <c r="I769" s="348"/>
      <c r="J769" s="348"/>
      <c r="K769" s="348"/>
      <c r="L769" s="372" t="s">
        <v>35</v>
      </c>
      <c r="M769" s="347"/>
      <c r="N769" s="347"/>
    </row>
    <row r="770" spans="1:14" x14ac:dyDescent="0.25">
      <c r="A770" s="355"/>
      <c r="B770" s="365"/>
      <c r="C770" s="365"/>
      <c r="D770" s="365"/>
      <c r="E770" s="365"/>
      <c r="F770" s="365"/>
      <c r="G770" s="365"/>
      <c r="H770" s="365"/>
      <c r="I770" s="365"/>
      <c r="J770" s="365"/>
      <c r="K770" s="365"/>
      <c r="L770" s="347"/>
      <c r="M770" s="347"/>
      <c r="N770" s="347"/>
    </row>
    <row r="771" spans="1:14" x14ac:dyDescent="0.25">
      <c r="A771" s="354" t="str">
        <f>name!A48</f>
        <v>Computing services</v>
      </c>
      <c r="B771" s="515">
        <f>B$6</f>
        <v>2007</v>
      </c>
      <c r="C771" s="515"/>
      <c r="D771" s="515"/>
      <c r="E771" s="369"/>
      <c r="F771" s="515">
        <f>F$6</f>
        <v>2017</v>
      </c>
      <c r="G771" s="515"/>
      <c r="H771" s="515"/>
      <c r="I771" s="369"/>
      <c r="J771" s="515">
        <f>J$6</f>
        <v>2027</v>
      </c>
      <c r="K771" s="515"/>
      <c r="L771" s="515"/>
      <c r="M771" s="347"/>
      <c r="N771" s="347"/>
    </row>
    <row r="772" spans="1:14" x14ac:dyDescent="0.25">
      <c r="A772" s="370"/>
      <c r="B772" s="371" t="s">
        <v>387</v>
      </c>
      <c r="C772" s="371" t="s">
        <v>388</v>
      </c>
      <c r="D772" s="371" t="s">
        <v>32</v>
      </c>
      <c r="E772" s="371"/>
      <c r="F772" s="371" t="s">
        <v>387</v>
      </c>
      <c r="G772" s="371" t="s">
        <v>388</v>
      </c>
      <c r="H772" s="371" t="s">
        <v>32</v>
      </c>
      <c r="I772" s="371"/>
      <c r="J772" s="371" t="s">
        <v>387</v>
      </c>
      <c r="K772" s="371" t="s">
        <v>388</v>
      </c>
      <c r="L772" s="371" t="s">
        <v>32</v>
      </c>
      <c r="M772" s="347"/>
      <c r="N772" s="347"/>
    </row>
    <row r="773" spans="1:14" s="286" customFormat="1" x14ac:dyDescent="0.25">
      <c r="A773" s="374"/>
      <c r="B773" s="375"/>
      <c r="C773" s="375"/>
      <c r="D773" s="375"/>
      <c r="E773" s="375"/>
      <c r="F773" s="375"/>
      <c r="G773" s="375"/>
      <c r="H773" s="375"/>
      <c r="I773" s="375"/>
      <c r="J773" s="375"/>
      <c r="K773" s="375"/>
      <c r="L773" s="375"/>
      <c r="M773" s="347"/>
      <c r="N773" s="347"/>
    </row>
    <row r="774" spans="1:14" x14ac:dyDescent="0.25">
      <c r="A774" s="362" t="str">
        <f>name!E$4</f>
        <v>Managers, directors and senior officials</v>
      </c>
      <c r="B774" s="440">
        <v>21.301755320963924</v>
      </c>
      <c r="C774" s="440">
        <v>67.764961691358877</v>
      </c>
      <c r="D774" s="440">
        <f>SUM(B774:C774)</f>
        <v>89.066717012322798</v>
      </c>
      <c r="E774" s="441"/>
      <c r="F774" s="440">
        <v>35.471429388511694</v>
      </c>
      <c r="G774" s="440">
        <v>88.447265867296196</v>
      </c>
      <c r="H774" s="440">
        <f>SUM(F774:G774)</f>
        <v>123.91869525580789</v>
      </c>
      <c r="I774" s="441"/>
      <c r="J774" s="440">
        <v>48.90685181654549</v>
      </c>
      <c r="K774" s="440">
        <v>95.357688751821087</v>
      </c>
      <c r="L774" s="440">
        <f>SUM(J774:K774)</f>
        <v>144.26454056836658</v>
      </c>
      <c r="M774" s="347"/>
      <c r="N774" s="347"/>
    </row>
    <row r="775" spans="1:14" x14ac:dyDescent="0.25">
      <c r="A775" s="362" t="str">
        <f>name!E$5</f>
        <v>Professional occupations</v>
      </c>
      <c r="B775" s="440">
        <v>50.300569334487065</v>
      </c>
      <c r="C775" s="440">
        <v>183.58352227018267</v>
      </c>
      <c r="D775" s="440">
        <f t="shared" ref="D775:D782" si="286">SUM(B775:C775)</f>
        <v>233.88409160466972</v>
      </c>
      <c r="E775" s="441"/>
      <c r="F775" s="440">
        <v>71.695570956977122</v>
      </c>
      <c r="G775" s="440">
        <v>286.54474166964974</v>
      </c>
      <c r="H775" s="440">
        <f t="shared" ref="H775:H782" si="287">SUM(F775:G775)</f>
        <v>358.24031262662686</v>
      </c>
      <c r="I775" s="441"/>
      <c r="J775" s="440">
        <v>92.034848690553702</v>
      </c>
      <c r="K775" s="440">
        <v>289.78012189864455</v>
      </c>
      <c r="L775" s="440">
        <f t="shared" ref="L775:L782" si="288">SUM(J775:K775)</f>
        <v>381.81497058919825</v>
      </c>
      <c r="M775" s="347"/>
      <c r="N775" s="347"/>
    </row>
    <row r="776" spans="1:14" x14ac:dyDescent="0.25">
      <c r="A776" s="362" t="str">
        <f>name!E$6</f>
        <v>Associate professional and technical</v>
      </c>
      <c r="B776" s="440">
        <v>35.615311609718354</v>
      </c>
      <c r="C776" s="440">
        <v>95.994249304489159</v>
      </c>
      <c r="D776" s="440">
        <f t="shared" si="286"/>
        <v>131.60956091420752</v>
      </c>
      <c r="E776" s="441"/>
      <c r="F776" s="440">
        <v>54.87471653919328</v>
      </c>
      <c r="G776" s="440">
        <v>118.95898490176864</v>
      </c>
      <c r="H776" s="440">
        <f t="shared" si="287"/>
        <v>173.83370144096193</v>
      </c>
      <c r="I776" s="441"/>
      <c r="J776" s="440">
        <v>64.444178414943082</v>
      </c>
      <c r="K776" s="440">
        <v>121.40707445696637</v>
      </c>
      <c r="L776" s="440">
        <f t="shared" si="288"/>
        <v>185.85125287190945</v>
      </c>
      <c r="M776" s="347"/>
      <c r="N776" s="347"/>
    </row>
    <row r="777" spans="1:14" x14ac:dyDescent="0.25">
      <c r="A777" s="362" t="str">
        <f>name!E$7</f>
        <v>Administrative and secretarial</v>
      </c>
      <c r="B777" s="440">
        <v>47.199388059437432</v>
      </c>
      <c r="C777" s="440">
        <v>11.00999950186536</v>
      </c>
      <c r="D777" s="440">
        <f t="shared" si="286"/>
        <v>58.20938756130279</v>
      </c>
      <c r="E777" s="441"/>
      <c r="F777" s="440">
        <v>41.985860006535091</v>
      </c>
      <c r="G777" s="440">
        <v>16.555322340361322</v>
      </c>
      <c r="H777" s="440">
        <f t="shared" si="287"/>
        <v>58.541182346896413</v>
      </c>
      <c r="I777" s="441"/>
      <c r="J777" s="440">
        <v>41.780519397208124</v>
      </c>
      <c r="K777" s="440">
        <v>15.872442528718024</v>
      </c>
      <c r="L777" s="440">
        <f t="shared" si="288"/>
        <v>57.652961925926149</v>
      </c>
      <c r="M777" s="347"/>
      <c r="N777" s="347"/>
    </row>
    <row r="778" spans="1:14" x14ac:dyDescent="0.25">
      <c r="A778" s="362" t="str">
        <f>name!E$8</f>
        <v>Skilled trades occupations</v>
      </c>
      <c r="B778" s="440">
        <v>3.1232233438059254</v>
      </c>
      <c r="C778" s="440">
        <v>38.619403406411152</v>
      </c>
      <c r="D778" s="440">
        <f t="shared" si="286"/>
        <v>41.742626750217077</v>
      </c>
      <c r="E778" s="441"/>
      <c r="F778" s="440">
        <v>3.6120154833008713</v>
      </c>
      <c r="G778" s="440">
        <v>33.294976258757913</v>
      </c>
      <c r="H778" s="440">
        <f t="shared" si="287"/>
        <v>36.906991742058786</v>
      </c>
      <c r="I778" s="441"/>
      <c r="J778" s="440">
        <v>3.1742627406331647</v>
      </c>
      <c r="K778" s="440">
        <v>32.870137118860036</v>
      </c>
      <c r="L778" s="440">
        <f t="shared" si="288"/>
        <v>36.044399859493204</v>
      </c>
      <c r="M778" s="347"/>
      <c r="N778" s="347"/>
    </row>
    <row r="779" spans="1:14" x14ac:dyDescent="0.25">
      <c r="A779" s="362" t="str">
        <f>name!E$9</f>
        <v>Caring, leisure and other service</v>
      </c>
      <c r="B779" s="440">
        <v>5.9107884781491729</v>
      </c>
      <c r="C779" s="440">
        <v>4.0225398768190965</v>
      </c>
      <c r="D779" s="440">
        <f t="shared" si="286"/>
        <v>9.9333283549682694</v>
      </c>
      <c r="E779" s="441"/>
      <c r="F779" s="440">
        <v>8.2924454806130896</v>
      </c>
      <c r="G779" s="440">
        <v>6.8478044412948256</v>
      </c>
      <c r="H779" s="440">
        <f t="shared" si="287"/>
        <v>15.140249921907916</v>
      </c>
      <c r="I779" s="441"/>
      <c r="J779" s="440">
        <v>10.824996030582385</v>
      </c>
      <c r="K779" s="440">
        <v>9.123522662447817</v>
      </c>
      <c r="L779" s="440">
        <f t="shared" si="288"/>
        <v>19.948518693030202</v>
      </c>
      <c r="M779" s="347"/>
      <c r="N779" s="347"/>
    </row>
    <row r="780" spans="1:14" x14ac:dyDescent="0.25">
      <c r="A780" s="362" t="str">
        <f>name!E$10</f>
        <v>Sales and customer service</v>
      </c>
      <c r="B780" s="440">
        <v>12.186786605701903</v>
      </c>
      <c r="C780" s="440">
        <v>8.0639532735442518</v>
      </c>
      <c r="D780" s="440">
        <f t="shared" si="286"/>
        <v>20.250739879246154</v>
      </c>
      <c r="E780" s="441"/>
      <c r="F780" s="440">
        <v>13.733068419487262</v>
      </c>
      <c r="G780" s="440">
        <v>6.2699453126463345</v>
      </c>
      <c r="H780" s="440">
        <f t="shared" si="287"/>
        <v>20.003013732133596</v>
      </c>
      <c r="I780" s="441"/>
      <c r="J780" s="440">
        <v>16.248009044369063</v>
      </c>
      <c r="K780" s="440">
        <v>7.4979370467405193</v>
      </c>
      <c r="L780" s="440">
        <f t="shared" si="288"/>
        <v>23.74594609110958</v>
      </c>
      <c r="M780" s="347"/>
      <c r="N780" s="347"/>
    </row>
    <row r="781" spans="1:14" x14ac:dyDescent="0.25">
      <c r="A781" s="362" t="str">
        <f>name!E$11</f>
        <v>Process, plant and machine operatives</v>
      </c>
      <c r="B781" s="440">
        <v>1.1786590923891713</v>
      </c>
      <c r="C781" s="440">
        <v>6.891511128827398</v>
      </c>
      <c r="D781" s="440">
        <f t="shared" si="286"/>
        <v>8.0701702212165696</v>
      </c>
      <c r="E781" s="441"/>
      <c r="F781" s="440">
        <v>1.6015406649059101</v>
      </c>
      <c r="G781" s="440">
        <v>6.5694271639925352</v>
      </c>
      <c r="H781" s="440">
        <f t="shared" si="287"/>
        <v>8.170967828898446</v>
      </c>
      <c r="I781" s="441"/>
      <c r="J781" s="440">
        <v>1.3815480547367629</v>
      </c>
      <c r="K781" s="440">
        <v>8.3002312499309792</v>
      </c>
      <c r="L781" s="440">
        <f t="shared" si="288"/>
        <v>9.6817793046677423</v>
      </c>
      <c r="M781" s="347"/>
      <c r="N781" s="347"/>
    </row>
    <row r="782" spans="1:14" x14ac:dyDescent="0.25">
      <c r="A782" s="362" t="str">
        <f>name!E$12</f>
        <v>Elementary occupations</v>
      </c>
      <c r="B782" s="440">
        <v>1.9365181544052665</v>
      </c>
      <c r="C782" s="440">
        <v>2.2268595467608838</v>
      </c>
      <c r="D782" s="440">
        <f t="shared" si="286"/>
        <v>4.1633777011661506</v>
      </c>
      <c r="E782" s="441"/>
      <c r="F782" s="440">
        <v>3.0813530587463367</v>
      </c>
      <c r="G782" s="440">
        <v>3.4415320387559212</v>
      </c>
      <c r="H782" s="440">
        <f t="shared" si="287"/>
        <v>6.5228850975022574</v>
      </c>
      <c r="I782" s="441"/>
      <c r="J782" s="440">
        <v>2.6567858099855002</v>
      </c>
      <c r="K782" s="440">
        <v>3.634844282931323</v>
      </c>
      <c r="L782" s="440">
        <f t="shared" si="288"/>
        <v>6.2916300929168232</v>
      </c>
      <c r="M782" s="347"/>
      <c r="N782" s="347"/>
    </row>
    <row r="783" spans="1:14" s="286" customFormat="1" x14ac:dyDescent="0.25">
      <c r="A783" s="362"/>
      <c r="B783" s="440"/>
      <c r="C783" s="440"/>
      <c r="D783" s="440"/>
      <c r="E783" s="441"/>
      <c r="F783" s="440"/>
      <c r="G783" s="440"/>
      <c r="H783" s="440"/>
      <c r="I783" s="441"/>
      <c r="J783" s="440"/>
      <c r="K783" s="440"/>
      <c r="L783" s="440"/>
      <c r="M783" s="347"/>
      <c r="N783" s="347"/>
    </row>
    <row r="784" spans="1:14" x14ac:dyDescent="0.25">
      <c r="A784" s="357" t="s">
        <v>32</v>
      </c>
      <c r="B784" s="450">
        <f>SUM(B774:B782)</f>
        <v>178.75299999905826</v>
      </c>
      <c r="C784" s="450">
        <f t="shared" ref="C784:D784" si="289">SUM(C774:C782)</f>
        <v>418.17700000025883</v>
      </c>
      <c r="D784" s="450">
        <f t="shared" si="289"/>
        <v>596.92999999931692</v>
      </c>
      <c r="E784" s="450"/>
      <c r="F784" s="450">
        <f t="shared" ref="F784:H784" si="290">SUM(F774:F782)</f>
        <v>234.34799999827067</v>
      </c>
      <c r="G784" s="450">
        <f t="shared" si="290"/>
        <v>566.92999999452331</v>
      </c>
      <c r="H784" s="450">
        <f t="shared" si="290"/>
        <v>801.27799999279409</v>
      </c>
      <c r="I784" s="450"/>
      <c r="J784" s="450">
        <f t="shared" ref="J784:L784" si="291">SUM(J774:J782)</f>
        <v>281.45199999955724</v>
      </c>
      <c r="K784" s="450">
        <f t="shared" si="291"/>
        <v>583.84399999706079</v>
      </c>
      <c r="L784" s="450">
        <f t="shared" si="291"/>
        <v>865.29599999661809</v>
      </c>
      <c r="M784" s="347"/>
      <c r="N784" s="347"/>
    </row>
    <row r="785" spans="1:14" x14ac:dyDescent="0.25">
      <c r="A785" s="348"/>
      <c r="B785" s="348"/>
      <c r="C785" s="348"/>
      <c r="D785" s="348"/>
      <c r="E785" s="348"/>
      <c r="F785" s="348"/>
      <c r="G785" s="348"/>
      <c r="H785" s="348"/>
      <c r="I785" s="348"/>
      <c r="J785" s="348"/>
      <c r="K785" s="348"/>
      <c r="L785" s="353"/>
      <c r="M785" s="347"/>
      <c r="N785" s="347"/>
    </row>
    <row r="786" spans="1:14" x14ac:dyDescent="0.25">
      <c r="A786" s="348"/>
      <c r="B786" s="348"/>
      <c r="C786" s="348"/>
      <c r="D786" s="348"/>
      <c r="E786" s="348"/>
      <c r="F786" s="348"/>
      <c r="G786" s="348"/>
      <c r="H786" s="348"/>
      <c r="I786" s="348"/>
      <c r="J786" s="348"/>
      <c r="K786" s="348"/>
      <c r="L786" s="372" t="s">
        <v>35</v>
      </c>
      <c r="M786" s="347"/>
      <c r="N786" s="347"/>
    </row>
    <row r="787" spans="1:14" x14ac:dyDescent="0.25">
      <c r="A787" s="355"/>
      <c r="B787" s="365"/>
      <c r="C787" s="365"/>
      <c r="D787" s="365"/>
      <c r="E787" s="365"/>
      <c r="F787" s="365"/>
      <c r="G787" s="365"/>
      <c r="H787" s="365"/>
      <c r="I787" s="365"/>
      <c r="J787" s="365"/>
      <c r="K787" s="365"/>
      <c r="L787" s="347"/>
      <c r="M787" s="347"/>
      <c r="N787" s="347"/>
    </row>
    <row r="788" spans="1:14" x14ac:dyDescent="0.25">
      <c r="A788" s="354" t="str">
        <f>name!A49</f>
        <v>Information services</v>
      </c>
      <c r="B788" s="515">
        <f>B$6</f>
        <v>2007</v>
      </c>
      <c r="C788" s="515"/>
      <c r="D788" s="515"/>
      <c r="E788" s="369"/>
      <c r="F788" s="515">
        <f>F$6</f>
        <v>2017</v>
      </c>
      <c r="G788" s="515"/>
      <c r="H788" s="515"/>
      <c r="I788" s="369"/>
      <c r="J788" s="515">
        <f>J$6</f>
        <v>2027</v>
      </c>
      <c r="K788" s="515"/>
      <c r="L788" s="515"/>
      <c r="M788" s="347"/>
      <c r="N788" s="347"/>
    </row>
    <row r="789" spans="1:14" x14ac:dyDescent="0.25">
      <c r="A789" s="370"/>
      <c r="B789" s="371" t="s">
        <v>387</v>
      </c>
      <c r="C789" s="371" t="s">
        <v>388</v>
      </c>
      <c r="D789" s="371" t="s">
        <v>32</v>
      </c>
      <c r="E789" s="371"/>
      <c r="F789" s="371" t="s">
        <v>387</v>
      </c>
      <c r="G789" s="371" t="s">
        <v>388</v>
      </c>
      <c r="H789" s="371" t="s">
        <v>32</v>
      </c>
      <c r="I789" s="371"/>
      <c r="J789" s="371" t="s">
        <v>387</v>
      </c>
      <c r="K789" s="371" t="s">
        <v>388</v>
      </c>
      <c r="L789" s="371" t="s">
        <v>32</v>
      </c>
      <c r="M789" s="347"/>
      <c r="N789" s="347"/>
    </row>
    <row r="790" spans="1:14" s="286" customFormat="1" x14ac:dyDescent="0.25">
      <c r="A790" s="374"/>
      <c r="B790" s="375"/>
      <c r="C790" s="375"/>
      <c r="D790" s="375"/>
      <c r="E790" s="375"/>
      <c r="F790" s="375"/>
      <c r="G790" s="375"/>
      <c r="H790" s="375"/>
      <c r="I790" s="375"/>
      <c r="J790" s="375"/>
      <c r="K790" s="375"/>
      <c r="L790" s="375"/>
      <c r="M790" s="347"/>
      <c r="N790" s="347"/>
    </row>
    <row r="791" spans="1:14" x14ac:dyDescent="0.25">
      <c r="A791" s="362" t="str">
        <f>name!E$4</f>
        <v>Managers, directors and senior officials</v>
      </c>
      <c r="B791" s="440">
        <v>3.3637707221190136</v>
      </c>
      <c r="C791" s="440">
        <v>6.8247704711765929</v>
      </c>
      <c r="D791" s="440">
        <f>SUM(B791:C791)</f>
        <v>10.188541193295606</v>
      </c>
      <c r="E791" s="441"/>
      <c r="F791" s="440">
        <v>5.0674915707033259</v>
      </c>
      <c r="G791" s="440">
        <v>7.9304167830482202</v>
      </c>
      <c r="H791" s="440">
        <f>SUM(F791:G791)</f>
        <v>12.997908353751546</v>
      </c>
      <c r="I791" s="441"/>
      <c r="J791" s="440">
        <v>6.6003008546410644</v>
      </c>
      <c r="K791" s="440">
        <v>8.6130668574136688</v>
      </c>
      <c r="L791" s="440">
        <f>SUM(J791:K791)</f>
        <v>15.213367712054733</v>
      </c>
      <c r="M791" s="347"/>
      <c r="N791" s="347"/>
    </row>
    <row r="792" spans="1:14" x14ac:dyDescent="0.25">
      <c r="A792" s="362" t="str">
        <f>name!E$5</f>
        <v>Professional occupations</v>
      </c>
      <c r="B792" s="440">
        <v>7.0953861848686222</v>
      </c>
      <c r="C792" s="440">
        <v>14.641420384941943</v>
      </c>
      <c r="D792" s="440">
        <f t="shared" ref="D792:D799" si="292">SUM(B792:C792)</f>
        <v>21.736806569810565</v>
      </c>
      <c r="E792" s="441"/>
      <c r="F792" s="440">
        <v>8.9429421600992729</v>
      </c>
      <c r="G792" s="440">
        <v>20.307364690430703</v>
      </c>
      <c r="H792" s="440">
        <f t="shared" ref="H792:H799" si="293">SUM(F792:G792)</f>
        <v>29.250306850529974</v>
      </c>
      <c r="I792" s="441"/>
      <c r="J792" s="440">
        <v>11.231620846287518</v>
      </c>
      <c r="K792" s="440">
        <v>20.921778288579201</v>
      </c>
      <c r="L792" s="440">
        <f t="shared" ref="L792:L799" si="294">SUM(J792:K792)</f>
        <v>32.153399134866717</v>
      </c>
      <c r="M792" s="347"/>
      <c r="N792" s="347"/>
    </row>
    <row r="793" spans="1:14" x14ac:dyDescent="0.25">
      <c r="A793" s="362" t="str">
        <f>name!E$6</f>
        <v>Associate professional and technical</v>
      </c>
      <c r="B793" s="440">
        <v>8.1677260156738285</v>
      </c>
      <c r="C793" s="440">
        <v>9.8795440264831633</v>
      </c>
      <c r="D793" s="440">
        <f t="shared" si="292"/>
        <v>18.047270042156992</v>
      </c>
      <c r="E793" s="441"/>
      <c r="F793" s="440">
        <v>8.1974792960825873</v>
      </c>
      <c r="G793" s="440">
        <v>10.981823242040923</v>
      </c>
      <c r="H793" s="440">
        <f t="shared" si="293"/>
        <v>19.179302538123508</v>
      </c>
      <c r="I793" s="441"/>
      <c r="J793" s="440">
        <v>9.9521505526134071</v>
      </c>
      <c r="K793" s="440">
        <v>11.010221404811055</v>
      </c>
      <c r="L793" s="440">
        <f t="shared" si="294"/>
        <v>20.962371957424462</v>
      </c>
      <c r="M793" s="347"/>
      <c r="N793" s="347"/>
    </row>
    <row r="794" spans="1:14" x14ac:dyDescent="0.25">
      <c r="A794" s="362" t="str">
        <f>name!E$7</f>
        <v>Administrative and secretarial</v>
      </c>
      <c r="B794" s="440">
        <v>7.2925140507400084</v>
      </c>
      <c r="C794" s="440">
        <v>1.5134595840079121</v>
      </c>
      <c r="D794" s="440">
        <f t="shared" si="292"/>
        <v>8.8059736347479198</v>
      </c>
      <c r="E794" s="441"/>
      <c r="F794" s="440">
        <v>5.5724504598141635</v>
      </c>
      <c r="G794" s="440">
        <v>1.5725471658507222</v>
      </c>
      <c r="H794" s="440">
        <f t="shared" si="293"/>
        <v>7.1449976256648853</v>
      </c>
      <c r="I794" s="441"/>
      <c r="J794" s="440">
        <v>4.8918054548324958</v>
      </c>
      <c r="K794" s="440">
        <v>1.4353473933353849</v>
      </c>
      <c r="L794" s="440">
        <f t="shared" si="294"/>
        <v>6.3271528481678807</v>
      </c>
      <c r="M794" s="347"/>
      <c r="N794" s="347"/>
    </row>
    <row r="795" spans="1:14" x14ac:dyDescent="0.25">
      <c r="A795" s="362" t="str">
        <f>name!E$8</f>
        <v>Skilled trades occupations</v>
      </c>
      <c r="B795" s="440">
        <v>0.52439907099828831</v>
      </c>
      <c r="C795" s="440">
        <v>3.9761084041014878</v>
      </c>
      <c r="D795" s="440">
        <f t="shared" si="292"/>
        <v>4.5005074750997762</v>
      </c>
      <c r="E795" s="441"/>
      <c r="F795" s="440">
        <v>0.49669756223355055</v>
      </c>
      <c r="G795" s="440">
        <v>2.9015193444759775</v>
      </c>
      <c r="H795" s="440">
        <f t="shared" si="293"/>
        <v>3.398216906709528</v>
      </c>
      <c r="I795" s="441"/>
      <c r="J795" s="440">
        <v>0.54687488154320163</v>
      </c>
      <c r="K795" s="440">
        <v>2.7920432033533906</v>
      </c>
      <c r="L795" s="440">
        <f t="shared" si="294"/>
        <v>3.3389180848965925</v>
      </c>
      <c r="M795" s="347"/>
      <c r="N795" s="347"/>
    </row>
    <row r="796" spans="1:14" x14ac:dyDescent="0.25">
      <c r="A796" s="362" t="str">
        <f>name!E$9</f>
        <v>Caring, leisure and other service</v>
      </c>
      <c r="B796" s="440">
        <v>1.7452644725221813</v>
      </c>
      <c r="C796" s="440">
        <v>0.5808784167327985</v>
      </c>
      <c r="D796" s="440">
        <f t="shared" si="292"/>
        <v>2.3261428892549798</v>
      </c>
      <c r="E796" s="441"/>
      <c r="F796" s="440">
        <v>2.667664813889588</v>
      </c>
      <c r="G796" s="440">
        <v>0.85190589857785537</v>
      </c>
      <c r="H796" s="440">
        <f t="shared" si="293"/>
        <v>3.5195707124674431</v>
      </c>
      <c r="I796" s="441"/>
      <c r="J796" s="440">
        <v>3.7952982151749119</v>
      </c>
      <c r="K796" s="440">
        <v>1.1253077312190127</v>
      </c>
      <c r="L796" s="440">
        <f t="shared" si="294"/>
        <v>4.9206059463939251</v>
      </c>
      <c r="M796" s="347"/>
      <c r="N796" s="347"/>
    </row>
    <row r="797" spans="1:14" x14ac:dyDescent="0.25">
      <c r="A797" s="362" t="str">
        <f>name!E$10</f>
        <v>Sales and customer service</v>
      </c>
      <c r="B797" s="440">
        <v>2.0487333918409179</v>
      </c>
      <c r="C797" s="440">
        <v>1.4281465441056702</v>
      </c>
      <c r="D797" s="440">
        <f t="shared" si="292"/>
        <v>3.4768799359465881</v>
      </c>
      <c r="E797" s="441"/>
      <c r="F797" s="440">
        <v>2.3195464983200296</v>
      </c>
      <c r="G797" s="440">
        <v>1.3130402929262448</v>
      </c>
      <c r="H797" s="440">
        <f t="shared" si="293"/>
        <v>3.6325867912462746</v>
      </c>
      <c r="I797" s="441"/>
      <c r="J797" s="440">
        <v>2.6727349766907453</v>
      </c>
      <c r="K797" s="440">
        <v>1.3073302044736619</v>
      </c>
      <c r="L797" s="440">
        <f t="shared" si="294"/>
        <v>3.9800651811644072</v>
      </c>
      <c r="M797" s="347"/>
      <c r="N797" s="347"/>
    </row>
    <row r="798" spans="1:14" x14ac:dyDescent="0.25">
      <c r="A798" s="362" t="str">
        <f>name!E$11</f>
        <v>Process, plant and machine operatives</v>
      </c>
      <c r="B798" s="440">
        <v>0.4045939258405612</v>
      </c>
      <c r="C798" s="440">
        <v>1.5641503118468103</v>
      </c>
      <c r="D798" s="440">
        <f t="shared" si="292"/>
        <v>1.9687442376873716</v>
      </c>
      <c r="E798" s="441"/>
      <c r="F798" s="440">
        <v>0.36131507054972428</v>
      </c>
      <c r="G798" s="440">
        <v>1.0730103040897188</v>
      </c>
      <c r="H798" s="440">
        <f t="shared" si="293"/>
        <v>1.4343253746394431</v>
      </c>
      <c r="I798" s="441"/>
      <c r="J798" s="440">
        <v>0.28457931055361696</v>
      </c>
      <c r="K798" s="440">
        <v>1.218155627466089</v>
      </c>
      <c r="L798" s="440">
        <f t="shared" si="294"/>
        <v>1.5027349380197059</v>
      </c>
      <c r="M798" s="347"/>
      <c r="N798" s="347"/>
    </row>
    <row r="799" spans="1:14" x14ac:dyDescent="0.25">
      <c r="A799" s="362" t="str">
        <f>name!E$12</f>
        <v>Elementary occupations</v>
      </c>
      <c r="B799" s="440">
        <v>5.5426121652147309</v>
      </c>
      <c r="C799" s="440">
        <v>5.5415218566089575</v>
      </c>
      <c r="D799" s="440">
        <f t="shared" si="292"/>
        <v>11.084134021823688</v>
      </c>
      <c r="E799" s="441"/>
      <c r="F799" s="440">
        <v>4.2654125681402837</v>
      </c>
      <c r="G799" s="440">
        <v>5.2843722782550442</v>
      </c>
      <c r="H799" s="440">
        <f t="shared" si="293"/>
        <v>9.5497848463953279</v>
      </c>
      <c r="I799" s="441"/>
      <c r="J799" s="440">
        <v>5.2426349075630752</v>
      </c>
      <c r="K799" s="440">
        <v>5.844749288964489</v>
      </c>
      <c r="L799" s="440">
        <f t="shared" si="294"/>
        <v>11.087384196527564</v>
      </c>
      <c r="M799" s="347"/>
      <c r="N799" s="347"/>
    </row>
    <row r="800" spans="1:14" s="286" customFormat="1" x14ac:dyDescent="0.25">
      <c r="A800" s="362"/>
      <c r="B800" s="440"/>
      <c r="C800" s="440"/>
      <c r="D800" s="440"/>
      <c r="E800" s="441"/>
      <c r="F800" s="440"/>
      <c r="G800" s="440"/>
      <c r="H800" s="440"/>
      <c r="I800" s="441"/>
      <c r="J800" s="440"/>
      <c r="K800" s="440"/>
      <c r="L800" s="440"/>
      <c r="M800" s="347"/>
      <c r="N800" s="347"/>
    </row>
    <row r="801" spans="1:14" x14ac:dyDescent="0.25">
      <c r="A801" s="357" t="s">
        <v>32</v>
      </c>
      <c r="B801" s="450">
        <f>SUM(B791:B799)</f>
        <v>36.18499999981816</v>
      </c>
      <c r="C801" s="450">
        <f t="shared" ref="C801:D801" si="295">SUM(C791:C799)</f>
        <v>45.950000000005346</v>
      </c>
      <c r="D801" s="450">
        <f t="shared" si="295"/>
        <v>82.134999999823478</v>
      </c>
      <c r="E801" s="450"/>
      <c r="F801" s="450">
        <f t="shared" ref="F801:H801" si="296">SUM(F791:F799)</f>
        <v>37.890999999832523</v>
      </c>
      <c r="G801" s="450">
        <f t="shared" si="296"/>
        <v>52.215999999695406</v>
      </c>
      <c r="H801" s="450">
        <f t="shared" si="296"/>
        <v>90.106999999527915</v>
      </c>
      <c r="I801" s="450"/>
      <c r="J801" s="450">
        <f t="shared" ref="J801:L801" si="297">SUM(J791:J799)</f>
        <v>45.217999999900037</v>
      </c>
      <c r="K801" s="450">
        <f t="shared" si="297"/>
        <v>54.267999999615952</v>
      </c>
      <c r="L801" s="450">
        <f t="shared" si="297"/>
        <v>99.485999999515982</v>
      </c>
      <c r="M801" s="347"/>
      <c r="N801" s="347"/>
    </row>
    <row r="802" spans="1:14" x14ac:dyDescent="0.25">
      <c r="A802" s="348"/>
      <c r="B802" s="348"/>
      <c r="C802" s="348"/>
      <c r="D802" s="348"/>
      <c r="E802" s="348"/>
      <c r="F802" s="348"/>
      <c r="G802" s="348"/>
      <c r="H802" s="348"/>
      <c r="I802" s="348"/>
      <c r="J802" s="348"/>
      <c r="K802" s="348"/>
      <c r="L802" s="353"/>
      <c r="M802" s="347"/>
      <c r="N802" s="347"/>
    </row>
    <row r="803" spans="1:14" x14ac:dyDescent="0.25">
      <c r="A803" s="348"/>
      <c r="B803" s="348"/>
      <c r="C803" s="348"/>
      <c r="D803" s="348"/>
      <c r="E803" s="348"/>
      <c r="F803" s="348"/>
      <c r="G803" s="348"/>
      <c r="H803" s="348"/>
      <c r="I803" s="348"/>
      <c r="J803" s="348"/>
      <c r="K803" s="348"/>
      <c r="L803" s="372" t="s">
        <v>35</v>
      </c>
      <c r="M803" s="347"/>
      <c r="N803" s="347"/>
    </row>
    <row r="804" spans="1:14" x14ac:dyDescent="0.25">
      <c r="A804" s="355"/>
      <c r="B804" s="365"/>
      <c r="C804" s="365"/>
      <c r="D804" s="365"/>
      <c r="E804" s="365"/>
      <c r="F804" s="365"/>
      <c r="G804" s="365"/>
      <c r="H804" s="365"/>
      <c r="I804" s="365"/>
      <c r="J804" s="365"/>
      <c r="K804" s="365"/>
      <c r="L804" s="347"/>
      <c r="M804" s="347"/>
      <c r="N804" s="347"/>
    </row>
    <row r="805" spans="1:14" x14ac:dyDescent="0.25">
      <c r="A805" s="354" t="str">
        <f>name!A50</f>
        <v>Financial services</v>
      </c>
      <c r="B805" s="515">
        <f>B$6</f>
        <v>2007</v>
      </c>
      <c r="C805" s="515"/>
      <c r="D805" s="515"/>
      <c r="E805" s="369"/>
      <c r="F805" s="515">
        <f>F$6</f>
        <v>2017</v>
      </c>
      <c r="G805" s="515"/>
      <c r="H805" s="515"/>
      <c r="I805" s="369"/>
      <c r="J805" s="515">
        <f>J$6</f>
        <v>2027</v>
      </c>
      <c r="K805" s="515"/>
      <c r="L805" s="515"/>
      <c r="M805" s="347"/>
      <c r="N805" s="347"/>
    </row>
    <row r="806" spans="1:14" x14ac:dyDescent="0.25">
      <c r="A806" s="370"/>
      <c r="B806" s="371" t="s">
        <v>387</v>
      </c>
      <c r="C806" s="371" t="s">
        <v>388</v>
      </c>
      <c r="D806" s="371" t="s">
        <v>32</v>
      </c>
      <c r="E806" s="371"/>
      <c r="F806" s="371" t="s">
        <v>387</v>
      </c>
      <c r="G806" s="371" t="s">
        <v>388</v>
      </c>
      <c r="H806" s="371" t="s">
        <v>32</v>
      </c>
      <c r="I806" s="371"/>
      <c r="J806" s="371" t="s">
        <v>387</v>
      </c>
      <c r="K806" s="371" t="s">
        <v>388</v>
      </c>
      <c r="L806" s="371" t="s">
        <v>32</v>
      </c>
      <c r="M806" s="347"/>
      <c r="N806" s="347"/>
    </row>
    <row r="807" spans="1:14" s="286" customFormat="1" x14ac:dyDescent="0.25">
      <c r="A807" s="374"/>
      <c r="B807" s="375"/>
      <c r="C807" s="375"/>
      <c r="D807" s="375"/>
      <c r="E807" s="375"/>
      <c r="F807" s="375"/>
      <c r="G807" s="375"/>
      <c r="H807" s="375"/>
      <c r="I807" s="375"/>
      <c r="J807" s="375"/>
      <c r="K807" s="375"/>
      <c r="L807" s="375"/>
      <c r="M807" s="347"/>
      <c r="N807" s="347"/>
    </row>
    <row r="808" spans="1:14" x14ac:dyDescent="0.25">
      <c r="A808" s="362" t="str">
        <f>name!E$4</f>
        <v>Managers, directors and senior officials</v>
      </c>
      <c r="B808" s="440">
        <v>27.152078770736274</v>
      </c>
      <c r="C808" s="440">
        <v>65.907278981649526</v>
      </c>
      <c r="D808" s="440">
        <f>SUM(B808:C808)</f>
        <v>93.059357752385807</v>
      </c>
      <c r="E808" s="441"/>
      <c r="F808" s="440">
        <v>33.050043175339788</v>
      </c>
      <c r="G808" s="440">
        <v>60.19483544266204</v>
      </c>
      <c r="H808" s="440">
        <f>SUM(F808:G808)</f>
        <v>93.24487861800182</v>
      </c>
      <c r="I808" s="441"/>
      <c r="J808" s="440">
        <v>39.453434212055917</v>
      </c>
      <c r="K808" s="440">
        <v>64.085146019222677</v>
      </c>
      <c r="L808" s="440">
        <f>SUM(J808:K808)</f>
        <v>103.53858023127859</v>
      </c>
      <c r="M808" s="347"/>
      <c r="N808" s="347"/>
    </row>
    <row r="809" spans="1:14" x14ac:dyDescent="0.25">
      <c r="A809" s="362" t="str">
        <f>name!E$5</f>
        <v>Professional occupations</v>
      </c>
      <c r="B809" s="440">
        <v>29.796575882303078</v>
      </c>
      <c r="C809" s="440">
        <v>61.756439843966987</v>
      </c>
      <c r="D809" s="440">
        <f t="shared" ref="D809:D816" si="298">SUM(B809:C809)</f>
        <v>91.553015726270061</v>
      </c>
      <c r="E809" s="441"/>
      <c r="F809" s="440">
        <v>26.453126705058619</v>
      </c>
      <c r="G809" s="440">
        <v>61.349161653879285</v>
      </c>
      <c r="H809" s="440">
        <f t="shared" ref="H809:H816" si="299">SUM(F809:G809)</f>
        <v>87.802288358937901</v>
      </c>
      <c r="I809" s="441"/>
      <c r="J809" s="440">
        <v>30.314988104167163</v>
      </c>
      <c r="K809" s="440">
        <v>63.408788134775577</v>
      </c>
      <c r="L809" s="440">
        <f t="shared" ref="L809:L816" si="300">SUM(J809:K809)</f>
        <v>93.723776238942747</v>
      </c>
      <c r="M809" s="347"/>
      <c r="N809" s="347"/>
    </row>
    <row r="810" spans="1:14" x14ac:dyDescent="0.25">
      <c r="A810" s="362" t="str">
        <f>name!E$6</f>
        <v>Associate professional and technical</v>
      </c>
      <c r="B810" s="440">
        <v>59.754254267235709</v>
      </c>
      <c r="C810" s="440">
        <v>86.930005340308867</v>
      </c>
      <c r="D810" s="440">
        <f t="shared" si="298"/>
        <v>146.68425960754456</v>
      </c>
      <c r="E810" s="441"/>
      <c r="F810" s="440">
        <v>46.592611575925197</v>
      </c>
      <c r="G810" s="440">
        <v>72.266273247131835</v>
      </c>
      <c r="H810" s="440">
        <f t="shared" si="299"/>
        <v>118.85888482305702</v>
      </c>
      <c r="I810" s="441"/>
      <c r="J810" s="440">
        <v>51.055918974611799</v>
      </c>
      <c r="K810" s="440">
        <v>73.505548749862655</v>
      </c>
      <c r="L810" s="440">
        <f t="shared" si="300"/>
        <v>124.56146772447445</v>
      </c>
      <c r="M810" s="347"/>
      <c r="N810" s="347"/>
    </row>
    <row r="811" spans="1:14" x14ac:dyDescent="0.25">
      <c r="A811" s="362" t="str">
        <f>name!E$7</f>
        <v>Administrative and secretarial</v>
      </c>
      <c r="B811" s="440">
        <v>167.82760497033351</v>
      </c>
      <c r="C811" s="440">
        <v>52.846468448878852</v>
      </c>
      <c r="D811" s="440">
        <f t="shared" si="298"/>
        <v>220.67407341921236</v>
      </c>
      <c r="E811" s="441"/>
      <c r="F811" s="440">
        <v>107.05690600242308</v>
      </c>
      <c r="G811" s="440">
        <v>50.062234912140937</v>
      </c>
      <c r="H811" s="440">
        <f t="shared" si="299"/>
        <v>157.11914091456401</v>
      </c>
      <c r="I811" s="441"/>
      <c r="J811" s="440">
        <v>84.418968857030279</v>
      </c>
      <c r="K811" s="440">
        <v>47.70883335645577</v>
      </c>
      <c r="L811" s="440">
        <f t="shared" si="300"/>
        <v>132.12780221348606</v>
      </c>
      <c r="M811" s="347"/>
      <c r="N811" s="347"/>
    </row>
    <row r="812" spans="1:14" x14ac:dyDescent="0.25">
      <c r="A812" s="362" t="str">
        <f>name!E$8</f>
        <v>Skilled trades occupations</v>
      </c>
      <c r="B812" s="440">
        <v>0.86210939972508271</v>
      </c>
      <c r="C812" s="440">
        <v>4.3903287188745566</v>
      </c>
      <c r="D812" s="440">
        <f t="shared" si="298"/>
        <v>5.2524381185996392</v>
      </c>
      <c r="E812" s="441"/>
      <c r="F812" s="440">
        <v>0.65113257287875326</v>
      </c>
      <c r="G812" s="440">
        <v>4.6688365577748732</v>
      </c>
      <c r="H812" s="440">
        <f t="shared" si="299"/>
        <v>5.3199691306536261</v>
      </c>
      <c r="I812" s="441"/>
      <c r="J812" s="440">
        <v>0.65008596561388099</v>
      </c>
      <c r="K812" s="440">
        <v>4.2504500264026568</v>
      </c>
      <c r="L812" s="440">
        <f t="shared" si="300"/>
        <v>4.9005359920165379</v>
      </c>
      <c r="M812" s="347"/>
      <c r="N812" s="347"/>
    </row>
    <row r="813" spans="1:14" x14ac:dyDescent="0.25">
      <c r="A813" s="362" t="str">
        <f>name!E$9</f>
        <v>Caring, leisure and other service</v>
      </c>
      <c r="B813" s="440">
        <v>1.2348597228562066</v>
      </c>
      <c r="C813" s="440">
        <v>0.75950262213996089</v>
      </c>
      <c r="D813" s="440">
        <f t="shared" si="298"/>
        <v>1.9943623449961674</v>
      </c>
      <c r="E813" s="441"/>
      <c r="F813" s="440">
        <v>0.75927072731005596</v>
      </c>
      <c r="G813" s="440">
        <v>0.57959629498010623</v>
      </c>
      <c r="H813" s="440">
        <f t="shared" si="299"/>
        <v>1.3388670222901622</v>
      </c>
      <c r="I813" s="441"/>
      <c r="J813" s="440">
        <v>0.80145315654845606</v>
      </c>
      <c r="K813" s="440">
        <v>0.59209953653512337</v>
      </c>
      <c r="L813" s="440">
        <f t="shared" si="300"/>
        <v>1.3935526930835795</v>
      </c>
      <c r="M813" s="347"/>
      <c r="N813" s="347"/>
    </row>
    <row r="814" spans="1:14" x14ac:dyDescent="0.25">
      <c r="A814" s="362" t="str">
        <f>name!E$10</f>
        <v>Sales and customer service</v>
      </c>
      <c r="B814" s="440">
        <v>40.746330182655313</v>
      </c>
      <c r="C814" s="440">
        <v>25.740477064570111</v>
      </c>
      <c r="D814" s="440">
        <f t="shared" si="298"/>
        <v>66.486807247225428</v>
      </c>
      <c r="E814" s="441"/>
      <c r="F814" s="440">
        <v>31.120415307488866</v>
      </c>
      <c r="G814" s="440">
        <v>13.637584114340845</v>
      </c>
      <c r="H814" s="440">
        <f t="shared" si="299"/>
        <v>44.757999421829709</v>
      </c>
      <c r="I814" s="441"/>
      <c r="J814" s="440">
        <v>31.640629691122349</v>
      </c>
      <c r="K814" s="440">
        <v>13.819542093957025</v>
      </c>
      <c r="L814" s="440">
        <f t="shared" si="300"/>
        <v>45.460171785079375</v>
      </c>
      <c r="M814" s="347"/>
      <c r="N814" s="347"/>
    </row>
    <row r="815" spans="1:14" x14ac:dyDescent="0.25">
      <c r="A815" s="362" t="str">
        <f>name!E$11</f>
        <v>Process, plant and machine operatives</v>
      </c>
      <c r="B815" s="440">
        <v>0.63279487333190554</v>
      </c>
      <c r="C815" s="440">
        <v>2.5107886722269619</v>
      </c>
      <c r="D815" s="440">
        <f t="shared" si="298"/>
        <v>3.1435835455588674</v>
      </c>
      <c r="E815" s="441"/>
      <c r="F815" s="440">
        <v>0.37197147438356487</v>
      </c>
      <c r="G815" s="440">
        <v>1.568255123782903</v>
      </c>
      <c r="H815" s="440">
        <f t="shared" si="299"/>
        <v>1.9402265981664679</v>
      </c>
      <c r="I815" s="441"/>
      <c r="J815" s="440">
        <v>0.26774273501810525</v>
      </c>
      <c r="K815" s="440">
        <v>1.7127484737900813</v>
      </c>
      <c r="L815" s="440">
        <f t="shared" si="300"/>
        <v>1.9804912088081865</v>
      </c>
      <c r="M815" s="347"/>
      <c r="N815" s="347"/>
    </row>
    <row r="816" spans="1:14" x14ac:dyDescent="0.25">
      <c r="A816" s="362" t="str">
        <f>name!E$12</f>
        <v>Elementary occupations</v>
      </c>
      <c r="B816" s="440">
        <v>6.1123919288383624</v>
      </c>
      <c r="C816" s="440">
        <v>3.4407103084534807</v>
      </c>
      <c r="D816" s="440">
        <f t="shared" si="298"/>
        <v>9.5531022372918422</v>
      </c>
      <c r="E816" s="441"/>
      <c r="F816" s="440">
        <v>1.175522457918547</v>
      </c>
      <c r="G816" s="440">
        <v>2.4112226512154189</v>
      </c>
      <c r="H816" s="440">
        <f t="shared" si="299"/>
        <v>3.5867451091339659</v>
      </c>
      <c r="I816" s="441"/>
      <c r="J816" s="440">
        <v>0.95877830254385477</v>
      </c>
      <c r="K816" s="440">
        <v>2.5068436073171112</v>
      </c>
      <c r="L816" s="440">
        <f t="shared" si="300"/>
        <v>3.4656219098609657</v>
      </c>
      <c r="M816" s="347"/>
      <c r="N816" s="347"/>
    </row>
    <row r="817" spans="1:14" s="286" customFormat="1" x14ac:dyDescent="0.25">
      <c r="A817" s="362"/>
      <c r="B817" s="440"/>
      <c r="C817" s="440"/>
      <c r="D817" s="440"/>
      <c r="E817" s="441"/>
      <c r="F817" s="440"/>
      <c r="G817" s="440"/>
      <c r="H817" s="440"/>
      <c r="I817" s="441"/>
      <c r="J817" s="440"/>
      <c r="K817" s="440"/>
      <c r="L817" s="440"/>
      <c r="M817" s="347"/>
      <c r="N817" s="347"/>
    </row>
    <row r="818" spans="1:14" x14ac:dyDescent="0.25">
      <c r="A818" s="357" t="s">
        <v>32</v>
      </c>
      <c r="B818" s="450">
        <f>SUM(B808:B816)</f>
        <v>334.1189999980154</v>
      </c>
      <c r="C818" s="450">
        <f t="shared" ref="C818:D818" si="301">SUM(C808:C816)</f>
        <v>304.28200000106932</v>
      </c>
      <c r="D818" s="450">
        <f t="shared" si="301"/>
        <v>638.40099999908466</v>
      </c>
      <c r="E818" s="450"/>
      <c r="F818" s="450">
        <f t="shared" ref="F818:H818" si="302">SUM(F808:F816)</f>
        <v>247.2309999987265</v>
      </c>
      <c r="G818" s="450">
        <f t="shared" si="302"/>
        <v>266.73799999790822</v>
      </c>
      <c r="H818" s="450">
        <f t="shared" si="302"/>
        <v>513.96899999663469</v>
      </c>
      <c r="I818" s="450"/>
      <c r="J818" s="450">
        <f t="shared" ref="J818:L818" si="303">SUM(J808:J816)</f>
        <v>239.5619999987118</v>
      </c>
      <c r="K818" s="450">
        <f t="shared" si="303"/>
        <v>271.58999999831872</v>
      </c>
      <c r="L818" s="450">
        <f t="shared" si="303"/>
        <v>511.15199999703049</v>
      </c>
      <c r="M818" s="347"/>
      <c r="N818" s="347"/>
    </row>
    <row r="819" spans="1:14" x14ac:dyDescent="0.25">
      <c r="A819" s="348"/>
      <c r="B819" s="348"/>
      <c r="C819" s="348"/>
      <c r="D819" s="348"/>
      <c r="E819" s="348"/>
      <c r="F819" s="348"/>
      <c r="G819" s="348"/>
      <c r="H819" s="348"/>
      <c r="I819" s="348"/>
      <c r="J819" s="348"/>
      <c r="K819" s="348"/>
      <c r="L819" s="353"/>
      <c r="M819" s="347"/>
      <c r="N819" s="347"/>
    </row>
    <row r="820" spans="1:14" x14ac:dyDescent="0.25">
      <c r="A820" s="348"/>
      <c r="B820" s="348"/>
      <c r="C820" s="348"/>
      <c r="D820" s="348"/>
      <c r="E820" s="348"/>
      <c r="F820" s="348"/>
      <c r="G820" s="348"/>
      <c r="H820" s="348"/>
      <c r="I820" s="348"/>
      <c r="J820" s="348"/>
      <c r="K820" s="348"/>
      <c r="L820" s="372" t="s">
        <v>35</v>
      </c>
      <c r="M820" s="347"/>
      <c r="N820" s="347"/>
    </row>
    <row r="821" spans="1:14" x14ac:dyDescent="0.25">
      <c r="A821" s="355"/>
      <c r="B821" s="365"/>
      <c r="C821" s="365"/>
      <c r="D821" s="365"/>
      <c r="E821" s="365"/>
      <c r="F821" s="365"/>
      <c r="G821" s="365"/>
      <c r="H821" s="365"/>
      <c r="I821" s="365"/>
      <c r="J821" s="365"/>
      <c r="K821" s="365"/>
      <c r="L821" s="347"/>
      <c r="M821" s="347"/>
      <c r="N821" s="347"/>
    </row>
    <row r="822" spans="1:14" x14ac:dyDescent="0.25">
      <c r="A822" s="354" t="str">
        <f>name!A51</f>
        <v>Insurance and pensions</v>
      </c>
      <c r="B822" s="515">
        <f>B$6</f>
        <v>2007</v>
      </c>
      <c r="C822" s="515"/>
      <c r="D822" s="515"/>
      <c r="E822" s="369"/>
      <c r="F822" s="515">
        <f>F$6</f>
        <v>2017</v>
      </c>
      <c r="G822" s="515"/>
      <c r="H822" s="515"/>
      <c r="I822" s="369"/>
      <c r="J822" s="515">
        <f>J$6</f>
        <v>2027</v>
      </c>
      <c r="K822" s="515"/>
      <c r="L822" s="515"/>
      <c r="M822" s="347"/>
      <c r="N822" s="347"/>
    </row>
    <row r="823" spans="1:14" x14ac:dyDescent="0.25">
      <c r="A823" s="370"/>
      <c r="B823" s="371" t="s">
        <v>387</v>
      </c>
      <c r="C823" s="371" t="s">
        <v>388</v>
      </c>
      <c r="D823" s="371" t="s">
        <v>32</v>
      </c>
      <c r="E823" s="371"/>
      <c r="F823" s="371" t="s">
        <v>387</v>
      </c>
      <c r="G823" s="371" t="s">
        <v>388</v>
      </c>
      <c r="H823" s="371" t="s">
        <v>32</v>
      </c>
      <c r="I823" s="371"/>
      <c r="J823" s="371" t="s">
        <v>387</v>
      </c>
      <c r="K823" s="371" t="s">
        <v>388</v>
      </c>
      <c r="L823" s="371" t="s">
        <v>32</v>
      </c>
      <c r="M823" s="347"/>
      <c r="N823" s="347"/>
    </row>
    <row r="824" spans="1:14" s="286" customFormat="1" x14ac:dyDescent="0.25">
      <c r="A824" s="374"/>
      <c r="B824" s="375"/>
      <c r="C824" s="375"/>
      <c r="D824" s="375"/>
      <c r="E824" s="375"/>
      <c r="F824" s="375"/>
      <c r="G824" s="375"/>
      <c r="H824" s="375"/>
      <c r="I824" s="375"/>
      <c r="J824" s="375"/>
      <c r="K824" s="375"/>
      <c r="L824" s="375"/>
      <c r="M824" s="347"/>
      <c r="N824" s="347"/>
    </row>
    <row r="825" spans="1:14" x14ac:dyDescent="0.25">
      <c r="A825" s="362" t="str">
        <f>name!E$4</f>
        <v>Managers, directors and senior officials</v>
      </c>
      <c r="B825" s="440">
        <v>5.7113662659792741</v>
      </c>
      <c r="C825" s="440">
        <v>7.6467674106884376</v>
      </c>
      <c r="D825" s="440">
        <f>SUM(B825:C825)</f>
        <v>13.358133676667713</v>
      </c>
      <c r="E825" s="441"/>
      <c r="F825" s="440">
        <v>6.1897478640530297</v>
      </c>
      <c r="G825" s="440">
        <v>6.1410172692243243</v>
      </c>
      <c r="H825" s="440">
        <f>SUM(F825:G825)</f>
        <v>12.330765133277353</v>
      </c>
      <c r="I825" s="441"/>
      <c r="J825" s="440">
        <v>6.9736899898473643</v>
      </c>
      <c r="K825" s="440">
        <v>6.2716111519921816</v>
      </c>
      <c r="L825" s="440">
        <f>SUM(J825:K825)</f>
        <v>13.245301141839546</v>
      </c>
      <c r="M825" s="347"/>
      <c r="N825" s="347"/>
    </row>
    <row r="826" spans="1:14" x14ac:dyDescent="0.25">
      <c r="A826" s="362" t="str">
        <f>name!E$5</f>
        <v>Professional occupations</v>
      </c>
      <c r="B826" s="440">
        <v>13.079348104167472</v>
      </c>
      <c r="C826" s="440">
        <v>10.786452585853599</v>
      </c>
      <c r="D826" s="440">
        <f t="shared" ref="D826:D833" si="304">SUM(B826:C826)</f>
        <v>23.865800690021072</v>
      </c>
      <c r="E826" s="441"/>
      <c r="F826" s="440">
        <v>11.365426694799531</v>
      </c>
      <c r="G826" s="440">
        <v>8.8440974380076334</v>
      </c>
      <c r="H826" s="440">
        <f t="shared" ref="H826:H833" si="305">SUM(F826:G826)</f>
        <v>20.209524132807164</v>
      </c>
      <c r="I826" s="441"/>
      <c r="J826" s="440">
        <v>12.841980302226661</v>
      </c>
      <c r="K826" s="440">
        <v>9.1642781676125384</v>
      </c>
      <c r="L826" s="440">
        <f t="shared" ref="L826:L833" si="306">SUM(J826:K826)</f>
        <v>22.006258469839199</v>
      </c>
      <c r="M826" s="347"/>
      <c r="N826" s="347"/>
    </row>
    <row r="827" spans="1:14" x14ac:dyDescent="0.25">
      <c r="A827" s="362" t="str">
        <f>name!E$6</f>
        <v>Associate professional and technical</v>
      </c>
      <c r="B827" s="440">
        <v>19.778551048970961</v>
      </c>
      <c r="C827" s="440">
        <v>18.734578578216983</v>
      </c>
      <c r="D827" s="440">
        <f t="shared" si="304"/>
        <v>38.513129627187944</v>
      </c>
      <c r="E827" s="441"/>
      <c r="F827" s="440">
        <v>14.736460782692056</v>
      </c>
      <c r="G827" s="440">
        <v>15.278769351097532</v>
      </c>
      <c r="H827" s="440">
        <f t="shared" si="305"/>
        <v>30.015230133789586</v>
      </c>
      <c r="I827" s="441"/>
      <c r="J827" s="440">
        <v>15.958752720565146</v>
      </c>
      <c r="K827" s="440">
        <v>14.441940070905225</v>
      </c>
      <c r="L827" s="440">
        <f t="shared" si="306"/>
        <v>30.40069279147037</v>
      </c>
      <c r="M827" s="347"/>
      <c r="N827" s="347"/>
    </row>
    <row r="828" spans="1:14" x14ac:dyDescent="0.25">
      <c r="A828" s="362" t="str">
        <f>name!E$7</f>
        <v>Administrative and secretarial</v>
      </c>
      <c r="B828" s="440">
        <v>32.045822715460112</v>
      </c>
      <c r="C828" s="440">
        <v>12.219456264309949</v>
      </c>
      <c r="D828" s="440">
        <f t="shared" si="304"/>
        <v>44.265278979770059</v>
      </c>
      <c r="E828" s="441"/>
      <c r="F828" s="440">
        <v>17.769954946093517</v>
      </c>
      <c r="G828" s="440">
        <v>10.762474347908976</v>
      </c>
      <c r="H828" s="440">
        <f t="shared" si="305"/>
        <v>28.53242929400249</v>
      </c>
      <c r="I828" s="441"/>
      <c r="J828" s="440">
        <v>12.530432700135032</v>
      </c>
      <c r="K828" s="440">
        <v>10.407713731502929</v>
      </c>
      <c r="L828" s="440">
        <f t="shared" si="306"/>
        <v>22.938146431637961</v>
      </c>
      <c r="M828" s="347"/>
      <c r="N828" s="347"/>
    </row>
    <row r="829" spans="1:14" x14ac:dyDescent="0.25">
      <c r="A829" s="362" t="str">
        <f>name!E$8</f>
        <v>Skilled trades occupations</v>
      </c>
      <c r="B829" s="440">
        <v>0.77200525513100338</v>
      </c>
      <c r="C829" s="440">
        <v>2.8690023400688727</v>
      </c>
      <c r="D829" s="440">
        <f t="shared" si="304"/>
        <v>3.6410075951998762</v>
      </c>
      <c r="E829" s="441"/>
      <c r="F829" s="440">
        <v>0.68464908052814399</v>
      </c>
      <c r="G829" s="440">
        <v>1.7350411315306249</v>
      </c>
      <c r="H829" s="440">
        <f t="shared" si="305"/>
        <v>2.4196902120587689</v>
      </c>
      <c r="I829" s="441"/>
      <c r="J829" s="440">
        <v>0.51168538546542297</v>
      </c>
      <c r="K829" s="440">
        <v>1.5440353401245195</v>
      </c>
      <c r="L829" s="440">
        <f t="shared" si="306"/>
        <v>2.0557207255899423</v>
      </c>
      <c r="M829" s="347"/>
      <c r="N829" s="347"/>
    </row>
    <row r="830" spans="1:14" x14ac:dyDescent="0.25">
      <c r="A830" s="362" t="str">
        <f>name!E$9</f>
        <v>Caring, leisure and other service</v>
      </c>
      <c r="B830" s="440">
        <v>2.3129194209311312</v>
      </c>
      <c r="C830" s="440">
        <v>1.5703377346763296</v>
      </c>
      <c r="D830" s="440">
        <f t="shared" si="304"/>
        <v>3.8832571556074607</v>
      </c>
      <c r="E830" s="441"/>
      <c r="F830" s="440">
        <v>2.1143502574221444</v>
      </c>
      <c r="G830" s="440">
        <v>1.6214554099833733</v>
      </c>
      <c r="H830" s="440">
        <f t="shared" si="305"/>
        <v>3.7358056674055176</v>
      </c>
      <c r="I830" s="441"/>
      <c r="J830" s="440">
        <v>2.1320718289470673</v>
      </c>
      <c r="K830" s="440">
        <v>1.9059372262851311</v>
      </c>
      <c r="L830" s="440">
        <f t="shared" si="306"/>
        <v>4.0380090552321981</v>
      </c>
      <c r="M830" s="347"/>
      <c r="N830" s="347"/>
    </row>
    <row r="831" spans="1:14" x14ac:dyDescent="0.25">
      <c r="A831" s="362" t="str">
        <f>name!E$10</f>
        <v>Sales and customer service</v>
      </c>
      <c r="B831" s="440">
        <v>11.609999900451028</v>
      </c>
      <c r="C831" s="440">
        <v>6.8939073971676796</v>
      </c>
      <c r="D831" s="440">
        <f t="shared" si="304"/>
        <v>18.503907297618706</v>
      </c>
      <c r="E831" s="441"/>
      <c r="F831" s="440">
        <v>9.5766999808659836</v>
      </c>
      <c r="G831" s="440">
        <v>6.3805174383380567</v>
      </c>
      <c r="H831" s="440">
        <f t="shared" si="305"/>
        <v>15.95721741920404</v>
      </c>
      <c r="I831" s="441"/>
      <c r="J831" s="440">
        <v>8.8275664452180749</v>
      </c>
      <c r="K831" s="440">
        <v>6.4241652965961498</v>
      </c>
      <c r="L831" s="440">
        <f t="shared" si="306"/>
        <v>15.251731741814226</v>
      </c>
      <c r="M831" s="347"/>
      <c r="N831" s="347"/>
    </row>
    <row r="832" spans="1:14" x14ac:dyDescent="0.25">
      <c r="A832" s="362" t="str">
        <f>name!E$11</f>
        <v>Process, plant and machine operatives</v>
      </c>
      <c r="B832" s="440">
        <v>0.30791695532757724</v>
      </c>
      <c r="C832" s="440">
        <v>0.6543045332888261</v>
      </c>
      <c r="D832" s="440">
        <f t="shared" si="304"/>
        <v>0.96222148861640333</v>
      </c>
      <c r="E832" s="441"/>
      <c r="F832" s="440">
        <v>0.20672833720402564</v>
      </c>
      <c r="G832" s="440">
        <v>0.50068870214693384</v>
      </c>
      <c r="H832" s="440">
        <f t="shared" si="305"/>
        <v>0.70741703935095945</v>
      </c>
      <c r="I832" s="441"/>
      <c r="J832" s="440">
        <v>0.13805794381753805</v>
      </c>
      <c r="K832" s="440">
        <v>0.49371213850210244</v>
      </c>
      <c r="L832" s="440">
        <f t="shared" si="306"/>
        <v>0.63177008231964049</v>
      </c>
      <c r="M832" s="347"/>
      <c r="N832" s="347"/>
    </row>
    <row r="833" spans="1:14" x14ac:dyDescent="0.25">
      <c r="A833" s="362" t="str">
        <f>name!E$12</f>
        <v>Elementary occupations</v>
      </c>
      <c r="B833" s="440">
        <v>1.0000703330162903</v>
      </c>
      <c r="C833" s="440">
        <v>0.83819315573548847</v>
      </c>
      <c r="D833" s="440">
        <f t="shared" si="304"/>
        <v>1.8382634887517788</v>
      </c>
      <c r="E833" s="441"/>
      <c r="F833" s="440">
        <v>0.65198205592196967</v>
      </c>
      <c r="G833" s="440">
        <v>0.78593891143339822</v>
      </c>
      <c r="H833" s="440">
        <f t="shared" si="305"/>
        <v>1.4379209673553679</v>
      </c>
      <c r="I833" s="441"/>
      <c r="J833" s="440">
        <v>0.48976268345664098</v>
      </c>
      <c r="K833" s="440">
        <v>0.8116068764722798</v>
      </c>
      <c r="L833" s="440">
        <f t="shared" si="306"/>
        <v>1.3013695599289208</v>
      </c>
      <c r="M833" s="347"/>
      <c r="N833" s="347"/>
    </row>
    <row r="834" spans="1:14" s="286" customFormat="1" x14ac:dyDescent="0.25">
      <c r="A834" s="362"/>
      <c r="B834" s="440"/>
      <c r="C834" s="440"/>
      <c r="D834" s="440"/>
      <c r="E834" s="441"/>
      <c r="F834" s="440"/>
      <c r="G834" s="440"/>
      <c r="H834" s="440"/>
      <c r="I834" s="441"/>
      <c r="J834" s="440"/>
      <c r="K834" s="440"/>
      <c r="L834" s="440"/>
      <c r="M834" s="347"/>
      <c r="N834" s="347"/>
    </row>
    <row r="835" spans="1:14" x14ac:dyDescent="0.25">
      <c r="A835" s="357" t="s">
        <v>32</v>
      </c>
      <c r="B835" s="450">
        <f>SUM(B825:B833)</f>
        <v>86.617999999434858</v>
      </c>
      <c r="C835" s="450">
        <f t="shared" ref="C835:D835" si="307">SUM(C825:C833)</f>
        <v>62.213000000006161</v>
      </c>
      <c r="D835" s="450">
        <f t="shared" si="307"/>
        <v>148.83099999944099</v>
      </c>
      <c r="E835" s="450"/>
      <c r="F835" s="450">
        <f t="shared" ref="F835:H835" si="308">SUM(F825:F833)</f>
        <v>63.29599999958041</v>
      </c>
      <c r="G835" s="450">
        <f t="shared" si="308"/>
        <v>52.049999999670852</v>
      </c>
      <c r="H835" s="450">
        <f t="shared" si="308"/>
        <v>115.34599999925125</v>
      </c>
      <c r="I835" s="450"/>
      <c r="J835" s="450">
        <f t="shared" ref="J835:L835" si="309">SUM(J825:J833)</f>
        <v>60.403999999678938</v>
      </c>
      <c r="K835" s="450">
        <f t="shared" si="309"/>
        <v>51.464999999993061</v>
      </c>
      <c r="L835" s="450">
        <f t="shared" si="309"/>
        <v>111.86899999967198</v>
      </c>
      <c r="M835" s="347"/>
      <c r="N835" s="347"/>
    </row>
    <row r="836" spans="1:14" x14ac:dyDescent="0.25">
      <c r="A836" s="348"/>
      <c r="B836" s="348"/>
      <c r="C836" s="348"/>
      <c r="D836" s="348"/>
      <c r="E836" s="348"/>
      <c r="F836" s="348"/>
      <c r="G836" s="348"/>
      <c r="H836" s="348"/>
      <c r="I836" s="348"/>
      <c r="J836" s="348"/>
      <c r="K836" s="348"/>
      <c r="L836" s="353"/>
      <c r="M836" s="347"/>
      <c r="N836" s="347"/>
    </row>
    <row r="837" spans="1:14" x14ac:dyDescent="0.25">
      <c r="A837" s="348"/>
      <c r="B837" s="348"/>
      <c r="C837" s="348"/>
      <c r="D837" s="348"/>
      <c r="E837" s="348"/>
      <c r="F837" s="348"/>
      <c r="G837" s="348"/>
      <c r="H837" s="348"/>
      <c r="I837" s="348"/>
      <c r="J837" s="348"/>
      <c r="K837" s="348"/>
      <c r="L837" s="372" t="s">
        <v>35</v>
      </c>
      <c r="M837" s="347"/>
      <c r="N837" s="347"/>
    </row>
    <row r="838" spans="1:14" x14ac:dyDescent="0.25">
      <c r="A838" s="355"/>
      <c r="B838" s="365"/>
      <c r="C838" s="365"/>
      <c r="D838" s="365"/>
      <c r="E838" s="365"/>
      <c r="F838" s="365"/>
      <c r="G838" s="365"/>
      <c r="H838" s="365"/>
      <c r="I838" s="365"/>
      <c r="J838" s="365"/>
      <c r="K838" s="365"/>
      <c r="L838" s="347"/>
      <c r="M838" s="347"/>
      <c r="N838" s="347"/>
    </row>
    <row r="839" spans="1:14" x14ac:dyDescent="0.25">
      <c r="A839" s="354" t="str">
        <f>name!A52</f>
        <v>Auxiliary financial services</v>
      </c>
      <c r="B839" s="515">
        <f>B$6</f>
        <v>2007</v>
      </c>
      <c r="C839" s="515"/>
      <c r="D839" s="515"/>
      <c r="E839" s="369"/>
      <c r="F839" s="515">
        <f>F$6</f>
        <v>2017</v>
      </c>
      <c r="G839" s="515"/>
      <c r="H839" s="515"/>
      <c r="I839" s="369"/>
      <c r="J839" s="515">
        <f>J$6</f>
        <v>2027</v>
      </c>
      <c r="K839" s="515"/>
      <c r="L839" s="515"/>
      <c r="M839" s="347"/>
      <c r="N839" s="347"/>
    </row>
    <row r="840" spans="1:14" x14ac:dyDescent="0.25">
      <c r="A840" s="370"/>
      <c r="B840" s="371" t="s">
        <v>387</v>
      </c>
      <c r="C840" s="371" t="s">
        <v>388</v>
      </c>
      <c r="D840" s="371" t="s">
        <v>32</v>
      </c>
      <c r="E840" s="371"/>
      <c r="F840" s="371" t="s">
        <v>387</v>
      </c>
      <c r="G840" s="371" t="s">
        <v>388</v>
      </c>
      <c r="H840" s="371" t="s">
        <v>32</v>
      </c>
      <c r="I840" s="371"/>
      <c r="J840" s="371" t="s">
        <v>387</v>
      </c>
      <c r="K840" s="371" t="s">
        <v>388</v>
      </c>
      <c r="L840" s="371" t="s">
        <v>32</v>
      </c>
      <c r="M840" s="347"/>
      <c r="N840" s="347"/>
    </row>
    <row r="841" spans="1:14" s="286" customFormat="1" x14ac:dyDescent="0.25">
      <c r="A841" s="374"/>
      <c r="B841" s="375"/>
      <c r="C841" s="375"/>
      <c r="D841" s="375"/>
      <c r="E841" s="375"/>
      <c r="F841" s="375"/>
      <c r="G841" s="375"/>
      <c r="H841" s="375"/>
      <c r="I841" s="375"/>
      <c r="J841" s="375"/>
      <c r="K841" s="375"/>
      <c r="L841" s="375"/>
      <c r="M841" s="347"/>
      <c r="N841" s="347"/>
    </row>
    <row r="842" spans="1:14" x14ac:dyDescent="0.25">
      <c r="A842" s="362" t="str">
        <f>name!E$4</f>
        <v>Managers, directors and senior officials</v>
      </c>
      <c r="B842" s="440">
        <v>12.738707842339922</v>
      </c>
      <c r="C842" s="440">
        <v>32.239946290336491</v>
      </c>
      <c r="D842" s="440">
        <f>SUM(B842:C842)</f>
        <v>44.978654132676411</v>
      </c>
      <c r="E842" s="441"/>
      <c r="F842" s="440">
        <v>24.663715533367441</v>
      </c>
      <c r="G842" s="440">
        <v>55.059655707997713</v>
      </c>
      <c r="H842" s="440">
        <f>SUM(F842:G842)</f>
        <v>79.723371241365157</v>
      </c>
      <c r="I842" s="441"/>
      <c r="J842" s="440">
        <v>29.304751483529305</v>
      </c>
      <c r="K842" s="440">
        <v>58.347747459623278</v>
      </c>
      <c r="L842" s="440">
        <f>SUM(J842:K842)</f>
        <v>87.65249894315258</v>
      </c>
      <c r="M842" s="347"/>
      <c r="N842" s="347"/>
    </row>
    <row r="843" spans="1:14" x14ac:dyDescent="0.25">
      <c r="A843" s="362" t="str">
        <f>name!E$5</f>
        <v>Professional occupations</v>
      </c>
      <c r="B843" s="440">
        <v>17.559309325045565</v>
      </c>
      <c r="C843" s="440">
        <v>34.69776432231879</v>
      </c>
      <c r="D843" s="440">
        <f t="shared" ref="D843:D850" si="310">SUM(B843:C843)</f>
        <v>52.257073647364351</v>
      </c>
      <c r="E843" s="441"/>
      <c r="F843" s="440">
        <v>33.919620422509766</v>
      </c>
      <c r="G843" s="440">
        <v>50.786810488944397</v>
      </c>
      <c r="H843" s="440">
        <f t="shared" ref="H843:H850" si="311">SUM(F843:G843)</f>
        <v>84.706430911454163</v>
      </c>
      <c r="I843" s="441"/>
      <c r="J843" s="440">
        <v>39.229869817651775</v>
      </c>
      <c r="K843" s="440">
        <v>51.965321251393213</v>
      </c>
      <c r="L843" s="440">
        <f t="shared" ref="L843:L850" si="312">SUM(J843:K843)</f>
        <v>91.195191069044995</v>
      </c>
      <c r="M843" s="347"/>
      <c r="N843" s="347"/>
    </row>
    <row r="844" spans="1:14" x14ac:dyDescent="0.25">
      <c r="A844" s="362" t="str">
        <f>name!E$6</f>
        <v>Associate professional and technical</v>
      </c>
      <c r="B844" s="440">
        <v>45.83912366184385</v>
      </c>
      <c r="C844" s="440">
        <v>73.878018408654171</v>
      </c>
      <c r="D844" s="440">
        <f t="shared" si="310"/>
        <v>119.71714207049803</v>
      </c>
      <c r="E844" s="441"/>
      <c r="F844" s="440">
        <v>67.080692873736737</v>
      </c>
      <c r="G844" s="440">
        <v>105.88798341966991</v>
      </c>
      <c r="H844" s="440">
        <f t="shared" si="311"/>
        <v>172.96867629340665</v>
      </c>
      <c r="I844" s="441"/>
      <c r="J844" s="440">
        <v>75.792601926831054</v>
      </c>
      <c r="K844" s="440">
        <v>105.01435175411852</v>
      </c>
      <c r="L844" s="440">
        <f t="shared" si="312"/>
        <v>180.80695368094956</v>
      </c>
      <c r="M844" s="347"/>
      <c r="N844" s="347"/>
    </row>
    <row r="845" spans="1:14" x14ac:dyDescent="0.25">
      <c r="A845" s="362" t="str">
        <f>name!E$7</f>
        <v>Administrative and secretarial</v>
      </c>
      <c r="B845" s="440">
        <v>94.336698479404347</v>
      </c>
      <c r="C845" s="440">
        <v>27.014260966168596</v>
      </c>
      <c r="D845" s="440">
        <f t="shared" si="310"/>
        <v>121.35095944557294</v>
      </c>
      <c r="E845" s="441"/>
      <c r="F845" s="440">
        <v>87.472841062794529</v>
      </c>
      <c r="G845" s="440">
        <v>26.490548133126776</v>
      </c>
      <c r="H845" s="440">
        <f t="shared" si="311"/>
        <v>113.96338919592131</v>
      </c>
      <c r="I845" s="441"/>
      <c r="J845" s="440">
        <v>63.13102710417995</v>
      </c>
      <c r="K845" s="440">
        <v>24.639356279924197</v>
      </c>
      <c r="L845" s="440">
        <f t="shared" si="312"/>
        <v>87.77038338410415</v>
      </c>
      <c r="M845" s="347"/>
      <c r="N845" s="347"/>
    </row>
    <row r="846" spans="1:14" x14ac:dyDescent="0.25">
      <c r="A846" s="362" t="str">
        <f>name!E$8</f>
        <v>Skilled trades occupations</v>
      </c>
      <c r="B846" s="440">
        <v>1.9640699998030919</v>
      </c>
      <c r="C846" s="440">
        <v>2.7674575524036493</v>
      </c>
      <c r="D846" s="440">
        <f t="shared" si="310"/>
        <v>4.7315275522067415</v>
      </c>
      <c r="E846" s="441"/>
      <c r="F846" s="440">
        <v>1.3938961162707477</v>
      </c>
      <c r="G846" s="440">
        <v>5.8232897782929758</v>
      </c>
      <c r="H846" s="440">
        <f t="shared" si="311"/>
        <v>7.2171858945637233</v>
      </c>
      <c r="I846" s="441"/>
      <c r="J846" s="440">
        <v>1.1314095883133504</v>
      </c>
      <c r="K846" s="440">
        <v>5.3252351267140572</v>
      </c>
      <c r="L846" s="440">
        <f t="shared" si="312"/>
        <v>6.4566447150274078</v>
      </c>
      <c r="M846" s="347"/>
      <c r="N846" s="347"/>
    </row>
    <row r="847" spans="1:14" x14ac:dyDescent="0.25">
      <c r="A847" s="362" t="str">
        <f>name!E$9</f>
        <v>Caring, leisure and other service</v>
      </c>
      <c r="B847" s="440">
        <v>0.65545474034976292</v>
      </c>
      <c r="C847" s="440">
        <v>0.61670947306919588</v>
      </c>
      <c r="D847" s="440">
        <f t="shared" si="310"/>
        <v>1.2721642134189588</v>
      </c>
      <c r="E847" s="441"/>
      <c r="F847" s="440">
        <v>1.436810135052367</v>
      </c>
      <c r="G847" s="440">
        <v>1.1877354212733953</v>
      </c>
      <c r="H847" s="440">
        <f t="shared" si="311"/>
        <v>2.6245455563257623</v>
      </c>
      <c r="I847" s="441"/>
      <c r="J847" s="440">
        <v>1.3623766367715409</v>
      </c>
      <c r="K847" s="440">
        <v>1.3609894869687591</v>
      </c>
      <c r="L847" s="440">
        <f t="shared" si="312"/>
        <v>2.7233661237403002</v>
      </c>
      <c r="M847" s="347"/>
      <c r="N847" s="347"/>
    </row>
    <row r="848" spans="1:14" x14ac:dyDescent="0.25">
      <c r="A848" s="362" t="str">
        <f>name!E$10</f>
        <v>Sales and customer service</v>
      </c>
      <c r="B848" s="440">
        <v>24.181845906429817</v>
      </c>
      <c r="C848" s="440">
        <v>15.779770174962596</v>
      </c>
      <c r="D848" s="440">
        <f t="shared" si="310"/>
        <v>39.961616081392414</v>
      </c>
      <c r="E848" s="441"/>
      <c r="F848" s="440">
        <v>18.059982961411592</v>
      </c>
      <c r="G848" s="440">
        <v>12.934809145463973</v>
      </c>
      <c r="H848" s="440">
        <f t="shared" si="311"/>
        <v>30.994792106875565</v>
      </c>
      <c r="I848" s="441"/>
      <c r="J848" s="440">
        <v>17.395106758126087</v>
      </c>
      <c r="K848" s="440">
        <v>13.349199318183741</v>
      </c>
      <c r="L848" s="440">
        <f t="shared" si="312"/>
        <v>30.744306076309826</v>
      </c>
      <c r="M848" s="347"/>
      <c r="N848" s="347"/>
    </row>
    <row r="849" spans="1:14" x14ac:dyDescent="0.25">
      <c r="A849" s="362" t="str">
        <f>name!E$11</f>
        <v>Process, plant and machine operatives</v>
      </c>
      <c r="B849" s="440">
        <v>0.71585933487024567</v>
      </c>
      <c r="C849" s="440">
        <v>3.0500759149668495</v>
      </c>
      <c r="D849" s="440">
        <f t="shared" si="310"/>
        <v>3.7659352498370953</v>
      </c>
      <c r="E849" s="441"/>
      <c r="F849" s="440">
        <v>0.93065266815943049</v>
      </c>
      <c r="G849" s="440">
        <v>4.4922458762477371</v>
      </c>
      <c r="H849" s="440">
        <f t="shared" si="311"/>
        <v>5.4228985444071673</v>
      </c>
      <c r="I849" s="441"/>
      <c r="J849" s="440">
        <v>0.85211558264663045</v>
      </c>
      <c r="K849" s="440">
        <v>4.5915639674010853</v>
      </c>
      <c r="L849" s="440">
        <f t="shared" si="312"/>
        <v>5.4436795500477153</v>
      </c>
      <c r="M849" s="347"/>
      <c r="N849" s="347"/>
    </row>
    <row r="850" spans="1:14" x14ac:dyDescent="0.25">
      <c r="A850" s="362" t="str">
        <f>name!E$12</f>
        <v>Elementary occupations</v>
      </c>
      <c r="B850" s="440">
        <v>3.2639307083401117</v>
      </c>
      <c r="C850" s="440">
        <v>1.4699968979800773</v>
      </c>
      <c r="D850" s="440">
        <f t="shared" si="310"/>
        <v>4.7339276063201892</v>
      </c>
      <c r="E850" s="441"/>
      <c r="F850" s="440">
        <v>3.171788224859958</v>
      </c>
      <c r="G850" s="440">
        <v>3.9309220268146579</v>
      </c>
      <c r="H850" s="440">
        <f t="shared" si="311"/>
        <v>7.1027102516746154</v>
      </c>
      <c r="I850" s="441"/>
      <c r="J850" s="440">
        <v>2.8427411005481171</v>
      </c>
      <c r="K850" s="440">
        <v>3.975235353682903</v>
      </c>
      <c r="L850" s="440">
        <f t="shared" si="312"/>
        <v>6.8179764542310206</v>
      </c>
      <c r="M850" s="347"/>
      <c r="N850" s="347"/>
    </row>
    <row r="851" spans="1:14" s="286" customFormat="1" x14ac:dyDescent="0.25">
      <c r="A851" s="362"/>
      <c r="B851" s="440"/>
      <c r="C851" s="440"/>
      <c r="D851" s="440"/>
      <c r="E851" s="441"/>
      <c r="F851" s="440"/>
      <c r="G851" s="440"/>
      <c r="H851" s="440"/>
      <c r="I851" s="441"/>
      <c r="J851" s="440"/>
      <c r="K851" s="440"/>
      <c r="L851" s="440"/>
      <c r="M851" s="347"/>
      <c r="N851" s="347"/>
    </row>
    <row r="852" spans="1:14" x14ac:dyDescent="0.25">
      <c r="A852" s="357" t="s">
        <v>32</v>
      </c>
      <c r="B852" s="450">
        <f>SUM(B842:B850)</f>
        <v>201.25499999842671</v>
      </c>
      <c r="C852" s="450">
        <f t="shared" ref="C852:D852" si="313">SUM(C842:C850)</f>
        <v>191.51400000086039</v>
      </c>
      <c r="D852" s="450">
        <f t="shared" si="313"/>
        <v>392.76899999928708</v>
      </c>
      <c r="E852" s="450"/>
      <c r="F852" s="450">
        <f t="shared" ref="F852:H852" si="314">SUM(F842:F850)</f>
        <v>238.12999999816256</v>
      </c>
      <c r="G852" s="450">
        <f t="shared" si="314"/>
        <v>266.59399999783153</v>
      </c>
      <c r="H852" s="450">
        <f t="shared" si="314"/>
        <v>504.72399999599412</v>
      </c>
      <c r="I852" s="450"/>
      <c r="J852" s="450">
        <f t="shared" ref="J852:L852" si="315">SUM(J842:J850)</f>
        <v>231.04199999859782</v>
      </c>
      <c r="K852" s="450">
        <f t="shared" si="315"/>
        <v>268.5689999980097</v>
      </c>
      <c r="L852" s="450">
        <f t="shared" si="315"/>
        <v>499.61099999660752</v>
      </c>
      <c r="M852" s="347"/>
      <c r="N852" s="347"/>
    </row>
    <row r="853" spans="1:14" x14ac:dyDescent="0.25">
      <c r="A853" s="348"/>
      <c r="B853" s="348"/>
      <c r="C853" s="348"/>
      <c r="D853" s="348"/>
      <c r="E853" s="348"/>
      <c r="F853" s="348"/>
      <c r="G853" s="348"/>
      <c r="H853" s="348"/>
      <c r="I853" s="348"/>
      <c r="J853" s="348"/>
      <c r="K853" s="348"/>
      <c r="L853" s="353"/>
      <c r="M853" s="347"/>
      <c r="N853" s="347"/>
    </row>
    <row r="854" spans="1:14" x14ac:dyDescent="0.25">
      <c r="A854" s="348"/>
      <c r="B854" s="348"/>
      <c r="C854" s="348"/>
      <c r="D854" s="348"/>
      <c r="E854" s="348"/>
      <c r="F854" s="348"/>
      <c r="G854" s="348"/>
      <c r="H854" s="348"/>
      <c r="I854" s="348"/>
      <c r="J854" s="348"/>
      <c r="K854" s="348"/>
      <c r="L854" s="372" t="s">
        <v>35</v>
      </c>
      <c r="M854" s="347"/>
      <c r="N854" s="347"/>
    </row>
    <row r="855" spans="1:14" x14ac:dyDescent="0.25">
      <c r="A855" s="355"/>
      <c r="B855" s="365"/>
      <c r="C855" s="365"/>
      <c r="D855" s="365"/>
      <c r="E855" s="365"/>
      <c r="F855" s="365"/>
      <c r="G855" s="365"/>
      <c r="H855" s="365"/>
      <c r="I855" s="365"/>
      <c r="J855" s="365"/>
      <c r="K855" s="365"/>
      <c r="L855" s="347"/>
      <c r="M855" s="347"/>
      <c r="N855" s="347"/>
    </row>
    <row r="856" spans="1:14" x14ac:dyDescent="0.25">
      <c r="A856" s="354" t="str">
        <f>name!A53</f>
        <v>Real estate</v>
      </c>
      <c r="B856" s="515">
        <f>B$6</f>
        <v>2007</v>
      </c>
      <c r="C856" s="515"/>
      <c r="D856" s="515"/>
      <c r="E856" s="369"/>
      <c r="F856" s="515">
        <f>F$6</f>
        <v>2017</v>
      </c>
      <c r="G856" s="515"/>
      <c r="H856" s="515"/>
      <c r="I856" s="369"/>
      <c r="J856" s="515">
        <f>J$6</f>
        <v>2027</v>
      </c>
      <c r="K856" s="515"/>
      <c r="L856" s="515"/>
      <c r="M856" s="347"/>
      <c r="N856" s="347"/>
    </row>
    <row r="857" spans="1:14" x14ac:dyDescent="0.25">
      <c r="A857" s="370"/>
      <c r="B857" s="371" t="s">
        <v>387</v>
      </c>
      <c r="C857" s="371" t="s">
        <v>388</v>
      </c>
      <c r="D857" s="371" t="s">
        <v>32</v>
      </c>
      <c r="E857" s="371"/>
      <c r="F857" s="371" t="s">
        <v>387</v>
      </c>
      <c r="G857" s="371" t="s">
        <v>388</v>
      </c>
      <c r="H857" s="371" t="s">
        <v>32</v>
      </c>
      <c r="I857" s="371"/>
      <c r="J857" s="371" t="s">
        <v>387</v>
      </c>
      <c r="K857" s="371" t="s">
        <v>388</v>
      </c>
      <c r="L857" s="371" t="s">
        <v>32</v>
      </c>
      <c r="M857" s="347"/>
      <c r="N857" s="347"/>
    </row>
    <row r="858" spans="1:14" s="286" customFormat="1" x14ac:dyDescent="0.25">
      <c r="A858" s="374"/>
      <c r="B858" s="375"/>
      <c r="C858" s="375"/>
      <c r="D858" s="375"/>
      <c r="E858" s="375"/>
      <c r="F858" s="375"/>
      <c r="G858" s="375"/>
      <c r="H858" s="375"/>
      <c r="I858" s="375"/>
      <c r="J858" s="375"/>
      <c r="K858" s="375"/>
      <c r="L858" s="375"/>
      <c r="M858" s="347"/>
      <c r="N858" s="347"/>
    </row>
    <row r="859" spans="1:14" x14ac:dyDescent="0.25">
      <c r="A859" s="362" t="str">
        <f>name!E$4</f>
        <v>Managers, directors and senior officials</v>
      </c>
      <c r="B859" s="440">
        <v>28.845704028442341</v>
      </c>
      <c r="C859" s="440">
        <v>54.769970259207973</v>
      </c>
      <c r="D859" s="440">
        <f>SUM(B859:C859)</f>
        <v>83.615674287650307</v>
      </c>
      <c r="E859" s="441"/>
      <c r="F859" s="440">
        <v>49.73827131376062</v>
      </c>
      <c r="G859" s="440">
        <v>66.170705391391053</v>
      </c>
      <c r="H859" s="440">
        <f>SUM(F859:G859)</f>
        <v>115.90897670515167</v>
      </c>
      <c r="I859" s="441"/>
      <c r="J859" s="440">
        <v>54.930357566802691</v>
      </c>
      <c r="K859" s="440">
        <v>74.679737316929788</v>
      </c>
      <c r="L859" s="440">
        <f>SUM(J859:K859)</f>
        <v>129.61009488373247</v>
      </c>
      <c r="M859" s="347"/>
      <c r="N859" s="347"/>
    </row>
    <row r="860" spans="1:14" x14ac:dyDescent="0.25">
      <c r="A860" s="362" t="str">
        <f>name!E$5</f>
        <v>Professional occupations</v>
      </c>
      <c r="B860" s="440">
        <v>35.257489207356933</v>
      </c>
      <c r="C860" s="440">
        <v>36.879634178617209</v>
      </c>
      <c r="D860" s="440">
        <f t="shared" ref="D860:D867" si="316">SUM(B860:C860)</f>
        <v>72.137123385974149</v>
      </c>
      <c r="E860" s="441"/>
      <c r="F860" s="440">
        <v>39.314713037707037</v>
      </c>
      <c r="G860" s="440">
        <v>41.005086954731048</v>
      </c>
      <c r="H860" s="440">
        <f t="shared" ref="H860:H867" si="317">SUM(F860:G860)</f>
        <v>80.319799992438078</v>
      </c>
      <c r="I860" s="441"/>
      <c r="J860" s="440">
        <v>45.014938254513254</v>
      </c>
      <c r="K860" s="440">
        <v>44.389449835158622</v>
      </c>
      <c r="L860" s="440">
        <f t="shared" ref="L860:L867" si="318">SUM(J860:K860)</f>
        <v>89.404388089671869</v>
      </c>
      <c r="M860" s="347"/>
      <c r="N860" s="347"/>
    </row>
    <row r="861" spans="1:14" x14ac:dyDescent="0.25">
      <c r="A861" s="362" t="str">
        <f>name!E$6</f>
        <v>Associate professional and technical</v>
      </c>
      <c r="B861" s="440">
        <v>31.800121317620796</v>
      </c>
      <c r="C861" s="440">
        <v>43.474500336694568</v>
      </c>
      <c r="D861" s="440">
        <f t="shared" si="316"/>
        <v>75.274621654315368</v>
      </c>
      <c r="E861" s="441"/>
      <c r="F861" s="440">
        <v>49.726976645506049</v>
      </c>
      <c r="G861" s="440">
        <v>49.060173254393945</v>
      </c>
      <c r="H861" s="440">
        <f t="shared" si="317"/>
        <v>98.787149899899987</v>
      </c>
      <c r="I861" s="441"/>
      <c r="J861" s="440">
        <v>57.552608749201134</v>
      </c>
      <c r="K861" s="440">
        <v>53.355821389102339</v>
      </c>
      <c r="L861" s="440">
        <f t="shared" si="318"/>
        <v>110.90843013830347</v>
      </c>
      <c r="M861" s="347"/>
      <c r="N861" s="347"/>
    </row>
    <row r="862" spans="1:14" x14ac:dyDescent="0.25">
      <c r="A862" s="362" t="str">
        <f>name!E$7</f>
        <v>Administrative and secretarial</v>
      </c>
      <c r="B862" s="440">
        <v>75.387102484325041</v>
      </c>
      <c r="C862" s="440">
        <v>19.952743853603717</v>
      </c>
      <c r="D862" s="440">
        <f t="shared" si="316"/>
        <v>95.339846337928762</v>
      </c>
      <c r="E862" s="441"/>
      <c r="F862" s="440">
        <v>87.361719531353472</v>
      </c>
      <c r="G862" s="440">
        <v>15.995975662569005</v>
      </c>
      <c r="H862" s="440">
        <f t="shared" si="317"/>
        <v>103.35769519392248</v>
      </c>
      <c r="I862" s="441"/>
      <c r="J862" s="440">
        <v>67.731458477302468</v>
      </c>
      <c r="K862" s="440">
        <v>17.442192707582308</v>
      </c>
      <c r="L862" s="440">
        <f t="shared" si="318"/>
        <v>85.173651184884775</v>
      </c>
      <c r="M862" s="347"/>
      <c r="N862" s="347"/>
    </row>
    <row r="863" spans="1:14" x14ac:dyDescent="0.25">
      <c r="A863" s="362" t="str">
        <f>name!E$8</f>
        <v>Skilled trades occupations</v>
      </c>
      <c r="B863" s="440">
        <v>4.6501445813208084</v>
      </c>
      <c r="C863" s="440">
        <v>24.968497187465516</v>
      </c>
      <c r="D863" s="440">
        <f t="shared" si="316"/>
        <v>29.618641768786325</v>
      </c>
      <c r="E863" s="441"/>
      <c r="F863" s="440">
        <v>8.0652862776218104</v>
      </c>
      <c r="G863" s="440">
        <v>29.896964669015851</v>
      </c>
      <c r="H863" s="440">
        <f t="shared" si="317"/>
        <v>37.96225094663766</v>
      </c>
      <c r="I863" s="441"/>
      <c r="J863" s="440">
        <v>11.988909367690997</v>
      </c>
      <c r="K863" s="440">
        <v>31.282352887313252</v>
      </c>
      <c r="L863" s="440">
        <f t="shared" si="318"/>
        <v>43.271262255004245</v>
      </c>
      <c r="M863" s="347"/>
      <c r="N863" s="347"/>
    </row>
    <row r="864" spans="1:14" x14ac:dyDescent="0.25">
      <c r="A864" s="362" t="str">
        <f>name!E$9</f>
        <v>Caring, leisure and other service</v>
      </c>
      <c r="B864" s="440">
        <v>11.945085291845045</v>
      </c>
      <c r="C864" s="440">
        <v>9.0213081968155091</v>
      </c>
      <c r="D864" s="440">
        <f t="shared" si="316"/>
        <v>20.966393488660554</v>
      </c>
      <c r="E864" s="441"/>
      <c r="F864" s="440">
        <v>10.212116282902997</v>
      </c>
      <c r="G864" s="440">
        <v>6.6609576559068158</v>
      </c>
      <c r="H864" s="440">
        <f t="shared" si="317"/>
        <v>16.873073938809814</v>
      </c>
      <c r="I864" s="441"/>
      <c r="J864" s="440">
        <v>12.077561842885769</v>
      </c>
      <c r="K864" s="440">
        <v>7.2512330613700087</v>
      </c>
      <c r="L864" s="440">
        <f t="shared" si="318"/>
        <v>19.32879490425578</v>
      </c>
      <c r="M864" s="347"/>
      <c r="N864" s="347"/>
    </row>
    <row r="865" spans="1:14" x14ac:dyDescent="0.25">
      <c r="A865" s="362" t="str">
        <f>name!E$10</f>
        <v>Sales and customer service</v>
      </c>
      <c r="B865" s="440">
        <v>28.094881434423101</v>
      </c>
      <c r="C865" s="440">
        <v>13.468386318892106</v>
      </c>
      <c r="D865" s="440">
        <f t="shared" si="316"/>
        <v>41.563267753315209</v>
      </c>
      <c r="E865" s="441"/>
      <c r="F865" s="440">
        <v>43.891467334646194</v>
      </c>
      <c r="G865" s="440">
        <v>17.255010176400788</v>
      </c>
      <c r="H865" s="440">
        <f t="shared" si="317"/>
        <v>61.146477511046982</v>
      </c>
      <c r="I865" s="441"/>
      <c r="J865" s="440">
        <v>43.782658951294415</v>
      </c>
      <c r="K865" s="440">
        <v>16.825111190690578</v>
      </c>
      <c r="L865" s="440">
        <f t="shared" si="318"/>
        <v>60.607770141984993</v>
      </c>
      <c r="M865" s="347"/>
      <c r="N865" s="347"/>
    </row>
    <row r="866" spans="1:14" x14ac:dyDescent="0.25">
      <c r="A866" s="362" t="str">
        <f>name!E$11</f>
        <v>Process, plant and machine operatives</v>
      </c>
      <c r="B866" s="440">
        <v>0.4318945260526606</v>
      </c>
      <c r="C866" s="440">
        <v>4.201730460859185</v>
      </c>
      <c r="D866" s="440">
        <f t="shared" si="316"/>
        <v>4.6336249869118458</v>
      </c>
      <c r="E866" s="441"/>
      <c r="F866" s="440">
        <v>0.7679584925788463</v>
      </c>
      <c r="G866" s="440">
        <v>7.2340937015440465</v>
      </c>
      <c r="H866" s="440">
        <f t="shared" si="317"/>
        <v>8.0020521941228928</v>
      </c>
      <c r="I866" s="441"/>
      <c r="J866" s="440">
        <v>0.80470402840107691</v>
      </c>
      <c r="K866" s="440">
        <v>7.4815150011440146</v>
      </c>
      <c r="L866" s="440">
        <f t="shared" si="318"/>
        <v>8.2862190295450908</v>
      </c>
      <c r="M866" s="347"/>
      <c r="N866" s="347"/>
    </row>
    <row r="867" spans="1:14" x14ac:dyDescent="0.25">
      <c r="A867" s="362" t="str">
        <f>name!E$12</f>
        <v>Elementary occupations</v>
      </c>
      <c r="B867" s="440">
        <v>10.053577127972993</v>
      </c>
      <c r="C867" s="440">
        <v>9.7942292079244115</v>
      </c>
      <c r="D867" s="440">
        <f t="shared" si="316"/>
        <v>19.847806335897403</v>
      </c>
      <c r="E867" s="441"/>
      <c r="F867" s="440">
        <v>13.932491083972227</v>
      </c>
      <c r="G867" s="440">
        <v>9.7290325328069702</v>
      </c>
      <c r="H867" s="440">
        <f t="shared" si="317"/>
        <v>23.661523616779199</v>
      </c>
      <c r="I867" s="441"/>
      <c r="J867" s="440">
        <v>13.199802762106415</v>
      </c>
      <c r="K867" s="440">
        <v>10.318586610063761</v>
      </c>
      <c r="L867" s="440">
        <f t="shared" si="318"/>
        <v>23.518389372170176</v>
      </c>
      <c r="M867" s="347"/>
      <c r="N867" s="347"/>
    </row>
    <row r="868" spans="1:14" s="286" customFormat="1" x14ac:dyDescent="0.25">
      <c r="A868" s="362"/>
      <c r="B868" s="440"/>
      <c r="C868" s="440"/>
      <c r="D868" s="440"/>
      <c r="E868" s="441"/>
      <c r="F868" s="440"/>
      <c r="G868" s="440"/>
      <c r="H868" s="440"/>
      <c r="I868" s="441"/>
      <c r="J868" s="440"/>
      <c r="K868" s="440"/>
      <c r="L868" s="440"/>
      <c r="M868" s="347"/>
      <c r="N868" s="347"/>
    </row>
    <row r="869" spans="1:14" x14ac:dyDescent="0.25">
      <c r="A869" s="357" t="s">
        <v>32</v>
      </c>
      <c r="B869" s="450">
        <f>SUM(B859:B867)</f>
        <v>226.46599999935972</v>
      </c>
      <c r="C869" s="450">
        <f t="shared" ref="C869:D869" si="319">SUM(C859:C867)</f>
        <v>216.53100000008021</v>
      </c>
      <c r="D869" s="450">
        <f t="shared" si="319"/>
        <v>442.99699999943994</v>
      </c>
      <c r="E869" s="450"/>
      <c r="F869" s="450">
        <f t="shared" ref="F869:H869" si="320">SUM(F859:F867)</f>
        <v>303.01100000004925</v>
      </c>
      <c r="G869" s="450">
        <f t="shared" si="320"/>
        <v>243.00799999875957</v>
      </c>
      <c r="H869" s="450">
        <f t="shared" si="320"/>
        <v>546.01899999880879</v>
      </c>
      <c r="I869" s="450"/>
      <c r="J869" s="450">
        <f t="shared" ref="J869:L869" si="321">SUM(J859:J867)</f>
        <v>307.08300000019824</v>
      </c>
      <c r="K869" s="450">
        <f t="shared" si="321"/>
        <v>263.02599999935467</v>
      </c>
      <c r="L869" s="450">
        <f t="shared" si="321"/>
        <v>570.10899999955302</v>
      </c>
      <c r="M869" s="347"/>
      <c r="N869" s="347"/>
    </row>
    <row r="870" spans="1:14" x14ac:dyDescent="0.25">
      <c r="A870" s="348"/>
      <c r="B870" s="348"/>
      <c r="C870" s="348"/>
      <c r="D870" s="348"/>
      <c r="E870" s="348"/>
      <c r="F870" s="348"/>
      <c r="G870" s="348"/>
      <c r="H870" s="348"/>
      <c r="I870" s="348"/>
      <c r="J870" s="348"/>
      <c r="K870" s="348"/>
      <c r="L870" s="353"/>
      <c r="M870" s="347"/>
      <c r="N870" s="347"/>
    </row>
    <row r="871" spans="1:14" x14ac:dyDescent="0.25">
      <c r="A871" s="348"/>
      <c r="B871" s="348"/>
      <c r="C871" s="348"/>
      <c r="D871" s="348"/>
      <c r="E871" s="348"/>
      <c r="F871" s="348"/>
      <c r="G871" s="348"/>
      <c r="H871" s="348"/>
      <c r="I871" s="348"/>
      <c r="J871" s="348"/>
      <c r="K871" s="348"/>
      <c r="L871" s="372" t="s">
        <v>35</v>
      </c>
      <c r="M871" s="347"/>
      <c r="N871" s="347"/>
    </row>
    <row r="872" spans="1:14" x14ac:dyDescent="0.25">
      <c r="A872" s="355"/>
      <c r="B872" s="365"/>
      <c r="C872" s="365"/>
      <c r="D872" s="365"/>
      <c r="E872" s="365"/>
      <c r="F872" s="365"/>
      <c r="G872" s="365"/>
      <c r="H872" s="365"/>
      <c r="I872" s="365"/>
      <c r="J872" s="365"/>
      <c r="K872" s="365"/>
      <c r="L872" s="347"/>
      <c r="M872" s="347"/>
      <c r="N872" s="347"/>
    </row>
    <row r="873" spans="1:14" x14ac:dyDescent="0.25">
      <c r="A873" s="354" t="str">
        <f>name!A54</f>
        <v>Legal and accounting</v>
      </c>
      <c r="B873" s="515">
        <f>B$6</f>
        <v>2007</v>
      </c>
      <c r="C873" s="515"/>
      <c r="D873" s="515"/>
      <c r="E873" s="369"/>
      <c r="F873" s="515">
        <f>F$6</f>
        <v>2017</v>
      </c>
      <c r="G873" s="515"/>
      <c r="H873" s="515"/>
      <c r="I873" s="369"/>
      <c r="J873" s="515">
        <f>J$6</f>
        <v>2027</v>
      </c>
      <c r="K873" s="515"/>
      <c r="L873" s="515"/>
      <c r="M873" s="347"/>
      <c r="N873" s="347"/>
    </row>
    <row r="874" spans="1:14" x14ac:dyDescent="0.25">
      <c r="A874" s="370"/>
      <c r="B874" s="371" t="s">
        <v>387</v>
      </c>
      <c r="C874" s="371" t="s">
        <v>388</v>
      </c>
      <c r="D874" s="371" t="s">
        <v>32</v>
      </c>
      <c r="E874" s="371"/>
      <c r="F874" s="371" t="s">
        <v>387</v>
      </c>
      <c r="G874" s="371" t="s">
        <v>388</v>
      </c>
      <c r="H874" s="371" t="s">
        <v>32</v>
      </c>
      <c r="I874" s="371"/>
      <c r="J874" s="371" t="s">
        <v>387</v>
      </c>
      <c r="K874" s="371" t="s">
        <v>388</v>
      </c>
      <c r="L874" s="371" t="s">
        <v>32</v>
      </c>
      <c r="M874" s="347"/>
      <c r="N874" s="347"/>
    </row>
    <row r="875" spans="1:14" s="286" customFormat="1" x14ac:dyDescent="0.25">
      <c r="A875" s="374"/>
      <c r="B875" s="375"/>
      <c r="C875" s="375"/>
      <c r="D875" s="375"/>
      <c r="E875" s="375"/>
      <c r="F875" s="375"/>
      <c r="G875" s="375"/>
      <c r="H875" s="375"/>
      <c r="I875" s="375"/>
      <c r="J875" s="375"/>
      <c r="K875" s="375"/>
      <c r="L875" s="375"/>
      <c r="M875" s="347"/>
      <c r="N875" s="347"/>
    </row>
    <row r="876" spans="1:14" x14ac:dyDescent="0.25">
      <c r="A876" s="362" t="str">
        <f>name!E$4</f>
        <v>Managers, directors and senior officials</v>
      </c>
      <c r="B876" s="440">
        <v>24.05788590217507</v>
      </c>
      <c r="C876" s="440">
        <v>49.713165965432552</v>
      </c>
      <c r="D876" s="440">
        <f>SUM(B876:C876)</f>
        <v>73.771051867607625</v>
      </c>
      <c r="E876" s="441"/>
      <c r="F876" s="440">
        <v>43.942452615527138</v>
      </c>
      <c r="G876" s="440">
        <v>54.728129871539259</v>
      </c>
      <c r="H876" s="440">
        <f>SUM(F876:G876)</f>
        <v>98.670582487066397</v>
      </c>
      <c r="I876" s="441"/>
      <c r="J876" s="440">
        <v>54.363928693951614</v>
      </c>
      <c r="K876" s="440">
        <v>63.693048508964203</v>
      </c>
      <c r="L876" s="440">
        <f>SUM(J876:K876)</f>
        <v>118.05697720291582</v>
      </c>
      <c r="M876" s="347"/>
      <c r="N876" s="347"/>
    </row>
    <row r="877" spans="1:14" x14ac:dyDescent="0.25">
      <c r="A877" s="362" t="str">
        <f>name!E$5</f>
        <v>Professional occupations</v>
      </c>
      <c r="B877" s="440">
        <v>75.667421418503224</v>
      </c>
      <c r="C877" s="440">
        <v>156.39931000614138</v>
      </c>
      <c r="D877" s="440">
        <f t="shared" ref="D877:D884" si="322">SUM(B877:C877)</f>
        <v>232.06673142464462</v>
      </c>
      <c r="E877" s="441"/>
      <c r="F877" s="440">
        <v>117.99969965709263</v>
      </c>
      <c r="G877" s="440">
        <v>151.16542161358711</v>
      </c>
      <c r="H877" s="440">
        <f t="shared" ref="H877:H884" si="323">SUM(F877:G877)</f>
        <v>269.16512127067972</v>
      </c>
      <c r="I877" s="441"/>
      <c r="J877" s="440">
        <v>142.38272693643407</v>
      </c>
      <c r="K877" s="440">
        <v>163.12214236037286</v>
      </c>
      <c r="L877" s="440">
        <f t="shared" ref="L877:L884" si="324">SUM(J877:K877)</f>
        <v>305.50486929680693</v>
      </c>
      <c r="M877" s="347"/>
      <c r="N877" s="347"/>
    </row>
    <row r="878" spans="1:14" x14ac:dyDescent="0.25">
      <c r="A878" s="362" t="str">
        <f>name!E$6</f>
        <v>Associate professional and technical</v>
      </c>
      <c r="B878" s="440">
        <v>57.056790810307419</v>
      </c>
      <c r="C878" s="440">
        <v>86.339702346576317</v>
      </c>
      <c r="D878" s="440">
        <f t="shared" si="322"/>
        <v>143.39649315688374</v>
      </c>
      <c r="E878" s="441"/>
      <c r="F878" s="440">
        <v>90.810075852357912</v>
      </c>
      <c r="G878" s="440">
        <v>84.03180041564795</v>
      </c>
      <c r="H878" s="440">
        <f t="shared" si="323"/>
        <v>174.84187626800588</v>
      </c>
      <c r="I878" s="441"/>
      <c r="J878" s="440">
        <v>105.19927819347554</v>
      </c>
      <c r="K878" s="440">
        <v>93.442344229209226</v>
      </c>
      <c r="L878" s="440">
        <f t="shared" si="324"/>
        <v>198.64162242268475</v>
      </c>
      <c r="M878" s="347"/>
      <c r="N878" s="347"/>
    </row>
    <row r="879" spans="1:14" x14ac:dyDescent="0.25">
      <c r="A879" s="362" t="str">
        <f>name!E$7</f>
        <v>Administrative and secretarial</v>
      </c>
      <c r="B879" s="440">
        <v>145.31747073319539</v>
      </c>
      <c r="C879" s="440">
        <v>34.564049385036576</v>
      </c>
      <c r="D879" s="440">
        <f t="shared" si="322"/>
        <v>179.88152011823198</v>
      </c>
      <c r="E879" s="441"/>
      <c r="F879" s="440">
        <v>134.30774402736793</v>
      </c>
      <c r="G879" s="440">
        <v>28.162151512441632</v>
      </c>
      <c r="H879" s="440">
        <f t="shared" si="323"/>
        <v>162.46989553980956</v>
      </c>
      <c r="I879" s="441"/>
      <c r="J879" s="440">
        <v>94.183978492979733</v>
      </c>
      <c r="K879" s="440">
        <v>29.463419576004799</v>
      </c>
      <c r="L879" s="440">
        <f t="shared" si="324"/>
        <v>123.64739806898453</v>
      </c>
      <c r="M879" s="347"/>
      <c r="N879" s="347"/>
    </row>
    <row r="880" spans="1:14" x14ac:dyDescent="0.25">
      <c r="A880" s="362" t="str">
        <f>name!E$8</f>
        <v>Skilled trades occupations</v>
      </c>
      <c r="B880" s="440">
        <v>2.4898642314122053</v>
      </c>
      <c r="C880" s="440">
        <v>13.028340452071243</v>
      </c>
      <c r="D880" s="440">
        <f t="shared" si="322"/>
        <v>15.518204683483448</v>
      </c>
      <c r="E880" s="441"/>
      <c r="F880" s="440">
        <v>2.9668126333101856</v>
      </c>
      <c r="G880" s="440">
        <v>14.393869943890717</v>
      </c>
      <c r="H880" s="440">
        <f t="shared" si="323"/>
        <v>17.360682577200905</v>
      </c>
      <c r="I880" s="441"/>
      <c r="J880" s="440">
        <v>3.4928207914937768</v>
      </c>
      <c r="K880" s="440">
        <v>13.833033535349855</v>
      </c>
      <c r="L880" s="440">
        <f t="shared" si="324"/>
        <v>17.325854326843633</v>
      </c>
      <c r="M880" s="347"/>
      <c r="N880" s="347"/>
    </row>
    <row r="881" spans="1:14" x14ac:dyDescent="0.25">
      <c r="A881" s="362" t="str">
        <f>name!E$9</f>
        <v>Caring, leisure and other service</v>
      </c>
      <c r="B881" s="440">
        <v>1.0860605800876617</v>
      </c>
      <c r="C881" s="440">
        <v>1.6946305111525317</v>
      </c>
      <c r="D881" s="440">
        <f t="shared" si="322"/>
        <v>2.7806910912401932</v>
      </c>
      <c r="E881" s="441"/>
      <c r="F881" s="440">
        <v>1.7411730322984593</v>
      </c>
      <c r="G881" s="440">
        <v>1.6811451031640099</v>
      </c>
      <c r="H881" s="440">
        <f t="shared" si="323"/>
        <v>3.4223181354624694</v>
      </c>
      <c r="I881" s="441"/>
      <c r="J881" s="440">
        <v>1.8241740213356372</v>
      </c>
      <c r="K881" s="440">
        <v>1.9674070703391757</v>
      </c>
      <c r="L881" s="440">
        <f t="shared" si="324"/>
        <v>3.7915810916748129</v>
      </c>
      <c r="M881" s="347"/>
      <c r="N881" s="347"/>
    </row>
    <row r="882" spans="1:14" x14ac:dyDescent="0.25">
      <c r="A882" s="362" t="str">
        <f>name!E$10</f>
        <v>Sales and customer service</v>
      </c>
      <c r="B882" s="440">
        <v>9.1039306927082659</v>
      </c>
      <c r="C882" s="440">
        <v>7.055361792034895</v>
      </c>
      <c r="D882" s="440">
        <f t="shared" si="322"/>
        <v>16.159292484743162</v>
      </c>
      <c r="E882" s="441"/>
      <c r="F882" s="440">
        <v>24.174466304277892</v>
      </c>
      <c r="G882" s="440">
        <v>8.1110384995911957</v>
      </c>
      <c r="H882" s="440">
        <f t="shared" si="323"/>
        <v>32.285504803869088</v>
      </c>
      <c r="I882" s="441"/>
      <c r="J882" s="440">
        <v>23.379857051286454</v>
      </c>
      <c r="K882" s="440">
        <v>8.3786584660831132</v>
      </c>
      <c r="L882" s="440">
        <f t="shared" si="324"/>
        <v>31.758515517369567</v>
      </c>
      <c r="M882" s="347"/>
      <c r="N882" s="347"/>
    </row>
    <row r="883" spans="1:14" x14ac:dyDescent="0.25">
      <c r="A883" s="362" t="str">
        <f>name!E$11</f>
        <v>Process, plant and machine operatives</v>
      </c>
      <c r="B883" s="440">
        <v>1.226826372312902</v>
      </c>
      <c r="C883" s="440">
        <v>6.4121061146897533</v>
      </c>
      <c r="D883" s="440">
        <f t="shared" si="322"/>
        <v>7.6389324870026556</v>
      </c>
      <c r="E883" s="441"/>
      <c r="F883" s="440">
        <v>1.4796523678380376</v>
      </c>
      <c r="G883" s="440">
        <v>6.298398836438305</v>
      </c>
      <c r="H883" s="440">
        <f t="shared" si="323"/>
        <v>7.778051204276343</v>
      </c>
      <c r="I883" s="441"/>
      <c r="J883" s="440">
        <v>1.3142409935174346</v>
      </c>
      <c r="K883" s="440">
        <v>6.0633267466159539</v>
      </c>
      <c r="L883" s="440">
        <f t="shared" si="324"/>
        <v>7.3775677401333883</v>
      </c>
      <c r="M883" s="347"/>
      <c r="N883" s="347"/>
    </row>
    <row r="884" spans="1:14" x14ac:dyDescent="0.25">
      <c r="A884" s="362" t="str">
        <f>name!E$12</f>
        <v>Elementary occupations</v>
      </c>
      <c r="B884" s="440">
        <v>6.3687492574098776</v>
      </c>
      <c r="C884" s="440">
        <v>3.7863334277056646</v>
      </c>
      <c r="D884" s="440">
        <f t="shared" si="322"/>
        <v>10.155082685115541</v>
      </c>
      <c r="E884" s="441"/>
      <c r="F884" s="440">
        <v>7.9149235050213571</v>
      </c>
      <c r="G884" s="440">
        <v>4.0840442003614514</v>
      </c>
      <c r="H884" s="440">
        <f t="shared" si="323"/>
        <v>11.998967705382809</v>
      </c>
      <c r="I884" s="441"/>
      <c r="J884" s="440">
        <v>6.8189948245228447</v>
      </c>
      <c r="K884" s="440">
        <v>4.4276195045807123</v>
      </c>
      <c r="L884" s="440">
        <f t="shared" si="324"/>
        <v>11.246614329103558</v>
      </c>
      <c r="M884" s="347"/>
      <c r="N884" s="347"/>
    </row>
    <row r="885" spans="1:14" s="286" customFormat="1" x14ac:dyDescent="0.25">
      <c r="A885" s="362"/>
      <c r="B885" s="440"/>
      <c r="C885" s="440"/>
      <c r="D885" s="440"/>
      <c r="E885" s="441"/>
      <c r="F885" s="440"/>
      <c r="G885" s="440"/>
      <c r="H885" s="440"/>
      <c r="I885" s="441"/>
      <c r="J885" s="440"/>
      <c r="K885" s="440"/>
      <c r="L885" s="440"/>
      <c r="M885" s="347"/>
      <c r="N885" s="347"/>
    </row>
    <row r="886" spans="1:14" x14ac:dyDescent="0.25">
      <c r="A886" s="357" t="s">
        <v>32</v>
      </c>
      <c r="B886" s="450">
        <f>SUM(B876:B884)</f>
        <v>322.37499999811212</v>
      </c>
      <c r="C886" s="450">
        <f t="shared" ref="C886:D886" si="325">SUM(C876:C884)</f>
        <v>358.99300000084088</v>
      </c>
      <c r="D886" s="450">
        <f t="shared" si="325"/>
        <v>681.36799999895288</v>
      </c>
      <c r="E886" s="450"/>
      <c r="F886" s="450">
        <f t="shared" ref="F886:H886" si="326">SUM(F876:F884)</f>
        <v>425.3369999950915</v>
      </c>
      <c r="G886" s="450">
        <f t="shared" si="326"/>
        <v>352.65599999666165</v>
      </c>
      <c r="H886" s="450">
        <f t="shared" si="326"/>
        <v>777.99299999175321</v>
      </c>
      <c r="I886" s="450"/>
      <c r="J886" s="450">
        <f t="shared" ref="J886:L886" si="327">SUM(J876:J884)</f>
        <v>432.95999999899715</v>
      </c>
      <c r="K886" s="450">
        <f t="shared" si="327"/>
        <v>384.39099999751988</v>
      </c>
      <c r="L886" s="450">
        <f t="shared" si="327"/>
        <v>817.35099999651698</v>
      </c>
      <c r="M886" s="347"/>
      <c r="N886" s="347"/>
    </row>
    <row r="887" spans="1:14" x14ac:dyDescent="0.25">
      <c r="A887" s="348"/>
      <c r="B887" s="348"/>
      <c r="C887" s="348"/>
      <c r="D887" s="348"/>
      <c r="E887" s="348"/>
      <c r="F887" s="348"/>
      <c r="G887" s="348"/>
      <c r="H887" s="348"/>
      <c r="I887" s="348"/>
      <c r="J887" s="348"/>
      <c r="K887" s="348"/>
      <c r="L887" s="353"/>
      <c r="M887" s="347"/>
      <c r="N887" s="347"/>
    </row>
    <row r="888" spans="1:14" x14ac:dyDescent="0.25">
      <c r="A888" s="348"/>
      <c r="B888" s="348"/>
      <c r="C888" s="348"/>
      <c r="D888" s="348"/>
      <c r="E888" s="348"/>
      <c r="F888" s="348"/>
      <c r="G888" s="348"/>
      <c r="H888" s="348"/>
      <c r="I888" s="348"/>
      <c r="J888" s="348"/>
      <c r="K888" s="348"/>
      <c r="L888" s="372" t="s">
        <v>35</v>
      </c>
      <c r="M888" s="347"/>
      <c r="N888" s="347"/>
    </row>
    <row r="889" spans="1:14" x14ac:dyDescent="0.25">
      <c r="A889" s="355"/>
      <c r="B889" s="365"/>
      <c r="C889" s="365"/>
      <c r="D889" s="365"/>
      <c r="E889" s="365"/>
      <c r="F889" s="365"/>
      <c r="G889" s="365"/>
      <c r="H889" s="365"/>
      <c r="I889" s="365"/>
      <c r="J889" s="365"/>
      <c r="K889" s="365"/>
      <c r="L889" s="347"/>
      <c r="M889" s="347"/>
      <c r="N889" s="347"/>
    </row>
    <row r="890" spans="1:14" x14ac:dyDescent="0.25">
      <c r="A890" s="354" t="str">
        <f>name!A55</f>
        <v>Head offices, etc</v>
      </c>
      <c r="B890" s="515">
        <f>B$6</f>
        <v>2007</v>
      </c>
      <c r="C890" s="515"/>
      <c r="D890" s="515"/>
      <c r="E890" s="369"/>
      <c r="F890" s="515">
        <f>F$6</f>
        <v>2017</v>
      </c>
      <c r="G890" s="515"/>
      <c r="H890" s="515"/>
      <c r="I890" s="369"/>
      <c r="J890" s="515">
        <f>J$6</f>
        <v>2027</v>
      </c>
      <c r="K890" s="515"/>
      <c r="L890" s="515"/>
      <c r="M890" s="347"/>
      <c r="N890" s="347"/>
    </row>
    <row r="891" spans="1:14" x14ac:dyDescent="0.25">
      <c r="A891" s="370"/>
      <c r="B891" s="371" t="s">
        <v>387</v>
      </c>
      <c r="C891" s="371" t="s">
        <v>388</v>
      </c>
      <c r="D891" s="371" t="s">
        <v>32</v>
      </c>
      <c r="E891" s="371"/>
      <c r="F891" s="371" t="s">
        <v>387</v>
      </c>
      <c r="G891" s="371" t="s">
        <v>388</v>
      </c>
      <c r="H891" s="371" t="s">
        <v>32</v>
      </c>
      <c r="I891" s="371"/>
      <c r="J891" s="371" t="s">
        <v>387</v>
      </c>
      <c r="K891" s="371" t="s">
        <v>388</v>
      </c>
      <c r="L891" s="371" t="s">
        <v>32</v>
      </c>
      <c r="M891" s="347"/>
      <c r="N891" s="347"/>
    </row>
    <row r="892" spans="1:14" s="286" customFormat="1" x14ac:dyDescent="0.25">
      <c r="A892" s="374"/>
      <c r="B892" s="375"/>
      <c r="C892" s="375"/>
      <c r="D892" s="375"/>
      <c r="E892" s="375"/>
      <c r="F892" s="375"/>
      <c r="G892" s="375"/>
      <c r="H892" s="375"/>
      <c r="I892" s="375"/>
      <c r="J892" s="375"/>
      <c r="K892" s="375"/>
      <c r="L892" s="375"/>
      <c r="M892" s="347"/>
      <c r="N892" s="347"/>
    </row>
    <row r="893" spans="1:14" x14ac:dyDescent="0.25">
      <c r="A893" s="362" t="str">
        <f>name!E$4</f>
        <v>Managers, directors and senior officials</v>
      </c>
      <c r="B893" s="440">
        <v>17.948844338262813</v>
      </c>
      <c r="C893" s="440">
        <v>36.773643442428444</v>
      </c>
      <c r="D893" s="440">
        <f>SUM(B893:C893)</f>
        <v>54.722487780691253</v>
      </c>
      <c r="E893" s="441"/>
      <c r="F893" s="440">
        <v>40.272372314668957</v>
      </c>
      <c r="G893" s="440">
        <v>75.187941983694273</v>
      </c>
      <c r="H893" s="440">
        <f>SUM(F893:G893)</f>
        <v>115.46031429836323</v>
      </c>
      <c r="I893" s="441"/>
      <c r="J893" s="440">
        <v>51.021661391928525</v>
      </c>
      <c r="K893" s="440">
        <v>84.403704310302075</v>
      </c>
      <c r="L893" s="440">
        <f>SUM(J893:K893)</f>
        <v>135.42536570223061</v>
      </c>
      <c r="M893" s="347"/>
      <c r="N893" s="347"/>
    </row>
    <row r="894" spans="1:14" x14ac:dyDescent="0.25">
      <c r="A894" s="362" t="str">
        <f>name!E$5</f>
        <v>Professional occupations</v>
      </c>
      <c r="B894" s="440">
        <v>57.135398675209679</v>
      </c>
      <c r="C894" s="440">
        <v>110.47083986884439</v>
      </c>
      <c r="D894" s="440">
        <f t="shared" ref="D894:D901" si="328">SUM(B894:C894)</f>
        <v>167.60623854405407</v>
      </c>
      <c r="E894" s="441"/>
      <c r="F894" s="440">
        <v>104.48638110471779</v>
      </c>
      <c r="G894" s="440">
        <v>201.09645970885006</v>
      </c>
      <c r="H894" s="440">
        <f t="shared" ref="H894:H901" si="329">SUM(F894:G894)</f>
        <v>305.58284081356783</v>
      </c>
      <c r="I894" s="441"/>
      <c r="J894" s="440">
        <v>128.40848169283177</v>
      </c>
      <c r="K894" s="440">
        <v>211.56382149820891</v>
      </c>
      <c r="L894" s="440">
        <f t="shared" ref="L894:L901" si="330">SUM(J894:K894)</f>
        <v>339.97230319104068</v>
      </c>
      <c r="M894" s="347"/>
      <c r="N894" s="347"/>
    </row>
    <row r="895" spans="1:14" x14ac:dyDescent="0.25">
      <c r="A895" s="362" t="str">
        <f>name!E$6</f>
        <v>Associate professional and technical</v>
      </c>
      <c r="B895" s="440">
        <v>42.719739206832571</v>
      </c>
      <c r="C895" s="440">
        <v>63.827403875195976</v>
      </c>
      <c r="D895" s="440">
        <f t="shared" si="328"/>
        <v>106.54714308202855</v>
      </c>
      <c r="E895" s="441"/>
      <c r="F895" s="440">
        <v>79.965584795623926</v>
      </c>
      <c r="G895" s="440">
        <v>113.48134611861246</v>
      </c>
      <c r="H895" s="440">
        <f t="shared" si="329"/>
        <v>193.44693091423639</v>
      </c>
      <c r="I895" s="441"/>
      <c r="J895" s="440">
        <v>94.825155437598383</v>
      </c>
      <c r="K895" s="440">
        <v>122.10240345468773</v>
      </c>
      <c r="L895" s="440">
        <f t="shared" si="330"/>
        <v>216.92755889228613</v>
      </c>
      <c r="M895" s="347"/>
      <c r="N895" s="347"/>
    </row>
    <row r="896" spans="1:14" x14ac:dyDescent="0.25">
      <c r="A896" s="362" t="str">
        <f>name!E$7</f>
        <v>Administrative and secretarial</v>
      </c>
      <c r="B896" s="440">
        <v>112.60469666515873</v>
      </c>
      <c r="C896" s="440">
        <v>27.620664529204799</v>
      </c>
      <c r="D896" s="440">
        <f t="shared" si="328"/>
        <v>140.22536119436353</v>
      </c>
      <c r="E896" s="441"/>
      <c r="F896" s="440">
        <v>122.10490224367209</v>
      </c>
      <c r="G896" s="440">
        <v>36.745692858817812</v>
      </c>
      <c r="H896" s="440">
        <f t="shared" si="329"/>
        <v>158.8505951024899</v>
      </c>
      <c r="I896" s="441"/>
      <c r="J896" s="440">
        <v>89.41943772769325</v>
      </c>
      <c r="K896" s="440">
        <v>36.601354636731358</v>
      </c>
      <c r="L896" s="440">
        <f t="shared" si="330"/>
        <v>126.02079236442461</v>
      </c>
      <c r="M896" s="347"/>
      <c r="N896" s="347"/>
    </row>
    <row r="897" spans="1:14" x14ac:dyDescent="0.25">
      <c r="A897" s="362" t="str">
        <f>name!E$8</f>
        <v>Skilled trades occupations</v>
      </c>
      <c r="B897" s="440">
        <v>1.7529651342385377</v>
      </c>
      <c r="C897" s="440">
        <v>9.511070564553604</v>
      </c>
      <c r="D897" s="440">
        <f t="shared" si="328"/>
        <v>11.264035698792142</v>
      </c>
      <c r="E897" s="441"/>
      <c r="F897" s="440">
        <v>2.5606315839364377</v>
      </c>
      <c r="G897" s="440">
        <v>19.350809404809798</v>
      </c>
      <c r="H897" s="440">
        <f t="shared" si="329"/>
        <v>21.911440988746236</v>
      </c>
      <c r="I897" s="441"/>
      <c r="J897" s="440">
        <v>3.0596495178573542</v>
      </c>
      <c r="K897" s="440">
        <v>17.815853007061015</v>
      </c>
      <c r="L897" s="440">
        <f t="shared" si="330"/>
        <v>20.875502524918371</v>
      </c>
      <c r="M897" s="347"/>
      <c r="N897" s="347"/>
    </row>
    <row r="898" spans="1:14" x14ac:dyDescent="0.25">
      <c r="A898" s="362" t="str">
        <f>name!E$9</f>
        <v>Caring, leisure and other service</v>
      </c>
      <c r="B898" s="440">
        <v>0.74225509660154121</v>
      </c>
      <c r="C898" s="440">
        <v>0.88906523412252025</v>
      </c>
      <c r="D898" s="440">
        <f t="shared" si="328"/>
        <v>1.6313203307240616</v>
      </c>
      <c r="E898" s="441"/>
      <c r="F898" s="440">
        <v>1.4658879281106267</v>
      </c>
      <c r="G898" s="440">
        <v>1.7594795638244147</v>
      </c>
      <c r="H898" s="440">
        <f t="shared" si="329"/>
        <v>3.2253674919350415</v>
      </c>
      <c r="I898" s="441"/>
      <c r="J898" s="440">
        <v>1.5804422512339238</v>
      </c>
      <c r="K898" s="440">
        <v>2.0136128865007397</v>
      </c>
      <c r="L898" s="440">
        <f t="shared" si="330"/>
        <v>3.5940551377346637</v>
      </c>
      <c r="M898" s="347"/>
      <c r="N898" s="347"/>
    </row>
    <row r="899" spans="1:14" x14ac:dyDescent="0.25">
      <c r="A899" s="362" t="str">
        <f>name!E$10</f>
        <v>Sales and customer service</v>
      </c>
      <c r="B899" s="440">
        <v>6.9796046732037489</v>
      </c>
      <c r="C899" s="440">
        <v>5.797977456738673</v>
      </c>
      <c r="D899" s="440">
        <f t="shared" si="328"/>
        <v>12.777582129942422</v>
      </c>
      <c r="E899" s="441"/>
      <c r="F899" s="440">
        <v>21.04251341379263</v>
      </c>
      <c r="G899" s="440">
        <v>10.815740333242061</v>
      </c>
      <c r="H899" s="440">
        <f t="shared" si="329"/>
        <v>31.858253747034691</v>
      </c>
      <c r="I899" s="441"/>
      <c r="J899" s="440">
        <v>21.241495260052634</v>
      </c>
      <c r="K899" s="440">
        <v>10.766123485958952</v>
      </c>
      <c r="L899" s="440">
        <f t="shared" si="330"/>
        <v>32.007618746011588</v>
      </c>
      <c r="M899" s="347"/>
      <c r="N899" s="347"/>
    </row>
    <row r="900" spans="1:14" x14ac:dyDescent="0.25">
      <c r="A900" s="362" t="str">
        <f>name!E$11</f>
        <v>Process, plant and machine operatives</v>
      </c>
      <c r="B900" s="440">
        <v>0.94895974666200078</v>
      </c>
      <c r="C900" s="440">
        <v>4.6371719944014291</v>
      </c>
      <c r="D900" s="440">
        <f t="shared" si="328"/>
        <v>5.5861317410634301</v>
      </c>
      <c r="E900" s="441"/>
      <c r="F900" s="440">
        <v>1.4196095476241188</v>
      </c>
      <c r="G900" s="440">
        <v>8.3554720587495943</v>
      </c>
      <c r="H900" s="440">
        <f t="shared" si="329"/>
        <v>9.775081606373714</v>
      </c>
      <c r="I900" s="441"/>
      <c r="J900" s="440">
        <v>1.3112911804584741</v>
      </c>
      <c r="K900" s="440">
        <v>7.8568691977750369</v>
      </c>
      <c r="L900" s="440">
        <f t="shared" si="330"/>
        <v>9.1681603782335106</v>
      </c>
      <c r="M900" s="347"/>
      <c r="N900" s="347"/>
    </row>
    <row r="901" spans="1:14" x14ac:dyDescent="0.25">
      <c r="A901" s="362" t="str">
        <f>name!E$12</f>
        <v>Elementary occupations</v>
      </c>
      <c r="B901" s="440">
        <v>4.9285364623970498</v>
      </c>
      <c r="C901" s="440">
        <v>3.1091630354961963</v>
      </c>
      <c r="D901" s="440">
        <f t="shared" si="328"/>
        <v>8.0376994978932466</v>
      </c>
      <c r="E901" s="441"/>
      <c r="F901" s="440">
        <v>7.2491170641678622</v>
      </c>
      <c r="G901" s="440">
        <v>5.5350579641888533</v>
      </c>
      <c r="H901" s="440">
        <f t="shared" si="329"/>
        <v>12.784175028356715</v>
      </c>
      <c r="I901" s="441"/>
      <c r="J901" s="440">
        <v>6.5473855400286931</v>
      </c>
      <c r="K901" s="440">
        <v>5.8502575194231108</v>
      </c>
      <c r="L901" s="440">
        <f t="shared" si="330"/>
        <v>12.397643059451804</v>
      </c>
      <c r="M901" s="347"/>
      <c r="N901" s="347"/>
    </row>
    <row r="902" spans="1:14" s="286" customFormat="1" x14ac:dyDescent="0.25">
      <c r="A902" s="362"/>
      <c r="B902" s="440"/>
      <c r="C902" s="440"/>
      <c r="D902" s="440"/>
      <c r="E902" s="441"/>
      <c r="F902" s="440"/>
      <c r="G902" s="440"/>
      <c r="H902" s="440"/>
      <c r="I902" s="441"/>
      <c r="J902" s="440"/>
      <c r="K902" s="440"/>
      <c r="L902" s="440"/>
      <c r="M902" s="347"/>
      <c r="N902" s="347"/>
    </row>
    <row r="903" spans="1:14" x14ac:dyDescent="0.25">
      <c r="A903" s="357" t="s">
        <v>32</v>
      </c>
      <c r="B903" s="450">
        <f>SUM(B893:B901)</f>
        <v>245.76099999856669</v>
      </c>
      <c r="C903" s="450">
        <f t="shared" ref="C903:D903" si="331">SUM(C893:C901)</f>
        <v>262.63700000098601</v>
      </c>
      <c r="D903" s="450">
        <f t="shared" si="331"/>
        <v>508.39799999955267</v>
      </c>
      <c r="E903" s="450"/>
      <c r="F903" s="450">
        <f t="shared" ref="F903:H903" si="332">SUM(F893:F901)</f>
        <v>380.56699999631445</v>
      </c>
      <c r="G903" s="450">
        <f t="shared" si="332"/>
        <v>472.32799999478931</v>
      </c>
      <c r="H903" s="450">
        <f t="shared" si="332"/>
        <v>852.89499999110376</v>
      </c>
      <c r="I903" s="450"/>
      <c r="J903" s="450">
        <f t="shared" ref="J903:L903" si="333">SUM(J893:J901)</f>
        <v>397.414999999683</v>
      </c>
      <c r="K903" s="450">
        <f t="shared" si="333"/>
        <v>498.9739999966489</v>
      </c>
      <c r="L903" s="450">
        <f t="shared" si="333"/>
        <v>896.38899999633202</v>
      </c>
      <c r="M903" s="347"/>
      <c r="N903" s="347"/>
    </row>
    <row r="904" spans="1:14" x14ac:dyDescent="0.25">
      <c r="A904" s="348"/>
      <c r="B904" s="348"/>
      <c r="C904" s="348"/>
      <c r="D904" s="348"/>
      <c r="E904" s="348"/>
      <c r="F904" s="348"/>
      <c r="G904" s="348"/>
      <c r="H904" s="348"/>
      <c r="I904" s="348"/>
      <c r="J904" s="348"/>
      <c r="K904" s="348"/>
      <c r="L904" s="353"/>
      <c r="M904" s="347"/>
      <c r="N904" s="347"/>
    </row>
    <row r="905" spans="1:14" x14ac:dyDescent="0.25">
      <c r="A905" s="348"/>
      <c r="B905" s="348"/>
      <c r="C905" s="348"/>
      <c r="D905" s="348"/>
      <c r="E905" s="348"/>
      <c r="F905" s="348"/>
      <c r="G905" s="348"/>
      <c r="H905" s="348"/>
      <c r="I905" s="348"/>
      <c r="J905" s="348"/>
      <c r="K905" s="348"/>
      <c r="L905" s="372" t="s">
        <v>35</v>
      </c>
      <c r="M905" s="347"/>
      <c r="N905" s="347"/>
    </row>
    <row r="906" spans="1:14" x14ac:dyDescent="0.25">
      <c r="A906" s="355"/>
      <c r="B906" s="365"/>
      <c r="C906" s="365"/>
      <c r="D906" s="365"/>
      <c r="E906" s="365"/>
      <c r="F906" s="365"/>
      <c r="G906" s="365"/>
      <c r="H906" s="365"/>
      <c r="I906" s="365"/>
      <c r="J906" s="365"/>
      <c r="K906" s="365"/>
      <c r="L906" s="347"/>
      <c r="M906" s="347"/>
      <c r="N906" s="347"/>
    </row>
    <row r="907" spans="1:14" x14ac:dyDescent="0.25">
      <c r="A907" s="354" t="str">
        <f>name!A56</f>
        <v>Architectural and related</v>
      </c>
      <c r="B907" s="515">
        <f>B$6</f>
        <v>2007</v>
      </c>
      <c r="C907" s="515"/>
      <c r="D907" s="515"/>
      <c r="E907" s="369"/>
      <c r="F907" s="515">
        <f>F$6</f>
        <v>2017</v>
      </c>
      <c r="G907" s="515"/>
      <c r="H907" s="515"/>
      <c r="I907" s="369"/>
      <c r="J907" s="515">
        <f>J$6</f>
        <v>2027</v>
      </c>
      <c r="K907" s="515"/>
      <c r="L907" s="515"/>
      <c r="M907" s="347"/>
      <c r="N907" s="347"/>
    </row>
    <row r="908" spans="1:14" x14ac:dyDescent="0.25">
      <c r="A908" s="370"/>
      <c r="B908" s="371" t="s">
        <v>387</v>
      </c>
      <c r="C908" s="371" t="s">
        <v>388</v>
      </c>
      <c r="D908" s="371" t="s">
        <v>32</v>
      </c>
      <c r="E908" s="371"/>
      <c r="F908" s="371" t="s">
        <v>387</v>
      </c>
      <c r="G908" s="371" t="s">
        <v>388</v>
      </c>
      <c r="H908" s="371" t="s">
        <v>32</v>
      </c>
      <c r="I908" s="371"/>
      <c r="J908" s="371" t="s">
        <v>387</v>
      </c>
      <c r="K908" s="371" t="s">
        <v>388</v>
      </c>
      <c r="L908" s="371" t="s">
        <v>32</v>
      </c>
      <c r="M908" s="347"/>
      <c r="N908" s="347"/>
    </row>
    <row r="909" spans="1:14" s="286" customFormat="1" x14ac:dyDescent="0.25">
      <c r="A909" s="374"/>
      <c r="B909" s="375"/>
      <c r="C909" s="375"/>
      <c r="D909" s="375"/>
      <c r="E909" s="375"/>
      <c r="F909" s="375"/>
      <c r="G909" s="375"/>
      <c r="H909" s="375"/>
      <c r="I909" s="375"/>
      <c r="J909" s="375"/>
      <c r="K909" s="375"/>
      <c r="L909" s="375"/>
      <c r="M909" s="347"/>
      <c r="N909" s="347"/>
    </row>
    <row r="910" spans="1:14" x14ac:dyDescent="0.25">
      <c r="A910" s="362" t="str">
        <f>name!E$4</f>
        <v>Managers, directors and senior officials</v>
      </c>
      <c r="B910" s="440">
        <v>11.682495111146331</v>
      </c>
      <c r="C910" s="440">
        <v>41.307063380212483</v>
      </c>
      <c r="D910" s="440">
        <f>SUM(B910:C910)</f>
        <v>52.989558491358814</v>
      </c>
      <c r="E910" s="441"/>
      <c r="F910" s="440">
        <v>17.106421173656273</v>
      </c>
      <c r="G910" s="440">
        <v>68.269835710790531</v>
      </c>
      <c r="H910" s="440">
        <f>SUM(F910:G910)</f>
        <v>85.376256884446803</v>
      </c>
      <c r="I910" s="441"/>
      <c r="J910" s="440">
        <v>23.154711304965833</v>
      </c>
      <c r="K910" s="440">
        <v>77.634068917630643</v>
      </c>
      <c r="L910" s="440">
        <f>SUM(J910:K910)</f>
        <v>100.78878022259647</v>
      </c>
      <c r="M910" s="347"/>
      <c r="N910" s="347"/>
    </row>
    <row r="911" spans="1:14" x14ac:dyDescent="0.25">
      <c r="A911" s="362" t="str">
        <f>name!E$5</f>
        <v>Professional occupations</v>
      </c>
      <c r="B911" s="440">
        <v>36.107712960262369</v>
      </c>
      <c r="C911" s="440">
        <v>125.23364667340738</v>
      </c>
      <c r="D911" s="440">
        <f t="shared" ref="D911:D918" si="334">SUM(B911:C911)</f>
        <v>161.34135963366975</v>
      </c>
      <c r="E911" s="441"/>
      <c r="F911" s="440">
        <v>43.359311912687822</v>
      </c>
      <c r="G911" s="440">
        <v>185.47167728654614</v>
      </c>
      <c r="H911" s="440">
        <f t="shared" ref="H911:H918" si="335">SUM(F911:G911)</f>
        <v>228.83098919923395</v>
      </c>
      <c r="I911" s="441"/>
      <c r="J911" s="440">
        <v>57.110225473439165</v>
      </c>
      <c r="K911" s="440">
        <v>195.82506468162197</v>
      </c>
      <c r="L911" s="440">
        <f t="shared" ref="L911:L918" si="336">SUM(J911:K911)</f>
        <v>252.93529015506113</v>
      </c>
      <c r="M911" s="347"/>
      <c r="N911" s="347"/>
    </row>
    <row r="912" spans="1:14" x14ac:dyDescent="0.25">
      <c r="A912" s="362" t="str">
        <f>name!E$6</f>
        <v>Associate professional and technical</v>
      </c>
      <c r="B912" s="440">
        <v>27.796246198432105</v>
      </c>
      <c r="C912" s="440">
        <v>71.064462785994024</v>
      </c>
      <c r="D912" s="440">
        <f t="shared" si="334"/>
        <v>98.860708984426125</v>
      </c>
      <c r="E912" s="441"/>
      <c r="F912" s="440">
        <v>34.126811000709544</v>
      </c>
      <c r="G912" s="440">
        <v>103.58520272643591</v>
      </c>
      <c r="H912" s="440">
        <f t="shared" si="335"/>
        <v>137.71201372714546</v>
      </c>
      <c r="I912" s="441"/>
      <c r="J912" s="440">
        <v>43.293320280322789</v>
      </c>
      <c r="K912" s="440">
        <v>111.93677180430841</v>
      </c>
      <c r="L912" s="440">
        <f t="shared" si="336"/>
        <v>155.2300920846312</v>
      </c>
      <c r="M912" s="347"/>
      <c r="N912" s="347"/>
    </row>
    <row r="913" spans="1:14" x14ac:dyDescent="0.25">
      <c r="A913" s="362" t="str">
        <f>name!E$7</f>
        <v>Administrative and secretarial</v>
      </c>
      <c r="B913" s="440">
        <v>80.181557648809331</v>
      </c>
      <c r="C913" s="440">
        <v>30.491292647713212</v>
      </c>
      <c r="D913" s="440">
        <f t="shared" si="334"/>
        <v>110.67285029652254</v>
      </c>
      <c r="E913" s="441"/>
      <c r="F913" s="440">
        <v>53.490619051989981</v>
      </c>
      <c r="G913" s="440">
        <v>36.00509744096739</v>
      </c>
      <c r="H913" s="440">
        <f t="shared" si="335"/>
        <v>89.495716492957371</v>
      </c>
      <c r="I913" s="441"/>
      <c r="J913" s="440">
        <v>42.218814352103834</v>
      </c>
      <c r="K913" s="440">
        <v>39.024876981167672</v>
      </c>
      <c r="L913" s="440">
        <f t="shared" si="336"/>
        <v>81.243691333271499</v>
      </c>
      <c r="M913" s="347"/>
      <c r="N913" s="347"/>
    </row>
    <row r="914" spans="1:14" x14ac:dyDescent="0.25">
      <c r="A914" s="362" t="str">
        <f>name!E$8</f>
        <v>Skilled trades occupations</v>
      </c>
      <c r="B914" s="440">
        <v>1.2112609886939343</v>
      </c>
      <c r="C914" s="440">
        <v>12.07721025955877</v>
      </c>
      <c r="D914" s="440">
        <f t="shared" si="334"/>
        <v>13.288471248252705</v>
      </c>
      <c r="E914" s="441"/>
      <c r="F914" s="440">
        <v>1.1432151386242932</v>
      </c>
      <c r="G914" s="440">
        <v>20.017712460900601</v>
      </c>
      <c r="H914" s="440">
        <f t="shared" si="335"/>
        <v>21.160927599524893</v>
      </c>
      <c r="I914" s="441"/>
      <c r="J914" s="440">
        <v>1.4704567751658211</v>
      </c>
      <c r="K914" s="440">
        <v>18.908794333873864</v>
      </c>
      <c r="L914" s="440">
        <f t="shared" si="336"/>
        <v>20.379251109039686</v>
      </c>
      <c r="M914" s="347"/>
      <c r="N914" s="347"/>
    </row>
    <row r="915" spans="1:14" x14ac:dyDescent="0.25">
      <c r="A915" s="362" t="str">
        <f>name!E$9</f>
        <v>Caring, leisure and other service</v>
      </c>
      <c r="B915" s="440">
        <v>0.50577411372205183</v>
      </c>
      <c r="C915" s="440">
        <v>1.3509950156827433</v>
      </c>
      <c r="D915" s="440">
        <f t="shared" si="334"/>
        <v>1.8567691294047952</v>
      </c>
      <c r="E915" s="441"/>
      <c r="F915" s="440">
        <v>0.66753107739537931</v>
      </c>
      <c r="G915" s="440">
        <v>1.9026819948220974</v>
      </c>
      <c r="H915" s="440">
        <f t="shared" si="335"/>
        <v>2.5702130722174767</v>
      </c>
      <c r="I915" s="441"/>
      <c r="J915" s="440">
        <v>0.76754875736721606</v>
      </c>
      <c r="K915" s="440">
        <v>2.2416929709637285</v>
      </c>
      <c r="L915" s="440">
        <f t="shared" si="336"/>
        <v>3.0092417283309447</v>
      </c>
      <c r="M915" s="347"/>
      <c r="N915" s="347"/>
    </row>
    <row r="916" spans="1:14" x14ac:dyDescent="0.25">
      <c r="A916" s="362" t="str">
        <f>name!E$10</f>
        <v>Sales and customer service</v>
      </c>
      <c r="B916" s="440">
        <v>4.953710404730737</v>
      </c>
      <c r="C916" s="440">
        <v>6.101120694022975</v>
      </c>
      <c r="D916" s="440">
        <f t="shared" si="334"/>
        <v>11.054831098753713</v>
      </c>
      <c r="E916" s="441"/>
      <c r="F916" s="440">
        <v>9.2871823880561308</v>
      </c>
      <c r="G916" s="440">
        <v>9.614334656176009</v>
      </c>
      <c r="H916" s="440">
        <f t="shared" si="335"/>
        <v>18.90151704423214</v>
      </c>
      <c r="I916" s="441"/>
      <c r="J916" s="440">
        <v>10.022681291456975</v>
      </c>
      <c r="K916" s="440">
        <v>10.290927945166986</v>
      </c>
      <c r="L916" s="440">
        <f t="shared" si="336"/>
        <v>20.313609236623961</v>
      </c>
      <c r="M916" s="347"/>
      <c r="N916" s="347"/>
    </row>
    <row r="917" spans="1:14" x14ac:dyDescent="0.25">
      <c r="A917" s="362" t="str">
        <f>name!E$11</f>
        <v>Process, plant and machine operatives</v>
      </c>
      <c r="B917" s="440">
        <v>0.67720461161399681</v>
      </c>
      <c r="C917" s="440">
        <v>5.8578545689032309</v>
      </c>
      <c r="D917" s="440">
        <f t="shared" si="334"/>
        <v>6.5350591805172273</v>
      </c>
      <c r="E917" s="441"/>
      <c r="F917" s="440">
        <v>0.61697275406655849</v>
      </c>
      <c r="G917" s="440">
        <v>8.7914894649245827</v>
      </c>
      <c r="H917" s="440">
        <f t="shared" si="335"/>
        <v>9.4084622189911418</v>
      </c>
      <c r="I917" s="441"/>
      <c r="J917" s="440">
        <v>0.60225546002489816</v>
      </c>
      <c r="K917" s="440">
        <v>8.4741364616660579</v>
      </c>
      <c r="L917" s="440">
        <f t="shared" si="336"/>
        <v>9.0763919216909557</v>
      </c>
      <c r="M917" s="347"/>
      <c r="N917" s="347"/>
    </row>
    <row r="918" spans="1:14" x14ac:dyDescent="0.25">
      <c r="A918" s="362" t="str">
        <f>name!E$12</f>
        <v>Elementary occupations</v>
      </c>
      <c r="B918" s="440">
        <v>3.6080379617323985</v>
      </c>
      <c r="C918" s="440">
        <v>3.5163539744176089</v>
      </c>
      <c r="D918" s="440">
        <f t="shared" si="334"/>
        <v>7.1243919361500074</v>
      </c>
      <c r="E918" s="441"/>
      <c r="F918" s="440">
        <v>3.1849355012606408</v>
      </c>
      <c r="G918" s="440">
        <v>5.3399682540560454</v>
      </c>
      <c r="H918" s="440">
        <f t="shared" si="335"/>
        <v>8.5249037553166858</v>
      </c>
      <c r="I918" s="441"/>
      <c r="J918" s="440">
        <v>3.0469863049914991</v>
      </c>
      <c r="K918" s="440">
        <v>5.8166659022537459</v>
      </c>
      <c r="L918" s="440">
        <f t="shared" si="336"/>
        <v>8.8636522072452451</v>
      </c>
      <c r="M918" s="347"/>
      <c r="N918" s="347"/>
    </row>
    <row r="919" spans="1:14" s="286" customFormat="1" x14ac:dyDescent="0.25">
      <c r="A919" s="362"/>
      <c r="B919" s="440"/>
      <c r="C919" s="440"/>
      <c r="D919" s="440"/>
      <c r="E919" s="441"/>
      <c r="F919" s="440"/>
      <c r="G919" s="440"/>
      <c r="H919" s="440"/>
      <c r="I919" s="441"/>
      <c r="J919" s="440"/>
      <c r="K919" s="440"/>
      <c r="L919" s="440"/>
      <c r="M919" s="347"/>
      <c r="N919" s="347"/>
    </row>
    <row r="920" spans="1:14" x14ac:dyDescent="0.25">
      <c r="A920" s="357" t="s">
        <v>32</v>
      </c>
      <c r="B920" s="450">
        <f>SUM(B910:B918)</f>
        <v>166.72399999914327</v>
      </c>
      <c r="C920" s="450">
        <f t="shared" ref="C920:D920" si="337">SUM(C910:C918)</f>
        <v>296.99999999991252</v>
      </c>
      <c r="D920" s="450">
        <f t="shared" si="337"/>
        <v>463.72399999905565</v>
      </c>
      <c r="E920" s="450"/>
      <c r="F920" s="450">
        <f t="shared" ref="F920:H920" si="338">SUM(F910:F918)</f>
        <v>162.98299999844662</v>
      </c>
      <c r="G920" s="450">
        <f t="shared" si="338"/>
        <v>438.99799999561935</v>
      </c>
      <c r="H920" s="450">
        <f t="shared" si="338"/>
        <v>601.980999994066</v>
      </c>
      <c r="I920" s="450"/>
      <c r="J920" s="450">
        <f t="shared" ref="J920:L920" si="339">SUM(J910:J918)</f>
        <v>181.68699999983804</v>
      </c>
      <c r="K920" s="450">
        <f t="shared" si="339"/>
        <v>470.15299999865306</v>
      </c>
      <c r="L920" s="450">
        <f t="shared" si="339"/>
        <v>651.83999999849107</v>
      </c>
      <c r="M920" s="347"/>
      <c r="N920" s="347"/>
    </row>
    <row r="921" spans="1:14" x14ac:dyDescent="0.25">
      <c r="A921" s="348"/>
      <c r="B921" s="348"/>
      <c r="C921" s="348"/>
      <c r="D921" s="348"/>
      <c r="E921" s="348"/>
      <c r="F921" s="348"/>
      <c r="G921" s="348"/>
      <c r="H921" s="348"/>
      <c r="I921" s="348"/>
      <c r="J921" s="348"/>
      <c r="K921" s="348"/>
      <c r="L921" s="353"/>
      <c r="M921" s="347"/>
      <c r="N921" s="347"/>
    </row>
    <row r="922" spans="1:14" x14ac:dyDescent="0.25">
      <c r="A922" s="348"/>
      <c r="B922" s="348"/>
      <c r="C922" s="348"/>
      <c r="D922" s="348"/>
      <c r="E922" s="348"/>
      <c r="F922" s="348"/>
      <c r="G922" s="348"/>
      <c r="H922" s="348"/>
      <c r="I922" s="348"/>
      <c r="J922" s="348"/>
      <c r="K922" s="348"/>
      <c r="L922" s="372" t="s">
        <v>35</v>
      </c>
      <c r="M922" s="347"/>
      <c r="N922" s="347"/>
    </row>
    <row r="923" spans="1:14" x14ac:dyDescent="0.25">
      <c r="A923" s="355"/>
      <c r="B923" s="365"/>
      <c r="C923" s="365"/>
      <c r="D923" s="365"/>
      <c r="E923" s="365"/>
      <c r="F923" s="365"/>
      <c r="G923" s="365"/>
      <c r="H923" s="365"/>
      <c r="I923" s="365"/>
      <c r="J923" s="365"/>
      <c r="K923" s="365"/>
      <c r="L923" s="347"/>
      <c r="M923" s="347"/>
      <c r="N923" s="347"/>
    </row>
    <row r="924" spans="1:14" x14ac:dyDescent="0.25">
      <c r="A924" s="354" t="str">
        <f>name!A57</f>
        <v>Scientific research and development</v>
      </c>
      <c r="B924" s="515">
        <f>B$6</f>
        <v>2007</v>
      </c>
      <c r="C924" s="515"/>
      <c r="D924" s="515"/>
      <c r="E924" s="369"/>
      <c r="F924" s="515">
        <f>F$6</f>
        <v>2017</v>
      </c>
      <c r="G924" s="515"/>
      <c r="H924" s="515"/>
      <c r="I924" s="369"/>
      <c r="J924" s="515">
        <f>J$6</f>
        <v>2027</v>
      </c>
      <c r="K924" s="515"/>
      <c r="L924" s="515"/>
      <c r="M924" s="347"/>
      <c r="N924" s="347"/>
    </row>
    <row r="925" spans="1:14" x14ac:dyDescent="0.25">
      <c r="A925" s="370"/>
      <c r="B925" s="371" t="s">
        <v>387</v>
      </c>
      <c r="C925" s="371" t="s">
        <v>388</v>
      </c>
      <c r="D925" s="371" t="s">
        <v>32</v>
      </c>
      <c r="E925" s="371"/>
      <c r="F925" s="371" t="s">
        <v>387</v>
      </c>
      <c r="G925" s="371" t="s">
        <v>388</v>
      </c>
      <c r="H925" s="371" t="s">
        <v>32</v>
      </c>
      <c r="I925" s="371"/>
      <c r="J925" s="371" t="s">
        <v>387</v>
      </c>
      <c r="K925" s="371" t="s">
        <v>388</v>
      </c>
      <c r="L925" s="371" t="s">
        <v>32</v>
      </c>
      <c r="M925" s="347"/>
      <c r="N925" s="347"/>
    </row>
    <row r="926" spans="1:14" s="286" customFormat="1" x14ac:dyDescent="0.25">
      <c r="A926" s="374"/>
      <c r="B926" s="375"/>
      <c r="C926" s="375"/>
      <c r="D926" s="375"/>
      <c r="E926" s="375"/>
      <c r="F926" s="375"/>
      <c r="G926" s="375"/>
      <c r="H926" s="375"/>
      <c r="I926" s="375"/>
      <c r="J926" s="375"/>
      <c r="K926" s="375"/>
      <c r="L926" s="375"/>
      <c r="M926" s="347"/>
      <c r="N926" s="347"/>
    </row>
    <row r="927" spans="1:14" x14ac:dyDescent="0.25">
      <c r="A927" s="362" t="str">
        <f>name!E$4</f>
        <v>Managers, directors and senior officials</v>
      </c>
      <c r="B927" s="440">
        <v>2.9736101674143671</v>
      </c>
      <c r="C927" s="440">
        <v>11.317242748066269</v>
      </c>
      <c r="D927" s="440">
        <f>SUM(B927:C927)</f>
        <v>14.290852915480636</v>
      </c>
      <c r="E927" s="441"/>
      <c r="F927" s="440">
        <v>5.0144210300542582</v>
      </c>
      <c r="G927" s="440">
        <v>12.786361699506278</v>
      </c>
      <c r="H927" s="440">
        <f>SUM(F927:G927)</f>
        <v>17.800782729560538</v>
      </c>
      <c r="I927" s="441"/>
      <c r="J927" s="440">
        <v>5.8019690247480327</v>
      </c>
      <c r="K927" s="440">
        <v>14.953250103160013</v>
      </c>
      <c r="L927" s="440">
        <f>SUM(J927:K927)</f>
        <v>20.755219127908045</v>
      </c>
      <c r="M927" s="347"/>
      <c r="N927" s="347"/>
    </row>
    <row r="928" spans="1:14" x14ac:dyDescent="0.25">
      <c r="A928" s="362" t="str">
        <f>name!E$5</f>
        <v>Professional occupations</v>
      </c>
      <c r="B928" s="440">
        <v>16.186085750056066</v>
      </c>
      <c r="C928" s="440">
        <v>46.760741374989756</v>
      </c>
      <c r="D928" s="440">
        <f t="shared" ref="D928:D935" si="340">SUM(B928:C928)</f>
        <v>62.946827125045822</v>
      </c>
      <c r="E928" s="441"/>
      <c r="F928" s="440">
        <v>22.980210321606268</v>
      </c>
      <c r="G928" s="440">
        <v>57.571678648675395</v>
      </c>
      <c r="H928" s="440">
        <f t="shared" ref="H928:H935" si="341">SUM(F928:G928)</f>
        <v>80.551888970281667</v>
      </c>
      <c r="I928" s="441"/>
      <c r="J928" s="440">
        <v>28.239370020772743</v>
      </c>
      <c r="K928" s="440">
        <v>66.814687812647762</v>
      </c>
      <c r="L928" s="440">
        <f t="shared" ref="L928:L935" si="342">SUM(J928:K928)</f>
        <v>95.054057833420501</v>
      </c>
      <c r="M928" s="347"/>
      <c r="N928" s="347"/>
    </row>
    <row r="929" spans="1:14" x14ac:dyDescent="0.25">
      <c r="A929" s="362" t="str">
        <f>name!E$6</f>
        <v>Associate professional and technical</v>
      </c>
      <c r="B929" s="440">
        <v>6.1825426869747062</v>
      </c>
      <c r="C929" s="440">
        <v>14.439881772626199</v>
      </c>
      <c r="D929" s="440">
        <f t="shared" si="340"/>
        <v>20.622424459600907</v>
      </c>
      <c r="E929" s="441"/>
      <c r="F929" s="440">
        <v>7.5884832291276707</v>
      </c>
      <c r="G929" s="440">
        <v>17.279510302317384</v>
      </c>
      <c r="H929" s="440">
        <f t="shared" si="341"/>
        <v>24.867993531445055</v>
      </c>
      <c r="I929" s="441"/>
      <c r="J929" s="440">
        <v>8.1249127493345785</v>
      </c>
      <c r="K929" s="440">
        <v>19.141220038112653</v>
      </c>
      <c r="L929" s="440">
        <f t="shared" si="342"/>
        <v>27.266132787447233</v>
      </c>
      <c r="M929" s="347"/>
      <c r="N929" s="347"/>
    </row>
    <row r="930" spans="1:14" x14ac:dyDescent="0.25">
      <c r="A930" s="362" t="str">
        <f>name!E$7</f>
        <v>Administrative and secretarial</v>
      </c>
      <c r="B930" s="440">
        <v>6.9390730363168105</v>
      </c>
      <c r="C930" s="440">
        <v>4.1438469535728926</v>
      </c>
      <c r="D930" s="440">
        <f t="shared" si="340"/>
        <v>11.082919989889703</v>
      </c>
      <c r="E930" s="441"/>
      <c r="F930" s="440">
        <v>7.5126766917759848</v>
      </c>
      <c r="G930" s="440">
        <v>3.7273808406628528</v>
      </c>
      <c r="H930" s="440">
        <f t="shared" si="341"/>
        <v>11.240057532438838</v>
      </c>
      <c r="I930" s="441"/>
      <c r="J930" s="440">
        <v>5.4240753190489679</v>
      </c>
      <c r="K930" s="440">
        <v>3.9621250563155521</v>
      </c>
      <c r="L930" s="440">
        <f t="shared" si="342"/>
        <v>9.3862003753645205</v>
      </c>
      <c r="M930" s="347"/>
      <c r="N930" s="347"/>
    </row>
    <row r="931" spans="1:14" x14ac:dyDescent="0.25">
      <c r="A931" s="362" t="str">
        <f>name!E$8</f>
        <v>Skilled trades occupations</v>
      </c>
      <c r="B931" s="440">
        <v>0.70052440500695345</v>
      </c>
      <c r="C931" s="440">
        <v>5.9653129046696929</v>
      </c>
      <c r="D931" s="440">
        <f t="shared" si="340"/>
        <v>6.6658373096766468</v>
      </c>
      <c r="E931" s="441"/>
      <c r="F931" s="440">
        <v>0.61052251688547088</v>
      </c>
      <c r="G931" s="440">
        <v>5.2757251082082082</v>
      </c>
      <c r="H931" s="440">
        <f t="shared" si="341"/>
        <v>5.886247625093679</v>
      </c>
      <c r="I931" s="441"/>
      <c r="J931" s="440">
        <v>0.53590238584106076</v>
      </c>
      <c r="K931" s="440">
        <v>5.0935569589598035</v>
      </c>
      <c r="L931" s="440">
        <f t="shared" si="342"/>
        <v>5.6294593448008641</v>
      </c>
      <c r="M931" s="347"/>
      <c r="N931" s="347"/>
    </row>
    <row r="932" spans="1:14" x14ac:dyDescent="0.25">
      <c r="A932" s="362" t="str">
        <f>name!E$9</f>
        <v>Caring, leisure and other service</v>
      </c>
      <c r="B932" s="440">
        <v>1.6010041094844423</v>
      </c>
      <c r="C932" s="440">
        <v>1.3463508600667593</v>
      </c>
      <c r="D932" s="440">
        <f t="shared" si="340"/>
        <v>2.9473549695512018</v>
      </c>
      <c r="E932" s="441"/>
      <c r="F932" s="440">
        <v>2.8057087934405645</v>
      </c>
      <c r="G932" s="440">
        <v>1.7453418130130918</v>
      </c>
      <c r="H932" s="440">
        <f t="shared" si="341"/>
        <v>4.5510506064536562</v>
      </c>
      <c r="I932" s="441"/>
      <c r="J932" s="440">
        <v>2.8283207702240363</v>
      </c>
      <c r="K932" s="440">
        <v>1.9988591452479501</v>
      </c>
      <c r="L932" s="440">
        <f t="shared" si="342"/>
        <v>4.8271799154719863</v>
      </c>
      <c r="M932" s="347"/>
      <c r="N932" s="347"/>
    </row>
    <row r="933" spans="1:14" x14ac:dyDescent="0.25">
      <c r="A933" s="362" t="str">
        <f>name!E$10</f>
        <v>Sales and customer service</v>
      </c>
      <c r="B933" s="440">
        <v>1.3253426187422575</v>
      </c>
      <c r="C933" s="440">
        <v>1.7542406308781731</v>
      </c>
      <c r="D933" s="440">
        <f t="shared" si="340"/>
        <v>3.0795832496204305</v>
      </c>
      <c r="E933" s="441"/>
      <c r="F933" s="440">
        <v>2.2415735788112134</v>
      </c>
      <c r="G933" s="440">
        <v>2.3065886585304698</v>
      </c>
      <c r="H933" s="440">
        <f t="shared" si="341"/>
        <v>4.5481622373416837</v>
      </c>
      <c r="I933" s="441"/>
      <c r="J933" s="440">
        <v>2.2211032685020617</v>
      </c>
      <c r="K933" s="440">
        <v>2.5535701732093794</v>
      </c>
      <c r="L933" s="440">
        <f t="shared" si="342"/>
        <v>4.7746734417114407</v>
      </c>
      <c r="M933" s="347"/>
      <c r="N933" s="347"/>
    </row>
    <row r="934" spans="1:14" x14ac:dyDescent="0.25">
      <c r="A934" s="362" t="str">
        <f>name!E$11</f>
        <v>Process, plant and machine operatives</v>
      </c>
      <c r="B934" s="440">
        <v>0.43143004521156286</v>
      </c>
      <c r="C934" s="440">
        <v>2.637949260326911</v>
      </c>
      <c r="D934" s="440">
        <f t="shared" si="340"/>
        <v>3.0693793055384737</v>
      </c>
      <c r="E934" s="441"/>
      <c r="F934" s="440">
        <v>0.4258129840981445</v>
      </c>
      <c r="G934" s="440">
        <v>2.77387622826001</v>
      </c>
      <c r="H934" s="440">
        <f t="shared" si="341"/>
        <v>3.1996892123581544</v>
      </c>
      <c r="I934" s="441"/>
      <c r="J934" s="440">
        <v>0.28604573180886339</v>
      </c>
      <c r="K934" s="440">
        <v>2.7495450372299683</v>
      </c>
      <c r="L934" s="440">
        <f t="shared" si="342"/>
        <v>3.0355907690388317</v>
      </c>
      <c r="M934" s="347"/>
      <c r="N934" s="347"/>
    </row>
    <row r="935" spans="1:14" x14ac:dyDescent="0.25">
      <c r="A935" s="362" t="str">
        <f>name!E$12</f>
        <v>Elementary occupations</v>
      </c>
      <c r="B935" s="440">
        <v>0.98538718118552804</v>
      </c>
      <c r="C935" s="440">
        <v>1.4474334950528962</v>
      </c>
      <c r="D935" s="440">
        <f t="shared" si="340"/>
        <v>2.4328206762384244</v>
      </c>
      <c r="E935" s="441"/>
      <c r="F935" s="440">
        <v>2.1825908540069365</v>
      </c>
      <c r="G935" s="440">
        <v>1.8295367002016865</v>
      </c>
      <c r="H935" s="440">
        <f t="shared" si="341"/>
        <v>4.0121275542086234</v>
      </c>
      <c r="I935" s="441"/>
      <c r="J935" s="440">
        <v>1.9853007305440018</v>
      </c>
      <c r="K935" s="440">
        <v>2.0101856754464094</v>
      </c>
      <c r="L935" s="440">
        <f t="shared" si="342"/>
        <v>3.9954864059904112</v>
      </c>
      <c r="M935" s="347"/>
      <c r="N935" s="347"/>
    </row>
    <row r="936" spans="1:14" s="286" customFormat="1" x14ac:dyDescent="0.25">
      <c r="A936" s="362"/>
      <c r="B936" s="440"/>
      <c r="C936" s="440"/>
      <c r="D936" s="440"/>
      <c r="E936" s="441"/>
      <c r="F936" s="440"/>
      <c r="G936" s="440"/>
      <c r="H936" s="440"/>
      <c r="I936" s="441"/>
      <c r="J936" s="440"/>
      <c r="K936" s="440"/>
      <c r="L936" s="440"/>
      <c r="M936" s="347"/>
      <c r="N936" s="347"/>
    </row>
    <row r="937" spans="1:14" x14ac:dyDescent="0.25">
      <c r="A937" s="357" t="s">
        <v>32</v>
      </c>
      <c r="B937" s="450">
        <f>SUM(B927:B935)</f>
        <v>37.325000000392691</v>
      </c>
      <c r="C937" s="450">
        <f t="shared" ref="C937:D937" si="343">SUM(C927:C935)</f>
        <v>89.813000000249531</v>
      </c>
      <c r="D937" s="450">
        <f t="shared" si="343"/>
        <v>127.13800000064224</v>
      </c>
      <c r="E937" s="450"/>
      <c r="F937" s="450">
        <f t="shared" ref="F937:H937" si="344">SUM(F927:F935)</f>
        <v>51.361999999806514</v>
      </c>
      <c r="G937" s="450">
        <f t="shared" si="344"/>
        <v>105.29599999937538</v>
      </c>
      <c r="H937" s="450">
        <f t="shared" si="344"/>
        <v>156.6579999991819</v>
      </c>
      <c r="I937" s="450"/>
      <c r="J937" s="450">
        <f t="shared" ref="J937:L937" si="345">SUM(J927:J935)</f>
        <v>55.447000000824346</v>
      </c>
      <c r="K937" s="450">
        <f t="shared" si="345"/>
        <v>119.27700000032949</v>
      </c>
      <c r="L937" s="450">
        <f t="shared" si="345"/>
        <v>174.72400000115383</v>
      </c>
      <c r="M937" s="347"/>
      <c r="N937" s="347"/>
    </row>
    <row r="938" spans="1:14" x14ac:dyDescent="0.25">
      <c r="A938" s="348"/>
      <c r="B938" s="348"/>
      <c r="C938" s="348"/>
      <c r="D938" s="348"/>
      <c r="E938" s="348"/>
      <c r="F938" s="348"/>
      <c r="G938" s="348"/>
      <c r="H938" s="348"/>
      <c r="I938" s="348"/>
      <c r="J938" s="348"/>
      <c r="K938" s="348"/>
      <c r="L938" s="353"/>
      <c r="M938" s="347"/>
      <c r="N938" s="347"/>
    </row>
    <row r="939" spans="1:14" x14ac:dyDescent="0.25">
      <c r="A939" s="348"/>
      <c r="B939" s="348"/>
      <c r="C939" s="348"/>
      <c r="D939" s="348"/>
      <c r="E939" s="348"/>
      <c r="F939" s="348"/>
      <c r="G939" s="348"/>
      <c r="H939" s="348"/>
      <c r="I939" s="348"/>
      <c r="J939" s="348"/>
      <c r="K939" s="348"/>
      <c r="L939" s="372" t="s">
        <v>35</v>
      </c>
      <c r="M939" s="347"/>
      <c r="N939" s="347"/>
    </row>
    <row r="940" spans="1:14" x14ac:dyDescent="0.25">
      <c r="A940" s="355"/>
      <c r="B940" s="365"/>
      <c r="C940" s="365"/>
      <c r="D940" s="365"/>
      <c r="E940" s="365"/>
      <c r="F940" s="365"/>
      <c r="G940" s="365"/>
      <c r="H940" s="365"/>
      <c r="I940" s="365"/>
      <c r="J940" s="365"/>
      <c r="K940" s="365"/>
      <c r="L940" s="347"/>
      <c r="M940" s="347"/>
      <c r="N940" s="347"/>
    </row>
    <row r="941" spans="1:14" x14ac:dyDescent="0.25">
      <c r="A941" s="354" t="str">
        <f>name!A58</f>
        <v>Advertising, etc</v>
      </c>
      <c r="B941" s="515">
        <f>B$6</f>
        <v>2007</v>
      </c>
      <c r="C941" s="515"/>
      <c r="D941" s="515"/>
      <c r="E941" s="369"/>
      <c r="F941" s="515">
        <f>F$6</f>
        <v>2017</v>
      </c>
      <c r="G941" s="515"/>
      <c r="H941" s="515"/>
      <c r="I941" s="369"/>
      <c r="J941" s="515">
        <f>J$6</f>
        <v>2027</v>
      </c>
      <c r="K941" s="515"/>
      <c r="L941" s="515"/>
      <c r="M941" s="347"/>
      <c r="N941" s="347"/>
    </row>
    <row r="942" spans="1:14" x14ac:dyDescent="0.25">
      <c r="A942" s="370"/>
      <c r="B942" s="371" t="s">
        <v>387</v>
      </c>
      <c r="C942" s="371" t="s">
        <v>388</v>
      </c>
      <c r="D942" s="371" t="s">
        <v>32</v>
      </c>
      <c r="E942" s="371"/>
      <c r="F942" s="371" t="s">
        <v>387</v>
      </c>
      <c r="G942" s="371" t="s">
        <v>388</v>
      </c>
      <c r="H942" s="371" t="s">
        <v>32</v>
      </c>
      <c r="I942" s="371"/>
      <c r="J942" s="371" t="s">
        <v>387</v>
      </c>
      <c r="K942" s="371" t="s">
        <v>388</v>
      </c>
      <c r="L942" s="371" t="s">
        <v>32</v>
      </c>
      <c r="M942" s="347"/>
      <c r="N942" s="347"/>
    </row>
    <row r="943" spans="1:14" s="286" customFormat="1" x14ac:dyDescent="0.25">
      <c r="A943" s="374"/>
      <c r="B943" s="375"/>
      <c r="C943" s="375"/>
      <c r="D943" s="375"/>
      <c r="E943" s="375"/>
      <c r="F943" s="375"/>
      <c r="G943" s="375"/>
      <c r="H943" s="375"/>
      <c r="I943" s="375"/>
      <c r="J943" s="375"/>
      <c r="K943" s="375"/>
      <c r="L943" s="375"/>
      <c r="M943" s="347"/>
      <c r="N943" s="347"/>
    </row>
    <row r="944" spans="1:14" x14ac:dyDescent="0.25">
      <c r="A944" s="362" t="str">
        <f>name!E$4</f>
        <v>Managers, directors and senior officials</v>
      </c>
      <c r="B944" s="440">
        <v>9.9454319634693764</v>
      </c>
      <c r="C944" s="440">
        <v>12.287838319696549</v>
      </c>
      <c r="D944" s="440">
        <f>SUM(B944:C944)</f>
        <v>22.233270283165925</v>
      </c>
      <c r="E944" s="441"/>
      <c r="F944" s="440">
        <v>18.951715089649507</v>
      </c>
      <c r="G944" s="440">
        <v>19.166343798598611</v>
      </c>
      <c r="H944" s="440">
        <f>SUM(F944:G944)</f>
        <v>38.118058888248115</v>
      </c>
      <c r="I944" s="441"/>
      <c r="J944" s="440">
        <v>23.785188000807523</v>
      </c>
      <c r="K944" s="440">
        <v>23.255992819293663</v>
      </c>
      <c r="L944" s="440">
        <f>SUM(J944:K944)</f>
        <v>47.041180820101189</v>
      </c>
      <c r="M944" s="347"/>
      <c r="N944" s="347"/>
    </row>
    <row r="945" spans="1:14" x14ac:dyDescent="0.25">
      <c r="A945" s="362" t="str">
        <f>name!E$5</f>
        <v>Professional occupations</v>
      </c>
      <c r="B945" s="440">
        <v>30.605433169187346</v>
      </c>
      <c r="C945" s="440">
        <v>38.673201633832967</v>
      </c>
      <c r="D945" s="440">
        <f t="shared" ref="D945:D952" si="346">SUM(B945:C945)</f>
        <v>69.27863480302031</v>
      </c>
      <c r="E945" s="441"/>
      <c r="F945" s="440">
        <v>48.703740791589965</v>
      </c>
      <c r="G945" s="440">
        <v>54.03239388520997</v>
      </c>
      <c r="H945" s="440">
        <f t="shared" ref="H945:H952" si="347">SUM(F945:G945)</f>
        <v>102.73613467679994</v>
      </c>
      <c r="I945" s="441"/>
      <c r="J945" s="440">
        <v>61.776256401487998</v>
      </c>
      <c r="K945" s="440">
        <v>60.042781697147582</v>
      </c>
      <c r="L945" s="440">
        <f t="shared" ref="L945:L952" si="348">SUM(J945:K945)</f>
        <v>121.81903809863559</v>
      </c>
      <c r="M945" s="347"/>
      <c r="N945" s="347"/>
    </row>
    <row r="946" spans="1:14" x14ac:dyDescent="0.25">
      <c r="A946" s="362" t="str">
        <f>name!E$6</f>
        <v>Associate professional and technical</v>
      </c>
      <c r="B946" s="440">
        <v>23.041060317793477</v>
      </c>
      <c r="C946" s="440">
        <v>21.041056804032603</v>
      </c>
      <c r="D946" s="440">
        <f t="shared" si="346"/>
        <v>44.08211712182608</v>
      </c>
      <c r="E946" s="441"/>
      <c r="F946" s="440">
        <v>37.619759696520042</v>
      </c>
      <c r="G946" s="440">
        <v>29.140411756148129</v>
      </c>
      <c r="H946" s="440">
        <f t="shared" si="347"/>
        <v>66.760171452668175</v>
      </c>
      <c r="I946" s="441"/>
      <c r="J946" s="440">
        <v>45.099714797856073</v>
      </c>
      <c r="K946" s="440">
        <v>33.688950608868893</v>
      </c>
      <c r="L946" s="440">
        <f t="shared" si="348"/>
        <v>78.788665406724959</v>
      </c>
      <c r="M946" s="347"/>
      <c r="N946" s="347"/>
    </row>
    <row r="947" spans="1:14" x14ac:dyDescent="0.25">
      <c r="A947" s="362" t="str">
        <f>name!E$7</f>
        <v>Administrative and secretarial</v>
      </c>
      <c r="B947" s="440">
        <v>56.895195357033444</v>
      </c>
      <c r="C947" s="440">
        <v>8.2981535024994262</v>
      </c>
      <c r="D947" s="440">
        <f t="shared" si="346"/>
        <v>65.193348859532875</v>
      </c>
      <c r="E947" s="441"/>
      <c r="F947" s="440">
        <v>40.983223458234654</v>
      </c>
      <c r="G947" s="440">
        <v>7.3206035780538974</v>
      </c>
      <c r="H947" s="440">
        <f t="shared" si="347"/>
        <v>48.303827036288553</v>
      </c>
      <c r="I947" s="441"/>
      <c r="J947" s="440">
        <v>30.314789198343508</v>
      </c>
      <c r="K947" s="440">
        <v>7.8367526543856476</v>
      </c>
      <c r="L947" s="440">
        <f t="shared" si="348"/>
        <v>38.151541852729153</v>
      </c>
      <c r="M947" s="347"/>
      <c r="N947" s="347"/>
    </row>
    <row r="948" spans="1:14" x14ac:dyDescent="0.25">
      <c r="A948" s="362" t="str">
        <f>name!E$8</f>
        <v>Skilled trades occupations</v>
      </c>
      <c r="B948" s="440">
        <v>0.9456814102338944</v>
      </c>
      <c r="C948" s="440">
        <v>3.0062785775308383</v>
      </c>
      <c r="D948" s="440">
        <f t="shared" si="346"/>
        <v>3.9519599877647327</v>
      </c>
      <c r="E948" s="441"/>
      <c r="F948" s="440">
        <v>1.2110137072233671</v>
      </c>
      <c r="G948" s="440">
        <v>4.3354001477708124</v>
      </c>
      <c r="H948" s="440">
        <f t="shared" si="347"/>
        <v>5.5464138549941797</v>
      </c>
      <c r="I948" s="441"/>
      <c r="J948" s="440">
        <v>1.4546026404982642</v>
      </c>
      <c r="K948" s="440">
        <v>4.4054115211258722</v>
      </c>
      <c r="L948" s="440">
        <f t="shared" si="348"/>
        <v>5.8600141616241359</v>
      </c>
      <c r="M948" s="347"/>
      <c r="N948" s="347"/>
    </row>
    <row r="949" spans="1:14" x14ac:dyDescent="0.25">
      <c r="A949" s="362" t="str">
        <f>name!E$9</f>
        <v>Caring, leisure and other service</v>
      </c>
      <c r="B949" s="440">
        <v>0.40534122713673137</v>
      </c>
      <c r="C949" s="440">
        <v>0.42076262087225214</v>
      </c>
      <c r="D949" s="440">
        <f t="shared" si="346"/>
        <v>0.82610384800898351</v>
      </c>
      <c r="E949" s="441"/>
      <c r="F949" s="440">
        <v>0.71686262711802651</v>
      </c>
      <c r="G949" s="440">
        <v>0.57364877520514501</v>
      </c>
      <c r="H949" s="440">
        <f t="shared" si="347"/>
        <v>1.2905114023231716</v>
      </c>
      <c r="I949" s="441"/>
      <c r="J949" s="440">
        <v>0.7550224724661817</v>
      </c>
      <c r="K949" s="440">
        <v>0.71802958962997065</v>
      </c>
      <c r="L949" s="440">
        <f t="shared" si="348"/>
        <v>1.4730520620961522</v>
      </c>
      <c r="M949" s="347"/>
      <c r="N949" s="347"/>
    </row>
    <row r="950" spans="1:14" x14ac:dyDescent="0.25">
      <c r="A950" s="362" t="str">
        <f>name!E$10</f>
        <v>Sales and customer service</v>
      </c>
      <c r="B950" s="440">
        <v>3.6010153991929994</v>
      </c>
      <c r="C950" s="440">
        <v>1.6993842847142402</v>
      </c>
      <c r="D950" s="440">
        <f t="shared" si="346"/>
        <v>5.3003996839072398</v>
      </c>
      <c r="E950" s="441"/>
      <c r="F950" s="440">
        <v>7.6100366533908836</v>
      </c>
      <c r="G950" s="440">
        <v>2.2295574141833288</v>
      </c>
      <c r="H950" s="440">
        <f t="shared" si="347"/>
        <v>9.8395940675742128</v>
      </c>
      <c r="I950" s="441"/>
      <c r="J950" s="440">
        <v>7.6726962544153459</v>
      </c>
      <c r="K950" s="440">
        <v>2.4141057742475303</v>
      </c>
      <c r="L950" s="440">
        <f t="shared" si="348"/>
        <v>10.086802028662877</v>
      </c>
      <c r="M950" s="347"/>
      <c r="N950" s="347"/>
    </row>
    <row r="951" spans="1:14" x14ac:dyDescent="0.25">
      <c r="A951" s="362" t="str">
        <f>name!E$11</f>
        <v>Process, plant and machine operatives</v>
      </c>
      <c r="B951" s="440">
        <v>0.48550989092531732</v>
      </c>
      <c r="C951" s="440">
        <v>1.5236074265737662</v>
      </c>
      <c r="D951" s="440">
        <f t="shared" si="346"/>
        <v>2.0091173174990837</v>
      </c>
      <c r="E951" s="441"/>
      <c r="F951" s="440">
        <v>0.58788249827987005</v>
      </c>
      <c r="G951" s="440">
        <v>1.7412133993268799</v>
      </c>
      <c r="H951" s="440">
        <f t="shared" si="347"/>
        <v>2.32909589760675</v>
      </c>
      <c r="I951" s="441"/>
      <c r="J951" s="440">
        <v>0.56563021967730331</v>
      </c>
      <c r="K951" s="440">
        <v>1.779160077575124</v>
      </c>
      <c r="L951" s="440">
        <f t="shared" si="348"/>
        <v>2.3447902972524273</v>
      </c>
      <c r="M951" s="347"/>
      <c r="N951" s="347"/>
    </row>
    <row r="952" spans="1:14" x14ac:dyDescent="0.25">
      <c r="A952" s="362" t="str">
        <f>name!E$12</f>
        <v>Elementary occupations</v>
      </c>
      <c r="B952" s="440">
        <v>2.4643312642886577</v>
      </c>
      <c r="C952" s="440">
        <v>0.93071683074800371</v>
      </c>
      <c r="D952" s="440">
        <f t="shared" si="346"/>
        <v>3.3950480950366613</v>
      </c>
      <c r="E952" s="441"/>
      <c r="F952" s="440">
        <v>2.6367654762856665</v>
      </c>
      <c r="G952" s="440">
        <v>1.110427243747578</v>
      </c>
      <c r="H952" s="440">
        <f t="shared" si="347"/>
        <v>3.7471927200332447</v>
      </c>
      <c r="I952" s="441"/>
      <c r="J952" s="440">
        <v>2.5311000141085871</v>
      </c>
      <c r="K952" s="440">
        <v>1.2428152558553636</v>
      </c>
      <c r="L952" s="440">
        <f t="shared" si="348"/>
        <v>3.7739152699639504</v>
      </c>
      <c r="M952" s="347"/>
      <c r="N952" s="347"/>
    </row>
    <row r="953" spans="1:14" s="286" customFormat="1" x14ac:dyDescent="0.25">
      <c r="A953" s="362"/>
      <c r="B953" s="440"/>
      <c r="C953" s="440"/>
      <c r="D953" s="440"/>
      <c r="E953" s="441"/>
      <c r="F953" s="440"/>
      <c r="G953" s="440"/>
      <c r="H953" s="440"/>
      <c r="I953" s="441"/>
      <c r="J953" s="440"/>
      <c r="K953" s="440"/>
      <c r="L953" s="440"/>
      <c r="M953" s="347"/>
      <c r="N953" s="347"/>
    </row>
    <row r="954" spans="1:14" x14ac:dyDescent="0.25">
      <c r="A954" s="357" t="s">
        <v>32</v>
      </c>
      <c r="B954" s="450">
        <f>SUM(B944:B952)</f>
        <v>128.38899999926124</v>
      </c>
      <c r="C954" s="450">
        <f t="shared" ref="C954:D954" si="349">SUM(C944:C952)</f>
        <v>87.881000000500634</v>
      </c>
      <c r="D954" s="450">
        <f t="shared" si="349"/>
        <v>216.26999999976189</v>
      </c>
      <c r="E954" s="450"/>
      <c r="F954" s="450">
        <f t="shared" ref="F954:H954" si="350">SUM(F944:F952)</f>
        <v>159.02099999829198</v>
      </c>
      <c r="G954" s="450">
        <f t="shared" si="350"/>
        <v>119.64999999824435</v>
      </c>
      <c r="H954" s="450">
        <f t="shared" si="350"/>
        <v>278.6709999965363</v>
      </c>
      <c r="I954" s="450"/>
      <c r="J954" s="450">
        <f t="shared" ref="J954:L954" si="351">SUM(J944:J952)</f>
        <v>173.95499999966074</v>
      </c>
      <c r="K954" s="450">
        <f t="shared" si="351"/>
        <v>135.38399999812964</v>
      </c>
      <c r="L954" s="450">
        <f t="shared" si="351"/>
        <v>309.33899999779038</v>
      </c>
      <c r="M954" s="347"/>
      <c r="N954" s="347"/>
    </row>
    <row r="955" spans="1:14" x14ac:dyDescent="0.25">
      <c r="A955" s="348"/>
      <c r="B955" s="348"/>
      <c r="C955" s="348"/>
      <c r="D955" s="348"/>
      <c r="E955" s="348"/>
      <c r="F955" s="348"/>
      <c r="G955" s="348"/>
      <c r="H955" s="348"/>
      <c r="I955" s="348"/>
      <c r="J955" s="348"/>
      <c r="K955" s="348"/>
      <c r="L955" s="353"/>
      <c r="M955" s="347"/>
      <c r="N955" s="347"/>
    </row>
    <row r="956" spans="1:14" x14ac:dyDescent="0.25">
      <c r="A956" s="348"/>
      <c r="B956" s="348"/>
      <c r="C956" s="348"/>
      <c r="D956" s="348"/>
      <c r="E956" s="348"/>
      <c r="F956" s="348"/>
      <c r="G956" s="348"/>
      <c r="H956" s="348"/>
      <c r="I956" s="348"/>
      <c r="J956" s="348"/>
      <c r="K956" s="348"/>
      <c r="L956" s="372" t="s">
        <v>35</v>
      </c>
      <c r="M956" s="347"/>
      <c r="N956" s="347"/>
    </row>
    <row r="957" spans="1:14" x14ac:dyDescent="0.25">
      <c r="A957" s="355"/>
      <c r="B957" s="365"/>
      <c r="C957" s="365"/>
      <c r="D957" s="365"/>
      <c r="E957" s="365"/>
      <c r="F957" s="365"/>
      <c r="G957" s="365"/>
      <c r="H957" s="365"/>
      <c r="I957" s="365"/>
      <c r="J957" s="365"/>
      <c r="K957" s="365"/>
      <c r="L957" s="347"/>
      <c r="M957" s="347"/>
      <c r="N957" s="347"/>
    </row>
    <row r="958" spans="1:14" x14ac:dyDescent="0.25">
      <c r="A958" s="354" t="str">
        <f>name!A59</f>
        <v>Other professional</v>
      </c>
      <c r="B958" s="515">
        <f>B$6</f>
        <v>2007</v>
      </c>
      <c r="C958" s="515"/>
      <c r="D958" s="515"/>
      <c r="E958" s="369"/>
      <c r="F958" s="515">
        <f>F$6</f>
        <v>2017</v>
      </c>
      <c r="G958" s="515"/>
      <c r="H958" s="515"/>
      <c r="I958" s="369"/>
      <c r="J958" s="515">
        <f>J$6</f>
        <v>2027</v>
      </c>
      <c r="K958" s="515"/>
      <c r="L958" s="515"/>
      <c r="M958" s="347"/>
      <c r="N958" s="347"/>
    </row>
    <row r="959" spans="1:14" x14ac:dyDescent="0.25">
      <c r="A959" s="370"/>
      <c r="B959" s="371" t="s">
        <v>387</v>
      </c>
      <c r="C959" s="371" t="s">
        <v>388</v>
      </c>
      <c r="D959" s="371" t="s">
        <v>32</v>
      </c>
      <c r="E959" s="371"/>
      <c r="F959" s="371" t="s">
        <v>387</v>
      </c>
      <c r="G959" s="371" t="s">
        <v>388</v>
      </c>
      <c r="H959" s="371" t="s">
        <v>32</v>
      </c>
      <c r="I959" s="371"/>
      <c r="J959" s="371" t="s">
        <v>387</v>
      </c>
      <c r="K959" s="371" t="s">
        <v>388</v>
      </c>
      <c r="L959" s="371" t="s">
        <v>32</v>
      </c>
      <c r="M959" s="347"/>
      <c r="N959" s="347"/>
    </row>
    <row r="960" spans="1:14" s="286" customFormat="1" x14ac:dyDescent="0.25">
      <c r="A960" s="374"/>
      <c r="B960" s="375"/>
      <c r="C960" s="375"/>
      <c r="D960" s="375"/>
      <c r="E960" s="375"/>
      <c r="F960" s="375"/>
      <c r="G960" s="375"/>
      <c r="H960" s="375"/>
      <c r="I960" s="375"/>
      <c r="J960" s="375"/>
      <c r="K960" s="375"/>
      <c r="L960" s="375"/>
      <c r="M960" s="347"/>
      <c r="N960" s="347"/>
    </row>
    <row r="961" spans="1:14" x14ac:dyDescent="0.25">
      <c r="A961" s="362" t="str">
        <f>name!E$4</f>
        <v>Managers, directors and senior officials</v>
      </c>
      <c r="B961" s="440">
        <v>5.888683046382762</v>
      </c>
      <c r="C961" s="440">
        <v>16.634144492317606</v>
      </c>
      <c r="D961" s="440">
        <f>SUM(B961:C961)</f>
        <v>22.522827538700369</v>
      </c>
      <c r="E961" s="441"/>
      <c r="F961" s="440">
        <v>11.527747209468874</v>
      </c>
      <c r="G961" s="440">
        <v>21.673824671650546</v>
      </c>
      <c r="H961" s="440">
        <f>SUM(F961:G961)</f>
        <v>33.20157188111942</v>
      </c>
      <c r="I961" s="441"/>
      <c r="J961" s="440">
        <v>14.900202115469094</v>
      </c>
      <c r="K961" s="440">
        <v>26.415574685833366</v>
      </c>
      <c r="L961" s="440">
        <f>SUM(J961:K961)</f>
        <v>41.315776801302462</v>
      </c>
      <c r="M961" s="347"/>
      <c r="N961" s="347"/>
    </row>
    <row r="962" spans="1:14" x14ac:dyDescent="0.25">
      <c r="A962" s="362" t="str">
        <f>name!E$5</f>
        <v>Professional occupations</v>
      </c>
      <c r="B962" s="440">
        <v>14.021253285936091</v>
      </c>
      <c r="C962" s="440">
        <v>36.096350650179403</v>
      </c>
      <c r="D962" s="440">
        <f t="shared" ref="D962:D969" si="352">SUM(B962:C962)</f>
        <v>50.117603936115493</v>
      </c>
      <c r="E962" s="441"/>
      <c r="F962" s="440">
        <v>22.21050055443887</v>
      </c>
      <c r="G962" s="440">
        <v>48.58901447127672</v>
      </c>
      <c r="H962" s="440">
        <f t="shared" ref="H962:H969" si="353">SUM(F962:G962)</f>
        <v>70.799515025715593</v>
      </c>
      <c r="I962" s="441"/>
      <c r="J962" s="440">
        <v>29.679363794120313</v>
      </c>
      <c r="K962" s="440">
        <v>56.007429284138418</v>
      </c>
      <c r="L962" s="440">
        <f t="shared" ref="L962:L969" si="354">SUM(J962:K962)</f>
        <v>85.686793078258731</v>
      </c>
      <c r="M962" s="347"/>
      <c r="N962" s="347"/>
    </row>
    <row r="963" spans="1:14" x14ac:dyDescent="0.25">
      <c r="A963" s="362" t="str">
        <f>name!E$6</f>
        <v>Associate professional and technical</v>
      </c>
      <c r="B963" s="440">
        <v>16.338075828112533</v>
      </c>
      <c r="C963" s="440">
        <v>26.639775502008824</v>
      </c>
      <c r="D963" s="440">
        <f t="shared" si="352"/>
        <v>42.977851330121354</v>
      </c>
      <c r="E963" s="441"/>
      <c r="F963" s="440">
        <v>22.29472519957076</v>
      </c>
      <c r="G963" s="440">
        <v>33.729756633385009</v>
      </c>
      <c r="H963" s="440">
        <f t="shared" si="353"/>
        <v>56.024481832955772</v>
      </c>
      <c r="I963" s="441"/>
      <c r="J963" s="440">
        <v>27.174431972331647</v>
      </c>
      <c r="K963" s="440">
        <v>38.430053189325555</v>
      </c>
      <c r="L963" s="440">
        <f t="shared" si="354"/>
        <v>65.604485161657209</v>
      </c>
      <c r="M963" s="347"/>
      <c r="N963" s="347"/>
    </row>
    <row r="964" spans="1:14" x14ac:dyDescent="0.25">
      <c r="A964" s="362" t="str">
        <f>name!E$7</f>
        <v>Administrative and secretarial</v>
      </c>
      <c r="B964" s="440">
        <v>32.074229658988983</v>
      </c>
      <c r="C964" s="440">
        <v>8.6058667709783148</v>
      </c>
      <c r="D964" s="440">
        <f t="shared" si="352"/>
        <v>40.6800964299673</v>
      </c>
      <c r="E964" s="441"/>
      <c r="F964" s="440">
        <v>25.325634841335187</v>
      </c>
      <c r="G964" s="440">
        <v>8.1972785527120617</v>
      </c>
      <c r="H964" s="440">
        <f t="shared" si="353"/>
        <v>33.522913394047251</v>
      </c>
      <c r="I964" s="441"/>
      <c r="J964" s="440">
        <v>21.16390018599369</v>
      </c>
      <c r="K964" s="440">
        <v>8.9958979027396371</v>
      </c>
      <c r="L964" s="440">
        <f t="shared" si="354"/>
        <v>30.159798088733325</v>
      </c>
      <c r="M964" s="347"/>
      <c r="N964" s="347"/>
    </row>
    <row r="965" spans="1:14" x14ac:dyDescent="0.25">
      <c r="A965" s="362" t="str">
        <f>name!E$8</f>
        <v>Skilled trades occupations</v>
      </c>
      <c r="B965" s="440">
        <v>0.78029131469396429</v>
      </c>
      <c r="C965" s="440">
        <v>6.1264841554287344</v>
      </c>
      <c r="D965" s="440">
        <f t="shared" si="352"/>
        <v>6.9067754701226987</v>
      </c>
      <c r="E965" s="441"/>
      <c r="F965" s="440">
        <v>1.0248443766262079</v>
      </c>
      <c r="G965" s="440">
        <v>6.4368146936020603</v>
      </c>
      <c r="H965" s="440">
        <f t="shared" si="353"/>
        <v>7.4616590702282686</v>
      </c>
      <c r="I965" s="441"/>
      <c r="J965" s="440">
        <v>1.2686855358860147</v>
      </c>
      <c r="K965" s="440">
        <v>6.6033982323043832</v>
      </c>
      <c r="L965" s="440">
        <f t="shared" si="354"/>
        <v>7.8720837681903983</v>
      </c>
      <c r="M965" s="347"/>
      <c r="N965" s="347"/>
    </row>
    <row r="966" spans="1:14" x14ac:dyDescent="0.25">
      <c r="A966" s="362" t="str">
        <f>name!E$9</f>
        <v>Caring, leisure and other service</v>
      </c>
      <c r="B966" s="440">
        <v>2.786280605726223</v>
      </c>
      <c r="C966" s="440">
        <v>1.3847689858790999</v>
      </c>
      <c r="D966" s="440">
        <f t="shared" si="352"/>
        <v>4.171049591605323</v>
      </c>
      <c r="E966" s="441"/>
      <c r="F966" s="440">
        <v>5.6298170288821954</v>
      </c>
      <c r="G966" s="440">
        <v>2.2681650739247616</v>
      </c>
      <c r="H966" s="440">
        <f t="shared" si="353"/>
        <v>7.8979821028069566</v>
      </c>
      <c r="I966" s="441"/>
      <c r="J966" s="440">
        <v>6.6924465387599898</v>
      </c>
      <c r="K966" s="440">
        <v>2.5479949995895983</v>
      </c>
      <c r="L966" s="440">
        <f t="shared" si="354"/>
        <v>9.2404415383495877</v>
      </c>
      <c r="M966" s="347"/>
      <c r="N966" s="347"/>
    </row>
    <row r="967" spans="1:14" x14ac:dyDescent="0.25">
      <c r="A967" s="362" t="str">
        <f>name!E$10</f>
        <v>Sales and customer service</v>
      </c>
      <c r="B967" s="440">
        <v>3.7879026573246701</v>
      </c>
      <c r="C967" s="440">
        <v>3.8706556346343994</v>
      </c>
      <c r="D967" s="440">
        <f t="shared" si="352"/>
        <v>7.6585582919590696</v>
      </c>
      <c r="E967" s="441"/>
      <c r="F967" s="440">
        <v>6.0909684349962241</v>
      </c>
      <c r="G967" s="440">
        <v>4.9540643454746789</v>
      </c>
      <c r="H967" s="440">
        <f t="shared" si="353"/>
        <v>11.045032780470903</v>
      </c>
      <c r="I967" s="441"/>
      <c r="J967" s="440">
        <v>6.7484713301126105</v>
      </c>
      <c r="K967" s="440">
        <v>5.388825010054668</v>
      </c>
      <c r="L967" s="440">
        <f t="shared" si="354"/>
        <v>12.137296340167278</v>
      </c>
      <c r="M967" s="347"/>
      <c r="N967" s="347"/>
    </row>
    <row r="968" spans="1:14" x14ac:dyDescent="0.25">
      <c r="A968" s="362" t="str">
        <f>name!E$11</f>
        <v>Process, plant and machine operatives</v>
      </c>
      <c r="B968" s="440">
        <v>0.78076889869346544</v>
      </c>
      <c r="C968" s="440">
        <v>4.3086476881714564</v>
      </c>
      <c r="D968" s="440">
        <f t="shared" si="352"/>
        <v>5.0894165868649219</v>
      </c>
      <c r="E968" s="441"/>
      <c r="F968" s="440">
        <v>0.63123873258777174</v>
      </c>
      <c r="G968" s="440">
        <v>3.8605357552889199</v>
      </c>
      <c r="H968" s="440">
        <f t="shared" si="353"/>
        <v>4.4917744878766914</v>
      </c>
      <c r="I968" s="441"/>
      <c r="J968" s="440">
        <v>0.55607189888949715</v>
      </c>
      <c r="K968" s="440">
        <v>4.0201517569636858</v>
      </c>
      <c r="L968" s="440">
        <f t="shared" si="354"/>
        <v>4.576223655853183</v>
      </c>
      <c r="M968" s="347"/>
      <c r="N968" s="347"/>
    </row>
    <row r="969" spans="1:14" x14ac:dyDescent="0.25">
      <c r="A969" s="362" t="str">
        <f>name!E$12</f>
        <v>Elementary occupations</v>
      </c>
      <c r="B969" s="440">
        <v>17.439514703812364</v>
      </c>
      <c r="C969" s="440">
        <v>18.506306120287839</v>
      </c>
      <c r="D969" s="440">
        <f t="shared" si="352"/>
        <v>35.945820824100203</v>
      </c>
      <c r="E969" s="441"/>
      <c r="F969" s="440">
        <v>16.127523621565825</v>
      </c>
      <c r="G969" s="440">
        <v>19.234545800872521</v>
      </c>
      <c r="H969" s="440">
        <f t="shared" si="353"/>
        <v>35.362069422438346</v>
      </c>
      <c r="I969" s="441"/>
      <c r="J969" s="440">
        <v>13.840426628503579</v>
      </c>
      <c r="K969" s="440">
        <v>20.855674936858794</v>
      </c>
      <c r="L969" s="440">
        <f t="shared" si="354"/>
        <v>34.696101565362369</v>
      </c>
      <c r="M969" s="347"/>
      <c r="N969" s="347"/>
    </row>
    <row r="970" spans="1:14" s="286" customFormat="1" x14ac:dyDescent="0.25">
      <c r="A970" s="362"/>
      <c r="B970" s="440"/>
      <c r="C970" s="440"/>
      <c r="D970" s="440"/>
      <c r="E970" s="441"/>
      <c r="F970" s="440"/>
      <c r="G970" s="440"/>
      <c r="H970" s="440"/>
      <c r="I970" s="441"/>
      <c r="J970" s="440"/>
      <c r="K970" s="440"/>
      <c r="L970" s="440"/>
      <c r="M970" s="347"/>
      <c r="N970" s="347"/>
    </row>
    <row r="971" spans="1:14" x14ac:dyDescent="0.25">
      <c r="A971" s="357" t="s">
        <v>32</v>
      </c>
      <c r="B971" s="450">
        <f>SUM(B961:B969)</f>
        <v>93.896999999671053</v>
      </c>
      <c r="C971" s="450">
        <f t="shared" ref="C971:D971" si="355">SUM(C961:C969)</f>
        <v>122.17299999988569</v>
      </c>
      <c r="D971" s="450">
        <f t="shared" si="355"/>
        <v>216.06999999955676</v>
      </c>
      <c r="E971" s="450"/>
      <c r="F971" s="450">
        <f t="shared" ref="F971:H971" si="356">SUM(F961:F969)</f>
        <v>110.86299999947192</v>
      </c>
      <c r="G971" s="450">
        <f t="shared" si="356"/>
        <v>148.94399999818728</v>
      </c>
      <c r="H971" s="450">
        <f t="shared" si="356"/>
        <v>259.8069999976592</v>
      </c>
      <c r="I971" s="450"/>
      <c r="J971" s="450">
        <f t="shared" ref="J971:L971" si="357">SUM(J961:J969)</f>
        <v>122.02400000006644</v>
      </c>
      <c r="K971" s="450">
        <f t="shared" si="357"/>
        <v>169.26499999780813</v>
      </c>
      <c r="L971" s="450">
        <f t="shared" si="357"/>
        <v>291.28899999787455</v>
      </c>
      <c r="M971" s="347"/>
      <c r="N971" s="347"/>
    </row>
    <row r="972" spans="1:14" x14ac:dyDescent="0.25">
      <c r="A972" s="348"/>
      <c r="B972" s="348"/>
      <c r="C972" s="348"/>
      <c r="D972" s="348"/>
      <c r="E972" s="348"/>
      <c r="F972" s="348"/>
      <c r="G972" s="348"/>
      <c r="H972" s="348"/>
      <c r="I972" s="348"/>
      <c r="J972" s="348"/>
      <c r="K972" s="348"/>
      <c r="L972" s="353"/>
      <c r="M972" s="347"/>
      <c r="N972" s="347"/>
    </row>
    <row r="973" spans="1:14" x14ac:dyDescent="0.25">
      <c r="A973" s="348"/>
      <c r="B973" s="348"/>
      <c r="C973" s="348"/>
      <c r="D973" s="348"/>
      <c r="E973" s="348"/>
      <c r="F973" s="348"/>
      <c r="G973" s="348"/>
      <c r="H973" s="348"/>
      <c r="I973" s="348"/>
      <c r="J973" s="348"/>
      <c r="K973" s="348"/>
      <c r="L973" s="372" t="s">
        <v>35</v>
      </c>
      <c r="M973" s="347"/>
      <c r="N973" s="347"/>
    </row>
    <row r="974" spans="1:14" x14ac:dyDescent="0.25">
      <c r="A974" s="355"/>
      <c r="B974" s="365"/>
      <c r="C974" s="365"/>
      <c r="D974" s="365"/>
      <c r="E974" s="365"/>
      <c r="F974" s="365"/>
      <c r="G974" s="365"/>
      <c r="H974" s="365"/>
      <c r="I974" s="365"/>
      <c r="J974" s="365"/>
      <c r="K974" s="365"/>
      <c r="L974" s="347"/>
      <c r="M974" s="347"/>
      <c r="N974" s="347"/>
    </row>
    <row r="975" spans="1:14" x14ac:dyDescent="0.25">
      <c r="A975" s="354" t="str">
        <f>name!A60</f>
        <v>Veterinary</v>
      </c>
      <c r="B975" s="515">
        <f>B$6</f>
        <v>2007</v>
      </c>
      <c r="C975" s="515"/>
      <c r="D975" s="515"/>
      <c r="E975" s="369"/>
      <c r="F975" s="515">
        <f>F$6</f>
        <v>2017</v>
      </c>
      <c r="G975" s="515"/>
      <c r="H975" s="515"/>
      <c r="I975" s="369"/>
      <c r="J975" s="515">
        <f>J$6</f>
        <v>2027</v>
      </c>
      <c r="K975" s="515"/>
      <c r="L975" s="515"/>
      <c r="M975" s="347"/>
      <c r="N975" s="347"/>
    </row>
    <row r="976" spans="1:14" x14ac:dyDescent="0.25">
      <c r="A976" s="370"/>
      <c r="B976" s="371" t="s">
        <v>387</v>
      </c>
      <c r="C976" s="371" t="s">
        <v>388</v>
      </c>
      <c r="D976" s="371" t="s">
        <v>32</v>
      </c>
      <c r="E976" s="371"/>
      <c r="F976" s="371" t="s">
        <v>387</v>
      </c>
      <c r="G976" s="371" t="s">
        <v>388</v>
      </c>
      <c r="H976" s="371" t="s">
        <v>32</v>
      </c>
      <c r="I976" s="371"/>
      <c r="J976" s="371" t="s">
        <v>387</v>
      </c>
      <c r="K976" s="371" t="s">
        <v>388</v>
      </c>
      <c r="L976" s="371" t="s">
        <v>32</v>
      </c>
      <c r="M976" s="347"/>
      <c r="N976" s="347"/>
    </row>
    <row r="977" spans="1:14" s="286" customFormat="1" x14ac:dyDescent="0.25">
      <c r="A977" s="374"/>
      <c r="B977" s="375"/>
      <c r="C977" s="375"/>
      <c r="D977" s="375"/>
      <c r="E977" s="375"/>
      <c r="F977" s="375"/>
      <c r="G977" s="375"/>
      <c r="H977" s="375"/>
      <c r="I977" s="375"/>
      <c r="J977" s="375"/>
      <c r="K977" s="375"/>
      <c r="L977" s="375"/>
      <c r="M977" s="347"/>
      <c r="N977" s="347"/>
    </row>
    <row r="978" spans="1:14" x14ac:dyDescent="0.25">
      <c r="A978" s="362" t="str">
        <f>name!E$4</f>
        <v>Managers, directors and senior officials</v>
      </c>
      <c r="B978" s="440">
        <v>1.2316330763805658</v>
      </c>
      <c r="C978" s="440">
        <v>1.4913250678138856</v>
      </c>
      <c r="D978" s="440">
        <f>SUM(B978:C978)</f>
        <v>2.7229581441944513</v>
      </c>
      <c r="E978" s="441"/>
      <c r="F978" s="440">
        <v>2.4191496471155043</v>
      </c>
      <c r="G978" s="440">
        <v>2.3282657856410651</v>
      </c>
      <c r="H978" s="440">
        <f>SUM(F978:G978)</f>
        <v>4.7474154327565694</v>
      </c>
      <c r="I978" s="441"/>
      <c r="J978" s="440">
        <v>2.4976424220340236</v>
      </c>
      <c r="K978" s="440">
        <v>2.6505086364461876</v>
      </c>
      <c r="L978" s="440">
        <f>SUM(J978:K978)</f>
        <v>5.1481510584802113</v>
      </c>
      <c r="M978" s="347"/>
      <c r="N978" s="347"/>
    </row>
    <row r="979" spans="1:14" x14ac:dyDescent="0.25">
      <c r="A979" s="362" t="str">
        <f>name!E$5</f>
        <v>Professional occupations</v>
      </c>
      <c r="B979" s="440">
        <v>9.5907041361601948</v>
      </c>
      <c r="C979" s="440">
        <v>7.2371536041516809</v>
      </c>
      <c r="D979" s="440">
        <f t="shared" ref="D979:D986" si="358">SUM(B979:C979)</f>
        <v>16.827857740311877</v>
      </c>
      <c r="E979" s="441"/>
      <c r="F979" s="440">
        <v>16.327139262710638</v>
      </c>
      <c r="G979" s="440">
        <v>11.62122592829604</v>
      </c>
      <c r="H979" s="440">
        <f t="shared" ref="H979:H986" si="359">SUM(F979:G979)</f>
        <v>27.94836519100668</v>
      </c>
      <c r="I979" s="441"/>
      <c r="J979" s="440">
        <v>19.253844668996418</v>
      </c>
      <c r="K979" s="440">
        <v>12.767641789025964</v>
      </c>
      <c r="L979" s="440">
        <f t="shared" ref="L979:L986" si="360">SUM(J979:K979)</f>
        <v>32.02148645802238</v>
      </c>
      <c r="M979" s="347"/>
      <c r="N979" s="347"/>
    </row>
    <row r="980" spans="1:14" x14ac:dyDescent="0.25">
      <c r="A980" s="362" t="str">
        <f>name!E$6</f>
        <v>Associate professional and technical</v>
      </c>
      <c r="B980" s="440">
        <v>3.8561680165721017</v>
      </c>
      <c r="C980" s="440">
        <v>3.2884119822495803</v>
      </c>
      <c r="D980" s="440">
        <f t="shared" si="358"/>
        <v>7.1445799988216816</v>
      </c>
      <c r="E980" s="441"/>
      <c r="F980" s="440">
        <v>6.4870420068149866</v>
      </c>
      <c r="G980" s="440">
        <v>5.4457325963724408</v>
      </c>
      <c r="H980" s="440">
        <f t="shared" si="359"/>
        <v>11.932774603187427</v>
      </c>
      <c r="I980" s="441"/>
      <c r="J980" s="440">
        <v>7.4143249706338832</v>
      </c>
      <c r="K980" s="440">
        <v>6.1833844424715387</v>
      </c>
      <c r="L980" s="440">
        <f t="shared" si="360"/>
        <v>13.597709413105422</v>
      </c>
      <c r="M980" s="347"/>
      <c r="N980" s="347"/>
    </row>
    <row r="981" spans="1:14" x14ac:dyDescent="0.25">
      <c r="A981" s="362" t="str">
        <f>name!E$7</f>
        <v>Administrative and secretarial</v>
      </c>
      <c r="B981" s="440">
        <v>4.2749147292690273</v>
      </c>
      <c r="C981" s="440">
        <v>0.98190142238400591</v>
      </c>
      <c r="D981" s="440">
        <f t="shared" si="358"/>
        <v>5.256816151653033</v>
      </c>
      <c r="E981" s="441"/>
      <c r="F981" s="440">
        <v>4.3775180370605282</v>
      </c>
      <c r="G981" s="440">
        <v>1.8306704240259639</v>
      </c>
      <c r="H981" s="440">
        <f t="shared" si="359"/>
        <v>6.2081884610864924</v>
      </c>
      <c r="I981" s="441"/>
      <c r="J981" s="440">
        <v>2.5157028163852821</v>
      </c>
      <c r="K981" s="440">
        <v>1.79432591635538</v>
      </c>
      <c r="L981" s="440">
        <f t="shared" si="360"/>
        <v>4.3100287327406619</v>
      </c>
      <c r="M981" s="347"/>
      <c r="N981" s="347"/>
    </row>
    <row r="982" spans="1:14" x14ac:dyDescent="0.25">
      <c r="A982" s="362" t="str">
        <f>name!E$8</f>
        <v>Skilled trades occupations</v>
      </c>
      <c r="B982" s="440">
        <v>0.37273275195121719</v>
      </c>
      <c r="C982" s="440">
        <v>1.100607556011082</v>
      </c>
      <c r="D982" s="440">
        <f t="shared" si="358"/>
        <v>1.4733403079622991</v>
      </c>
      <c r="E982" s="441"/>
      <c r="F982" s="440">
        <v>0.28208001403178007</v>
      </c>
      <c r="G982" s="440">
        <v>0.98980586812428439</v>
      </c>
      <c r="H982" s="440">
        <f t="shared" si="359"/>
        <v>1.2718858821560644</v>
      </c>
      <c r="I982" s="441"/>
      <c r="J982" s="440">
        <v>0.16038726075540249</v>
      </c>
      <c r="K982" s="440">
        <v>0.87193971828075378</v>
      </c>
      <c r="L982" s="440">
        <f t="shared" si="360"/>
        <v>1.0323269790361562</v>
      </c>
      <c r="M982" s="347"/>
      <c r="N982" s="347"/>
    </row>
    <row r="983" spans="1:14" x14ac:dyDescent="0.25">
      <c r="A983" s="362" t="str">
        <f>name!E$9</f>
        <v>Caring, leisure and other service</v>
      </c>
      <c r="B983" s="440">
        <v>13.480039531607403</v>
      </c>
      <c r="C983" s="440">
        <v>4.4018541824486874</v>
      </c>
      <c r="D983" s="440">
        <f t="shared" si="358"/>
        <v>17.881893714056091</v>
      </c>
      <c r="E983" s="441"/>
      <c r="F983" s="440">
        <v>22.231456949380703</v>
      </c>
      <c r="G983" s="440">
        <v>7.7082638113027331</v>
      </c>
      <c r="H983" s="440">
        <f t="shared" si="359"/>
        <v>29.939720760683436</v>
      </c>
      <c r="I983" s="441"/>
      <c r="J983" s="440">
        <v>25.59462482082607</v>
      </c>
      <c r="K983" s="440">
        <v>10.098464487707032</v>
      </c>
      <c r="L983" s="440">
        <f t="shared" si="360"/>
        <v>35.693089308533104</v>
      </c>
      <c r="M983" s="347"/>
      <c r="N983" s="347"/>
    </row>
    <row r="984" spans="1:14" x14ac:dyDescent="0.25">
      <c r="A984" s="362" t="str">
        <f>name!E$10</f>
        <v>Sales and customer service</v>
      </c>
      <c r="B984" s="440">
        <v>0.41376627393585069</v>
      </c>
      <c r="C984" s="440">
        <v>0.25798737962829799</v>
      </c>
      <c r="D984" s="440">
        <f t="shared" si="358"/>
        <v>0.67175365356414862</v>
      </c>
      <c r="E984" s="441"/>
      <c r="F984" s="440">
        <v>0.65963528531787008</v>
      </c>
      <c r="G984" s="440">
        <v>0.41037828648510355</v>
      </c>
      <c r="H984" s="440">
        <f t="shared" si="359"/>
        <v>1.0700135718029737</v>
      </c>
      <c r="I984" s="441"/>
      <c r="J984" s="440">
        <v>0.63888240140136188</v>
      </c>
      <c r="K984" s="440">
        <v>0.39792083340324813</v>
      </c>
      <c r="L984" s="440">
        <f t="shared" si="360"/>
        <v>1.0368032348046099</v>
      </c>
      <c r="M984" s="347"/>
      <c r="N984" s="347"/>
    </row>
    <row r="985" spans="1:14" x14ac:dyDescent="0.25">
      <c r="A985" s="362" t="str">
        <f>name!E$11</f>
        <v>Process, plant and machine operatives</v>
      </c>
      <c r="B985" s="440">
        <v>0.10686992785888695</v>
      </c>
      <c r="C985" s="440">
        <v>0.62500215060298558</v>
      </c>
      <c r="D985" s="440">
        <f t="shared" si="358"/>
        <v>0.73187207846187252</v>
      </c>
      <c r="E985" s="441"/>
      <c r="F985" s="440">
        <v>7.9926784753891131E-2</v>
      </c>
      <c r="G985" s="440">
        <v>0.51943103920182965</v>
      </c>
      <c r="H985" s="440">
        <f t="shared" si="359"/>
        <v>0.59935782395572079</v>
      </c>
      <c r="I985" s="441"/>
      <c r="J985" s="440">
        <v>4.2331741711862166E-2</v>
      </c>
      <c r="K985" s="440">
        <v>0.41718681734747332</v>
      </c>
      <c r="L985" s="440">
        <f t="shared" si="360"/>
        <v>0.45951855905933547</v>
      </c>
      <c r="M985" s="347"/>
      <c r="N985" s="347"/>
    </row>
    <row r="986" spans="1:14" x14ac:dyDescent="0.25">
      <c r="A986" s="362" t="str">
        <f>name!E$12</f>
        <v>Elementary occupations</v>
      </c>
      <c r="B986" s="440">
        <v>1.9601715557878439</v>
      </c>
      <c r="C986" s="440">
        <v>1.3597566546013322</v>
      </c>
      <c r="D986" s="440">
        <f t="shared" si="358"/>
        <v>3.3199282103891763</v>
      </c>
      <c r="E986" s="441"/>
      <c r="F986" s="440">
        <v>0.98405201117383645</v>
      </c>
      <c r="G986" s="440">
        <v>1.3812262604257595</v>
      </c>
      <c r="H986" s="440">
        <f t="shared" si="359"/>
        <v>2.3652782715995961</v>
      </c>
      <c r="I986" s="441"/>
      <c r="J986" s="440">
        <v>0.62625889614227959</v>
      </c>
      <c r="K986" s="440">
        <v>1.3336273589485035</v>
      </c>
      <c r="L986" s="440">
        <f t="shared" si="360"/>
        <v>1.9598862550907832</v>
      </c>
      <c r="M986" s="347"/>
      <c r="N986" s="347"/>
    </row>
    <row r="987" spans="1:14" s="286" customFormat="1" x14ac:dyDescent="0.25">
      <c r="A987" s="362"/>
      <c r="B987" s="440"/>
      <c r="C987" s="440"/>
      <c r="D987" s="440"/>
      <c r="E987" s="441"/>
      <c r="F987" s="440"/>
      <c r="G987" s="440"/>
      <c r="H987" s="440"/>
      <c r="I987" s="441"/>
      <c r="J987" s="440"/>
      <c r="K987" s="440"/>
      <c r="L987" s="440"/>
      <c r="M987" s="347"/>
      <c r="N987" s="347"/>
    </row>
    <row r="988" spans="1:14" x14ac:dyDescent="0.25">
      <c r="A988" s="357" t="s">
        <v>32</v>
      </c>
      <c r="B988" s="450">
        <f>SUM(B978:B986)</f>
        <v>35.28699999952309</v>
      </c>
      <c r="C988" s="450">
        <f t="shared" ref="C988:D988" si="361">SUM(C978:C986)</f>
        <v>20.743999999891535</v>
      </c>
      <c r="D988" s="450">
        <f t="shared" si="361"/>
        <v>56.030999999414625</v>
      </c>
      <c r="E988" s="450"/>
      <c r="F988" s="450">
        <f t="shared" ref="F988:H988" si="362">SUM(F978:F986)</f>
        <v>53.847999998359739</v>
      </c>
      <c r="G988" s="450">
        <f t="shared" si="362"/>
        <v>32.234999999875221</v>
      </c>
      <c r="H988" s="450">
        <f t="shared" si="362"/>
        <v>86.082999998234953</v>
      </c>
      <c r="I988" s="450"/>
      <c r="J988" s="450">
        <f t="shared" ref="J988:L988" si="363">SUM(J978:J986)</f>
        <v>58.743999998886586</v>
      </c>
      <c r="K988" s="450">
        <f t="shared" si="363"/>
        <v>36.514999999986081</v>
      </c>
      <c r="L988" s="450">
        <f t="shared" si="363"/>
        <v>95.258999998872653</v>
      </c>
      <c r="M988" s="347"/>
      <c r="N988" s="347"/>
    </row>
    <row r="989" spans="1:14" x14ac:dyDescent="0.25">
      <c r="A989" s="348"/>
      <c r="B989" s="348"/>
      <c r="C989" s="348"/>
      <c r="D989" s="348"/>
      <c r="E989" s="348"/>
      <c r="F989" s="348"/>
      <c r="G989" s="348"/>
      <c r="H989" s="348"/>
      <c r="I989" s="348"/>
      <c r="J989" s="348"/>
      <c r="K989" s="348"/>
      <c r="L989" s="353"/>
      <c r="M989" s="347"/>
      <c r="N989" s="347"/>
    </row>
    <row r="990" spans="1:14" x14ac:dyDescent="0.25">
      <c r="A990" s="348"/>
      <c r="B990" s="348"/>
      <c r="C990" s="348"/>
      <c r="D990" s="348"/>
      <c r="E990" s="348"/>
      <c r="F990" s="348"/>
      <c r="G990" s="348"/>
      <c r="H990" s="348"/>
      <c r="I990" s="348"/>
      <c r="J990" s="348"/>
      <c r="K990" s="348"/>
      <c r="L990" s="372" t="s">
        <v>35</v>
      </c>
      <c r="M990" s="347"/>
      <c r="N990" s="347"/>
    </row>
    <row r="991" spans="1:14" x14ac:dyDescent="0.25">
      <c r="A991" s="355"/>
      <c r="B991" s="365"/>
      <c r="C991" s="365"/>
      <c r="D991" s="365"/>
      <c r="E991" s="365"/>
      <c r="F991" s="365"/>
      <c r="G991" s="365"/>
      <c r="H991" s="365"/>
      <c r="I991" s="365"/>
      <c r="J991" s="365"/>
      <c r="K991" s="365"/>
      <c r="L991" s="347"/>
      <c r="M991" s="347"/>
      <c r="N991" s="347"/>
    </row>
    <row r="992" spans="1:14" x14ac:dyDescent="0.25">
      <c r="A992" s="354" t="str">
        <f>name!A61</f>
        <v>Rental and leasing</v>
      </c>
      <c r="B992" s="515">
        <f>B$6</f>
        <v>2007</v>
      </c>
      <c r="C992" s="515"/>
      <c r="D992" s="515"/>
      <c r="E992" s="369"/>
      <c r="F992" s="515">
        <f>F$6</f>
        <v>2017</v>
      </c>
      <c r="G992" s="515"/>
      <c r="H992" s="515"/>
      <c r="I992" s="369"/>
      <c r="J992" s="515">
        <f>J$6</f>
        <v>2027</v>
      </c>
      <c r="K992" s="515"/>
      <c r="L992" s="515"/>
      <c r="M992" s="347"/>
      <c r="N992" s="347"/>
    </row>
    <row r="993" spans="1:14" x14ac:dyDescent="0.25">
      <c r="A993" s="370"/>
      <c r="B993" s="371" t="s">
        <v>387</v>
      </c>
      <c r="C993" s="371" t="s">
        <v>388</v>
      </c>
      <c r="D993" s="371" t="s">
        <v>32</v>
      </c>
      <c r="E993" s="371"/>
      <c r="F993" s="371" t="s">
        <v>387</v>
      </c>
      <c r="G993" s="371" t="s">
        <v>388</v>
      </c>
      <c r="H993" s="371" t="s">
        <v>32</v>
      </c>
      <c r="I993" s="371"/>
      <c r="J993" s="371" t="s">
        <v>387</v>
      </c>
      <c r="K993" s="371" t="s">
        <v>388</v>
      </c>
      <c r="L993" s="371" t="s">
        <v>32</v>
      </c>
      <c r="M993" s="347"/>
      <c r="N993" s="347"/>
    </row>
    <row r="994" spans="1:14" s="286" customFormat="1" x14ac:dyDescent="0.25">
      <c r="A994" s="374"/>
      <c r="B994" s="375"/>
      <c r="C994" s="375"/>
      <c r="D994" s="375"/>
      <c r="E994" s="375"/>
      <c r="F994" s="375"/>
      <c r="G994" s="375"/>
      <c r="H994" s="375"/>
      <c r="I994" s="375"/>
      <c r="J994" s="375"/>
      <c r="K994" s="375"/>
      <c r="L994" s="375"/>
      <c r="M994" s="347"/>
      <c r="N994" s="347"/>
    </row>
    <row r="995" spans="1:14" x14ac:dyDescent="0.25">
      <c r="A995" s="362" t="str">
        <f>name!E$4</f>
        <v>Managers, directors and senior officials</v>
      </c>
      <c r="B995" s="440">
        <v>3.3343397200138263</v>
      </c>
      <c r="C995" s="440">
        <v>23.43613132048673</v>
      </c>
      <c r="D995" s="440">
        <f>SUM(B995:C995)</f>
        <v>26.770471040500556</v>
      </c>
      <c r="E995" s="441"/>
      <c r="F995" s="440">
        <v>3.9460508299546895</v>
      </c>
      <c r="G995" s="440">
        <v>24.490313964632257</v>
      </c>
      <c r="H995" s="440">
        <f>SUM(F995:G995)</f>
        <v>28.436364794586947</v>
      </c>
      <c r="I995" s="441"/>
      <c r="J995" s="440">
        <v>4.5258633238938328</v>
      </c>
      <c r="K995" s="440">
        <v>28.137422516704341</v>
      </c>
      <c r="L995" s="440">
        <f>SUM(J995:K995)</f>
        <v>32.663285840598171</v>
      </c>
      <c r="M995" s="347"/>
      <c r="N995" s="347"/>
    </row>
    <row r="996" spans="1:14" x14ac:dyDescent="0.25">
      <c r="A996" s="362" t="str">
        <f>name!E$5</f>
        <v>Professional occupations</v>
      </c>
      <c r="B996" s="440">
        <v>3.6367729309978287</v>
      </c>
      <c r="C996" s="440">
        <v>14.885592910702291</v>
      </c>
      <c r="D996" s="440">
        <f t="shared" ref="D996:D1003" si="364">SUM(B996:C996)</f>
        <v>18.522365841700122</v>
      </c>
      <c r="E996" s="441"/>
      <c r="F996" s="440">
        <v>3.7227809168516717</v>
      </c>
      <c r="G996" s="440">
        <v>17.987643216084845</v>
      </c>
      <c r="H996" s="440">
        <f t="shared" ref="H996:H1003" si="365">SUM(F996:G996)</f>
        <v>21.710424132936517</v>
      </c>
      <c r="I996" s="441"/>
      <c r="J996" s="440">
        <v>4.6476989002786864</v>
      </c>
      <c r="K996" s="440">
        <v>21.303468287475539</v>
      </c>
      <c r="L996" s="440">
        <f t="shared" ref="L996:L1003" si="366">SUM(J996:K996)</f>
        <v>25.951167187754226</v>
      </c>
      <c r="M996" s="347"/>
      <c r="N996" s="347"/>
    </row>
    <row r="997" spans="1:14" x14ac:dyDescent="0.25">
      <c r="A997" s="362" t="str">
        <f>name!E$6</f>
        <v>Associate professional and technical</v>
      </c>
      <c r="B997" s="440">
        <v>4.259418378868931</v>
      </c>
      <c r="C997" s="440">
        <v>17.828464900214581</v>
      </c>
      <c r="D997" s="440">
        <f t="shared" si="364"/>
        <v>22.087883279083513</v>
      </c>
      <c r="E997" s="441"/>
      <c r="F997" s="440">
        <v>4.6373506433647504</v>
      </c>
      <c r="G997" s="440">
        <v>17.213592058418847</v>
      </c>
      <c r="H997" s="440">
        <f t="shared" si="365"/>
        <v>21.850942701783598</v>
      </c>
      <c r="I997" s="441"/>
      <c r="J997" s="440">
        <v>5.4621203222429209</v>
      </c>
      <c r="K997" s="440">
        <v>18.616416822209004</v>
      </c>
      <c r="L997" s="440">
        <f t="shared" si="366"/>
        <v>24.078537144451925</v>
      </c>
      <c r="M997" s="347"/>
      <c r="N997" s="347"/>
    </row>
    <row r="998" spans="1:14" x14ac:dyDescent="0.25">
      <c r="A998" s="362" t="str">
        <f>name!E$7</f>
        <v>Administrative and secretarial</v>
      </c>
      <c r="B998" s="440">
        <v>11.818846642127689</v>
      </c>
      <c r="C998" s="440">
        <v>7.6790307581611446</v>
      </c>
      <c r="D998" s="440">
        <f t="shared" si="364"/>
        <v>19.497877400288832</v>
      </c>
      <c r="E998" s="441"/>
      <c r="F998" s="440">
        <v>8.7903640076524603</v>
      </c>
      <c r="G998" s="440">
        <v>10.086633422189278</v>
      </c>
      <c r="H998" s="440">
        <f t="shared" si="365"/>
        <v>18.876997429841737</v>
      </c>
      <c r="I998" s="441"/>
      <c r="J998" s="440">
        <v>7.3067028168452728</v>
      </c>
      <c r="K998" s="440">
        <v>11.008732411040228</v>
      </c>
      <c r="L998" s="440">
        <f t="shared" si="366"/>
        <v>18.315435227885501</v>
      </c>
      <c r="M998" s="347"/>
      <c r="N998" s="347"/>
    </row>
    <row r="999" spans="1:14" x14ac:dyDescent="0.25">
      <c r="A999" s="362" t="str">
        <f>name!E$8</f>
        <v>Skilled trades occupations</v>
      </c>
      <c r="B999" s="440">
        <v>0.697575194286709</v>
      </c>
      <c r="C999" s="440">
        <v>21.864580459473842</v>
      </c>
      <c r="D999" s="440">
        <f t="shared" si="364"/>
        <v>22.562155653760552</v>
      </c>
      <c r="E999" s="441"/>
      <c r="F999" s="440">
        <v>0.60483867529620738</v>
      </c>
      <c r="G999" s="440">
        <v>15.50684606142271</v>
      </c>
      <c r="H999" s="440">
        <f t="shared" si="365"/>
        <v>16.111684736718917</v>
      </c>
      <c r="I999" s="441"/>
      <c r="J999" s="440">
        <v>0.63337131440911443</v>
      </c>
      <c r="K999" s="440">
        <v>14.413416773074861</v>
      </c>
      <c r="L999" s="440">
        <f t="shared" si="366"/>
        <v>15.046788087483975</v>
      </c>
      <c r="M999" s="347"/>
      <c r="N999" s="347"/>
    </row>
    <row r="1000" spans="1:14" x14ac:dyDescent="0.25">
      <c r="A1000" s="362" t="str">
        <f>name!E$9</f>
        <v>Caring, leisure and other service</v>
      </c>
      <c r="B1000" s="440">
        <v>0.66379615125804181</v>
      </c>
      <c r="C1000" s="440">
        <v>2.612570501576243</v>
      </c>
      <c r="D1000" s="440">
        <f t="shared" si="364"/>
        <v>3.2763666528342847</v>
      </c>
      <c r="E1000" s="441"/>
      <c r="F1000" s="440">
        <v>0.85017313732294841</v>
      </c>
      <c r="G1000" s="440">
        <v>3.6588796352390016</v>
      </c>
      <c r="H1000" s="440">
        <f t="shared" si="365"/>
        <v>4.50905277256195</v>
      </c>
      <c r="I1000" s="441"/>
      <c r="J1000" s="440">
        <v>0.94464812293331801</v>
      </c>
      <c r="K1000" s="440">
        <v>4.8607865099563847</v>
      </c>
      <c r="L1000" s="440">
        <f t="shared" si="366"/>
        <v>5.8054346328897024</v>
      </c>
      <c r="M1000" s="347"/>
      <c r="N1000" s="347"/>
    </row>
    <row r="1001" spans="1:14" x14ac:dyDescent="0.25">
      <c r="A1001" s="362" t="str">
        <f>name!E$10</f>
        <v>Sales and customer service</v>
      </c>
      <c r="B1001" s="440">
        <v>7.8030220631778047</v>
      </c>
      <c r="C1001" s="440">
        <v>10.022798213207359</v>
      </c>
      <c r="D1001" s="440">
        <f t="shared" si="364"/>
        <v>17.825820276385166</v>
      </c>
      <c r="E1001" s="441"/>
      <c r="F1001" s="440">
        <v>7.3179330575490429</v>
      </c>
      <c r="G1001" s="440">
        <v>6.9550763682314329</v>
      </c>
      <c r="H1001" s="440">
        <f t="shared" si="365"/>
        <v>14.273009425780476</v>
      </c>
      <c r="I1001" s="441"/>
      <c r="J1001" s="440">
        <v>7.6587079324549068</v>
      </c>
      <c r="K1001" s="440">
        <v>6.489600072586498</v>
      </c>
      <c r="L1001" s="440">
        <f t="shared" si="366"/>
        <v>14.148308005041404</v>
      </c>
      <c r="M1001" s="347"/>
      <c r="N1001" s="347"/>
    </row>
    <row r="1002" spans="1:14" x14ac:dyDescent="0.25">
      <c r="A1002" s="362" t="str">
        <f>name!E$11</f>
        <v>Process, plant and machine operatives</v>
      </c>
      <c r="B1002" s="440">
        <v>0.76221313159466753</v>
      </c>
      <c r="C1002" s="440">
        <v>23.258370092823792</v>
      </c>
      <c r="D1002" s="440">
        <f t="shared" si="364"/>
        <v>24.020583224418459</v>
      </c>
      <c r="E1002" s="441"/>
      <c r="F1002" s="440">
        <v>0.7023224372930682</v>
      </c>
      <c r="G1002" s="440">
        <v>20.266702831473722</v>
      </c>
      <c r="H1002" s="440">
        <f t="shared" si="365"/>
        <v>20.969025268766792</v>
      </c>
      <c r="I1002" s="441"/>
      <c r="J1002" s="440">
        <v>0.63925437829066356</v>
      </c>
      <c r="K1002" s="440">
        <v>21.977648463923874</v>
      </c>
      <c r="L1002" s="440">
        <f t="shared" si="366"/>
        <v>22.616902842214536</v>
      </c>
      <c r="M1002" s="347"/>
      <c r="N1002" s="347"/>
    </row>
    <row r="1003" spans="1:14" x14ac:dyDescent="0.25">
      <c r="A1003" s="362" t="str">
        <f>name!E$12</f>
        <v>Elementary occupations</v>
      </c>
      <c r="B1003" s="440">
        <v>1.3550157875842839</v>
      </c>
      <c r="C1003" s="440">
        <v>5.3044608430430635</v>
      </c>
      <c r="D1003" s="440">
        <f t="shared" si="364"/>
        <v>6.6594766306273474</v>
      </c>
      <c r="E1003" s="441"/>
      <c r="F1003" s="440">
        <v>1.7701862947746385</v>
      </c>
      <c r="G1003" s="440">
        <v>3.3813124421401755</v>
      </c>
      <c r="H1003" s="440">
        <f t="shared" si="365"/>
        <v>5.1514987369148137</v>
      </c>
      <c r="I1003" s="441"/>
      <c r="J1003" s="440">
        <v>1.701632888636752</v>
      </c>
      <c r="K1003" s="440">
        <v>3.5145081426151026</v>
      </c>
      <c r="L1003" s="440">
        <f t="shared" si="366"/>
        <v>5.2161410312518548</v>
      </c>
      <c r="M1003" s="347"/>
      <c r="N1003" s="347"/>
    </row>
    <row r="1004" spans="1:14" s="286" customFormat="1" x14ac:dyDescent="0.25">
      <c r="A1004" s="362"/>
      <c r="B1004" s="440"/>
      <c r="C1004" s="440"/>
      <c r="D1004" s="440"/>
      <c r="E1004" s="441"/>
      <c r="F1004" s="440"/>
      <c r="G1004" s="440"/>
      <c r="H1004" s="440"/>
      <c r="I1004" s="441"/>
      <c r="J1004" s="440"/>
      <c r="K1004" s="440"/>
      <c r="L1004" s="440"/>
      <c r="M1004" s="347"/>
      <c r="N1004" s="347"/>
    </row>
    <row r="1005" spans="1:14" x14ac:dyDescent="0.25">
      <c r="A1005" s="357" t="s">
        <v>32</v>
      </c>
      <c r="B1005" s="450">
        <f>SUM(B995:B1003)</f>
        <v>34.330999999909785</v>
      </c>
      <c r="C1005" s="450">
        <f t="shared" ref="C1005:D1005" si="367">SUM(C995:C1003)</f>
        <v>126.89199999968906</v>
      </c>
      <c r="D1005" s="450">
        <f t="shared" si="367"/>
        <v>161.22299999959884</v>
      </c>
      <c r="E1005" s="450"/>
      <c r="F1005" s="450">
        <f t="shared" ref="F1005:H1005" si="368">SUM(F995:F1003)</f>
        <v>32.342000000059478</v>
      </c>
      <c r="G1005" s="450">
        <f t="shared" si="368"/>
        <v>119.54699999983225</v>
      </c>
      <c r="H1005" s="450">
        <f t="shared" si="368"/>
        <v>151.88899999989172</v>
      </c>
      <c r="I1005" s="450"/>
      <c r="J1005" s="450">
        <f t="shared" ref="J1005:L1005" si="369">SUM(J995:J1003)</f>
        <v>33.519999999985465</v>
      </c>
      <c r="K1005" s="450">
        <f t="shared" si="369"/>
        <v>130.32199999958581</v>
      </c>
      <c r="L1005" s="450">
        <f t="shared" si="369"/>
        <v>163.8419999995713</v>
      </c>
      <c r="M1005" s="347"/>
      <c r="N1005" s="347"/>
    </row>
    <row r="1006" spans="1:14" x14ac:dyDescent="0.25">
      <c r="A1006" s="348"/>
      <c r="B1006" s="348"/>
      <c r="C1006" s="348"/>
      <c r="D1006" s="348"/>
      <c r="E1006" s="348"/>
      <c r="F1006" s="348"/>
      <c r="G1006" s="348"/>
      <c r="H1006" s="348"/>
      <c r="I1006" s="348"/>
      <c r="J1006" s="348"/>
      <c r="K1006" s="348"/>
      <c r="L1006" s="353"/>
      <c r="M1006" s="347"/>
      <c r="N1006" s="347"/>
    </row>
    <row r="1007" spans="1:14" x14ac:dyDescent="0.25">
      <c r="A1007" s="348"/>
      <c r="B1007" s="348"/>
      <c r="C1007" s="348"/>
      <c r="D1007" s="348"/>
      <c r="E1007" s="348"/>
      <c r="F1007" s="348"/>
      <c r="G1007" s="348"/>
      <c r="H1007" s="348"/>
      <c r="I1007" s="348"/>
      <c r="J1007" s="348"/>
      <c r="K1007" s="348"/>
      <c r="L1007" s="372" t="s">
        <v>35</v>
      </c>
      <c r="M1007" s="347"/>
      <c r="N1007" s="347"/>
    </row>
    <row r="1008" spans="1:14" x14ac:dyDescent="0.25">
      <c r="A1008" s="355"/>
      <c r="B1008" s="365"/>
      <c r="C1008" s="365"/>
      <c r="D1008" s="365"/>
      <c r="E1008" s="365"/>
      <c r="F1008" s="365"/>
      <c r="G1008" s="365"/>
      <c r="H1008" s="365"/>
      <c r="I1008" s="365"/>
      <c r="J1008" s="365"/>
      <c r="K1008" s="365"/>
      <c r="L1008" s="347"/>
      <c r="M1008" s="347"/>
      <c r="N1008" s="347"/>
    </row>
    <row r="1009" spans="1:14" x14ac:dyDescent="0.25">
      <c r="A1009" s="354" t="str">
        <f>name!A62</f>
        <v>Employment activities</v>
      </c>
      <c r="B1009" s="515">
        <f>B$6</f>
        <v>2007</v>
      </c>
      <c r="C1009" s="515"/>
      <c r="D1009" s="515"/>
      <c r="E1009" s="369"/>
      <c r="F1009" s="515">
        <f>F$6</f>
        <v>2017</v>
      </c>
      <c r="G1009" s="515"/>
      <c r="H1009" s="515"/>
      <c r="I1009" s="369"/>
      <c r="J1009" s="515">
        <f>J$6</f>
        <v>2027</v>
      </c>
      <c r="K1009" s="515"/>
      <c r="L1009" s="515"/>
      <c r="M1009" s="347"/>
      <c r="N1009" s="347"/>
    </row>
    <row r="1010" spans="1:14" x14ac:dyDescent="0.25">
      <c r="A1010" s="370"/>
      <c r="B1010" s="371" t="s">
        <v>387</v>
      </c>
      <c r="C1010" s="371" t="s">
        <v>388</v>
      </c>
      <c r="D1010" s="371" t="s">
        <v>32</v>
      </c>
      <c r="E1010" s="371"/>
      <c r="F1010" s="371" t="s">
        <v>387</v>
      </c>
      <c r="G1010" s="371" t="s">
        <v>388</v>
      </c>
      <c r="H1010" s="371" t="s">
        <v>32</v>
      </c>
      <c r="I1010" s="371"/>
      <c r="J1010" s="371" t="s">
        <v>387</v>
      </c>
      <c r="K1010" s="371" t="s">
        <v>388</v>
      </c>
      <c r="L1010" s="371" t="s">
        <v>32</v>
      </c>
      <c r="M1010" s="347"/>
      <c r="N1010" s="347"/>
    </row>
    <row r="1011" spans="1:14" s="286" customFormat="1" x14ac:dyDescent="0.25">
      <c r="A1011" s="374"/>
      <c r="B1011" s="375"/>
      <c r="C1011" s="375"/>
      <c r="D1011" s="375"/>
      <c r="E1011" s="375"/>
      <c r="F1011" s="375"/>
      <c r="G1011" s="375"/>
      <c r="H1011" s="375"/>
      <c r="I1011" s="375"/>
      <c r="J1011" s="375"/>
      <c r="K1011" s="375"/>
      <c r="L1011" s="375"/>
      <c r="M1011" s="347"/>
      <c r="N1011" s="347"/>
    </row>
    <row r="1012" spans="1:14" x14ac:dyDescent="0.25">
      <c r="A1012" s="362" t="str">
        <f>name!E$4</f>
        <v>Managers, directors and senior officials</v>
      </c>
      <c r="B1012" s="440">
        <v>21.0837904469163</v>
      </c>
      <c r="C1012" s="440">
        <v>64.061159615604666</v>
      </c>
      <c r="D1012" s="440">
        <f>SUM(B1012:C1012)</f>
        <v>85.144950062520962</v>
      </c>
      <c r="E1012" s="441"/>
      <c r="F1012" s="440">
        <v>39.382808038185786</v>
      </c>
      <c r="G1012" s="440">
        <v>71.100090280239044</v>
      </c>
      <c r="H1012" s="440">
        <f>SUM(F1012:G1012)</f>
        <v>110.48289831842483</v>
      </c>
      <c r="I1012" s="441"/>
      <c r="J1012" s="440">
        <v>48.257030065068449</v>
      </c>
      <c r="K1012" s="440">
        <v>78.318761500713691</v>
      </c>
      <c r="L1012" s="440">
        <f>SUM(J1012:K1012)</f>
        <v>126.57579156578214</v>
      </c>
      <c r="M1012" s="347"/>
      <c r="N1012" s="347"/>
    </row>
    <row r="1013" spans="1:14" x14ac:dyDescent="0.25">
      <c r="A1013" s="362" t="str">
        <f>name!E$5</f>
        <v>Professional occupations</v>
      </c>
      <c r="B1013" s="440">
        <v>28.999497966039382</v>
      </c>
      <c r="C1013" s="440">
        <v>44.342167784473233</v>
      </c>
      <c r="D1013" s="440">
        <f t="shared" ref="D1013:D1020" si="370">SUM(B1013:C1013)</f>
        <v>73.341665750512618</v>
      </c>
      <c r="E1013" s="441"/>
      <c r="F1013" s="440">
        <v>45.7074979515493</v>
      </c>
      <c r="G1013" s="440">
        <v>59.565689095371056</v>
      </c>
      <c r="H1013" s="440">
        <f t="shared" ref="H1013:H1020" si="371">SUM(F1013:G1013)</f>
        <v>105.27318704692036</v>
      </c>
      <c r="I1013" s="441"/>
      <c r="J1013" s="440">
        <v>56.779913223240378</v>
      </c>
      <c r="K1013" s="440">
        <v>68.875136241354156</v>
      </c>
      <c r="L1013" s="440">
        <f t="shared" ref="L1013:L1020" si="372">SUM(J1013:K1013)</f>
        <v>125.65504946459453</v>
      </c>
      <c r="M1013" s="347"/>
      <c r="N1013" s="347"/>
    </row>
    <row r="1014" spans="1:14" x14ac:dyDescent="0.25">
      <c r="A1014" s="362" t="str">
        <f>name!E$6</f>
        <v>Associate professional and technical</v>
      </c>
      <c r="B1014" s="440">
        <v>79.027218298977033</v>
      </c>
      <c r="C1014" s="440">
        <v>109.70924787050721</v>
      </c>
      <c r="D1014" s="440">
        <f t="shared" si="370"/>
        <v>188.73646616948423</v>
      </c>
      <c r="E1014" s="441"/>
      <c r="F1014" s="440">
        <v>79.839851586277305</v>
      </c>
      <c r="G1014" s="440">
        <v>135.86373471561924</v>
      </c>
      <c r="H1014" s="440">
        <f t="shared" si="371"/>
        <v>215.70358630189656</v>
      </c>
      <c r="I1014" s="441"/>
      <c r="J1014" s="440">
        <v>90.448568848551275</v>
      </c>
      <c r="K1014" s="440">
        <v>143.35939378687016</v>
      </c>
      <c r="L1014" s="440">
        <f t="shared" si="372"/>
        <v>233.80796263542143</v>
      </c>
      <c r="M1014" s="347"/>
      <c r="N1014" s="347"/>
    </row>
    <row r="1015" spans="1:14" x14ac:dyDescent="0.25">
      <c r="A1015" s="362" t="str">
        <f>name!E$7</f>
        <v>Administrative and secretarial</v>
      </c>
      <c r="B1015" s="440">
        <v>91.268314334354599</v>
      </c>
      <c r="C1015" s="440">
        <v>29.394587896103051</v>
      </c>
      <c r="D1015" s="440">
        <f t="shared" si="370"/>
        <v>120.66290223045765</v>
      </c>
      <c r="E1015" s="441"/>
      <c r="F1015" s="440">
        <v>80.949768880740152</v>
      </c>
      <c r="G1015" s="440">
        <v>37.432690903972123</v>
      </c>
      <c r="H1015" s="440">
        <f t="shared" si="371"/>
        <v>118.38245978471227</v>
      </c>
      <c r="I1015" s="441"/>
      <c r="J1015" s="440">
        <v>67.306911236298973</v>
      </c>
      <c r="K1015" s="440">
        <v>38.876014841401442</v>
      </c>
      <c r="L1015" s="440">
        <f t="shared" si="372"/>
        <v>106.18292607770042</v>
      </c>
      <c r="M1015" s="347"/>
      <c r="N1015" s="347"/>
    </row>
    <row r="1016" spans="1:14" x14ac:dyDescent="0.25">
      <c r="A1016" s="362" t="str">
        <f>name!E$8</f>
        <v>Skilled trades occupations</v>
      </c>
      <c r="B1016" s="440">
        <v>3.7250750253866056</v>
      </c>
      <c r="C1016" s="440">
        <v>40.311789448960191</v>
      </c>
      <c r="D1016" s="440">
        <f t="shared" si="370"/>
        <v>44.0368644743468</v>
      </c>
      <c r="E1016" s="441"/>
      <c r="F1016" s="440">
        <v>6.1607559976705124</v>
      </c>
      <c r="G1016" s="440">
        <v>32.486511115290696</v>
      </c>
      <c r="H1016" s="440">
        <f t="shared" si="371"/>
        <v>38.64726711296121</v>
      </c>
      <c r="I1016" s="441"/>
      <c r="J1016" s="440">
        <v>7.7894329213725211</v>
      </c>
      <c r="K1016" s="440">
        <v>29.322126550394774</v>
      </c>
      <c r="L1016" s="440">
        <f t="shared" si="372"/>
        <v>37.111559471767293</v>
      </c>
      <c r="M1016" s="347"/>
      <c r="N1016" s="347"/>
    </row>
    <row r="1017" spans="1:14" x14ac:dyDescent="0.25">
      <c r="A1017" s="362" t="str">
        <f>name!E$9</f>
        <v>Caring, leisure and other service</v>
      </c>
      <c r="B1017" s="440">
        <v>26.596567861572954</v>
      </c>
      <c r="C1017" s="440">
        <v>16.210951060090096</v>
      </c>
      <c r="D1017" s="440">
        <f t="shared" si="370"/>
        <v>42.807518921663046</v>
      </c>
      <c r="E1017" s="441"/>
      <c r="F1017" s="440">
        <v>49.770357699100522</v>
      </c>
      <c r="G1017" s="440">
        <v>26.121249385193373</v>
      </c>
      <c r="H1017" s="440">
        <f t="shared" si="371"/>
        <v>75.891607084293895</v>
      </c>
      <c r="I1017" s="441"/>
      <c r="J1017" s="440">
        <v>60.14712887400195</v>
      </c>
      <c r="K1017" s="440">
        <v>29.591466822443628</v>
      </c>
      <c r="L1017" s="440">
        <f t="shared" si="372"/>
        <v>89.738595696445572</v>
      </c>
      <c r="M1017" s="347"/>
      <c r="N1017" s="347"/>
    </row>
    <row r="1018" spans="1:14" x14ac:dyDescent="0.25">
      <c r="A1018" s="362" t="str">
        <f>name!E$10</f>
        <v>Sales and customer service</v>
      </c>
      <c r="B1018" s="440">
        <v>21.873466940896975</v>
      </c>
      <c r="C1018" s="440">
        <v>32.268922802353174</v>
      </c>
      <c r="D1018" s="440">
        <f t="shared" si="370"/>
        <v>54.142389743250149</v>
      </c>
      <c r="E1018" s="441"/>
      <c r="F1018" s="440">
        <v>31.877429862735276</v>
      </c>
      <c r="G1018" s="440">
        <v>50.24616942294665</v>
      </c>
      <c r="H1018" s="440">
        <f t="shared" si="371"/>
        <v>82.123599285681934</v>
      </c>
      <c r="I1018" s="441"/>
      <c r="J1018" s="440">
        <v>34.42401397096814</v>
      </c>
      <c r="K1018" s="440">
        <v>52.596982986340848</v>
      </c>
      <c r="L1018" s="440">
        <f t="shared" si="372"/>
        <v>87.020996957308995</v>
      </c>
      <c r="M1018" s="347"/>
      <c r="N1018" s="347"/>
    </row>
    <row r="1019" spans="1:14" x14ac:dyDescent="0.25">
      <c r="A1019" s="362" t="str">
        <f>name!E$11</f>
        <v>Process, plant and machine operatives</v>
      </c>
      <c r="B1019" s="440">
        <v>6.1886739921389609</v>
      </c>
      <c r="C1019" s="440">
        <v>38.609036202145425</v>
      </c>
      <c r="D1019" s="440">
        <f t="shared" si="370"/>
        <v>44.797710194284384</v>
      </c>
      <c r="E1019" s="441"/>
      <c r="F1019" s="440">
        <v>4.232361463287809</v>
      </c>
      <c r="G1019" s="440">
        <v>35.204730919890217</v>
      </c>
      <c r="H1019" s="440">
        <f t="shared" si="371"/>
        <v>39.437092383178026</v>
      </c>
      <c r="I1019" s="441"/>
      <c r="J1019" s="440">
        <v>2.8027415261209949</v>
      </c>
      <c r="K1019" s="440">
        <v>35.308353673666659</v>
      </c>
      <c r="L1019" s="440">
        <f t="shared" si="372"/>
        <v>38.111095199787655</v>
      </c>
      <c r="M1019" s="347"/>
      <c r="N1019" s="347"/>
    </row>
    <row r="1020" spans="1:14" ht="13.5" customHeight="1" x14ac:dyDescent="0.25">
      <c r="A1020" s="362" t="str">
        <f>name!E$12</f>
        <v>Elementary occupations</v>
      </c>
      <c r="B1020" s="440">
        <v>100.76739513186118</v>
      </c>
      <c r="C1020" s="440">
        <v>208.31313731727963</v>
      </c>
      <c r="D1020" s="440">
        <f t="shared" si="370"/>
        <v>309.08053244914083</v>
      </c>
      <c r="E1020" s="441"/>
      <c r="F1020" s="440">
        <v>106.81916852195796</v>
      </c>
      <c r="G1020" s="440">
        <v>242.25313416045364</v>
      </c>
      <c r="H1020" s="440">
        <f t="shared" si="371"/>
        <v>349.07230268241159</v>
      </c>
      <c r="I1020" s="441"/>
      <c r="J1020" s="440">
        <v>92.607259334283071</v>
      </c>
      <c r="K1020" s="440">
        <v>273.90276359470164</v>
      </c>
      <c r="L1020" s="440">
        <f t="shared" si="372"/>
        <v>366.51002292898471</v>
      </c>
      <c r="M1020" s="347"/>
      <c r="N1020" s="347"/>
    </row>
    <row r="1021" spans="1:14" s="286" customFormat="1" ht="13.5" customHeight="1" x14ac:dyDescent="0.25">
      <c r="A1021" s="362"/>
      <c r="B1021" s="440"/>
      <c r="C1021" s="440"/>
      <c r="D1021" s="440"/>
      <c r="E1021" s="441"/>
      <c r="F1021" s="440"/>
      <c r="G1021" s="440"/>
      <c r="H1021" s="440"/>
      <c r="I1021" s="441"/>
      <c r="J1021" s="440"/>
      <c r="K1021" s="440"/>
      <c r="L1021" s="440"/>
      <c r="M1021" s="347"/>
      <c r="N1021" s="347"/>
    </row>
    <row r="1022" spans="1:14" x14ac:dyDescent="0.25">
      <c r="A1022" s="357" t="s">
        <v>32</v>
      </c>
      <c r="B1022" s="450">
        <f>SUM(B1012:B1020)</f>
        <v>379.52999999814404</v>
      </c>
      <c r="C1022" s="450">
        <f t="shared" ref="C1022:D1022" si="373">SUM(C1012:C1020)</f>
        <v>583.22099999751674</v>
      </c>
      <c r="D1022" s="450">
        <f t="shared" si="373"/>
        <v>962.75099999566066</v>
      </c>
      <c r="E1022" s="450"/>
      <c r="F1022" s="450">
        <f t="shared" ref="F1022:H1022" si="374">SUM(F1012:F1020)</f>
        <v>444.74000000150465</v>
      </c>
      <c r="G1022" s="450">
        <f t="shared" si="374"/>
        <v>690.27399999897602</v>
      </c>
      <c r="H1022" s="450">
        <f t="shared" si="374"/>
        <v>1135.0140000004808</v>
      </c>
      <c r="I1022" s="450"/>
      <c r="J1022" s="450">
        <f t="shared" ref="J1022:L1022" si="375">SUM(J1012:J1020)</f>
        <v>460.56299999990574</v>
      </c>
      <c r="K1022" s="450">
        <f t="shared" si="375"/>
        <v>750.15099999788708</v>
      </c>
      <c r="L1022" s="450">
        <f t="shared" si="375"/>
        <v>1210.7139999977928</v>
      </c>
      <c r="M1022" s="347"/>
      <c r="N1022" s="347"/>
    </row>
    <row r="1023" spans="1:14" x14ac:dyDescent="0.25">
      <c r="A1023" s="348"/>
      <c r="B1023" s="348"/>
      <c r="C1023" s="348"/>
      <c r="D1023" s="348"/>
      <c r="E1023" s="348"/>
      <c r="F1023" s="348"/>
      <c r="G1023" s="348"/>
      <c r="H1023" s="348"/>
      <c r="I1023" s="348"/>
      <c r="J1023" s="348"/>
      <c r="K1023" s="348"/>
      <c r="L1023" s="353"/>
      <c r="M1023" s="347"/>
      <c r="N1023" s="347"/>
    </row>
    <row r="1024" spans="1:14" x14ac:dyDescent="0.25">
      <c r="A1024" s="348"/>
      <c r="B1024" s="348"/>
      <c r="C1024" s="348"/>
      <c r="D1024" s="348"/>
      <c r="E1024" s="348"/>
      <c r="F1024" s="348"/>
      <c r="G1024" s="348"/>
      <c r="H1024" s="348"/>
      <c r="I1024" s="348"/>
      <c r="J1024" s="348"/>
      <c r="K1024" s="348"/>
      <c r="L1024" s="372" t="s">
        <v>35</v>
      </c>
      <c r="M1024" s="347"/>
      <c r="N1024" s="347"/>
    </row>
    <row r="1025" spans="1:14" x14ac:dyDescent="0.25">
      <c r="A1025" s="355"/>
      <c r="B1025" s="365"/>
      <c r="C1025" s="365"/>
      <c r="D1025" s="365"/>
      <c r="E1025" s="365"/>
      <c r="F1025" s="365"/>
      <c r="G1025" s="365"/>
      <c r="H1025" s="365"/>
      <c r="I1025" s="365"/>
      <c r="J1025" s="365"/>
      <c r="K1025" s="365"/>
      <c r="L1025" s="347"/>
      <c r="M1025" s="347"/>
      <c r="N1025" s="347"/>
    </row>
    <row r="1026" spans="1:14" x14ac:dyDescent="0.25">
      <c r="A1026" s="354" t="str">
        <f>name!A63</f>
        <v>Travel, etc</v>
      </c>
      <c r="B1026" s="515">
        <f>B$6</f>
        <v>2007</v>
      </c>
      <c r="C1026" s="515"/>
      <c r="D1026" s="515"/>
      <c r="E1026" s="369"/>
      <c r="F1026" s="515">
        <f>F$6</f>
        <v>2017</v>
      </c>
      <c r="G1026" s="515"/>
      <c r="H1026" s="515"/>
      <c r="I1026" s="369"/>
      <c r="J1026" s="515">
        <f>J$6</f>
        <v>2027</v>
      </c>
      <c r="K1026" s="515"/>
      <c r="L1026" s="515"/>
      <c r="M1026" s="347"/>
      <c r="N1026" s="347"/>
    </row>
    <row r="1027" spans="1:14" x14ac:dyDescent="0.25">
      <c r="A1027" s="370"/>
      <c r="B1027" s="371" t="s">
        <v>387</v>
      </c>
      <c r="C1027" s="371" t="s">
        <v>388</v>
      </c>
      <c r="D1027" s="371" t="s">
        <v>32</v>
      </c>
      <c r="E1027" s="371"/>
      <c r="F1027" s="371" t="s">
        <v>387</v>
      </c>
      <c r="G1027" s="371" t="s">
        <v>388</v>
      </c>
      <c r="H1027" s="371" t="s">
        <v>32</v>
      </c>
      <c r="I1027" s="371"/>
      <c r="J1027" s="371" t="s">
        <v>387</v>
      </c>
      <c r="K1027" s="371" t="s">
        <v>388</v>
      </c>
      <c r="L1027" s="371" t="s">
        <v>32</v>
      </c>
      <c r="M1027" s="347"/>
      <c r="N1027" s="347"/>
    </row>
    <row r="1028" spans="1:14" s="286" customFormat="1" x14ac:dyDescent="0.25">
      <c r="A1028" s="374"/>
      <c r="B1028" s="375"/>
      <c r="C1028" s="375"/>
      <c r="D1028" s="375"/>
      <c r="E1028" s="375"/>
      <c r="F1028" s="375"/>
      <c r="G1028" s="375"/>
      <c r="H1028" s="375"/>
      <c r="I1028" s="375"/>
      <c r="J1028" s="375"/>
      <c r="K1028" s="375"/>
      <c r="L1028" s="375"/>
      <c r="M1028" s="347"/>
      <c r="N1028" s="347"/>
    </row>
    <row r="1029" spans="1:14" x14ac:dyDescent="0.25">
      <c r="A1029" s="362" t="str">
        <f>name!E$4</f>
        <v>Managers, directors and senior officials</v>
      </c>
      <c r="B1029" s="440">
        <v>2.9414889940453057</v>
      </c>
      <c r="C1029" s="440">
        <v>7.0638979503176316</v>
      </c>
      <c r="D1029" s="440">
        <f>SUM(B1029:C1029)</f>
        <v>10.005386944362938</v>
      </c>
      <c r="E1029" s="441"/>
      <c r="F1029" s="440">
        <v>3.3863312519090614</v>
      </c>
      <c r="G1029" s="440">
        <v>8.3279684823378162</v>
      </c>
      <c r="H1029" s="440">
        <f>SUM(F1029:G1029)</f>
        <v>11.714299734246877</v>
      </c>
      <c r="I1029" s="441"/>
      <c r="J1029" s="440">
        <v>4.2910447350964374</v>
      </c>
      <c r="K1029" s="440">
        <v>9.8489973342987245</v>
      </c>
      <c r="L1029" s="440">
        <f>SUM(J1029:K1029)</f>
        <v>14.140042069395161</v>
      </c>
      <c r="M1029" s="347"/>
      <c r="N1029" s="347"/>
    </row>
    <row r="1030" spans="1:14" x14ac:dyDescent="0.25">
      <c r="A1030" s="362" t="str">
        <f>name!E$5</f>
        <v>Professional occupations</v>
      </c>
      <c r="B1030" s="440">
        <v>1.5723598864469268</v>
      </c>
      <c r="C1030" s="440">
        <v>4.3167773711192226</v>
      </c>
      <c r="D1030" s="440">
        <f t="shared" ref="D1030:D1037" si="376">SUM(B1030:C1030)</f>
        <v>5.8891372575661496</v>
      </c>
      <c r="E1030" s="441"/>
      <c r="F1030" s="440">
        <v>1.4263225268519713</v>
      </c>
      <c r="G1030" s="440">
        <v>4.6153185570824027</v>
      </c>
      <c r="H1030" s="440">
        <f t="shared" ref="H1030:H1037" si="377">SUM(F1030:G1030)</f>
        <v>6.0416410839343744</v>
      </c>
      <c r="I1030" s="441"/>
      <c r="J1030" s="440">
        <v>1.8626186355302039</v>
      </c>
      <c r="K1030" s="440">
        <v>5.492523303763754</v>
      </c>
      <c r="L1030" s="440">
        <f t="shared" ref="L1030:L1037" si="378">SUM(J1030:K1030)</f>
        <v>7.3551419392939579</v>
      </c>
      <c r="M1030" s="347"/>
      <c r="N1030" s="347"/>
    </row>
    <row r="1031" spans="1:14" x14ac:dyDescent="0.25">
      <c r="A1031" s="362" t="str">
        <f>name!E$6</f>
        <v>Associate professional and technical</v>
      </c>
      <c r="B1031" s="440">
        <v>2.8666736149843124</v>
      </c>
      <c r="C1031" s="440">
        <v>7.0766126118159685</v>
      </c>
      <c r="D1031" s="440">
        <f t="shared" si="376"/>
        <v>9.9432862268002804</v>
      </c>
      <c r="E1031" s="441"/>
      <c r="F1031" s="440">
        <v>2.1171939076141912</v>
      </c>
      <c r="G1031" s="440">
        <v>5.3640908181851001</v>
      </c>
      <c r="H1031" s="440">
        <f t="shared" si="377"/>
        <v>7.4812847257992914</v>
      </c>
      <c r="I1031" s="441"/>
      <c r="J1031" s="440">
        <v>2.6124521292251361</v>
      </c>
      <c r="K1031" s="440">
        <v>6.1244075165673051</v>
      </c>
      <c r="L1031" s="440">
        <f t="shared" si="378"/>
        <v>8.7368596457924408</v>
      </c>
      <c r="M1031" s="347"/>
      <c r="N1031" s="347"/>
    </row>
    <row r="1032" spans="1:14" x14ac:dyDescent="0.25">
      <c r="A1032" s="362" t="str">
        <f>name!E$7</f>
        <v>Administrative and secretarial</v>
      </c>
      <c r="B1032" s="440">
        <v>8.0272412575288072</v>
      </c>
      <c r="C1032" s="440">
        <v>6.2081363942387497</v>
      </c>
      <c r="D1032" s="440">
        <f t="shared" si="376"/>
        <v>14.235377651767557</v>
      </c>
      <c r="E1032" s="441"/>
      <c r="F1032" s="440">
        <v>7.19014887737388</v>
      </c>
      <c r="G1032" s="440">
        <v>5.5614655255909025</v>
      </c>
      <c r="H1032" s="440">
        <f t="shared" si="377"/>
        <v>12.751614402964783</v>
      </c>
      <c r="I1032" s="441"/>
      <c r="J1032" s="440">
        <v>6.4012312173317873</v>
      </c>
      <c r="K1032" s="440">
        <v>5.7708684182975984</v>
      </c>
      <c r="L1032" s="440">
        <f t="shared" si="378"/>
        <v>12.172099635629387</v>
      </c>
      <c r="M1032" s="347"/>
      <c r="N1032" s="347"/>
    </row>
    <row r="1033" spans="1:14" x14ac:dyDescent="0.25">
      <c r="A1033" s="362" t="str">
        <f>name!E$8</f>
        <v>Skilled trades occupations</v>
      </c>
      <c r="B1033" s="440">
        <v>0.29216906559172107</v>
      </c>
      <c r="C1033" s="440">
        <v>3.6440743846657937</v>
      </c>
      <c r="D1033" s="440">
        <f t="shared" si="376"/>
        <v>3.936243450257515</v>
      </c>
      <c r="E1033" s="441"/>
      <c r="F1033" s="440">
        <v>0.2817617747865801</v>
      </c>
      <c r="G1033" s="440">
        <v>2.1364829564602057</v>
      </c>
      <c r="H1033" s="440">
        <f t="shared" si="377"/>
        <v>2.4182447312467859</v>
      </c>
      <c r="I1033" s="441"/>
      <c r="J1033" s="440">
        <v>0.38557399551122645</v>
      </c>
      <c r="K1033" s="440">
        <v>2.185399372494043</v>
      </c>
      <c r="L1033" s="440">
        <f t="shared" si="378"/>
        <v>2.5709733680052693</v>
      </c>
      <c r="M1033" s="347"/>
      <c r="N1033" s="347"/>
    </row>
    <row r="1034" spans="1:14" x14ac:dyDescent="0.25">
      <c r="A1034" s="362" t="str">
        <f>name!E$9</f>
        <v>Caring, leisure and other service</v>
      </c>
      <c r="B1034" s="440">
        <v>11.629096478542438</v>
      </c>
      <c r="C1034" s="440">
        <v>3.9763647311243404</v>
      </c>
      <c r="D1034" s="440">
        <f t="shared" si="376"/>
        <v>15.605461209666778</v>
      </c>
      <c r="E1034" s="441"/>
      <c r="F1034" s="440">
        <v>13.559725226469112</v>
      </c>
      <c r="G1034" s="440">
        <v>4.6843853290552797</v>
      </c>
      <c r="H1034" s="440">
        <f t="shared" si="377"/>
        <v>18.244110555524394</v>
      </c>
      <c r="I1034" s="441"/>
      <c r="J1034" s="440">
        <v>13.105053412557858</v>
      </c>
      <c r="K1034" s="440">
        <v>5.280463148562637</v>
      </c>
      <c r="L1034" s="440">
        <f t="shared" si="378"/>
        <v>18.385516561120497</v>
      </c>
      <c r="M1034" s="347"/>
      <c r="N1034" s="347"/>
    </row>
    <row r="1035" spans="1:14" x14ac:dyDescent="0.25">
      <c r="A1035" s="362" t="str">
        <f>name!E$10</f>
        <v>Sales and customer service</v>
      </c>
      <c r="B1035" s="440">
        <v>2.5452122289279298</v>
      </c>
      <c r="C1035" s="440">
        <v>2.8594653476684435</v>
      </c>
      <c r="D1035" s="440">
        <f t="shared" si="376"/>
        <v>5.4046775765963737</v>
      </c>
      <c r="E1035" s="441"/>
      <c r="F1035" s="440">
        <v>2.9567183193140956</v>
      </c>
      <c r="G1035" s="440">
        <v>3.7400207819192928</v>
      </c>
      <c r="H1035" s="440">
        <f t="shared" si="377"/>
        <v>6.6967391012333888</v>
      </c>
      <c r="I1035" s="441"/>
      <c r="J1035" s="440">
        <v>3.1912640426080694</v>
      </c>
      <c r="K1035" s="440">
        <v>3.8584784162660828</v>
      </c>
      <c r="L1035" s="440">
        <f t="shared" si="378"/>
        <v>7.0497424588741522</v>
      </c>
      <c r="M1035" s="347"/>
      <c r="N1035" s="347"/>
    </row>
    <row r="1036" spans="1:14" x14ac:dyDescent="0.25">
      <c r="A1036" s="362" t="str">
        <f>name!E$11</f>
        <v>Process, plant and machine operatives</v>
      </c>
      <c r="B1036" s="440">
        <v>0.90350595310788417</v>
      </c>
      <c r="C1036" s="440">
        <v>19.891190543786948</v>
      </c>
      <c r="D1036" s="440">
        <f t="shared" si="376"/>
        <v>20.794696496894833</v>
      </c>
      <c r="E1036" s="441"/>
      <c r="F1036" s="440">
        <v>0.99921474354670048</v>
      </c>
      <c r="G1036" s="440">
        <v>16.750138409851822</v>
      </c>
      <c r="H1036" s="440">
        <f t="shared" si="377"/>
        <v>17.749353153398523</v>
      </c>
      <c r="I1036" s="441"/>
      <c r="J1036" s="440">
        <v>1.0750690299195877</v>
      </c>
      <c r="K1036" s="440">
        <v>18.941261675697906</v>
      </c>
      <c r="L1036" s="440">
        <f t="shared" si="378"/>
        <v>20.016330705617492</v>
      </c>
      <c r="M1036" s="347"/>
      <c r="N1036" s="347"/>
    </row>
    <row r="1037" spans="1:14" x14ac:dyDescent="0.25">
      <c r="A1037" s="362" t="str">
        <f>name!E$12</f>
        <v>Elementary occupations</v>
      </c>
      <c r="B1037" s="440">
        <v>3.9732525206656608</v>
      </c>
      <c r="C1037" s="440">
        <v>18.256480664810486</v>
      </c>
      <c r="D1037" s="440">
        <f t="shared" si="376"/>
        <v>22.229733185476146</v>
      </c>
      <c r="E1037" s="441"/>
      <c r="F1037" s="440">
        <v>3.4625833724095436</v>
      </c>
      <c r="G1037" s="440">
        <v>15.474129139587305</v>
      </c>
      <c r="H1037" s="440">
        <f t="shared" si="377"/>
        <v>18.936712511996848</v>
      </c>
      <c r="I1037" s="441"/>
      <c r="J1037" s="440">
        <v>3.7496928022949332</v>
      </c>
      <c r="K1037" s="440">
        <v>15.535600813923905</v>
      </c>
      <c r="L1037" s="440">
        <f t="shared" si="378"/>
        <v>19.285293616218837</v>
      </c>
      <c r="M1037" s="347"/>
      <c r="N1037" s="347"/>
    </row>
    <row r="1038" spans="1:14" s="286" customFormat="1" x14ac:dyDescent="0.25">
      <c r="A1038" s="362"/>
      <c r="B1038" s="440"/>
      <c r="C1038" s="440"/>
      <c r="D1038" s="440"/>
      <c r="E1038" s="441"/>
      <c r="F1038" s="440"/>
      <c r="G1038" s="440"/>
      <c r="H1038" s="440"/>
      <c r="I1038" s="441"/>
      <c r="J1038" s="440"/>
      <c r="K1038" s="440"/>
      <c r="L1038" s="440"/>
      <c r="M1038" s="347"/>
      <c r="N1038" s="347"/>
    </row>
    <row r="1039" spans="1:14" x14ac:dyDescent="0.25">
      <c r="A1039" s="357" t="s">
        <v>32</v>
      </c>
      <c r="B1039" s="450">
        <f>SUM(B1029:B1037)</f>
        <v>34.750999999840992</v>
      </c>
      <c r="C1039" s="450">
        <f t="shared" ref="C1039:D1039" si="379">SUM(C1029:C1037)</f>
        <v>73.292999999547575</v>
      </c>
      <c r="D1039" s="450">
        <f t="shared" si="379"/>
        <v>108.04399999938857</v>
      </c>
      <c r="E1039" s="450"/>
      <c r="F1039" s="450">
        <f t="shared" ref="F1039:H1039" si="380">SUM(F1029:F1037)</f>
        <v>35.380000000275139</v>
      </c>
      <c r="G1039" s="450">
        <f t="shared" si="380"/>
        <v>66.654000000070127</v>
      </c>
      <c r="H1039" s="450">
        <f t="shared" si="380"/>
        <v>102.03400000034527</v>
      </c>
      <c r="I1039" s="450"/>
      <c r="J1039" s="450">
        <f t="shared" ref="J1039:L1039" si="381">SUM(J1029:J1037)</f>
        <v>36.674000000075239</v>
      </c>
      <c r="K1039" s="450">
        <f t="shared" si="381"/>
        <v>73.037999999871957</v>
      </c>
      <c r="L1039" s="450">
        <f t="shared" si="381"/>
        <v>109.7119999999472</v>
      </c>
      <c r="M1039" s="347"/>
      <c r="N1039" s="347"/>
    </row>
    <row r="1040" spans="1:14" x14ac:dyDescent="0.25">
      <c r="A1040" s="348"/>
      <c r="B1040" s="348"/>
      <c r="C1040" s="348"/>
      <c r="D1040" s="348"/>
      <c r="E1040" s="348"/>
      <c r="F1040" s="348"/>
      <c r="G1040" s="348"/>
      <c r="H1040" s="348"/>
      <c r="I1040" s="348"/>
      <c r="J1040" s="348"/>
      <c r="K1040" s="348"/>
      <c r="L1040" s="353"/>
      <c r="M1040" s="347"/>
      <c r="N1040" s="347"/>
    </row>
    <row r="1041" spans="1:14" x14ac:dyDescent="0.25">
      <c r="A1041" s="348"/>
      <c r="B1041" s="348"/>
      <c r="C1041" s="348"/>
      <c r="D1041" s="348"/>
      <c r="E1041" s="348"/>
      <c r="F1041" s="348"/>
      <c r="G1041" s="348"/>
      <c r="H1041" s="348"/>
      <c r="I1041" s="348"/>
      <c r="J1041" s="348"/>
      <c r="K1041" s="348"/>
      <c r="L1041" s="372" t="s">
        <v>35</v>
      </c>
      <c r="M1041" s="347"/>
      <c r="N1041" s="347"/>
    </row>
    <row r="1042" spans="1:14" x14ac:dyDescent="0.25">
      <c r="A1042" s="355"/>
      <c r="B1042" s="365"/>
      <c r="C1042" s="365"/>
      <c r="D1042" s="365"/>
      <c r="E1042" s="365"/>
      <c r="F1042" s="365"/>
      <c r="G1042" s="365"/>
      <c r="H1042" s="365"/>
      <c r="I1042" s="365"/>
      <c r="J1042" s="365"/>
      <c r="K1042" s="365"/>
      <c r="L1042" s="347"/>
      <c r="M1042" s="347"/>
      <c r="N1042" s="347"/>
    </row>
    <row r="1043" spans="1:14" x14ac:dyDescent="0.25">
      <c r="A1043" s="354" t="str">
        <f>name!A64</f>
        <v>Security, etc</v>
      </c>
      <c r="B1043" s="515">
        <f>B$6</f>
        <v>2007</v>
      </c>
      <c r="C1043" s="515"/>
      <c r="D1043" s="515"/>
      <c r="E1043" s="369"/>
      <c r="F1043" s="515">
        <f>F$6</f>
        <v>2017</v>
      </c>
      <c r="G1043" s="515"/>
      <c r="H1043" s="515"/>
      <c r="I1043" s="369"/>
      <c r="J1043" s="515">
        <f>J$6</f>
        <v>2027</v>
      </c>
      <c r="K1043" s="515"/>
      <c r="L1043" s="515"/>
      <c r="M1043" s="347"/>
      <c r="N1043" s="347"/>
    </row>
    <row r="1044" spans="1:14" x14ac:dyDescent="0.25">
      <c r="A1044" s="370"/>
      <c r="B1044" s="371" t="s">
        <v>387</v>
      </c>
      <c r="C1044" s="371" t="s">
        <v>388</v>
      </c>
      <c r="D1044" s="371" t="s">
        <v>32</v>
      </c>
      <c r="E1044" s="371"/>
      <c r="F1044" s="371" t="s">
        <v>387</v>
      </c>
      <c r="G1044" s="371" t="s">
        <v>388</v>
      </c>
      <c r="H1044" s="371" t="s">
        <v>32</v>
      </c>
      <c r="I1044" s="371"/>
      <c r="J1044" s="371" t="s">
        <v>387</v>
      </c>
      <c r="K1044" s="371" t="s">
        <v>388</v>
      </c>
      <c r="L1044" s="371" t="s">
        <v>32</v>
      </c>
      <c r="M1044" s="347"/>
      <c r="N1044" s="347"/>
    </row>
    <row r="1045" spans="1:14" s="286" customFormat="1" x14ac:dyDescent="0.25">
      <c r="A1045" s="374"/>
      <c r="B1045" s="375"/>
      <c r="C1045" s="375"/>
      <c r="D1045" s="375"/>
      <c r="E1045" s="375"/>
      <c r="F1045" s="375"/>
      <c r="G1045" s="375"/>
      <c r="H1045" s="375"/>
      <c r="I1045" s="375"/>
      <c r="J1045" s="375"/>
      <c r="K1045" s="375"/>
      <c r="L1045" s="375"/>
      <c r="M1045" s="347"/>
      <c r="N1045" s="347"/>
    </row>
    <row r="1046" spans="1:14" x14ac:dyDescent="0.25">
      <c r="A1046" s="362" t="str">
        <f>name!E$4</f>
        <v>Managers, directors and senior officials</v>
      </c>
      <c r="B1046" s="440">
        <v>2.9647449550190141</v>
      </c>
      <c r="C1046" s="440">
        <v>16.994690973150927</v>
      </c>
      <c r="D1046" s="440">
        <f>SUM(B1046:C1046)</f>
        <v>19.959435928169942</v>
      </c>
      <c r="E1046" s="441"/>
      <c r="F1046" s="440">
        <v>4.8465848874614013</v>
      </c>
      <c r="G1046" s="440">
        <v>16.718590960116767</v>
      </c>
      <c r="H1046" s="440">
        <f>SUM(F1046:G1046)</f>
        <v>21.565175847578168</v>
      </c>
      <c r="I1046" s="441"/>
      <c r="J1046" s="440">
        <v>5.835168780315505</v>
      </c>
      <c r="K1046" s="440">
        <v>18.377273148364697</v>
      </c>
      <c r="L1046" s="440">
        <f>SUM(J1046:K1046)</f>
        <v>24.212441928680203</v>
      </c>
      <c r="M1046" s="347"/>
      <c r="N1046" s="347"/>
    </row>
    <row r="1047" spans="1:14" x14ac:dyDescent="0.25">
      <c r="A1047" s="362" t="str">
        <f>name!E$5</f>
        <v>Professional occupations</v>
      </c>
      <c r="B1047" s="440">
        <v>3.8456435999476537</v>
      </c>
      <c r="C1047" s="440">
        <v>10.684690505087731</v>
      </c>
      <c r="D1047" s="440">
        <f t="shared" ref="D1047:D1054" si="382">SUM(B1047:C1047)</f>
        <v>14.530334105035385</v>
      </c>
      <c r="E1047" s="441"/>
      <c r="F1047" s="440">
        <v>5.8744713287975463</v>
      </c>
      <c r="G1047" s="440">
        <v>13.436367418207206</v>
      </c>
      <c r="H1047" s="440">
        <f t="shared" ref="H1047:H1054" si="383">SUM(F1047:G1047)</f>
        <v>19.310838747004752</v>
      </c>
      <c r="I1047" s="441"/>
      <c r="J1047" s="440">
        <v>7.1858476769016759</v>
      </c>
      <c r="K1047" s="440">
        <v>15.540672117895319</v>
      </c>
      <c r="L1047" s="440">
        <f t="shared" ref="L1047:L1054" si="384">SUM(J1047:K1047)</f>
        <v>22.726519794796996</v>
      </c>
      <c r="M1047" s="347"/>
      <c r="N1047" s="347"/>
    </row>
    <row r="1048" spans="1:14" x14ac:dyDescent="0.25">
      <c r="A1048" s="362" t="str">
        <f>name!E$6</f>
        <v>Associate professional and technical</v>
      </c>
      <c r="B1048" s="440">
        <v>11.215591051727312</v>
      </c>
      <c r="C1048" s="440">
        <v>26.138302723354446</v>
      </c>
      <c r="D1048" s="440">
        <f t="shared" si="382"/>
        <v>37.353893775081758</v>
      </c>
      <c r="E1048" s="441"/>
      <c r="F1048" s="440">
        <v>8.9697948549484199</v>
      </c>
      <c r="G1048" s="440">
        <v>30.546806828559951</v>
      </c>
      <c r="H1048" s="440">
        <f t="shared" si="383"/>
        <v>39.51660168350837</v>
      </c>
      <c r="I1048" s="441"/>
      <c r="J1048" s="440">
        <v>10.365454835431995</v>
      </c>
      <c r="K1048" s="440">
        <v>31.978628012881895</v>
      </c>
      <c r="L1048" s="440">
        <f t="shared" si="384"/>
        <v>42.344082848313889</v>
      </c>
      <c r="M1048" s="347"/>
      <c r="N1048" s="347"/>
    </row>
    <row r="1049" spans="1:14" x14ac:dyDescent="0.25">
      <c r="A1049" s="362" t="str">
        <f>name!E$7</f>
        <v>Administrative and secretarial</v>
      </c>
      <c r="B1049" s="440">
        <v>13.62993583285666</v>
      </c>
      <c r="C1049" s="440">
        <v>6.6998288162932802</v>
      </c>
      <c r="D1049" s="440">
        <f t="shared" si="382"/>
        <v>20.32976464914994</v>
      </c>
      <c r="E1049" s="441"/>
      <c r="F1049" s="440">
        <v>10.877639214919899</v>
      </c>
      <c r="G1049" s="440">
        <v>8.3853647208785791</v>
      </c>
      <c r="H1049" s="440">
        <f t="shared" si="383"/>
        <v>19.26300393579848</v>
      </c>
      <c r="I1049" s="441"/>
      <c r="J1049" s="440">
        <v>9.0193221088322204</v>
      </c>
      <c r="K1049" s="440">
        <v>8.8137356693794935</v>
      </c>
      <c r="L1049" s="440">
        <f t="shared" si="384"/>
        <v>17.833057778211714</v>
      </c>
      <c r="M1049" s="347"/>
      <c r="N1049" s="347"/>
    </row>
    <row r="1050" spans="1:14" x14ac:dyDescent="0.25">
      <c r="A1050" s="362" t="str">
        <f>name!E$8</f>
        <v>Skilled trades occupations</v>
      </c>
      <c r="B1050" s="440">
        <v>0.41996479003062415</v>
      </c>
      <c r="C1050" s="440">
        <v>9.2949441125200494</v>
      </c>
      <c r="D1050" s="440">
        <f t="shared" si="382"/>
        <v>9.7149089025506736</v>
      </c>
      <c r="E1050" s="441"/>
      <c r="F1050" s="440">
        <v>0.57620562445339418</v>
      </c>
      <c r="G1050" s="440">
        <v>7.0286039279655119</v>
      </c>
      <c r="H1050" s="440">
        <f t="shared" si="383"/>
        <v>7.6048095524189065</v>
      </c>
      <c r="I1050" s="441"/>
      <c r="J1050" s="440">
        <v>0.73296402277132</v>
      </c>
      <c r="K1050" s="440">
        <v>6.2755597784879544</v>
      </c>
      <c r="L1050" s="440">
        <f t="shared" si="384"/>
        <v>7.0085238012592743</v>
      </c>
      <c r="M1050" s="347"/>
      <c r="N1050" s="347"/>
    </row>
    <row r="1051" spans="1:14" x14ac:dyDescent="0.25">
      <c r="A1051" s="362" t="str">
        <f>name!E$9</f>
        <v>Caring, leisure and other service</v>
      </c>
      <c r="B1051" s="440">
        <v>3.7670937587190347</v>
      </c>
      <c r="C1051" s="440">
        <v>2.6275362003773282</v>
      </c>
      <c r="D1051" s="440">
        <f t="shared" si="382"/>
        <v>6.3946299590963633</v>
      </c>
      <c r="E1051" s="441"/>
      <c r="F1051" s="440">
        <v>6.3658610768093222</v>
      </c>
      <c r="G1051" s="440">
        <v>4.7332244927967402</v>
      </c>
      <c r="H1051" s="440">
        <f t="shared" si="383"/>
        <v>11.099085569606062</v>
      </c>
      <c r="I1051" s="441"/>
      <c r="J1051" s="440">
        <v>7.8285245967560444</v>
      </c>
      <c r="K1051" s="440">
        <v>5.2601486097946379</v>
      </c>
      <c r="L1051" s="440">
        <f t="shared" si="384"/>
        <v>13.088673206550682</v>
      </c>
      <c r="M1051" s="347"/>
      <c r="N1051" s="347"/>
    </row>
    <row r="1052" spans="1:14" x14ac:dyDescent="0.25">
      <c r="A1052" s="362" t="str">
        <f>name!E$10</f>
        <v>Sales and customer service</v>
      </c>
      <c r="B1052" s="440">
        <v>3.2623015163070832</v>
      </c>
      <c r="C1052" s="440">
        <v>7.5255253715602155</v>
      </c>
      <c r="D1052" s="440">
        <f t="shared" si="382"/>
        <v>10.787826887867299</v>
      </c>
      <c r="E1052" s="441"/>
      <c r="F1052" s="440">
        <v>4.4440904206849767</v>
      </c>
      <c r="G1052" s="440">
        <v>11.032049935412962</v>
      </c>
      <c r="H1052" s="440">
        <f t="shared" si="383"/>
        <v>15.47614035609794</v>
      </c>
      <c r="I1052" s="441"/>
      <c r="J1052" s="440">
        <v>4.8576864379595817</v>
      </c>
      <c r="K1052" s="440">
        <v>11.653876439371233</v>
      </c>
      <c r="L1052" s="440">
        <f t="shared" si="384"/>
        <v>16.511562877330814</v>
      </c>
      <c r="M1052" s="347"/>
      <c r="N1052" s="347"/>
    </row>
    <row r="1053" spans="1:14" x14ac:dyDescent="0.25">
      <c r="A1053" s="362" t="str">
        <f>name!E$11</f>
        <v>Process, plant and machine operatives</v>
      </c>
      <c r="B1053" s="440">
        <v>0.99039756645959065</v>
      </c>
      <c r="C1053" s="440">
        <v>8.9324195791263623</v>
      </c>
      <c r="D1053" s="440">
        <f t="shared" si="382"/>
        <v>9.9228171455859524</v>
      </c>
      <c r="E1053" s="441"/>
      <c r="F1053" s="440">
        <v>0.6651621817293436</v>
      </c>
      <c r="G1053" s="440">
        <v>7.213665837196384</v>
      </c>
      <c r="H1053" s="440">
        <f t="shared" si="383"/>
        <v>7.8788280189257272</v>
      </c>
      <c r="I1053" s="441"/>
      <c r="J1053" s="440">
        <v>0.4608359240876691</v>
      </c>
      <c r="K1053" s="440">
        <v>7.2273851500195496</v>
      </c>
      <c r="L1053" s="440">
        <f t="shared" si="384"/>
        <v>7.6882210741072186</v>
      </c>
      <c r="M1053" s="347"/>
      <c r="N1053" s="347"/>
    </row>
    <row r="1054" spans="1:14" x14ac:dyDescent="0.25">
      <c r="A1054" s="362" t="str">
        <f>name!E$12</f>
        <v>Elementary occupations</v>
      </c>
      <c r="B1054" s="440">
        <v>14.354326928588046</v>
      </c>
      <c r="C1054" s="440">
        <v>48.651061717938582</v>
      </c>
      <c r="D1054" s="440">
        <f t="shared" si="382"/>
        <v>63.005388646526626</v>
      </c>
      <c r="E1054" s="441"/>
      <c r="F1054" s="440">
        <v>14.618190410328538</v>
      </c>
      <c r="G1054" s="440">
        <v>52.872325878630299</v>
      </c>
      <c r="H1054" s="440">
        <f t="shared" si="383"/>
        <v>67.490516288958844</v>
      </c>
      <c r="I1054" s="441"/>
      <c r="J1054" s="440">
        <v>12.948195616836189</v>
      </c>
      <c r="K1054" s="440">
        <v>59.26372107334771</v>
      </c>
      <c r="L1054" s="440">
        <f t="shared" si="384"/>
        <v>72.211916690183898</v>
      </c>
      <c r="M1054" s="347"/>
      <c r="N1054" s="347"/>
    </row>
    <row r="1055" spans="1:14" s="286" customFormat="1" x14ac:dyDescent="0.25">
      <c r="A1055" s="362"/>
      <c r="B1055" s="440"/>
      <c r="C1055" s="440"/>
      <c r="D1055" s="440"/>
      <c r="E1055" s="441"/>
      <c r="F1055" s="440"/>
      <c r="G1055" s="440"/>
      <c r="H1055" s="440"/>
      <c r="I1055" s="441"/>
      <c r="J1055" s="440"/>
      <c r="K1055" s="440"/>
      <c r="L1055" s="440"/>
      <c r="M1055" s="347"/>
      <c r="N1055" s="347"/>
    </row>
    <row r="1056" spans="1:14" x14ac:dyDescent="0.25">
      <c r="A1056" s="357" t="s">
        <v>32</v>
      </c>
      <c r="B1056" s="450">
        <f>SUM(B1046:B1054)</f>
        <v>54.44999999965502</v>
      </c>
      <c r="C1056" s="450">
        <f t="shared" ref="C1056:D1056" si="385">SUM(C1046:C1054)</f>
        <v>137.54899999940895</v>
      </c>
      <c r="D1056" s="450">
        <f t="shared" si="385"/>
        <v>191.99899999906393</v>
      </c>
      <c r="E1056" s="450"/>
      <c r="F1056" s="450">
        <f t="shared" ref="F1056:H1056" si="386">SUM(F1046:F1054)</f>
        <v>57.238000000132843</v>
      </c>
      <c r="G1056" s="450">
        <f t="shared" si="386"/>
        <v>151.9669999997644</v>
      </c>
      <c r="H1056" s="450">
        <f t="shared" si="386"/>
        <v>209.20499999989724</v>
      </c>
      <c r="I1056" s="450"/>
      <c r="J1056" s="450">
        <f t="shared" ref="J1056:L1056" si="387">SUM(J1046:J1054)</f>
        <v>59.233999999892198</v>
      </c>
      <c r="K1056" s="450">
        <f t="shared" si="387"/>
        <v>164.39099999954249</v>
      </c>
      <c r="L1056" s="450">
        <f t="shared" si="387"/>
        <v>223.62499999943469</v>
      </c>
      <c r="M1056" s="347"/>
      <c r="N1056" s="347"/>
    </row>
    <row r="1057" spans="1:14" x14ac:dyDescent="0.25">
      <c r="A1057" s="348"/>
      <c r="B1057" s="348"/>
      <c r="C1057" s="348"/>
      <c r="D1057" s="348"/>
      <c r="E1057" s="348"/>
      <c r="F1057" s="348"/>
      <c r="G1057" s="348"/>
      <c r="H1057" s="348"/>
      <c r="I1057" s="348"/>
      <c r="J1057" s="348"/>
      <c r="K1057" s="348"/>
      <c r="L1057" s="353"/>
      <c r="M1057" s="347"/>
      <c r="N1057" s="347"/>
    </row>
    <row r="1058" spans="1:14" x14ac:dyDescent="0.25">
      <c r="A1058" s="348"/>
      <c r="B1058" s="348"/>
      <c r="C1058" s="348"/>
      <c r="D1058" s="348"/>
      <c r="E1058" s="348"/>
      <c r="F1058" s="348"/>
      <c r="G1058" s="348"/>
      <c r="H1058" s="348"/>
      <c r="I1058" s="348"/>
      <c r="J1058" s="348"/>
      <c r="K1058" s="348"/>
      <c r="L1058" s="372" t="s">
        <v>35</v>
      </c>
      <c r="M1058" s="347"/>
      <c r="N1058" s="347"/>
    </row>
    <row r="1059" spans="1:14" x14ac:dyDescent="0.25">
      <c r="A1059" s="355"/>
      <c r="B1059" s="365"/>
      <c r="C1059" s="365"/>
      <c r="D1059" s="365"/>
      <c r="E1059" s="365"/>
      <c r="F1059" s="365"/>
      <c r="G1059" s="365"/>
      <c r="H1059" s="365"/>
      <c r="I1059" s="365"/>
      <c r="J1059" s="365"/>
      <c r="K1059" s="365"/>
      <c r="L1059" s="347"/>
      <c r="M1059" s="347"/>
      <c r="N1059" s="347"/>
    </row>
    <row r="1060" spans="1:14" x14ac:dyDescent="0.25">
      <c r="A1060" s="354" t="str">
        <f>name!A65</f>
        <v>Services to buildings</v>
      </c>
      <c r="B1060" s="515">
        <f>B$6</f>
        <v>2007</v>
      </c>
      <c r="C1060" s="515"/>
      <c r="D1060" s="515"/>
      <c r="E1060" s="369"/>
      <c r="F1060" s="515">
        <f>F$6</f>
        <v>2017</v>
      </c>
      <c r="G1060" s="515"/>
      <c r="H1060" s="515"/>
      <c r="I1060" s="369"/>
      <c r="J1060" s="515">
        <f>J$6</f>
        <v>2027</v>
      </c>
      <c r="K1060" s="515"/>
      <c r="L1060" s="515"/>
      <c r="M1060" s="347"/>
      <c r="N1060" s="347"/>
    </row>
    <row r="1061" spans="1:14" x14ac:dyDescent="0.25">
      <c r="A1061" s="370"/>
      <c r="B1061" s="371" t="s">
        <v>387</v>
      </c>
      <c r="C1061" s="371" t="s">
        <v>388</v>
      </c>
      <c r="D1061" s="371" t="s">
        <v>32</v>
      </c>
      <c r="E1061" s="371"/>
      <c r="F1061" s="371" t="s">
        <v>387</v>
      </c>
      <c r="G1061" s="371" t="s">
        <v>388</v>
      </c>
      <c r="H1061" s="371" t="s">
        <v>32</v>
      </c>
      <c r="I1061" s="371"/>
      <c r="J1061" s="371" t="s">
        <v>387</v>
      </c>
      <c r="K1061" s="371" t="s">
        <v>388</v>
      </c>
      <c r="L1061" s="371" t="s">
        <v>32</v>
      </c>
      <c r="M1061" s="347"/>
      <c r="N1061" s="347"/>
    </row>
    <row r="1062" spans="1:14" s="286" customFormat="1" x14ac:dyDescent="0.25">
      <c r="A1062" s="374"/>
      <c r="B1062" s="375"/>
      <c r="C1062" s="375"/>
      <c r="D1062" s="375"/>
      <c r="E1062" s="375"/>
      <c r="F1062" s="375"/>
      <c r="G1062" s="375"/>
      <c r="H1062" s="375"/>
      <c r="I1062" s="375"/>
      <c r="J1062" s="375"/>
      <c r="K1062" s="375"/>
      <c r="L1062" s="375"/>
      <c r="M1062" s="347"/>
      <c r="N1062" s="347"/>
    </row>
    <row r="1063" spans="1:14" x14ac:dyDescent="0.25">
      <c r="A1063" s="362" t="str">
        <f>name!E$4</f>
        <v>Managers, directors and senior officials</v>
      </c>
      <c r="B1063" s="440">
        <v>24.09068159466338</v>
      </c>
      <c r="C1063" s="440">
        <v>27.897301578608506</v>
      </c>
      <c r="D1063" s="440">
        <f>SUM(B1063:C1063)</f>
        <v>51.987983173271886</v>
      </c>
      <c r="E1063" s="441"/>
      <c r="F1063" s="440">
        <v>47.168383592130603</v>
      </c>
      <c r="G1063" s="440">
        <v>33.410112339001017</v>
      </c>
      <c r="H1063" s="440">
        <f>SUM(F1063:G1063)</f>
        <v>80.578495931131613</v>
      </c>
      <c r="I1063" s="441"/>
      <c r="J1063" s="440">
        <v>55.837708779819948</v>
      </c>
      <c r="K1063" s="440">
        <v>36.624269420120733</v>
      </c>
      <c r="L1063" s="440">
        <f>SUM(J1063:K1063)</f>
        <v>92.461978199940688</v>
      </c>
      <c r="M1063" s="347"/>
      <c r="N1063" s="347"/>
    </row>
    <row r="1064" spans="1:14" x14ac:dyDescent="0.25">
      <c r="A1064" s="362" t="str">
        <f>name!E$5</f>
        <v>Professional occupations</v>
      </c>
      <c r="B1064" s="440">
        <v>40.440192783343903</v>
      </c>
      <c r="C1064" s="440">
        <v>18.373742267828355</v>
      </c>
      <c r="D1064" s="440">
        <f t="shared" ref="D1064:D1071" si="388">SUM(B1064:C1064)</f>
        <v>58.813935051172258</v>
      </c>
      <c r="E1064" s="441"/>
      <c r="F1064" s="440">
        <v>60.245509831865476</v>
      </c>
      <c r="G1064" s="440">
        <v>24.932980359831703</v>
      </c>
      <c r="H1064" s="440">
        <f t="shared" ref="H1064:H1071" si="389">SUM(F1064:G1064)</f>
        <v>85.178490191697179</v>
      </c>
      <c r="I1064" s="441"/>
      <c r="J1064" s="440">
        <v>74.905729775342337</v>
      </c>
      <c r="K1064" s="440">
        <v>27.95882682666905</v>
      </c>
      <c r="L1064" s="440">
        <f t="shared" ref="L1064:L1071" si="390">SUM(J1064:K1064)</f>
        <v>102.86455660201139</v>
      </c>
      <c r="M1064" s="347"/>
      <c r="N1064" s="347"/>
    </row>
    <row r="1065" spans="1:14" x14ac:dyDescent="0.25">
      <c r="A1065" s="362" t="str">
        <f>name!E$6</f>
        <v>Associate professional and technical</v>
      </c>
      <c r="B1065" s="440">
        <v>67.02952162431923</v>
      </c>
      <c r="C1065" s="440">
        <v>34.567761783964727</v>
      </c>
      <c r="D1065" s="440">
        <f t="shared" si="388"/>
        <v>101.59728340828396</v>
      </c>
      <c r="E1065" s="441"/>
      <c r="F1065" s="440">
        <v>75.179663865761469</v>
      </c>
      <c r="G1065" s="440">
        <v>46.774708039211546</v>
      </c>
      <c r="H1065" s="440">
        <f t="shared" si="389"/>
        <v>121.95437190497302</v>
      </c>
      <c r="I1065" s="441"/>
      <c r="J1065" s="440">
        <v>89.254670370859728</v>
      </c>
      <c r="K1065" s="440">
        <v>49.240939122586916</v>
      </c>
      <c r="L1065" s="440">
        <f t="shared" si="390"/>
        <v>138.49560949344664</v>
      </c>
      <c r="M1065" s="347"/>
      <c r="N1065" s="347"/>
    </row>
    <row r="1066" spans="1:14" x14ac:dyDescent="0.25">
      <c r="A1066" s="362" t="str">
        <f>name!E$7</f>
        <v>Administrative and secretarial</v>
      </c>
      <c r="B1066" s="440">
        <v>115.54432802930585</v>
      </c>
      <c r="C1066" s="440">
        <v>11.955926313305589</v>
      </c>
      <c r="D1066" s="440">
        <f t="shared" si="388"/>
        <v>127.50025434261144</v>
      </c>
      <c r="E1066" s="441"/>
      <c r="F1066" s="440">
        <v>110.85456373846458</v>
      </c>
      <c r="G1066" s="440">
        <v>14.473696654645861</v>
      </c>
      <c r="H1066" s="440">
        <f t="shared" si="389"/>
        <v>125.32826039311044</v>
      </c>
      <c r="I1066" s="441"/>
      <c r="J1066" s="440">
        <v>97.254954140090362</v>
      </c>
      <c r="K1066" s="440">
        <v>15.073145894229048</v>
      </c>
      <c r="L1066" s="440">
        <f t="shared" si="390"/>
        <v>112.32810003431941</v>
      </c>
      <c r="M1066" s="347"/>
      <c r="N1066" s="347"/>
    </row>
    <row r="1067" spans="1:14" x14ac:dyDescent="0.25">
      <c r="A1067" s="362" t="str">
        <f>name!E$8</f>
        <v>Skilled trades occupations</v>
      </c>
      <c r="B1067" s="440">
        <v>4.8316743583659463</v>
      </c>
      <c r="C1067" s="440">
        <v>15.278405411869626</v>
      </c>
      <c r="D1067" s="440">
        <f t="shared" si="388"/>
        <v>20.110079770235572</v>
      </c>
      <c r="E1067" s="441"/>
      <c r="F1067" s="440">
        <v>7.2954832129061744</v>
      </c>
      <c r="G1067" s="440">
        <v>15.09236153901962</v>
      </c>
      <c r="H1067" s="440">
        <f t="shared" si="389"/>
        <v>22.387844751925794</v>
      </c>
      <c r="I1067" s="441"/>
      <c r="J1067" s="440">
        <v>10.065738802779524</v>
      </c>
      <c r="K1067" s="440">
        <v>13.853894933694253</v>
      </c>
      <c r="L1067" s="440">
        <f t="shared" si="390"/>
        <v>23.919633736473777</v>
      </c>
      <c r="M1067" s="347"/>
      <c r="N1067" s="347"/>
    </row>
    <row r="1068" spans="1:14" x14ac:dyDescent="0.25">
      <c r="A1068" s="362" t="str">
        <f>name!E$9</f>
        <v>Caring, leisure and other service</v>
      </c>
      <c r="B1068" s="440">
        <v>36.840958190714225</v>
      </c>
      <c r="C1068" s="440">
        <v>6.5910602127663847</v>
      </c>
      <c r="D1068" s="440">
        <f t="shared" si="388"/>
        <v>43.432018403480612</v>
      </c>
      <c r="E1068" s="441"/>
      <c r="F1068" s="440">
        <v>67.856023364515082</v>
      </c>
      <c r="G1068" s="440">
        <v>10.813015848212496</v>
      </c>
      <c r="H1068" s="440">
        <f t="shared" si="389"/>
        <v>78.669039212727583</v>
      </c>
      <c r="I1068" s="441"/>
      <c r="J1068" s="440">
        <v>82.471820895486459</v>
      </c>
      <c r="K1068" s="440">
        <v>12.769020016724699</v>
      </c>
      <c r="L1068" s="440">
        <f t="shared" si="390"/>
        <v>95.240840912211155</v>
      </c>
      <c r="M1068" s="347"/>
      <c r="N1068" s="347"/>
    </row>
    <row r="1069" spans="1:14" x14ac:dyDescent="0.25">
      <c r="A1069" s="362" t="str">
        <f>name!E$10</f>
        <v>Sales and customer service</v>
      </c>
      <c r="B1069" s="440">
        <v>32.852225770993257</v>
      </c>
      <c r="C1069" s="440">
        <v>12.414327200738153</v>
      </c>
      <c r="D1069" s="440">
        <f t="shared" si="388"/>
        <v>45.266552971731414</v>
      </c>
      <c r="E1069" s="441"/>
      <c r="F1069" s="440">
        <v>42.560052322558356</v>
      </c>
      <c r="G1069" s="440">
        <v>19.239421256085667</v>
      </c>
      <c r="H1069" s="440">
        <f t="shared" si="389"/>
        <v>61.799473578644026</v>
      </c>
      <c r="I1069" s="441"/>
      <c r="J1069" s="440">
        <v>48.519572927645015</v>
      </c>
      <c r="K1069" s="440">
        <v>19.822835912942594</v>
      </c>
      <c r="L1069" s="440">
        <f t="shared" si="390"/>
        <v>68.342408840587609</v>
      </c>
      <c r="M1069" s="347"/>
      <c r="N1069" s="347"/>
    </row>
    <row r="1070" spans="1:14" x14ac:dyDescent="0.25">
      <c r="A1070" s="362" t="str">
        <f>name!E$11</f>
        <v>Process, plant and machine operatives</v>
      </c>
      <c r="B1070" s="440">
        <v>4.7241075908551418</v>
      </c>
      <c r="C1070" s="440">
        <v>13.091887966183233</v>
      </c>
      <c r="D1070" s="440">
        <f t="shared" si="388"/>
        <v>17.815995557038374</v>
      </c>
      <c r="E1070" s="441"/>
      <c r="F1070" s="440">
        <v>3.9482132966877144</v>
      </c>
      <c r="G1070" s="440">
        <v>13.020315238204741</v>
      </c>
      <c r="H1070" s="440">
        <f t="shared" si="389"/>
        <v>16.968528534892457</v>
      </c>
      <c r="I1070" s="441"/>
      <c r="J1070" s="440">
        <v>2.9428237460630435</v>
      </c>
      <c r="K1070" s="440">
        <v>12.855725204907522</v>
      </c>
      <c r="L1070" s="440">
        <f t="shared" si="390"/>
        <v>15.798548950970565</v>
      </c>
      <c r="M1070" s="347"/>
      <c r="N1070" s="347"/>
    </row>
    <row r="1071" spans="1:14" x14ac:dyDescent="0.25">
      <c r="A1071" s="362" t="str">
        <f>name!E$12</f>
        <v>Elementary occupations</v>
      </c>
      <c r="B1071" s="440">
        <v>184.82531005741501</v>
      </c>
      <c r="C1071" s="440">
        <v>76.794587263746436</v>
      </c>
      <c r="D1071" s="440">
        <f t="shared" si="388"/>
        <v>261.61989732116143</v>
      </c>
      <c r="E1071" s="441"/>
      <c r="F1071" s="440">
        <v>168.3281067776779</v>
      </c>
      <c r="G1071" s="440">
        <v>86.216388725329907</v>
      </c>
      <c r="H1071" s="440">
        <f t="shared" si="389"/>
        <v>254.54449550300779</v>
      </c>
      <c r="I1071" s="441"/>
      <c r="J1071" s="440">
        <v>149.13398056203457</v>
      </c>
      <c r="K1071" s="440">
        <v>96.267342667257836</v>
      </c>
      <c r="L1071" s="440">
        <f t="shared" si="390"/>
        <v>245.40132322929242</v>
      </c>
      <c r="M1071" s="347"/>
      <c r="N1071" s="347"/>
    </row>
    <row r="1072" spans="1:14" s="286" customFormat="1" x14ac:dyDescent="0.25">
      <c r="A1072" s="362"/>
      <c r="B1072" s="440"/>
      <c r="C1072" s="440"/>
      <c r="D1072" s="440"/>
      <c r="E1072" s="441"/>
      <c r="F1072" s="440"/>
      <c r="G1072" s="440"/>
      <c r="H1072" s="440"/>
      <c r="I1072" s="441"/>
      <c r="J1072" s="440"/>
      <c r="K1072" s="440"/>
      <c r="L1072" s="440"/>
      <c r="M1072" s="347"/>
      <c r="N1072" s="347"/>
    </row>
    <row r="1073" spans="1:14" x14ac:dyDescent="0.25">
      <c r="A1073" s="357" t="s">
        <v>32</v>
      </c>
      <c r="B1073" s="450">
        <f>SUM(B1063:B1071)</f>
        <v>511.17899999997599</v>
      </c>
      <c r="C1073" s="450">
        <f t="shared" ref="C1073:D1073" si="391">SUM(C1063:C1071)</f>
        <v>216.96499999901101</v>
      </c>
      <c r="D1073" s="450">
        <f t="shared" si="391"/>
        <v>728.14399999898694</v>
      </c>
      <c r="E1073" s="450"/>
      <c r="F1073" s="450">
        <f t="shared" ref="F1073:H1073" si="392">SUM(F1063:F1071)</f>
        <v>583.43600000256731</v>
      </c>
      <c r="G1073" s="450">
        <f t="shared" si="392"/>
        <v>263.97299999954259</v>
      </c>
      <c r="H1073" s="450">
        <f t="shared" si="392"/>
        <v>847.40900000210991</v>
      </c>
      <c r="I1073" s="450"/>
      <c r="J1073" s="450">
        <f t="shared" ref="J1073:L1073" si="393">SUM(J1063:J1071)</f>
        <v>610.38700000012102</v>
      </c>
      <c r="K1073" s="450">
        <f t="shared" si="393"/>
        <v>284.46599999913263</v>
      </c>
      <c r="L1073" s="450">
        <f t="shared" si="393"/>
        <v>894.85299999925371</v>
      </c>
      <c r="M1073" s="347"/>
      <c r="N1073" s="347"/>
    </row>
    <row r="1074" spans="1:14" x14ac:dyDescent="0.25">
      <c r="A1074" s="348"/>
      <c r="B1074" s="348"/>
      <c r="C1074" s="348"/>
      <c r="D1074" s="348"/>
      <c r="E1074" s="348"/>
      <c r="F1074" s="348"/>
      <c r="G1074" s="348"/>
      <c r="H1074" s="348"/>
      <c r="I1074" s="348"/>
      <c r="J1074" s="348"/>
      <c r="K1074" s="348"/>
      <c r="L1074" s="353"/>
      <c r="M1074" s="347"/>
      <c r="N1074" s="347"/>
    </row>
    <row r="1075" spans="1:14" x14ac:dyDescent="0.25">
      <c r="A1075" s="348"/>
      <c r="B1075" s="348"/>
      <c r="C1075" s="348"/>
      <c r="D1075" s="348"/>
      <c r="E1075" s="348"/>
      <c r="F1075" s="348"/>
      <c r="G1075" s="348"/>
      <c r="H1075" s="348"/>
      <c r="I1075" s="348"/>
      <c r="J1075" s="348"/>
      <c r="K1075" s="348"/>
      <c r="L1075" s="372" t="s">
        <v>35</v>
      </c>
      <c r="M1075" s="347"/>
      <c r="N1075" s="347"/>
    </row>
    <row r="1076" spans="1:14" x14ac:dyDescent="0.25">
      <c r="A1076" s="355"/>
      <c r="B1076" s="365"/>
      <c r="C1076" s="365"/>
      <c r="D1076" s="365"/>
      <c r="E1076" s="365"/>
      <c r="F1076" s="365"/>
      <c r="G1076" s="365"/>
      <c r="H1076" s="365"/>
      <c r="I1076" s="365"/>
      <c r="J1076" s="365"/>
      <c r="K1076" s="365"/>
      <c r="L1076" s="347"/>
      <c r="M1076" s="347"/>
      <c r="N1076" s="347"/>
    </row>
    <row r="1077" spans="1:14" x14ac:dyDescent="0.25">
      <c r="A1077" s="354" t="str">
        <f>name!A66</f>
        <v>Office administrative</v>
      </c>
      <c r="B1077" s="515">
        <f>B$6</f>
        <v>2007</v>
      </c>
      <c r="C1077" s="515"/>
      <c r="D1077" s="515"/>
      <c r="E1077" s="369"/>
      <c r="F1077" s="515">
        <f>F$6</f>
        <v>2017</v>
      </c>
      <c r="G1077" s="515"/>
      <c r="H1077" s="515"/>
      <c r="I1077" s="369"/>
      <c r="J1077" s="515">
        <f>J$6</f>
        <v>2027</v>
      </c>
      <c r="K1077" s="515"/>
      <c r="L1077" s="515"/>
      <c r="M1077" s="347"/>
      <c r="N1077" s="347"/>
    </row>
    <row r="1078" spans="1:14" x14ac:dyDescent="0.25">
      <c r="A1078" s="370"/>
      <c r="B1078" s="371" t="s">
        <v>387</v>
      </c>
      <c r="C1078" s="371" t="s">
        <v>388</v>
      </c>
      <c r="D1078" s="371" t="s">
        <v>32</v>
      </c>
      <c r="E1078" s="371"/>
      <c r="F1078" s="371" t="s">
        <v>387</v>
      </c>
      <c r="G1078" s="371" t="s">
        <v>388</v>
      </c>
      <c r="H1078" s="371" t="s">
        <v>32</v>
      </c>
      <c r="I1078" s="371"/>
      <c r="J1078" s="371" t="s">
        <v>387</v>
      </c>
      <c r="K1078" s="371" t="s">
        <v>388</v>
      </c>
      <c r="L1078" s="371" t="s">
        <v>32</v>
      </c>
      <c r="M1078" s="347"/>
      <c r="N1078" s="347"/>
    </row>
    <row r="1079" spans="1:14" s="286" customFormat="1" x14ac:dyDescent="0.25">
      <c r="A1079" s="374"/>
      <c r="B1079" s="375"/>
      <c r="C1079" s="375"/>
      <c r="D1079" s="375"/>
      <c r="E1079" s="375"/>
      <c r="F1079" s="375"/>
      <c r="G1079" s="375"/>
      <c r="H1079" s="375"/>
      <c r="I1079" s="375"/>
      <c r="J1079" s="375"/>
      <c r="K1079" s="375"/>
      <c r="L1079" s="375"/>
      <c r="M1079" s="347"/>
      <c r="N1079" s="347"/>
    </row>
    <row r="1080" spans="1:14" x14ac:dyDescent="0.25">
      <c r="A1080" s="362" t="str">
        <f>name!E$4</f>
        <v>Managers, directors and senior officials</v>
      </c>
      <c r="B1080" s="440">
        <v>6.4922569596158386</v>
      </c>
      <c r="C1080" s="440">
        <v>28.68251173157493</v>
      </c>
      <c r="D1080" s="440">
        <f>SUM(B1080:C1080)</f>
        <v>35.174768691190771</v>
      </c>
      <c r="E1080" s="441"/>
      <c r="F1080" s="440">
        <v>16.101023389317188</v>
      </c>
      <c r="G1080" s="440">
        <v>38.764017277088264</v>
      </c>
      <c r="H1080" s="440">
        <f>SUM(F1080:G1080)</f>
        <v>54.865040666405449</v>
      </c>
      <c r="I1080" s="441"/>
      <c r="J1080" s="440">
        <v>19.090135181333057</v>
      </c>
      <c r="K1080" s="440">
        <v>43.032410935378039</v>
      </c>
      <c r="L1080" s="440">
        <f>SUM(J1080:K1080)</f>
        <v>62.122546116711092</v>
      </c>
      <c r="M1080" s="347"/>
      <c r="N1080" s="347"/>
    </row>
    <row r="1081" spans="1:14" x14ac:dyDescent="0.25">
      <c r="A1081" s="362" t="str">
        <f>name!E$5</f>
        <v>Professional occupations</v>
      </c>
      <c r="B1081" s="440">
        <v>8.2485386277187516</v>
      </c>
      <c r="C1081" s="440">
        <v>18.836009336794209</v>
      </c>
      <c r="D1081" s="440">
        <f t="shared" ref="D1081:D1088" si="394">SUM(B1081:C1081)</f>
        <v>27.084547964512961</v>
      </c>
      <c r="E1081" s="441"/>
      <c r="F1081" s="440">
        <v>18.792138000110587</v>
      </c>
      <c r="G1081" s="440">
        <v>33.079817000297332</v>
      </c>
      <c r="H1081" s="440">
        <f t="shared" ref="H1081:H1088" si="395">SUM(F1081:G1081)</f>
        <v>51.871955000407922</v>
      </c>
      <c r="I1081" s="441"/>
      <c r="J1081" s="440">
        <v>23.085969576745029</v>
      </c>
      <c r="K1081" s="440">
        <v>38.732340115501799</v>
      </c>
      <c r="L1081" s="440">
        <f t="shared" ref="L1081:L1088" si="396">SUM(J1081:K1081)</f>
        <v>61.818309692246828</v>
      </c>
      <c r="M1081" s="347"/>
      <c r="N1081" s="347"/>
    </row>
    <row r="1082" spans="1:14" x14ac:dyDescent="0.25">
      <c r="A1082" s="362" t="str">
        <f>name!E$6</f>
        <v>Associate professional and technical</v>
      </c>
      <c r="B1082" s="440">
        <v>24.519898798984691</v>
      </c>
      <c r="C1082" s="440">
        <v>44.272655376642561</v>
      </c>
      <c r="D1082" s="440">
        <f t="shared" si="394"/>
        <v>68.792554175627259</v>
      </c>
      <c r="E1082" s="441"/>
      <c r="F1082" s="440">
        <v>32.415851976074052</v>
      </c>
      <c r="G1082" s="440">
        <v>73.137617649914375</v>
      </c>
      <c r="H1082" s="440">
        <f t="shared" si="395"/>
        <v>105.55346962598843</v>
      </c>
      <c r="I1082" s="441"/>
      <c r="J1082" s="440">
        <v>36.985389287363809</v>
      </c>
      <c r="K1082" s="440">
        <v>77.259549804995274</v>
      </c>
      <c r="L1082" s="440">
        <f t="shared" si="396"/>
        <v>114.24493909235909</v>
      </c>
      <c r="M1082" s="347"/>
      <c r="N1082" s="347"/>
    </row>
    <row r="1083" spans="1:14" x14ac:dyDescent="0.25">
      <c r="A1083" s="362" t="str">
        <f>name!E$7</f>
        <v>Administrative and secretarial</v>
      </c>
      <c r="B1083" s="440">
        <v>30.389462706649393</v>
      </c>
      <c r="C1083" s="440">
        <v>13.420962364047211</v>
      </c>
      <c r="D1083" s="440">
        <f t="shared" si="394"/>
        <v>43.810425070696603</v>
      </c>
      <c r="E1083" s="441"/>
      <c r="F1083" s="440">
        <v>31.696207013044607</v>
      </c>
      <c r="G1083" s="440">
        <v>21.173360850100234</v>
      </c>
      <c r="H1083" s="440">
        <f t="shared" si="395"/>
        <v>52.869567863144837</v>
      </c>
      <c r="I1083" s="441"/>
      <c r="J1083" s="440">
        <v>26.373504684646594</v>
      </c>
      <c r="K1083" s="440">
        <v>22.349012104672635</v>
      </c>
      <c r="L1083" s="440">
        <f t="shared" si="396"/>
        <v>48.722516789319229</v>
      </c>
      <c r="M1083" s="347"/>
      <c r="N1083" s="347"/>
    </row>
    <row r="1084" spans="1:14" x14ac:dyDescent="0.25">
      <c r="A1084" s="362" t="str">
        <f>name!E$8</f>
        <v>Skilled trades occupations</v>
      </c>
      <c r="B1084" s="440">
        <v>1.0939387351243148</v>
      </c>
      <c r="C1084" s="440">
        <v>17.000488687953901</v>
      </c>
      <c r="D1084" s="440">
        <f t="shared" si="394"/>
        <v>18.094427423078216</v>
      </c>
      <c r="E1084" s="441"/>
      <c r="F1084" s="440">
        <v>1.9461294504568309</v>
      </c>
      <c r="G1084" s="440">
        <v>15.652878595097624</v>
      </c>
      <c r="H1084" s="440">
        <f t="shared" si="395"/>
        <v>17.599008045554456</v>
      </c>
      <c r="I1084" s="441"/>
      <c r="J1084" s="440">
        <v>2.3941859605968299</v>
      </c>
      <c r="K1084" s="440">
        <v>14.094120214701116</v>
      </c>
      <c r="L1084" s="440">
        <f t="shared" si="396"/>
        <v>16.488306175297947</v>
      </c>
      <c r="M1084" s="347"/>
      <c r="N1084" s="347"/>
    </row>
    <row r="1085" spans="1:14" x14ac:dyDescent="0.25">
      <c r="A1085" s="362" t="str">
        <f>name!E$9</f>
        <v>Caring, leisure and other service</v>
      </c>
      <c r="B1085" s="440">
        <v>8.513371218152697</v>
      </c>
      <c r="C1085" s="440">
        <v>5.1231953214815018</v>
      </c>
      <c r="D1085" s="440">
        <f t="shared" si="394"/>
        <v>13.636566539634199</v>
      </c>
      <c r="E1085" s="441"/>
      <c r="F1085" s="440">
        <v>20.518911543374426</v>
      </c>
      <c r="G1085" s="440">
        <v>10.701838012442233</v>
      </c>
      <c r="H1085" s="440">
        <f t="shared" si="395"/>
        <v>31.22074955581666</v>
      </c>
      <c r="I1085" s="441"/>
      <c r="J1085" s="440">
        <v>24.702493021080787</v>
      </c>
      <c r="K1085" s="440">
        <v>12.123864574071893</v>
      </c>
      <c r="L1085" s="440">
        <f t="shared" si="396"/>
        <v>36.826357595152679</v>
      </c>
      <c r="M1085" s="347"/>
      <c r="N1085" s="347"/>
    </row>
    <row r="1086" spans="1:14" x14ac:dyDescent="0.25">
      <c r="A1086" s="362" t="str">
        <f>name!E$10</f>
        <v>Sales and customer service</v>
      </c>
      <c r="B1086" s="440">
        <v>7.6091440415281459</v>
      </c>
      <c r="C1086" s="440">
        <v>15.025087053224805</v>
      </c>
      <c r="D1086" s="440">
        <f t="shared" si="394"/>
        <v>22.634231094752952</v>
      </c>
      <c r="E1086" s="441"/>
      <c r="F1086" s="440">
        <v>12.737080944494238</v>
      </c>
      <c r="G1086" s="440">
        <v>28.277135393132237</v>
      </c>
      <c r="H1086" s="440">
        <f t="shared" si="395"/>
        <v>41.014216337626479</v>
      </c>
      <c r="I1086" s="441"/>
      <c r="J1086" s="440">
        <v>13.859894360912426</v>
      </c>
      <c r="K1086" s="440">
        <v>29.916768409239367</v>
      </c>
      <c r="L1086" s="440">
        <f t="shared" si="396"/>
        <v>43.776662770151795</v>
      </c>
      <c r="M1086" s="347"/>
      <c r="N1086" s="347"/>
    </row>
    <row r="1087" spans="1:14" x14ac:dyDescent="0.25">
      <c r="A1087" s="362" t="str">
        <f>name!E$11</f>
        <v>Process, plant and machine operatives</v>
      </c>
      <c r="B1087" s="440">
        <v>2.1440649631435491</v>
      </c>
      <c r="C1087" s="440">
        <v>18.757011740268169</v>
      </c>
      <c r="D1087" s="440">
        <f t="shared" si="394"/>
        <v>20.901076703411718</v>
      </c>
      <c r="E1087" s="441"/>
      <c r="F1087" s="440">
        <v>1.7795576182632937</v>
      </c>
      <c r="G1087" s="440">
        <v>17.760683720081964</v>
      </c>
      <c r="H1087" s="440">
        <f t="shared" si="395"/>
        <v>19.540241338345258</v>
      </c>
      <c r="I1087" s="441"/>
      <c r="J1087" s="440">
        <v>1.2649323846596348</v>
      </c>
      <c r="K1087" s="440">
        <v>17.991091431875709</v>
      </c>
      <c r="L1087" s="440">
        <f t="shared" si="396"/>
        <v>19.256023816535343</v>
      </c>
      <c r="M1087" s="347"/>
      <c r="N1087" s="347"/>
    </row>
    <row r="1088" spans="1:14" x14ac:dyDescent="0.25">
      <c r="A1088" s="362" t="str">
        <f>name!E$12</f>
        <v>Elementary occupations</v>
      </c>
      <c r="B1088" s="440">
        <v>43.532323948504676</v>
      </c>
      <c r="C1088" s="440">
        <v>100.18007838700483</v>
      </c>
      <c r="D1088" s="440">
        <f t="shared" si="394"/>
        <v>143.71240233550949</v>
      </c>
      <c r="E1088" s="441"/>
      <c r="F1088" s="440">
        <v>49.290100065829527</v>
      </c>
      <c r="G1088" s="440">
        <v>127.70965150147026</v>
      </c>
      <c r="H1088" s="440">
        <f t="shared" si="395"/>
        <v>176.9997515672998</v>
      </c>
      <c r="I1088" s="441"/>
      <c r="J1088" s="440">
        <v>43.979495542815265</v>
      </c>
      <c r="K1088" s="440">
        <v>143.7598424088782</v>
      </c>
      <c r="L1088" s="440">
        <f t="shared" si="396"/>
        <v>187.73933795169347</v>
      </c>
      <c r="M1088" s="347"/>
      <c r="N1088" s="347"/>
    </row>
    <row r="1089" spans="1:14" s="286" customFormat="1" x14ac:dyDescent="0.25">
      <c r="A1089" s="362"/>
      <c r="B1089" s="440"/>
      <c r="C1089" s="440"/>
      <c r="D1089" s="440"/>
      <c r="E1089" s="441"/>
      <c r="F1089" s="440"/>
      <c r="G1089" s="440"/>
      <c r="H1089" s="440"/>
      <c r="I1089" s="441"/>
      <c r="J1089" s="440"/>
      <c r="K1089" s="440"/>
      <c r="L1089" s="440"/>
      <c r="M1089" s="347"/>
      <c r="N1089" s="347"/>
    </row>
    <row r="1090" spans="1:14" x14ac:dyDescent="0.25">
      <c r="A1090" s="357" t="s">
        <v>32</v>
      </c>
      <c r="B1090" s="450">
        <f>SUM(B1080:B1088)</f>
        <v>132.54299999942205</v>
      </c>
      <c r="C1090" s="450">
        <f t="shared" ref="C1090:D1090" si="397">SUM(C1080:C1088)</f>
        <v>261.29799999899211</v>
      </c>
      <c r="D1090" s="450">
        <f t="shared" si="397"/>
        <v>393.84099999841413</v>
      </c>
      <c r="E1090" s="450"/>
      <c r="F1090" s="450">
        <f t="shared" ref="F1090:H1090" si="398">SUM(F1080:F1088)</f>
        <v>185.27700000096473</v>
      </c>
      <c r="G1090" s="450">
        <f t="shared" si="398"/>
        <v>366.25699999962455</v>
      </c>
      <c r="H1090" s="450">
        <f t="shared" si="398"/>
        <v>551.53400000058923</v>
      </c>
      <c r="I1090" s="450"/>
      <c r="J1090" s="450">
        <f t="shared" ref="J1090:L1090" si="399">SUM(J1080:J1088)</f>
        <v>191.73600000015341</v>
      </c>
      <c r="K1090" s="450">
        <f t="shared" si="399"/>
        <v>399.25899999931403</v>
      </c>
      <c r="L1090" s="450">
        <f t="shared" si="399"/>
        <v>590.9949999994675</v>
      </c>
      <c r="M1090" s="347"/>
      <c r="N1090" s="347"/>
    </row>
    <row r="1091" spans="1:14" x14ac:dyDescent="0.25">
      <c r="A1091" s="348"/>
      <c r="B1091" s="348"/>
      <c r="C1091" s="348"/>
      <c r="D1091" s="348"/>
      <c r="E1091" s="348"/>
      <c r="F1091" s="348"/>
      <c r="G1091" s="348"/>
      <c r="H1091" s="348"/>
      <c r="I1091" s="348"/>
      <c r="J1091" s="348"/>
      <c r="K1091" s="348"/>
      <c r="L1091" s="353"/>
      <c r="M1091" s="347"/>
      <c r="N1091" s="347"/>
    </row>
    <row r="1092" spans="1:14" x14ac:dyDescent="0.25">
      <c r="A1092" s="348"/>
      <c r="B1092" s="348"/>
      <c r="C1092" s="348"/>
      <c r="D1092" s="348"/>
      <c r="E1092" s="348"/>
      <c r="F1092" s="348"/>
      <c r="G1092" s="348"/>
      <c r="H1092" s="348"/>
      <c r="I1092" s="348"/>
      <c r="J1092" s="348"/>
      <c r="K1092" s="348"/>
      <c r="L1092" s="372" t="s">
        <v>35</v>
      </c>
      <c r="M1092" s="347"/>
      <c r="N1092" s="347"/>
    </row>
    <row r="1093" spans="1:14" x14ac:dyDescent="0.25">
      <c r="A1093" s="355"/>
      <c r="B1093" s="365"/>
      <c r="C1093" s="365"/>
      <c r="D1093" s="365"/>
      <c r="E1093" s="365"/>
      <c r="F1093" s="365"/>
      <c r="G1093" s="365"/>
      <c r="H1093" s="365"/>
      <c r="I1093" s="365"/>
      <c r="J1093" s="365"/>
      <c r="K1093" s="365"/>
      <c r="L1093" s="347"/>
      <c r="M1093" s="347"/>
      <c r="N1093" s="347"/>
    </row>
    <row r="1094" spans="1:14" x14ac:dyDescent="0.25">
      <c r="A1094" s="354" t="str">
        <f>name!A67</f>
        <v>Public administration and defence</v>
      </c>
      <c r="B1094" s="515">
        <f>B$6</f>
        <v>2007</v>
      </c>
      <c r="C1094" s="515"/>
      <c r="D1094" s="515"/>
      <c r="E1094" s="369"/>
      <c r="F1094" s="515">
        <f>F$6</f>
        <v>2017</v>
      </c>
      <c r="G1094" s="515"/>
      <c r="H1094" s="515"/>
      <c r="I1094" s="369"/>
      <c r="J1094" s="515">
        <f>J$6</f>
        <v>2027</v>
      </c>
      <c r="K1094" s="515"/>
      <c r="L1094" s="515"/>
      <c r="M1094" s="347"/>
      <c r="N1094" s="347"/>
    </row>
    <row r="1095" spans="1:14" x14ac:dyDescent="0.25">
      <c r="A1095" s="370"/>
      <c r="B1095" s="371" t="s">
        <v>387</v>
      </c>
      <c r="C1095" s="371" t="s">
        <v>388</v>
      </c>
      <c r="D1095" s="371" t="s">
        <v>32</v>
      </c>
      <c r="E1095" s="371"/>
      <c r="F1095" s="371" t="s">
        <v>387</v>
      </c>
      <c r="G1095" s="371" t="s">
        <v>388</v>
      </c>
      <c r="H1095" s="371" t="s">
        <v>32</v>
      </c>
      <c r="I1095" s="371"/>
      <c r="J1095" s="371" t="s">
        <v>387</v>
      </c>
      <c r="K1095" s="371" t="s">
        <v>388</v>
      </c>
      <c r="L1095" s="371" t="s">
        <v>32</v>
      </c>
      <c r="M1095" s="347"/>
      <c r="N1095" s="347"/>
    </row>
    <row r="1096" spans="1:14" s="286" customFormat="1" x14ac:dyDescent="0.25">
      <c r="A1096" s="374"/>
      <c r="B1096" s="375"/>
      <c r="C1096" s="375"/>
      <c r="D1096" s="375"/>
      <c r="E1096" s="375"/>
      <c r="F1096" s="375"/>
      <c r="G1096" s="375"/>
      <c r="H1096" s="375"/>
      <c r="I1096" s="375"/>
      <c r="J1096" s="375"/>
      <c r="K1096" s="375"/>
      <c r="L1096" s="375"/>
      <c r="M1096" s="347"/>
      <c r="N1096" s="347"/>
    </row>
    <row r="1097" spans="1:14" x14ac:dyDescent="0.25">
      <c r="A1097" s="362" t="str">
        <f>name!E$4</f>
        <v>Managers, directors and senior officials</v>
      </c>
      <c r="B1097" s="440">
        <v>32.216322512443753</v>
      </c>
      <c r="C1097" s="440">
        <v>58.555343436650652</v>
      </c>
      <c r="D1097" s="440">
        <f>SUM(B1097:C1097)</f>
        <v>90.771665949094398</v>
      </c>
      <c r="E1097" s="441"/>
      <c r="F1097" s="440">
        <v>40.850703220898893</v>
      </c>
      <c r="G1097" s="440">
        <v>60.16434008646042</v>
      </c>
      <c r="H1097" s="440">
        <f>SUM(F1097:G1097)</f>
        <v>101.01504330735932</v>
      </c>
      <c r="I1097" s="441"/>
      <c r="J1097" s="440">
        <v>49.321938329903894</v>
      </c>
      <c r="K1097" s="440">
        <v>60.933885841831966</v>
      </c>
      <c r="L1097" s="440">
        <f>SUM(J1097:K1097)</f>
        <v>110.25582417173587</v>
      </c>
      <c r="M1097" s="347"/>
      <c r="N1097" s="347"/>
    </row>
    <row r="1098" spans="1:14" x14ac:dyDescent="0.25">
      <c r="A1098" s="362" t="str">
        <f>name!E$5</f>
        <v>Professional occupations</v>
      </c>
      <c r="B1098" s="440">
        <v>171.03931450268357</v>
      </c>
      <c r="C1098" s="440">
        <v>119.30485304420046</v>
      </c>
      <c r="D1098" s="440">
        <f t="shared" ref="D1098:D1105" si="400">SUM(B1098:C1098)</f>
        <v>290.34416754688402</v>
      </c>
      <c r="E1098" s="441"/>
      <c r="F1098" s="440">
        <v>162.7401963285939</v>
      </c>
      <c r="G1098" s="440">
        <v>101.95419631216259</v>
      </c>
      <c r="H1098" s="440">
        <f t="shared" ref="H1098:H1105" si="401">SUM(F1098:G1098)</f>
        <v>264.69439264075652</v>
      </c>
      <c r="I1098" s="441"/>
      <c r="J1098" s="440">
        <v>198.08229504286183</v>
      </c>
      <c r="K1098" s="440">
        <v>100.87437931955252</v>
      </c>
      <c r="L1098" s="440">
        <f t="shared" ref="L1098:L1105" si="402">SUM(J1098:K1098)</f>
        <v>298.95667436241433</v>
      </c>
      <c r="M1098" s="347"/>
      <c r="N1098" s="347"/>
    </row>
    <row r="1099" spans="1:14" x14ac:dyDescent="0.25">
      <c r="A1099" s="362" t="str">
        <f>name!E$6</f>
        <v>Associate professional and technical</v>
      </c>
      <c r="B1099" s="440">
        <v>165.35327837111871</v>
      </c>
      <c r="C1099" s="440">
        <v>342.65580417637551</v>
      </c>
      <c r="D1099" s="440">
        <f t="shared" si="400"/>
        <v>508.00908254749424</v>
      </c>
      <c r="E1099" s="441"/>
      <c r="F1099" s="440">
        <v>180.54546161955125</v>
      </c>
      <c r="G1099" s="440">
        <v>256.19994185030208</v>
      </c>
      <c r="H1099" s="440">
        <f t="shared" si="401"/>
        <v>436.74540346985333</v>
      </c>
      <c r="I1099" s="441"/>
      <c r="J1099" s="440">
        <v>217.12185785251921</v>
      </c>
      <c r="K1099" s="440">
        <v>222.85883106129799</v>
      </c>
      <c r="L1099" s="440">
        <f t="shared" si="402"/>
        <v>439.98068891381718</v>
      </c>
      <c r="M1099" s="347"/>
      <c r="N1099" s="347"/>
    </row>
    <row r="1100" spans="1:14" x14ac:dyDescent="0.25">
      <c r="A1100" s="362" t="str">
        <f>name!E$7</f>
        <v>Administrative and secretarial</v>
      </c>
      <c r="B1100" s="440">
        <v>331.72315412479338</v>
      </c>
      <c r="C1100" s="440">
        <v>119.92701200193484</v>
      </c>
      <c r="D1100" s="440">
        <f t="shared" si="400"/>
        <v>451.65016612672821</v>
      </c>
      <c r="E1100" s="441"/>
      <c r="F1100" s="440">
        <v>266.93597070717743</v>
      </c>
      <c r="G1100" s="440">
        <v>86.223373609012711</v>
      </c>
      <c r="H1100" s="440">
        <f t="shared" si="401"/>
        <v>353.15934431619013</v>
      </c>
      <c r="I1100" s="441"/>
      <c r="J1100" s="440">
        <v>206.3301377140765</v>
      </c>
      <c r="K1100" s="440">
        <v>76.416858059744158</v>
      </c>
      <c r="L1100" s="440">
        <f t="shared" si="402"/>
        <v>282.74699577382069</v>
      </c>
      <c r="M1100" s="347"/>
      <c r="N1100" s="347"/>
    </row>
    <row r="1101" spans="1:14" x14ac:dyDescent="0.25">
      <c r="A1101" s="362" t="str">
        <f>name!E$8</f>
        <v>Skilled trades occupations</v>
      </c>
      <c r="B1101" s="440">
        <v>5.8705970071413596</v>
      </c>
      <c r="C1101" s="440">
        <v>26.433208784376482</v>
      </c>
      <c r="D1101" s="440">
        <f t="shared" si="400"/>
        <v>32.303805791517846</v>
      </c>
      <c r="E1101" s="441"/>
      <c r="F1101" s="440">
        <v>2.9007981913418588</v>
      </c>
      <c r="G1101" s="440">
        <v>16.427053176236623</v>
      </c>
      <c r="H1101" s="440">
        <f t="shared" si="401"/>
        <v>19.327851367578482</v>
      </c>
      <c r="I1101" s="441"/>
      <c r="J1101" s="440">
        <v>3.448363297686734</v>
      </c>
      <c r="K1101" s="440">
        <v>15.206172500337303</v>
      </c>
      <c r="L1101" s="440">
        <f t="shared" si="402"/>
        <v>18.654535798024035</v>
      </c>
      <c r="M1101" s="347"/>
      <c r="N1101" s="347"/>
    </row>
    <row r="1102" spans="1:14" x14ac:dyDescent="0.25">
      <c r="A1102" s="362" t="str">
        <f>name!E$9</f>
        <v>Caring, leisure and other service</v>
      </c>
      <c r="B1102" s="440">
        <v>55.503317241299129</v>
      </c>
      <c r="C1102" s="440">
        <v>11.452775683817832</v>
      </c>
      <c r="D1102" s="440">
        <f t="shared" si="400"/>
        <v>66.956092925116963</v>
      </c>
      <c r="E1102" s="441"/>
      <c r="F1102" s="440">
        <v>40.668400877993271</v>
      </c>
      <c r="G1102" s="440">
        <v>8.679032910637277</v>
      </c>
      <c r="H1102" s="440">
        <f t="shared" si="401"/>
        <v>49.347433788630546</v>
      </c>
      <c r="I1102" s="441"/>
      <c r="J1102" s="440">
        <v>50.691964287989499</v>
      </c>
      <c r="K1102" s="440">
        <v>10.551572429292213</v>
      </c>
      <c r="L1102" s="440">
        <f t="shared" si="402"/>
        <v>61.243536717281714</v>
      </c>
      <c r="M1102" s="347"/>
      <c r="N1102" s="347"/>
    </row>
    <row r="1103" spans="1:14" x14ac:dyDescent="0.25">
      <c r="A1103" s="362" t="str">
        <f>name!E$10</f>
        <v>Sales and customer service</v>
      </c>
      <c r="B1103" s="440">
        <v>26.602551742238479</v>
      </c>
      <c r="C1103" s="440">
        <v>12.513810362361534</v>
      </c>
      <c r="D1103" s="440">
        <f t="shared" si="400"/>
        <v>39.116362104600015</v>
      </c>
      <c r="E1103" s="441"/>
      <c r="F1103" s="440">
        <v>25.917179917424225</v>
      </c>
      <c r="G1103" s="440">
        <v>11.114889513130391</v>
      </c>
      <c r="H1103" s="440">
        <f t="shared" si="401"/>
        <v>37.032069430554614</v>
      </c>
      <c r="I1103" s="441"/>
      <c r="J1103" s="440">
        <v>28.12132244586201</v>
      </c>
      <c r="K1103" s="440">
        <v>10.851329465177288</v>
      </c>
      <c r="L1103" s="440">
        <f t="shared" si="402"/>
        <v>38.9726519110393</v>
      </c>
      <c r="M1103" s="347"/>
      <c r="N1103" s="347"/>
    </row>
    <row r="1104" spans="1:14" x14ac:dyDescent="0.25">
      <c r="A1104" s="362" t="str">
        <f>name!E$11</f>
        <v>Process, plant and machine operatives</v>
      </c>
      <c r="B1104" s="440">
        <v>1.9927534706903209</v>
      </c>
      <c r="C1104" s="440">
        <v>16.92981004080492</v>
      </c>
      <c r="D1104" s="440">
        <f t="shared" si="400"/>
        <v>18.922563511495241</v>
      </c>
      <c r="E1104" s="441"/>
      <c r="F1104" s="440">
        <v>2.1752510679778205</v>
      </c>
      <c r="G1104" s="440">
        <v>13.682225239080555</v>
      </c>
      <c r="H1104" s="440">
        <f t="shared" si="401"/>
        <v>15.857476307058375</v>
      </c>
      <c r="I1104" s="441"/>
      <c r="J1104" s="440">
        <v>2.0198455423080959</v>
      </c>
      <c r="K1104" s="440">
        <v>13.792411367596742</v>
      </c>
      <c r="L1104" s="440">
        <f t="shared" si="402"/>
        <v>15.812256909904837</v>
      </c>
      <c r="M1104" s="347"/>
      <c r="N1104" s="347"/>
    </row>
    <row r="1105" spans="1:14" x14ac:dyDescent="0.25">
      <c r="A1105" s="362" t="str">
        <f>name!E$12</f>
        <v>Elementary occupations</v>
      </c>
      <c r="B1105" s="440">
        <v>45.698711025511216</v>
      </c>
      <c r="C1105" s="440">
        <v>28.227382470737261</v>
      </c>
      <c r="D1105" s="440">
        <f t="shared" si="400"/>
        <v>73.926093496248484</v>
      </c>
      <c r="E1105" s="441"/>
      <c r="F1105" s="440">
        <v>28.291038064356073</v>
      </c>
      <c r="G1105" s="440">
        <v>24.577947301376792</v>
      </c>
      <c r="H1105" s="440">
        <f t="shared" si="401"/>
        <v>52.868985365732868</v>
      </c>
      <c r="I1105" s="441"/>
      <c r="J1105" s="440">
        <v>29.677275486558234</v>
      </c>
      <c r="K1105" s="440">
        <v>26.852559955097902</v>
      </c>
      <c r="L1105" s="440">
        <f t="shared" si="402"/>
        <v>56.529835441656132</v>
      </c>
      <c r="M1105" s="347"/>
      <c r="N1105" s="347"/>
    </row>
    <row r="1106" spans="1:14" s="286" customFormat="1" x14ac:dyDescent="0.25">
      <c r="A1106" s="362"/>
      <c r="B1106" s="440"/>
      <c r="C1106" s="440"/>
      <c r="D1106" s="440"/>
      <c r="E1106" s="441"/>
      <c r="F1106" s="440"/>
      <c r="G1106" s="440"/>
      <c r="H1106" s="440"/>
      <c r="I1106" s="441"/>
      <c r="J1106" s="440"/>
      <c r="K1106" s="440"/>
      <c r="L1106" s="440"/>
      <c r="M1106" s="347"/>
      <c r="N1106" s="347"/>
    </row>
    <row r="1107" spans="1:14" x14ac:dyDescent="0.25">
      <c r="A1107" s="357" t="s">
        <v>32</v>
      </c>
      <c r="B1107" s="450">
        <f>SUM(B1097:B1105)</f>
        <v>835.99999999791987</v>
      </c>
      <c r="C1107" s="450">
        <f t="shared" ref="C1107:D1107" si="403">SUM(C1097:C1105)</f>
        <v>736.00000000125931</v>
      </c>
      <c r="D1107" s="450">
        <f t="shared" si="403"/>
        <v>1571.9999999991796</v>
      </c>
      <c r="E1107" s="450"/>
      <c r="F1107" s="450">
        <f t="shared" ref="F1107:H1107" si="404">SUM(F1097:F1105)</f>
        <v>751.02499999531472</v>
      </c>
      <c r="G1107" s="450">
        <f t="shared" si="404"/>
        <v>579.02299999839943</v>
      </c>
      <c r="H1107" s="450">
        <f t="shared" si="404"/>
        <v>1330.047999993714</v>
      </c>
      <c r="I1107" s="450"/>
      <c r="J1107" s="450">
        <f t="shared" ref="J1107:L1107" si="405">SUM(J1097:J1105)</f>
        <v>784.81499999976597</v>
      </c>
      <c r="K1107" s="450">
        <f t="shared" si="405"/>
        <v>538.33799999992812</v>
      </c>
      <c r="L1107" s="450">
        <f t="shared" si="405"/>
        <v>1323.1529999996942</v>
      </c>
      <c r="M1107" s="347"/>
      <c r="N1107" s="347"/>
    </row>
    <row r="1108" spans="1:14" x14ac:dyDescent="0.25">
      <c r="A1108" s="348"/>
      <c r="B1108" s="348"/>
      <c r="C1108" s="348"/>
      <c r="D1108" s="348"/>
      <c r="E1108" s="348"/>
      <c r="F1108" s="348"/>
      <c r="G1108" s="348"/>
      <c r="H1108" s="348"/>
      <c r="I1108" s="348"/>
      <c r="J1108" s="348"/>
      <c r="K1108" s="348"/>
      <c r="L1108" s="353"/>
      <c r="M1108" s="347"/>
      <c r="N1108" s="347"/>
    </row>
    <row r="1109" spans="1:14" x14ac:dyDescent="0.25">
      <c r="A1109" s="348"/>
      <c r="B1109" s="348"/>
      <c r="C1109" s="348"/>
      <c r="D1109" s="348"/>
      <c r="E1109" s="348"/>
      <c r="F1109" s="348"/>
      <c r="G1109" s="348"/>
      <c r="H1109" s="348"/>
      <c r="I1109" s="348"/>
      <c r="J1109" s="348"/>
      <c r="K1109" s="348"/>
      <c r="L1109" s="372" t="s">
        <v>35</v>
      </c>
      <c r="M1109" s="347"/>
      <c r="N1109" s="347"/>
    </row>
    <row r="1110" spans="1:14" x14ac:dyDescent="0.25">
      <c r="A1110" s="355"/>
      <c r="B1110" s="365"/>
      <c r="C1110" s="365"/>
      <c r="D1110" s="365"/>
      <c r="E1110" s="365"/>
      <c r="F1110" s="365"/>
      <c r="G1110" s="365"/>
      <c r="H1110" s="365"/>
      <c r="I1110" s="365"/>
      <c r="J1110" s="365"/>
      <c r="K1110" s="365"/>
      <c r="L1110" s="347"/>
      <c r="M1110" s="347"/>
      <c r="N1110" s="347"/>
    </row>
    <row r="1111" spans="1:14" x14ac:dyDescent="0.25">
      <c r="A1111" s="354" t="str">
        <f>name!A68</f>
        <v xml:space="preserve">Education </v>
      </c>
      <c r="B1111" s="515">
        <f>B$6</f>
        <v>2007</v>
      </c>
      <c r="C1111" s="515"/>
      <c r="D1111" s="515"/>
      <c r="E1111" s="369"/>
      <c r="F1111" s="515">
        <f>F$6</f>
        <v>2017</v>
      </c>
      <c r="G1111" s="515"/>
      <c r="H1111" s="515"/>
      <c r="I1111" s="369"/>
      <c r="J1111" s="515">
        <f>J$6</f>
        <v>2027</v>
      </c>
      <c r="K1111" s="515"/>
      <c r="L1111" s="515"/>
      <c r="M1111" s="347"/>
      <c r="N1111" s="347"/>
    </row>
    <row r="1112" spans="1:14" x14ac:dyDescent="0.25">
      <c r="A1112" s="370"/>
      <c r="B1112" s="371" t="s">
        <v>387</v>
      </c>
      <c r="C1112" s="371" t="s">
        <v>388</v>
      </c>
      <c r="D1112" s="371" t="s">
        <v>32</v>
      </c>
      <c r="E1112" s="371"/>
      <c r="F1112" s="371" t="s">
        <v>387</v>
      </c>
      <c r="G1112" s="371" t="s">
        <v>388</v>
      </c>
      <c r="H1112" s="371" t="s">
        <v>32</v>
      </c>
      <c r="I1112" s="371"/>
      <c r="J1112" s="371" t="s">
        <v>387</v>
      </c>
      <c r="K1112" s="371" t="s">
        <v>388</v>
      </c>
      <c r="L1112" s="371" t="s">
        <v>32</v>
      </c>
      <c r="M1112" s="347"/>
      <c r="N1112" s="347"/>
    </row>
    <row r="1113" spans="1:14" s="286" customFormat="1" x14ac:dyDescent="0.25">
      <c r="A1113" s="374"/>
      <c r="B1113" s="375"/>
      <c r="C1113" s="375"/>
      <c r="D1113" s="375"/>
      <c r="E1113" s="375"/>
      <c r="F1113" s="375"/>
      <c r="G1113" s="375"/>
      <c r="H1113" s="375"/>
      <c r="I1113" s="375"/>
      <c r="J1113" s="375"/>
      <c r="K1113" s="375"/>
      <c r="L1113" s="375"/>
      <c r="M1113" s="347"/>
      <c r="N1113" s="347"/>
    </row>
    <row r="1114" spans="1:14" x14ac:dyDescent="0.25">
      <c r="A1114" s="362" t="str">
        <f>name!E$4</f>
        <v>Managers, directors and senior officials</v>
      </c>
      <c r="B1114" s="440">
        <v>19.00091777442822</v>
      </c>
      <c r="C1114" s="440">
        <v>19.097853778422671</v>
      </c>
      <c r="D1114" s="440">
        <f>SUM(B1114:C1114)</f>
        <v>38.098771552850891</v>
      </c>
      <c r="E1114" s="441"/>
      <c r="F1114" s="440">
        <v>34.478327608528559</v>
      </c>
      <c r="G1114" s="440">
        <v>36.840828810319906</v>
      </c>
      <c r="H1114" s="440">
        <f>SUM(F1114:G1114)</f>
        <v>71.319156418848465</v>
      </c>
      <c r="I1114" s="441"/>
      <c r="J1114" s="440">
        <v>31.961700806414935</v>
      </c>
      <c r="K1114" s="440">
        <v>33.328223618281406</v>
      </c>
      <c r="L1114" s="440">
        <f>SUM(J1114:K1114)</f>
        <v>65.289924424696338</v>
      </c>
      <c r="M1114" s="347"/>
      <c r="N1114" s="347"/>
    </row>
    <row r="1115" spans="1:14" x14ac:dyDescent="0.25">
      <c r="A1115" s="362" t="str">
        <f>name!E$5</f>
        <v>Professional occupations</v>
      </c>
      <c r="B1115" s="440">
        <v>828.60159983763958</v>
      </c>
      <c r="C1115" s="440">
        <v>448.16943162756553</v>
      </c>
      <c r="D1115" s="440">
        <f t="shared" ref="D1115:D1122" si="406">SUM(B1115:C1115)</f>
        <v>1276.7710314652052</v>
      </c>
      <c r="E1115" s="441"/>
      <c r="F1115" s="440">
        <v>1025.6056437569873</v>
      </c>
      <c r="G1115" s="440">
        <v>555.3304327184569</v>
      </c>
      <c r="H1115" s="440">
        <f t="shared" ref="H1115:H1122" si="407">SUM(F1115:G1115)</f>
        <v>1580.9360764754442</v>
      </c>
      <c r="I1115" s="441"/>
      <c r="J1115" s="440">
        <v>1160.2457920453439</v>
      </c>
      <c r="K1115" s="440">
        <v>553.50053417778076</v>
      </c>
      <c r="L1115" s="440">
        <f t="shared" ref="L1115:L1122" si="408">SUM(J1115:K1115)</f>
        <v>1713.7463262231247</v>
      </c>
      <c r="M1115" s="347"/>
      <c r="N1115" s="347"/>
    </row>
    <row r="1116" spans="1:14" x14ac:dyDescent="0.25">
      <c r="A1116" s="362" t="str">
        <f>name!E$6</f>
        <v>Associate professional and technical</v>
      </c>
      <c r="B1116" s="440">
        <v>82.344019218189032</v>
      </c>
      <c r="C1116" s="440">
        <v>76.671026089618792</v>
      </c>
      <c r="D1116" s="440">
        <f t="shared" si="406"/>
        <v>159.01504530780784</v>
      </c>
      <c r="E1116" s="441"/>
      <c r="F1116" s="440">
        <v>108.35553169021954</v>
      </c>
      <c r="G1116" s="440">
        <v>101.52556961333705</v>
      </c>
      <c r="H1116" s="440">
        <f t="shared" si="407"/>
        <v>209.88110130355659</v>
      </c>
      <c r="I1116" s="441"/>
      <c r="J1116" s="440">
        <v>100.51494574532416</v>
      </c>
      <c r="K1116" s="440">
        <v>90.100061460693979</v>
      </c>
      <c r="L1116" s="440">
        <f t="shared" si="408"/>
        <v>190.61500720601813</v>
      </c>
      <c r="M1116" s="347"/>
      <c r="N1116" s="347"/>
    </row>
    <row r="1117" spans="1:14" x14ac:dyDescent="0.25">
      <c r="A1117" s="362" t="str">
        <f>name!E$7</f>
        <v>Administrative and secretarial</v>
      </c>
      <c r="B1117" s="440">
        <v>154.96839206195114</v>
      </c>
      <c r="C1117" s="440">
        <v>24.455136621122087</v>
      </c>
      <c r="D1117" s="440">
        <f t="shared" si="406"/>
        <v>179.42352868307322</v>
      </c>
      <c r="E1117" s="441"/>
      <c r="F1117" s="440">
        <v>134.30049019151329</v>
      </c>
      <c r="G1117" s="440">
        <v>22.821156681282204</v>
      </c>
      <c r="H1117" s="440">
        <f t="shared" si="407"/>
        <v>157.12164687279551</v>
      </c>
      <c r="I1117" s="441"/>
      <c r="J1117" s="440">
        <v>71.160291342704852</v>
      </c>
      <c r="K1117" s="440">
        <v>18.497904341283895</v>
      </c>
      <c r="L1117" s="440">
        <f t="shared" si="408"/>
        <v>89.658195683988751</v>
      </c>
      <c r="M1117" s="347"/>
      <c r="N1117" s="347"/>
    </row>
    <row r="1118" spans="1:14" x14ac:dyDescent="0.25">
      <c r="A1118" s="362" t="str">
        <f>name!E$8</f>
        <v>Skilled trades occupations</v>
      </c>
      <c r="B1118" s="440">
        <v>19.782200639506083</v>
      </c>
      <c r="C1118" s="440">
        <v>16.253690898639498</v>
      </c>
      <c r="D1118" s="440">
        <f t="shared" si="406"/>
        <v>36.035891538145577</v>
      </c>
      <c r="E1118" s="441"/>
      <c r="F1118" s="440">
        <v>16.942734128943158</v>
      </c>
      <c r="G1118" s="440">
        <v>19.322235669550064</v>
      </c>
      <c r="H1118" s="440">
        <f t="shared" si="407"/>
        <v>36.264969798493226</v>
      </c>
      <c r="I1118" s="441"/>
      <c r="J1118" s="440">
        <v>9.6055914930235105</v>
      </c>
      <c r="K1118" s="440">
        <v>14.863651699000805</v>
      </c>
      <c r="L1118" s="440">
        <f t="shared" si="408"/>
        <v>24.469243192024315</v>
      </c>
      <c r="M1118" s="347"/>
      <c r="N1118" s="347"/>
    </row>
    <row r="1119" spans="1:14" x14ac:dyDescent="0.25">
      <c r="A1119" s="362" t="str">
        <f>name!E$9</f>
        <v>Caring, leisure and other service</v>
      </c>
      <c r="B1119" s="440">
        <v>459.52910694169611</v>
      </c>
      <c r="C1119" s="440">
        <v>65.769361776574343</v>
      </c>
      <c r="D1119" s="440">
        <f t="shared" si="406"/>
        <v>525.29846871827044</v>
      </c>
      <c r="E1119" s="441"/>
      <c r="F1119" s="440">
        <v>558.33470754250982</v>
      </c>
      <c r="G1119" s="440">
        <v>75.624028507915</v>
      </c>
      <c r="H1119" s="440">
        <f t="shared" si="407"/>
        <v>633.95873605042482</v>
      </c>
      <c r="I1119" s="441"/>
      <c r="J1119" s="440">
        <v>595.68771114534104</v>
      </c>
      <c r="K1119" s="440">
        <v>80.220701496456016</v>
      </c>
      <c r="L1119" s="440">
        <f t="shared" si="408"/>
        <v>675.9084126417971</v>
      </c>
      <c r="M1119" s="347"/>
      <c r="N1119" s="347"/>
    </row>
    <row r="1120" spans="1:14" x14ac:dyDescent="0.25">
      <c r="A1120" s="362" t="str">
        <f>name!E$10</f>
        <v>Sales and customer service</v>
      </c>
      <c r="B1120" s="440">
        <v>6.5546437355251994</v>
      </c>
      <c r="C1120" s="440">
        <v>2.7246317758282239</v>
      </c>
      <c r="D1120" s="440">
        <f t="shared" si="406"/>
        <v>9.2792755113534238</v>
      </c>
      <c r="E1120" s="441"/>
      <c r="F1120" s="440">
        <v>10.850235105615432</v>
      </c>
      <c r="G1120" s="440">
        <v>3.6566410810591932</v>
      </c>
      <c r="H1120" s="440">
        <f t="shared" si="407"/>
        <v>14.506876186674626</v>
      </c>
      <c r="I1120" s="441"/>
      <c r="J1120" s="440">
        <v>9.6040585592166519</v>
      </c>
      <c r="K1120" s="440">
        <v>3.3503855484062899</v>
      </c>
      <c r="L1120" s="440">
        <f t="shared" si="408"/>
        <v>12.954444107622942</v>
      </c>
      <c r="M1120" s="347"/>
      <c r="N1120" s="347"/>
    </row>
    <row r="1121" spans="1:14" x14ac:dyDescent="0.25">
      <c r="A1121" s="362" t="str">
        <f>name!E$11</f>
        <v>Process, plant and machine operatives</v>
      </c>
      <c r="B1121" s="440">
        <v>4.6630420341413625</v>
      </c>
      <c r="C1121" s="440">
        <v>50.277497837710939</v>
      </c>
      <c r="D1121" s="440">
        <f t="shared" si="406"/>
        <v>54.940539871852302</v>
      </c>
      <c r="E1121" s="441"/>
      <c r="F1121" s="440">
        <v>8.4974991848344619</v>
      </c>
      <c r="G1121" s="440">
        <v>40.185855794435142</v>
      </c>
      <c r="H1121" s="440">
        <f t="shared" si="407"/>
        <v>48.683354979269602</v>
      </c>
      <c r="I1121" s="441"/>
      <c r="J1121" s="440">
        <v>6.6265047652319735</v>
      </c>
      <c r="K1121" s="440">
        <v>39.400830519741895</v>
      </c>
      <c r="L1121" s="440">
        <f t="shared" si="408"/>
        <v>46.027335284973866</v>
      </c>
      <c r="M1121" s="347"/>
      <c r="N1121" s="347"/>
    </row>
    <row r="1122" spans="1:14" x14ac:dyDescent="0.25">
      <c r="A1122" s="362" t="str">
        <f>name!E$12</f>
        <v>Elementary occupations</v>
      </c>
      <c r="B1122" s="440">
        <v>278.55507778022269</v>
      </c>
      <c r="C1122" s="440">
        <v>33.5803696245436</v>
      </c>
      <c r="D1122" s="440">
        <f t="shared" si="406"/>
        <v>312.1354474047663</v>
      </c>
      <c r="E1122" s="441"/>
      <c r="F1122" s="440">
        <v>148.69783077134704</v>
      </c>
      <c r="G1122" s="440">
        <v>24.719251162432002</v>
      </c>
      <c r="H1122" s="440">
        <f t="shared" si="407"/>
        <v>173.41708193377906</v>
      </c>
      <c r="I1122" s="441"/>
      <c r="J1122" s="440">
        <v>92.11940410154692</v>
      </c>
      <c r="K1122" s="440">
        <v>24.79570717312172</v>
      </c>
      <c r="L1122" s="440">
        <f t="shared" si="408"/>
        <v>116.91511127466865</v>
      </c>
      <c r="M1122" s="347"/>
      <c r="N1122" s="347"/>
    </row>
    <row r="1123" spans="1:14" s="286" customFormat="1" x14ac:dyDescent="0.25">
      <c r="A1123" s="362"/>
      <c r="B1123" s="440"/>
      <c r="C1123" s="440"/>
      <c r="D1123" s="440"/>
      <c r="E1123" s="441"/>
      <c r="F1123" s="440"/>
      <c r="G1123" s="440"/>
      <c r="H1123" s="440"/>
      <c r="I1123" s="441"/>
      <c r="J1123" s="440"/>
      <c r="K1123" s="440"/>
      <c r="L1123" s="440"/>
      <c r="M1123" s="347"/>
      <c r="N1123" s="347"/>
    </row>
    <row r="1124" spans="1:14" x14ac:dyDescent="0.25">
      <c r="A1124" s="357" t="s">
        <v>32</v>
      </c>
      <c r="B1124" s="450">
        <f>SUM(B1114:B1122)</f>
        <v>1853.9990000232995</v>
      </c>
      <c r="C1124" s="450">
        <f t="shared" ref="C1124:D1124" si="409">SUM(C1114:C1122)</f>
        <v>736.99900003002563</v>
      </c>
      <c r="D1124" s="450">
        <f t="shared" si="409"/>
        <v>2590.9980000533251</v>
      </c>
      <c r="E1124" s="450"/>
      <c r="F1124" s="450">
        <f t="shared" ref="F1124:H1124" si="410">SUM(F1114:F1122)</f>
        <v>2046.0629999804987</v>
      </c>
      <c r="G1124" s="450">
        <f t="shared" si="410"/>
        <v>880.02600003878752</v>
      </c>
      <c r="H1124" s="450">
        <f t="shared" si="410"/>
        <v>2926.0890000192862</v>
      </c>
      <c r="I1124" s="450"/>
      <c r="J1124" s="450">
        <f t="shared" ref="J1124:L1124" si="411">SUM(J1114:J1122)</f>
        <v>2077.526000004148</v>
      </c>
      <c r="K1124" s="450">
        <f t="shared" si="411"/>
        <v>858.05800003476679</v>
      </c>
      <c r="L1124" s="450">
        <f t="shared" si="411"/>
        <v>2935.5840000389148</v>
      </c>
      <c r="M1124" s="347"/>
      <c r="N1124" s="347"/>
    </row>
    <row r="1125" spans="1:14" x14ac:dyDescent="0.25">
      <c r="A1125" s="348"/>
      <c r="B1125" s="348"/>
      <c r="C1125" s="348"/>
      <c r="D1125" s="348"/>
      <c r="E1125" s="348"/>
      <c r="F1125" s="348"/>
      <c r="G1125" s="348"/>
      <c r="H1125" s="348"/>
      <c r="I1125" s="348"/>
      <c r="J1125" s="348"/>
      <c r="K1125" s="348"/>
      <c r="L1125" s="353"/>
      <c r="M1125" s="347"/>
      <c r="N1125" s="347"/>
    </row>
    <row r="1126" spans="1:14" x14ac:dyDescent="0.25">
      <c r="A1126" s="348"/>
      <c r="B1126" s="348"/>
      <c r="C1126" s="348"/>
      <c r="D1126" s="348"/>
      <c r="E1126" s="348"/>
      <c r="F1126" s="348"/>
      <c r="G1126" s="348"/>
      <c r="H1126" s="348"/>
      <c r="I1126" s="348"/>
      <c r="J1126" s="348"/>
      <c r="K1126" s="348"/>
      <c r="L1126" s="372" t="s">
        <v>35</v>
      </c>
      <c r="M1126" s="347"/>
      <c r="N1126" s="347"/>
    </row>
    <row r="1127" spans="1:14" x14ac:dyDescent="0.25">
      <c r="A1127" s="355"/>
      <c r="B1127" s="365"/>
      <c r="C1127" s="365"/>
      <c r="D1127" s="365"/>
      <c r="E1127" s="365"/>
      <c r="F1127" s="365"/>
      <c r="G1127" s="365"/>
      <c r="H1127" s="365"/>
      <c r="I1127" s="365"/>
      <c r="J1127" s="365"/>
      <c r="K1127" s="365"/>
      <c r="L1127" s="347"/>
      <c r="M1127" s="347"/>
      <c r="N1127" s="347"/>
    </row>
    <row r="1128" spans="1:14" x14ac:dyDescent="0.25">
      <c r="A1128" s="354" t="str">
        <f>name!A69</f>
        <v>Health</v>
      </c>
      <c r="B1128" s="515">
        <f>B$6</f>
        <v>2007</v>
      </c>
      <c r="C1128" s="515"/>
      <c r="D1128" s="515"/>
      <c r="E1128" s="369"/>
      <c r="F1128" s="515">
        <f>F$6</f>
        <v>2017</v>
      </c>
      <c r="G1128" s="515"/>
      <c r="H1128" s="515"/>
      <c r="I1128" s="369"/>
      <c r="J1128" s="515">
        <f>J$6</f>
        <v>2027</v>
      </c>
      <c r="K1128" s="515"/>
      <c r="L1128" s="515"/>
      <c r="M1128" s="347"/>
      <c r="N1128" s="347"/>
    </row>
    <row r="1129" spans="1:14" x14ac:dyDescent="0.25">
      <c r="A1129" s="370"/>
      <c r="B1129" s="371" t="s">
        <v>387</v>
      </c>
      <c r="C1129" s="371" t="s">
        <v>388</v>
      </c>
      <c r="D1129" s="371" t="s">
        <v>32</v>
      </c>
      <c r="E1129" s="371"/>
      <c r="F1129" s="371" t="s">
        <v>387</v>
      </c>
      <c r="G1129" s="371" t="s">
        <v>388</v>
      </c>
      <c r="H1129" s="371" t="s">
        <v>32</v>
      </c>
      <c r="I1129" s="371"/>
      <c r="J1129" s="371" t="s">
        <v>387</v>
      </c>
      <c r="K1129" s="371" t="s">
        <v>388</v>
      </c>
      <c r="L1129" s="371" t="s">
        <v>32</v>
      </c>
      <c r="M1129" s="347"/>
      <c r="N1129" s="347"/>
    </row>
    <row r="1130" spans="1:14" s="286" customFormat="1" x14ac:dyDescent="0.25">
      <c r="A1130" s="374"/>
      <c r="B1130" s="375"/>
      <c r="C1130" s="375"/>
      <c r="D1130" s="375"/>
      <c r="E1130" s="375"/>
      <c r="F1130" s="375"/>
      <c r="G1130" s="375"/>
      <c r="H1130" s="375"/>
      <c r="I1130" s="375"/>
      <c r="J1130" s="375"/>
      <c r="K1130" s="375"/>
      <c r="L1130" s="375"/>
      <c r="M1130" s="347"/>
      <c r="N1130" s="347"/>
    </row>
    <row r="1131" spans="1:14" x14ac:dyDescent="0.25">
      <c r="A1131" s="362" t="str">
        <f>name!E$4</f>
        <v>Managers, directors and senior officials</v>
      </c>
      <c r="B1131" s="440">
        <v>43.491520184796315</v>
      </c>
      <c r="C1131" s="440">
        <v>31.600638874294596</v>
      </c>
      <c r="D1131" s="440">
        <f>SUM(B1131:C1131)</f>
        <v>75.092159059090903</v>
      </c>
      <c r="E1131" s="441"/>
      <c r="F1131" s="440">
        <v>69.392565771121951</v>
      </c>
      <c r="G1131" s="440">
        <v>41.542322491754504</v>
      </c>
      <c r="H1131" s="440">
        <f>SUM(F1131:G1131)</f>
        <v>110.93488826287646</v>
      </c>
      <c r="I1131" s="441"/>
      <c r="J1131" s="440">
        <v>79.391645657430701</v>
      </c>
      <c r="K1131" s="440">
        <v>46.538631417240786</v>
      </c>
      <c r="L1131" s="440">
        <f>SUM(J1131:K1131)</f>
        <v>125.93027707467149</v>
      </c>
      <c r="M1131" s="347"/>
      <c r="N1131" s="347"/>
    </row>
    <row r="1132" spans="1:14" x14ac:dyDescent="0.25">
      <c r="A1132" s="362" t="str">
        <f>name!E$5</f>
        <v>Professional occupations</v>
      </c>
      <c r="B1132" s="440">
        <v>443.4741333407336</v>
      </c>
      <c r="C1132" s="440">
        <v>166.55270140933072</v>
      </c>
      <c r="D1132" s="440">
        <f t="shared" ref="D1132:D1139" si="412">SUM(B1132:C1132)</f>
        <v>610.02683475006438</v>
      </c>
      <c r="E1132" s="441"/>
      <c r="F1132" s="440">
        <v>612.75958755365264</v>
      </c>
      <c r="G1132" s="440">
        <v>214.52034598464843</v>
      </c>
      <c r="H1132" s="440">
        <f t="shared" ref="H1132:H1139" si="413">SUM(F1132:G1132)</f>
        <v>827.27993353830107</v>
      </c>
      <c r="I1132" s="441"/>
      <c r="J1132" s="440">
        <v>703.34152254768355</v>
      </c>
      <c r="K1132" s="440">
        <v>222.69400338433374</v>
      </c>
      <c r="L1132" s="440">
        <f t="shared" ref="L1132:L1139" si="414">SUM(J1132:K1132)</f>
        <v>926.03552593201732</v>
      </c>
      <c r="M1132" s="347"/>
      <c r="N1132" s="347"/>
    </row>
    <row r="1133" spans="1:14" x14ac:dyDescent="0.25">
      <c r="A1133" s="362" t="str">
        <f>name!E$6</f>
        <v>Associate professional and technical</v>
      </c>
      <c r="B1133" s="440">
        <v>169.40806905188214</v>
      </c>
      <c r="C1133" s="440">
        <v>71.405881602533128</v>
      </c>
      <c r="D1133" s="440">
        <f t="shared" si="412"/>
        <v>240.81395065441527</v>
      </c>
      <c r="E1133" s="441"/>
      <c r="F1133" s="440">
        <v>227.02978574646897</v>
      </c>
      <c r="G1133" s="440">
        <v>101.94629574296056</v>
      </c>
      <c r="H1133" s="440">
        <f t="shared" si="413"/>
        <v>328.97608148942953</v>
      </c>
      <c r="I1133" s="441"/>
      <c r="J1133" s="440">
        <v>257.93542617971832</v>
      </c>
      <c r="K1133" s="440">
        <v>108.98068855384614</v>
      </c>
      <c r="L1133" s="440">
        <f t="shared" si="414"/>
        <v>366.91611473356443</v>
      </c>
      <c r="M1133" s="347"/>
      <c r="N1133" s="347"/>
    </row>
    <row r="1134" spans="1:14" x14ac:dyDescent="0.25">
      <c r="A1134" s="362" t="str">
        <f>name!E$7</f>
        <v>Administrative and secretarial</v>
      </c>
      <c r="B1134" s="440">
        <v>208.12114470824926</v>
      </c>
      <c r="C1134" s="440">
        <v>21.736856381652636</v>
      </c>
      <c r="D1134" s="440">
        <f t="shared" si="412"/>
        <v>229.8580010899019</v>
      </c>
      <c r="E1134" s="441"/>
      <c r="F1134" s="440">
        <v>195.49706457337786</v>
      </c>
      <c r="G1134" s="440">
        <v>31.434865555471855</v>
      </c>
      <c r="H1134" s="440">
        <f t="shared" si="413"/>
        <v>226.9319301288497</v>
      </c>
      <c r="I1134" s="441"/>
      <c r="J1134" s="440">
        <v>117.60077530609398</v>
      </c>
      <c r="K1134" s="440">
        <v>29.820414203986722</v>
      </c>
      <c r="L1134" s="440">
        <f t="shared" si="414"/>
        <v>147.42118951008069</v>
      </c>
      <c r="M1134" s="347"/>
      <c r="N1134" s="347"/>
    </row>
    <row r="1135" spans="1:14" x14ac:dyDescent="0.25">
      <c r="A1135" s="362" t="str">
        <f>name!E$8</f>
        <v>Skilled trades occupations</v>
      </c>
      <c r="B1135" s="440">
        <v>18.193590127060236</v>
      </c>
      <c r="C1135" s="440">
        <v>23.383694010920525</v>
      </c>
      <c r="D1135" s="440">
        <f t="shared" si="412"/>
        <v>41.577284137980762</v>
      </c>
      <c r="E1135" s="441"/>
      <c r="F1135" s="440">
        <v>11.923573620248233</v>
      </c>
      <c r="G1135" s="440">
        <v>17.395339537480112</v>
      </c>
      <c r="H1135" s="440">
        <f t="shared" si="413"/>
        <v>29.318913157728346</v>
      </c>
      <c r="I1135" s="441"/>
      <c r="J1135" s="440">
        <v>6.9885541522000079</v>
      </c>
      <c r="K1135" s="440">
        <v>15.845707084521385</v>
      </c>
      <c r="L1135" s="440">
        <f t="shared" si="414"/>
        <v>22.834261236721392</v>
      </c>
      <c r="M1135" s="347"/>
      <c r="N1135" s="347"/>
    </row>
    <row r="1136" spans="1:14" x14ac:dyDescent="0.25">
      <c r="A1136" s="362" t="str">
        <f>name!E$9</f>
        <v>Caring, leisure and other service</v>
      </c>
      <c r="B1136" s="440">
        <v>581.7632496880841</v>
      </c>
      <c r="C1136" s="440">
        <v>97.829411433369302</v>
      </c>
      <c r="D1136" s="440">
        <f t="shared" si="412"/>
        <v>679.59266112145338</v>
      </c>
      <c r="E1136" s="441"/>
      <c r="F1136" s="440">
        <v>804.51387030326021</v>
      </c>
      <c r="G1136" s="440">
        <v>135.14037962151963</v>
      </c>
      <c r="H1136" s="440">
        <f t="shared" si="413"/>
        <v>939.65424992477983</v>
      </c>
      <c r="I1136" s="441"/>
      <c r="J1136" s="440">
        <v>926.66829737716319</v>
      </c>
      <c r="K1136" s="440">
        <v>175.68184653343229</v>
      </c>
      <c r="L1136" s="440">
        <f t="shared" si="414"/>
        <v>1102.3501439105955</v>
      </c>
      <c r="M1136" s="347"/>
      <c r="N1136" s="347"/>
    </row>
    <row r="1137" spans="1:14" x14ac:dyDescent="0.25">
      <c r="A1137" s="362" t="str">
        <f>name!E$10</f>
        <v>Sales and customer service</v>
      </c>
      <c r="B1137" s="440">
        <v>19.358236010764223</v>
      </c>
      <c r="C1137" s="440">
        <v>5.7163324763746717</v>
      </c>
      <c r="D1137" s="440">
        <f t="shared" si="412"/>
        <v>25.074568487138894</v>
      </c>
      <c r="E1137" s="441"/>
      <c r="F1137" s="440">
        <v>27.000124947877453</v>
      </c>
      <c r="G1137" s="440">
        <v>7.0171313872517258</v>
      </c>
      <c r="H1137" s="440">
        <f t="shared" si="413"/>
        <v>34.017256335129176</v>
      </c>
      <c r="I1137" s="441"/>
      <c r="J1137" s="440">
        <v>26.959659236380414</v>
      </c>
      <c r="K1137" s="440">
        <v>6.7996700697294949</v>
      </c>
      <c r="L1137" s="440">
        <f t="shared" si="414"/>
        <v>33.759329306109912</v>
      </c>
      <c r="M1137" s="347"/>
      <c r="N1137" s="347"/>
    </row>
    <row r="1138" spans="1:14" x14ac:dyDescent="0.25">
      <c r="A1138" s="362" t="str">
        <f>name!E$11</f>
        <v>Process, plant and machine operatives</v>
      </c>
      <c r="B1138" s="440">
        <v>5.654834813080976</v>
      </c>
      <c r="C1138" s="440">
        <v>13.72434015984196</v>
      </c>
      <c r="D1138" s="440">
        <f t="shared" si="412"/>
        <v>19.379174972922936</v>
      </c>
      <c r="E1138" s="441"/>
      <c r="F1138" s="440">
        <v>4.5259877823159105</v>
      </c>
      <c r="G1138" s="440">
        <v>10.404981865486693</v>
      </c>
      <c r="H1138" s="440">
        <f t="shared" si="413"/>
        <v>14.930969647802604</v>
      </c>
      <c r="I1138" s="441"/>
      <c r="J1138" s="440">
        <v>2.0596426920751205</v>
      </c>
      <c r="K1138" s="440">
        <v>9.8869571817371344</v>
      </c>
      <c r="L1138" s="440">
        <f t="shared" si="414"/>
        <v>11.946599873812255</v>
      </c>
      <c r="M1138" s="347"/>
      <c r="N1138" s="347"/>
    </row>
    <row r="1139" spans="1:14" x14ac:dyDescent="0.25">
      <c r="A1139" s="362" t="str">
        <f>name!E$12</f>
        <v>Elementary occupations</v>
      </c>
      <c r="B1139" s="440">
        <v>95.53322206279465</v>
      </c>
      <c r="C1139" s="440">
        <v>29.05314364956034</v>
      </c>
      <c r="D1139" s="440">
        <f t="shared" si="412"/>
        <v>124.58636571235499</v>
      </c>
      <c r="E1139" s="441"/>
      <c r="F1139" s="440">
        <v>54.415439674062291</v>
      </c>
      <c r="G1139" s="440">
        <v>22.61533781170224</v>
      </c>
      <c r="H1139" s="440">
        <f t="shared" si="413"/>
        <v>77.030777485764531</v>
      </c>
      <c r="I1139" s="441"/>
      <c r="J1139" s="440">
        <v>38.711476836140356</v>
      </c>
      <c r="K1139" s="440">
        <v>22.380081571814895</v>
      </c>
      <c r="L1139" s="440">
        <f t="shared" si="414"/>
        <v>61.091558407955247</v>
      </c>
      <c r="M1139" s="347"/>
      <c r="N1139" s="347"/>
    </row>
    <row r="1140" spans="1:14" s="286" customFormat="1" x14ac:dyDescent="0.25">
      <c r="A1140" s="362"/>
      <c r="B1140" s="440"/>
      <c r="C1140" s="440"/>
      <c r="D1140" s="440"/>
      <c r="E1140" s="441"/>
      <c r="F1140" s="440"/>
      <c r="G1140" s="440"/>
      <c r="H1140" s="440"/>
      <c r="I1140" s="441"/>
      <c r="J1140" s="440"/>
      <c r="K1140" s="440"/>
      <c r="L1140" s="440"/>
      <c r="M1140" s="347"/>
      <c r="N1140" s="347"/>
    </row>
    <row r="1141" spans="1:14" x14ac:dyDescent="0.25">
      <c r="A1141" s="357" t="s">
        <v>32</v>
      </c>
      <c r="B1141" s="450">
        <f>SUM(B1131:B1139)</f>
        <v>1584.9979999874456</v>
      </c>
      <c r="C1141" s="450">
        <f t="shared" ref="C1141:D1141" si="415">SUM(C1131:C1139)</f>
        <v>461.00299999787779</v>
      </c>
      <c r="D1141" s="450">
        <f t="shared" si="415"/>
        <v>2046.0009999853237</v>
      </c>
      <c r="E1141" s="450"/>
      <c r="F1141" s="450">
        <f t="shared" ref="F1141:H1141" si="416">SUM(F1131:F1139)</f>
        <v>2007.0579999723855</v>
      </c>
      <c r="G1141" s="450">
        <f t="shared" si="416"/>
        <v>582.01699999827576</v>
      </c>
      <c r="H1141" s="450">
        <f t="shared" si="416"/>
        <v>2589.0749999706613</v>
      </c>
      <c r="I1141" s="450"/>
      <c r="J1141" s="450">
        <f t="shared" ref="J1141:L1141" si="417">SUM(J1131:J1139)</f>
        <v>2159.6569999848857</v>
      </c>
      <c r="K1141" s="450">
        <f t="shared" si="417"/>
        <v>638.6280000006426</v>
      </c>
      <c r="L1141" s="450">
        <f t="shared" si="417"/>
        <v>2798.2849999855284</v>
      </c>
      <c r="M1141" s="347"/>
      <c r="N1141" s="347"/>
    </row>
    <row r="1142" spans="1:14" x14ac:dyDescent="0.25">
      <c r="A1142" s="348"/>
      <c r="B1142" s="348"/>
      <c r="C1142" s="348"/>
      <c r="D1142" s="348"/>
      <c r="E1142" s="348"/>
      <c r="F1142" s="348"/>
      <c r="G1142" s="348"/>
      <c r="H1142" s="348"/>
      <c r="I1142" s="348"/>
      <c r="J1142" s="348"/>
      <c r="K1142" s="348"/>
      <c r="L1142" s="353"/>
      <c r="M1142" s="347"/>
      <c r="N1142" s="347"/>
    </row>
    <row r="1143" spans="1:14" x14ac:dyDescent="0.25">
      <c r="A1143" s="348"/>
      <c r="B1143" s="348"/>
      <c r="C1143" s="348"/>
      <c r="D1143" s="348"/>
      <c r="E1143" s="348"/>
      <c r="F1143" s="348"/>
      <c r="G1143" s="348"/>
      <c r="H1143" s="348"/>
      <c r="I1143" s="348"/>
      <c r="J1143" s="348"/>
      <c r="K1143" s="348"/>
      <c r="L1143" s="372" t="s">
        <v>35</v>
      </c>
      <c r="M1143" s="347"/>
      <c r="N1143" s="347"/>
    </row>
    <row r="1144" spans="1:14" x14ac:dyDescent="0.25">
      <c r="A1144" s="355"/>
      <c r="B1144" s="365"/>
      <c r="C1144" s="365"/>
      <c r="D1144" s="365"/>
      <c r="E1144" s="365"/>
      <c r="F1144" s="365"/>
      <c r="G1144" s="365"/>
      <c r="H1144" s="365"/>
      <c r="I1144" s="365"/>
      <c r="J1144" s="365"/>
      <c r="K1144" s="365"/>
      <c r="L1144" s="347"/>
      <c r="M1144" s="347"/>
      <c r="N1144" s="347"/>
    </row>
    <row r="1145" spans="1:14" x14ac:dyDescent="0.25">
      <c r="A1145" s="354" t="str">
        <f>name!A70</f>
        <v>Residential care</v>
      </c>
      <c r="B1145" s="515">
        <f>B$6</f>
        <v>2007</v>
      </c>
      <c r="C1145" s="515"/>
      <c r="D1145" s="515"/>
      <c r="E1145" s="369"/>
      <c r="F1145" s="515">
        <f>F$6</f>
        <v>2017</v>
      </c>
      <c r="G1145" s="515"/>
      <c r="H1145" s="515"/>
      <c r="I1145" s="369"/>
      <c r="J1145" s="515">
        <f>J$6</f>
        <v>2027</v>
      </c>
      <c r="K1145" s="515"/>
      <c r="L1145" s="515"/>
      <c r="M1145" s="347"/>
      <c r="N1145" s="347"/>
    </row>
    <row r="1146" spans="1:14" x14ac:dyDescent="0.25">
      <c r="A1146" s="370"/>
      <c r="B1146" s="371" t="s">
        <v>387</v>
      </c>
      <c r="C1146" s="371" t="s">
        <v>388</v>
      </c>
      <c r="D1146" s="371" t="s">
        <v>32</v>
      </c>
      <c r="E1146" s="371"/>
      <c r="F1146" s="371" t="s">
        <v>387</v>
      </c>
      <c r="G1146" s="371" t="s">
        <v>388</v>
      </c>
      <c r="H1146" s="371" t="s">
        <v>32</v>
      </c>
      <c r="I1146" s="371"/>
      <c r="J1146" s="371" t="s">
        <v>387</v>
      </c>
      <c r="K1146" s="371" t="s">
        <v>388</v>
      </c>
      <c r="L1146" s="371" t="s">
        <v>32</v>
      </c>
      <c r="M1146" s="347"/>
      <c r="N1146" s="347"/>
    </row>
    <row r="1147" spans="1:14" s="286" customFormat="1" x14ac:dyDescent="0.25">
      <c r="A1147" s="374"/>
      <c r="B1147" s="375"/>
      <c r="C1147" s="375"/>
      <c r="D1147" s="375"/>
      <c r="E1147" s="375"/>
      <c r="F1147" s="375"/>
      <c r="G1147" s="375"/>
      <c r="H1147" s="375"/>
      <c r="I1147" s="375"/>
      <c r="J1147" s="375"/>
      <c r="K1147" s="375"/>
      <c r="L1147" s="375"/>
      <c r="M1147" s="347"/>
      <c r="N1147" s="347"/>
    </row>
    <row r="1148" spans="1:14" x14ac:dyDescent="0.25">
      <c r="A1148" s="362" t="str">
        <f>name!E$4</f>
        <v>Managers, directors and senior officials</v>
      </c>
      <c r="B1148" s="440">
        <v>16.521933859632547</v>
      </c>
      <c r="C1148" s="440">
        <v>8.1012616449490604</v>
      </c>
      <c r="D1148" s="440">
        <f>SUM(B1148:C1148)</f>
        <v>24.623195504581609</v>
      </c>
      <c r="E1148" s="441"/>
      <c r="F1148" s="440">
        <v>22.144704209650612</v>
      </c>
      <c r="G1148" s="440">
        <v>10.853586835898799</v>
      </c>
      <c r="H1148" s="440">
        <f>SUM(F1148:G1148)</f>
        <v>32.998291045549408</v>
      </c>
      <c r="I1148" s="441"/>
      <c r="J1148" s="440">
        <v>26.026187539798578</v>
      </c>
      <c r="K1148" s="440">
        <v>11.886793441758474</v>
      </c>
      <c r="L1148" s="440">
        <f>SUM(J1148:K1148)</f>
        <v>37.912980981557055</v>
      </c>
      <c r="M1148" s="347"/>
      <c r="N1148" s="347"/>
    </row>
    <row r="1149" spans="1:14" x14ac:dyDescent="0.25">
      <c r="A1149" s="362" t="str">
        <f>name!E$5</f>
        <v>Professional occupations</v>
      </c>
      <c r="B1149" s="440">
        <v>156.79808322595269</v>
      </c>
      <c r="C1149" s="440">
        <v>43.453009344695467</v>
      </c>
      <c r="D1149" s="440">
        <f t="shared" ref="D1149:D1156" si="418">SUM(B1149:C1149)</f>
        <v>200.25109257064815</v>
      </c>
      <c r="E1149" s="441"/>
      <c r="F1149" s="440">
        <v>186.77287607214333</v>
      </c>
      <c r="G1149" s="440">
        <v>56.329343980764193</v>
      </c>
      <c r="H1149" s="440">
        <f t="shared" ref="H1149:H1156" si="419">SUM(F1149:G1149)</f>
        <v>243.10222005290751</v>
      </c>
      <c r="I1149" s="441"/>
      <c r="J1149" s="440">
        <v>223.16844593621218</v>
      </c>
      <c r="K1149" s="440">
        <v>57.63727039099124</v>
      </c>
      <c r="L1149" s="440">
        <f t="shared" ref="L1149:L1156" si="420">SUM(J1149:K1149)</f>
        <v>280.80571632720341</v>
      </c>
      <c r="M1149" s="347"/>
      <c r="N1149" s="347"/>
    </row>
    <row r="1150" spans="1:14" x14ac:dyDescent="0.25">
      <c r="A1150" s="362" t="str">
        <f>name!E$6</f>
        <v>Associate professional and technical</v>
      </c>
      <c r="B1150" s="440">
        <v>60.752817459637093</v>
      </c>
      <c r="C1150" s="440">
        <v>20.733162343294392</v>
      </c>
      <c r="D1150" s="440">
        <f t="shared" si="418"/>
        <v>81.485979802931482</v>
      </c>
      <c r="E1150" s="441"/>
      <c r="F1150" s="440">
        <v>69.791357210152185</v>
      </c>
      <c r="G1150" s="440">
        <v>27.900796897824417</v>
      </c>
      <c r="H1150" s="440">
        <f t="shared" si="419"/>
        <v>97.692154107976606</v>
      </c>
      <c r="I1150" s="441"/>
      <c r="J1150" s="440">
        <v>82.341525419948852</v>
      </c>
      <c r="K1150" s="440">
        <v>29.246676773779615</v>
      </c>
      <c r="L1150" s="440">
        <f t="shared" si="420"/>
        <v>111.58820219372846</v>
      </c>
      <c r="M1150" s="347"/>
      <c r="N1150" s="347"/>
    </row>
    <row r="1151" spans="1:14" x14ac:dyDescent="0.25">
      <c r="A1151" s="362" t="str">
        <f>name!E$7</f>
        <v>Administrative and secretarial</v>
      </c>
      <c r="B1151" s="440">
        <v>73.864051891010888</v>
      </c>
      <c r="C1151" s="440">
        <v>7.2220748376978561</v>
      </c>
      <c r="D1151" s="440">
        <f t="shared" si="418"/>
        <v>81.086126728708749</v>
      </c>
      <c r="E1151" s="441"/>
      <c r="F1151" s="440">
        <v>58.940531701495971</v>
      </c>
      <c r="G1151" s="440">
        <v>9.9330815049651218</v>
      </c>
      <c r="H1151" s="440">
        <f t="shared" si="419"/>
        <v>68.873613206461087</v>
      </c>
      <c r="I1151" s="441"/>
      <c r="J1151" s="440">
        <v>37.446019620288425</v>
      </c>
      <c r="K1151" s="440">
        <v>9.4656658833999821</v>
      </c>
      <c r="L1151" s="440">
        <f t="shared" si="420"/>
        <v>46.911685503688403</v>
      </c>
      <c r="M1151" s="347"/>
      <c r="N1151" s="347"/>
    </row>
    <row r="1152" spans="1:14" x14ac:dyDescent="0.25">
      <c r="A1152" s="362" t="str">
        <f>name!E$8</f>
        <v>Skilled trades occupations</v>
      </c>
      <c r="B1152" s="440">
        <v>6.5584795870564534</v>
      </c>
      <c r="C1152" s="440">
        <v>6.7432308844224602</v>
      </c>
      <c r="D1152" s="440">
        <f t="shared" si="418"/>
        <v>13.301710471478913</v>
      </c>
      <c r="E1152" s="441"/>
      <c r="F1152" s="440">
        <v>3.5901331255246913</v>
      </c>
      <c r="G1152" s="440">
        <v>4.7826654440729577</v>
      </c>
      <c r="H1152" s="440">
        <f t="shared" si="419"/>
        <v>8.3727985695976486</v>
      </c>
      <c r="I1152" s="441"/>
      <c r="J1152" s="440">
        <v>2.2367434706615117</v>
      </c>
      <c r="K1152" s="440">
        <v>4.3470832099803438</v>
      </c>
      <c r="L1152" s="440">
        <f t="shared" si="420"/>
        <v>6.5838266806418559</v>
      </c>
      <c r="M1152" s="347"/>
      <c r="N1152" s="347"/>
    </row>
    <row r="1153" spans="1:14" x14ac:dyDescent="0.25">
      <c r="A1153" s="362" t="str">
        <f>name!E$9</f>
        <v>Caring, leisure and other service</v>
      </c>
      <c r="B1153" s="440">
        <v>211.22068387890175</v>
      </c>
      <c r="C1153" s="440">
        <v>31.365744208228364</v>
      </c>
      <c r="D1153" s="440">
        <f t="shared" si="418"/>
        <v>242.58642808713012</v>
      </c>
      <c r="E1153" s="441"/>
      <c r="F1153" s="440">
        <v>248.40273144601491</v>
      </c>
      <c r="G1153" s="440">
        <v>40.901773159959355</v>
      </c>
      <c r="H1153" s="440">
        <f t="shared" si="419"/>
        <v>289.30450460597427</v>
      </c>
      <c r="I1153" s="441"/>
      <c r="J1153" s="440">
        <v>297.77960731879114</v>
      </c>
      <c r="K1153" s="440">
        <v>53.480940560308888</v>
      </c>
      <c r="L1153" s="440">
        <f t="shared" si="420"/>
        <v>351.26054787910005</v>
      </c>
      <c r="M1153" s="347"/>
      <c r="N1153" s="347"/>
    </row>
    <row r="1154" spans="1:14" x14ac:dyDescent="0.25">
      <c r="A1154" s="362" t="str">
        <f>name!E$10</f>
        <v>Sales and customer service</v>
      </c>
      <c r="B1154" s="440">
        <v>6.9151435234801175</v>
      </c>
      <c r="C1154" s="440">
        <v>1.8161432266268707</v>
      </c>
      <c r="D1154" s="440">
        <f t="shared" si="418"/>
        <v>8.7312867501069888</v>
      </c>
      <c r="E1154" s="441"/>
      <c r="F1154" s="440">
        <v>8.1724999452521825</v>
      </c>
      <c r="G1154" s="440">
        <v>2.1617931859043207</v>
      </c>
      <c r="H1154" s="440">
        <f t="shared" si="419"/>
        <v>10.334293131156503</v>
      </c>
      <c r="I1154" s="441"/>
      <c r="J1154" s="440">
        <v>8.5410415684744603</v>
      </c>
      <c r="K1154" s="440">
        <v>2.02859130265053</v>
      </c>
      <c r="L1154" s="440">
        <f t="shared" si="420"/>
        <v>10.569632871124991</v>
      </c>
      <c r="M1154" s="347"/>
      <c r="N1154" s="347"/>
    </row>
    <row r="1155" spans="1:14" x14ac:dyDescent="0.25">
      <c r="A1155" s="362" t="str">
        <f>name!E$11</f>
        <v>Process, plant and machine operatives</v>
      </c>
      <c r="B1155" s="440">
        <v>1.9892864429881678</v>
      </c>
      <c r="C1155" s="440">
        <v>4.2633811474803194</v>
      </c>
      <c r="D1155" s="440">
        <f t="shared" si="418"/>
        <v>6.2526675904684872</v>
      </c>
      <c r="E1155" s="441"/>
      <c r="F1155" s="440">
        <v>1.3748587187860835</v>
      </c>
      <c r="G1155" s="440">
        <v>3.5697867541751993</v>
      </c>
      <c r="H1155" s="440">
        <f t="shared" si="419"/>
        <v>4.944645472961283</v>
      </c>
      <c r="I1155" s="441"/>
      <c r="J1155" s="440">
        <v>0.65086381008828065</v>
      </c>
      <c r="K1155" s="440">
        <v>3.4685086633673707</v>
      </c>
      <c r="L1155" s="440">
        <f t="shared" si="420"/>
        <v>4.1193724734556518</v>
      </c>
      <c r="M1155" s="347"/>
      <c r="N1155" s="347"/>
    </row>
    <row r="1156" spans="1:14" x14ac:dyDescent="0.25">
      <c r="A1156" s="362" t="str">
        <f>name!E$12</f>
        <v>Elementary occupations</v>
      </c>
      <c r="B1156" s="440">
        <v>32.346520126061733</v>
      </c>
      <c r="C1156" s="440">
        <v>10.089992362710815</v>
      </c>
      <c r="D1156" s="440">
        <f t="shared" si="418"/>
        <v>42.43651248877255</v>
      </c>
      <c r="E1156" s="441"/>
      <c r="F1156" s="440">
        <v>14.909307562406344</v>
      </c>
      <c r="G1156" s="440">
        <v>7.6681722364428841</v>
      </c>
      <c r="H1156" s="440">
        <f t="shared" si="419"/>
        <v>22.577479798849229</v>
      </c>
      <c r="I1156" s="441"/>
      <c r="J1156" s="440">
        <v>11.498565310352694</v>
      </c>
      <c r="K1156" s="440">
        <v>7.6994697744176426</v>
      </c>
      <c r="L1156" s="440">
        <f t="shared" si="420"/>
        <v>19.198035084770336</v>
      </c>
      <c r="M1156" s="347"/>
      <c r="N1156" s="347"/>
    </row>
    <row r="1157" spans="1:14" s="286" customFormat="1" x14ac:dyDescent="0.25">
      <c r="A1157" s="362"/>
      <c r="B1157" s="440"/>
      <c r="C1157" s="440"/>
      <c r="D1157" s="440"/>
      <c r="E1157" s="441"/>
      <c r="F1157" s="440"/>
      <c r="G1157" s="440"/>
      <c r="H1157" s="440"/>
      <c r="I1157" s="441"/>
      <c r="J1157" s="440"/>
      <c r="K1157" s="440"/>
      <c r="L1157" s="440"/>
      <c r="M1157" s="347"/>
      <c r="N1157" s="347"/>
    </row>
    <row r="1158" spans="1:14" x14ac:dyDescent="0.25">
      <c r="A1158" s="357" t="s">
        <v>32</v>
      </c>
      <c r="B1158" s="450">
        <f>SUM(B1148:B1156)</f>
        <v>566.96699999472139</v>
      </c>
      <c r="C1158" s="450">
        <f t="shared" ref="C1158:D1158" si="421">SUM(C1148:C1156)</f>
        <v>133.7880000001056</v>
      </c>
      <c r="D1158" s="450">
        <f t="shared" si="421"/>
        <v>700.75499999482702</v>
      </c>
      <c r="E1158" s="450"/>
      <c r="F1158" s="450">
        <f t="shared" ref="F1158:H1158" si="422">SUM(F1148:F1156)</f>
        <v>614.09899999142624</v>
      </c>
      <c r="G1158" s="450">
        <f t="shared" si="422"/>
        <v>164.10100000000722</v>
      </c>
      <c r="H1158" s="450">
        <f t="shared" si="422"/>
        <v>778.19999999143363</v>
      </c>
      <c r="I1158" s="450"/>
      <c r="J1158" s="450">
        <f t="shared" ref="J1158:L1158" si="423">SUM(J1148:J1156)</f>
        <v>689.6889999946161</v>
      </c>
      <c r="K1158" s="450">
        <f t="shared" si="423"/>
        <v>179.26100000065409</v>
      </c>
      <c r="L1158" s="450">
        <f t="shared" si="423"/>
        <v>868.94999999527033</v>
      </c>
      <c r="M1158" s="347"/>
      <c r="N1158" s="347"/>
    </row>
    <row r="1159" spans="1:14" x14ac:dyDescent="0.25">
      <c r="A1159" s="348"/>
      <c r="B1159" s="348"/>
      <c r="C1159" s="348"/>
      <c r="D1159" s="348"/>
      <c r="E1159" s="348"/>
      <c r="F1159" s="348"/>
      <c r="G1159" s="348"/>
      <c r="H1159" s="348"/>
      <c r="I1159" s="348"/>
      <c r="J1159" s="348"/>
      <c r="K1159" s="348"/>
      <c r="L1159" s="353"/>
      <c r="M1159" s="347"/>
      <c r="N1159" s="347"/>
    </row>
    <row r="1160" spans="1:14" x14ac:dyDescent="0.25">
      <c r="A1160" s="348"/>
      <c r="B1160" s="348"/>
      <c r="C1160" s="348"/>
      <c r="D1160" s="348"/>
      <c r="E1160" s="348"/>
      <c r="F1160" s="348"/>
      <c r="G1160" s="348"/>
      <c r="H1160" s="348"/>
      <c r="I1160" s="348"/>
      <c r="J1160" s="348"/>
      <c r="K1160" s="348"/>
      <c r="L1160" s="372" t="s">
        <v>35</v>
      </c>
      <c r="M1160" s="347"/>
      <c r="N1160" s="347"/>
    </row>
    <row r="1161" spans="1:14" x14ac:dyDescent="0.25">
      <c r="A1161" s="355"/>
      <c r="B1161" s="365"/>
      <c r="C1161" s="365"/>
      <c r="D1161" s="365"/>
      <c r="E1161" s="365"/>
      <c r="F1161" s="365"/>
      <c r="G1161" s="365"/>
      <c r="H1161" s="365"/>
      <c r="I1161" s="365"/>
      <c r="J1161" s="365"/>
      <c r="K1161" s="365"/>
      <c r="L1161" s="347"/>
      <c r="M1161" s="347"/>
      <c r="N1161" s="347"/>
    </row>
    <row r="1162" spans="1:14" x14ac:dyDescent="0.25">
      <c r="A1162" s="354" t="str">
        <f>name!A71</f>
        <v>Social work</v>
      </c>
      <c r="B1162" s="515">
        <f>B$6</f>
        <v>2007</v>
      </c>
      <c r="C1162" s="515"/>
      <c r="D1162" s="515"/>
      <c r="E1162" s="369"/>
      <c r="F1162" s="515">
        <f>F$6</f>
        <v>2017</v>
      </c>
      <c r="G1162" s="515"/>
      <c r="H1162" s="515"/>
      <c r="I1162" s="369"/>
      <c r="J1162" s="515">
        <f>J$6</f>
        <v>2027</v>
      </c>
      <c r="K1162" s="515"/>
      <c r="L1162" s="515"/>
      <c r="M1162" s="347"/>
      <c r="N1162" s="347"/>
    </row>
    <row r="1163" spans="1:14" x14ac:dyDescent="0.25">
      <c r="A1163" s="370"/>
      <c r="B1163" s="371" t="s">
        <v>387</v>
      </c>
      <c r="C1163" s="371" t="s">
        <v>388</v>
      </c>
      <c r="D1163" s="371" t="s">
        <v>32</v>
      </c>
      <c r="E1163" s="371"/>
      <c r="F1163" s="371" t="s">
        <v>387</v>
      </c>
      <c r="G1163" s="371" t="s">
        <v>388</v>
      </c>
      <c r="H1163" s="371" t="s">
        <v>32</v>
      </c>
      <c r="I1163" s="371"/>
      <c r="J1163" s="371" t="s">
        <v>387</v>
      </c>
      <c r="K1163" s="371" t="s">
        <v>388</v>
      </c>
      <c r="L1163" s="371" t="s">
        <v>32</v>
      </c>
      <c r="M1163" s="347"/>
      <c r="N1163" s="347"/>
    </row>
    <row r="1164" spans="1:14" s="286" customFormat="1" x14ac:dyDescent="0.25">
      <c r="A1164" s="374"/>
      <c r="B1164" s="375"/>
      <c r="C1164" s="375"/>
      <c r="D1164" s="375"/>
      <c r="E1164" s="375"/>
      <c r="F1164" s="375"/>
      <c r="G1164" s="375"/>
      <c r="H1164" s="375"/>
      <c r="I1164" s="375"/>
      <c r="J1164" s="375"/>
      <c r="K1164" s="375"/>
      <c r="L1164" s="375"/>
      <c r="M1164" s="347"/>
      <c r="N1164" s="347"/>
    </row>
    <row r="1165" spans="1:14" x14ac:dyDescent="0.25">
      <c r="A1165" s="362" t="str">
        <f>name!E$4</f>
        <v>Managers, directors and senior officials</v>
      </c>
      <c r="B1165" s="440">
        <v>19.558498192217861</v>
      </c>
      <c r="C1165" s="440">
        <v>9.1813579509701633</v>
      </c>
      <c r="D1165" s="440">
        <f>SUM(B1165:C1165)</f>
        <v>28.739856143188025</v>
      </c>
      <c r="E1165" s="441"/>
      <c r="F1165" s="440">
        <v>27.886505176304063</v>
      </c>
      <c r="G1165" s="440">
        <v>13.179445282612447</v>
      </c>
      <c r="H1165" s="440">
        <f>SUM(F1165:G1165)</f>
        <v>41.065950458916511</v>
      </c>
      <c r="I1165" s="441"/>
      <c r="J1165" s="440">
        <v>33.019643908720163</v>
      </c>
      <c r="K1165" s="440">
        <v>14.535888708073484</v>
      </c>
      <c r="L1165" s="440">
        <f>SUM(J1165:K1165)</f>
        <v>47.555532616793649</v>
      </c>
      <c r="M1165" s="347"/>
      <c r="N1165" s="347"/>
    </row>
    <row r="1166" spans="1:14" x14ac:dyDescent="0.25">
      <c r="A1166" s="362" t="str">
        <f>name!E$5</f>
        <v>Professional occupations</v>
      </c>
      <c r="B1166" s="440">
        <v>192.85769755200539</v>
      </c>
      <c r="C1166" s="440">
        <v>49.97892652986279</v>
      </c>
      <c r="D1166" s="440">
        <f t="shared" ref="D1166:D1173" si="424">SUM(B1166:C1166)</f>
        <v>242.83662408186819</v>
      </c>
      <c r="E1166" s="441"/>
      <c r="F1166" s="440">
        <v>248.55465769393237</v>
      </c>
      <c r="G1166" s="440">
        <v>68.868980419458069</v>
      </c>
      <c r="H1166" s="440">
        <f t="shared" ref="H1166:H1173" si="425">SUM(F1166:G1166)</f>
        <v>317.42363811339044</v>
      </c>
      <c r="I1166" s="441"/>
      <c r="J1166" s="440">
        <v>298.26850800864491</v>
      </c>
      <c r="K1166" s="440">
        <v>70.978190237225974</v>
      </c>
      <c r="L1166" s="440">
        <f t="shared" ref="L1166:L1173" si="426">SUM(J1166:K1166)</f>
        <v>369.2466982458709</v>
      </c>
      <c r="M1166" s="347"/>
      <c r="N1166" s="347"/>
    </row>
    <row r="1167" spans="1:14" x14ac:dyDescent="0.25">
      <c r="A1167" s="362" t="str">
        <f>name!E$6</f>
        <v>Associate professional and technical</v>
      </c>
      <c r="B1167" s="440">
        <v>73.875085726868562</v>
      </c>
      <c r="C1167" s="440">
        <v>23.86508789669023</v>
      </c>
      <c r="D1167" s="440">
        <f t="shared" si="424"/>
        <v>97.740173623558789</v>
      </c>
      <c r="E1167" s="441"/>
      <c r="F1167" s="440">
        <v>91.922705816227037</v>
      </c>
      <c r="G1167" s="440">
        <v>34.25249255630397</v>
      </c>
      <c r="H1167" s="440">
        <f t="shared" si="425"/>
        <v>126.17519837253101</v>
      </c>
      <c r="I1167" s="441"/>
      <c r="J1167" s="440">
        <v>109.06753965464657</v>
      </c>
      <c r="K1167" s="440">
        <v>36.248391670535284</v>
      </c>
      <c r="L1167" s="440">
        <f t="shared" si="426"/>
        <v>145.31593132518185</v>
      </c>
      <c r="M1167" s="347"/>
      <c r="N1167" s="347"/>
    </row>
    <row r="1168" spans="1:14" x14ac:dyDescent="0.25">
      <c r="A1168" s="362" t="str">
        <f>name!E$7</f>
        <v>Administrative and secretarial</v>
      </c>
      <c r="B1168" s="440">
        <v>92.726838933987111</v>
      </c>
      <c r="C1168" s="440">
        <v>8.3886089774696266</v>
      </c>
      <c r="D1168" s="440">
        <f t="shared" si="424"/>
        <v>101.11544791145674</v>
      </c>
      <c r="E1168" s="441"/>
      <c r="F1168" s="440">
        <v>78.398799822533462</v>
      </c>
      <c r="G1168" s="440">
        <v>12.181225411547731</v>
      </c>
      <c r="H1168" s="440">
        <f t="shared" si="425"/>
        <v>90.580025234081191</v>
      </c>
      <c r="I1168" s="441"/>
      <c r="J1168" s="440">
        <v>49.727608503032066</v>
      </c>
      <c r="K1168" s="440">
        <v>11.713379021726288</v>
      </c>
      <c r="L1168" s="440">
        <f t="shared" si="426"/>
        <v>61.440987524758356</v>
      </c>
      <c r="M1168" s="347"/>
      <c r="N1168" s="347"/>
    </row>
    <row r="1169" spans="1:14" x14ac:dyDescent="0.25">
      <c r="A1169" s="362" t="str">
        <f>name!E$8</f>
        <v>Skilled trades occupations</v>
      </c>
      <c r="B1169" s="440">
        <v>8.404397532247593</v>
      </c>
      <c r="C1169" s="440">
        <v>7.7583122973406775</v>
      </c>
      <c r="D1169" s="440">
        <f t="shared" si="424"/>
        <v>16.16270982958827</v>
      </c>
      <c r="E1169" s="441"/>
      <c r="F1169" s="440">
        <v>4.8460267722935422</v>
      </c>
      <c r="G1169" s="440">
        <v>5.7962541617297756</v>
      </c>
      <c r="H1169" s="440">
        <f t="shared" si="425"/>
        <v>10.642280934023319</v>
      </c>
      <c r="I1169" s="441"/>
      <c r="J1169" s="440">
        <v>3.0328683471512856</v>
      </c>
      <c r="K1169" s="440">
        <v>5.3516803911431996</v>
      </c>
      <c r="L1169" s="440">
        <f t="shared" si="426"/>
        <v>8.3845487382944857</v>
      </c>
      <c r="M1169" s="347"/>
      <c r="N1169" s="347"/>
    </row>
    <row r="1170" spans="1:14" x14ac:dyDescent="0.25">
      <c r="A1170" s="362" t="str">
        <f>name!E$9</f>
        <v>Caring, leisure and other service</v>
      </c>
      <c r="B1170" s="440">
        <v>253.27056599068186</v>
      </c>
      <c r="C1170" s="440">
        <v>36.32766554694313</v>
      </c>
      <c r="D1170" s="440">
        <f t="shared" si="424"/>
        <v>289.598231537625</v>
      </c>
      <c r="E1170" s="441"/>
      <c r="F1170" s="440">
        <v>324.58793874029715</v>
      </c>
      <c r="G1170" s="440">
        <v>51.547321116360628</v>
      </c>
      <c r="H1170" s="440">
        <f t="shared" si="425"/>
        <v>376.1352598566578</v>
      </c>
      <c r="I1170" s="441"/>
      <c r="J1170" s="440">
        <v>393.7525313857131</v>
      </c>
      <c r="K1170" s="440">
        <v>68.339493966139571</v>
      </c>
      <c r="L1170" s="440">
        <f t="shared" si="426"/>
        <v>462.09202535185267</v>
      </c>
      <c r="M1170" s="347"/>
      <c r="N1170" s="347"/>
    </row>
    <row r="1171" spans="1:14" x14ac:dyDescent="0.25">
      <c r="A1171" s="362" t="str">
        <f>name!E$10</f>
        <v>Sales and customer service</v>
      </c>
      <c r="B1171" s="440">
        <v>8.5535602455338982</v>
      </c>
      <c r="C1171" s="440">
        <v>2.0826362581837361</v>
      </c>
      <c r="D1171" s="440">
        <f t="shared" si="424"/>
        <v>10.636196503717635</v>
      </c>
      <c r="E1171" s="441"/>
      <c r="F1171" s="440">
        <v>10.856193752979097</v>
      </c>
      <c r="G1171" s="440">
        <v>2.6572751697944859</v>
      </c>
      <c r="H1171" s="440">
        <f t="shared" si="425"/>
        <v>13.513468922773583</v>
      </c>
      <c r="I1171" s="441"/>
      <c r="J1171" s="440">
        <v>11.465254629229616</v>
      </c>
      <c r="K1171" s="440">
        <v>2.5039503703448136</v>
      </c>
      <c r="L1171" s="440">
        <f t="shared" si="426"/>
        <v>13.96920499957443</v>
      </c>
      <c r="M1171" s="347"/>
      <c r="N1171" s="347"/>
    </row>
    <row r="1172" spans="1:14" x14ac:dyDescent="0.25">
      <c r="A1172" s="362" t="str">
        <f>name!E$11</f>
        <v>Process, plant and machine operatives</v>
      </c>
      <c r="B1172" s="440">
        <v>2.6488794581399162</v>
      </c>
      <c r="C1172" s="440">
        <v>5.0231100965363256</v>
      </c>
      <c r="D1172" s="440">
        <f t="shared" si="424"/>
        <v>7.6719895546762418</v>
      </c>
      <c r="E1172" s="441"/>
      <c r="F1172" s="440">
        <v>1.825301555175775</v>
      </c>
      <c r="G1172" s="440">
        <v>4.765849840658948</v>
      </c>
      <c r="H1172" s="440">
        <f t="shared" si="425"/>
        <v>6.5911513958347232</v>
      </c>
      <c r="I1172" s="441"/>
      <c r="J1172" s="440">
        <v>0.91102952926074798</v>
      </c>
      <c r="K1172" s="440">
        <v>4.6877287340693776</v>
      </c>
      <c r="L1172" s="440">
        <f t="shared" si="426"/>
        <v>5.5987582633301258</v>
      </c>
      <c r="M1172" s="347"/>
      <c r="N1172" s="347"/>
    </row>
    <row r="1173" spans="1:14" x14ac:dyDescent="0.25">
      <c r="A1173" s="362" t="str">
        <f>name!E$12</f>
        <v>Elementary occupations</v>
      </c>
      <c r="B1173" s="440">
        <v>44.329476361011537</v>
      </c>
      <c r="C1173" s="440">
        <v>11.415294446242415</v>
      </c>
      <c r="D1173" s="440">
        <f t="shared" si="424"/>
        <v>55.74477080725395</v>
      </c>
      <c r="E1173" s="441"/>
      <c r="F1173" s="440">
        <v>21.952870657759114</v>
      </c>
      <c r="G1173" s="440">
        <v>9.7711560412787986</v>
      </c>
      <c r="H1173" s="440">
        <f t="shared" si="425"/>
        <v>31.724026699037914</v>
      </c>
      <c r="I1173" s="441"/>
      <c r="J1173" s="440">
        <v>17.3030160256315</v>
      </c>
      <c r="K1173" s="440">
        <v>9.8802969012461528</v>
      </c>
      <c r="L1173" s="440">
        <f t="shared" si="426"/>
        <v>27.183312926877655</v>
      </c>
      <c r="M1173" s="347"/>
      <c r="N1173" s="347"/>
    </row>
    <row r="1174" spans="1:14" s="286" customFormat="1" x14ac:dyDescent="0.25">
      <c r="A1174" s="362"/>
      <c r="B1174" s="440"/>
      <c r="C1174" s="440"/>
      <c r="D1174" s="440"/>
      <c r="E1174" s="441"/>
      <c r="F1174" s="440"/>
      <c r="G1174" s="440"/>
      <c r="H1174" s="440"/>
      <c r="I1174" s="441"/>
      <c r="J1174" s="440"/>
      <c r="K1174" s="440"/>
      <c r="L1174" s="440"/>
      <c r="M1174" s="347"/>
      <c r="N1174" s="347"/>
    </row>
    <row r="1175" spans="1:14" x14ac:dyDescent="0.25">
      <c r="A1175" s="357" t="s">
        <v>32</v>
      </c>
      <c r="B1175" s="450">
        <f>SUM(B1165:B1173)</f>
        <v>696.2249999926936</v>
      </c>
      <c r="C1175" s="450">
        <f t="shared" ref="C1175:D1175" si="427">SUM(C1165:C1173)</f>
        <v>154.0210000002391</v>
      </c>
      <c r="D1175" s="450">
        <f t="shared" si="427"/>
        <v>850.24599999293287</v>
      </c>
      <c r="E1175" s="450"/>
      <c r="F1175" s="450">
        <f t="shared" ref="F1175:H1175" si="428">SUM(F1165:F1173)</f>
        <v>810.83099998750174</v>
      </c>
      <c r="G1175" s="450">
        <f t="shared" si="428"/>
        <v>203.01999999974481</v>
      </c>
      <c r="H1175" s="450">
        <f t="shared" si="428"/>
        <v>1013.8509999872464</v>
      </c>
      <c r="I1175" s="450"/>
      <c r="J1175" s="450">
        <f t="shared" ref="J1175:L1175" si="429">SUM(J1165:J1173)</f>
        <v>916.54799999202999</v>
      </c>
      <c r="K1175" s="450">
        <f t="shared" si="429"/>
        <v>224.23900000050412</v>
      </c>
      <c r="L1175" s="450">
        <f t="shared" si="429"/>
        <v>1140.7869999925342</v>
      </c>
      <c r="M1175" s="352"/>
      <c r="N1175" s="347"/>
    </row>
    <row r="1176" spans="1:14" x14ac:dyDescent="0.25">
      <c r="A1176" s="348"/>
      <c r="B1176" s="348"/>
      <c r="C1176" s="348"/>
      <c r="D1176" s="348"/>
      <c r="E1176" s="348"/>
      <c r="F1176" s="348"/>
      <c r="G1176" s="348"/>
      <c r="H1176" s="348"/>
      <c r="I1176" s="348"/>
      <c r="J1176" s="348"/>
      <c r="K1176" s="348"/>
      <c r="L1176" s="353"/>
      <c r="M1176" s="352"/>
      <c r="N1176" s="347"/>
    </row>
    <row r="1177" spans="1:14" x14ac:dyDescent="0.25">
      <c r="A1177" s="348"/>
      <c r="B1177" s="348"/>
      <c r="C1177" s="348"/>
      <c r="D1177" s="348"/>
      <c r="E1177" s="348"/>
      <c r="F1177" s="348"/>
      <c r="G1177" s="348"/>
      <c r="H1177" s="348"/>
      <c r="I1177" s="348"/>
      <c r="J1177" s="348"/>
      <c r="K1177" s="348"/>
      <c r="L1177" s="372" t="s">
        <v>35</v>
      </c>
      <c r="M1177" s="352"/>
      <c r="N1177" s="347"/>
    </row>
    <row r="1178" spans="1:14" x14ac:dyDescent="0.25">
      <c r="A1178" s="355"/>
      <c r="B1178" s="365"/>
      <c r="C1178" s="365"/>
      <c r="D1178" s="365"/>
      <c r="E1178" s="365"/>
      <c r="F1178" s="365"/>
      <c r="G1178" s="365"/>
      <c r="H1178" s="365"/>
      <c r="I1178" s="365"/>
      <c r="J1178" s="365"/>
      <c r="K1178" s="365"/>
      <c r="L1178" s="347"/>
      <c r="M1178" s="352"/>
      <c r="N1178" s="347"/>
    </row>
    <row r="1179" spans="1:14" x14ac:dyDescent="0.25">
      <c r="A1179" s="354" t="str">
        <f>name!A72</f>
        <v>Arts and entertainment</v>
      </c>
      <c r="B1179" s="515">
        <f>B$6</f>
        <v>2007</v>
      </c>
      <c r="C1179" s="515"/>
      <c r="D1179" s="515"/>
      <c r="E1179" s="369"/>
      <c r="F1179" s="515">
        <f>F$6</f>
        <v>2017</v>
      </c>
      <c r="G1179" s="515"/>
      <c r="H1179" s="515"/>
      <c r="I1179" s="369"/>
      <c r="J1179" s="515">
        <f>J$6</f>
        <v>2027</v>
      </c>
      <c r="K1179" s="515"/>
      <c r="L1179" s="515"/>
      <c r="M1179" s="352"/>
      <c r="N1179" s="347"/>
    </row>
    <row r="1180" spans="1:14" x14ac:dyDescent="0.25">
      <c r="A1180" s="370"/>
      <c r="B1180" s="371" t="s">
        <v>387</v>
      </c>
      <c r="C1180" s="371" t="s">
        <v>388</v>
      </c>
      <c r="D1180" s="371" t="s">
        <v>32</v>
      </c>
      <c r="E1180" s="371"/>
      <c r="F1180" s="371" t="s">
        <v>387</v>
      </c>
      <c r="G1180" s="371" t="s">
        <v>388</v>
      </c>
      <c r="H1180" s="371" t="s">
        <v>32</v>
      </c>
      <c r="I1180" s="371"/>
      <c r="J1180" s="371" t="s">
        <v>387</v>
      </c>
      <c r="K1180" s="371" t="s">
        <v>388</v>
      </c>
      <c r="L1180" s="371" t="s">
        <v>32</v>
      </c>
      <c r="M1180" s="352"/>
      <c r="N1180" s="347"/>
    </row>
    <row r="1181" spans="1:14" s="286" customFormat="1" x14ac:dyDescent="0.25">
      <c r="A1181" s="374"/>
      <c r="B1181" s="375"/>
      <c r="C1181" s="375"/>
      <c r="D1181" s="375"/>
      <c r="E1181" s="375"/>
      <c r="F1181" s="375"/>
      <c r="G1181" s="375"/>
      <c r="H1181" s="375"/>
      <c r="I1181" s="375"/>
      <c r="J1181" s="375"/>
      <c r="K1181" s="375"/>
      <c r="L1181" s="375"/>
      <c r="M1181" s="352"/>
      <c r="N1181" s="347"/>
    </row>
    <row r="1182" spans="1:14" x14ac:dyDescent="0.25">
      <c r="A1182" s="362" t="str">
        <f>name!E$4</f>
        <v>Managers, directors and senior officials</v>
      </c>
      <c r="B1182" s="440">
        <v>5.1948438864236097</v>
      </c>
      <c r="C1182" s="440">
        <v>7.8772312447352455</v>
      </c>
      <c r="D1182" s="440">
        <f>SUM(B1182:C1182)</f>
        <v>13.072075131158854</v>
      </c>
      <c r="E1182" s="441"/>
      <c r="F1182" s="440">
        <v>7.1004909061428227</v>
      </c>
      <c r="G1182" s="440">
        <v>8.1401910958743002</v>
      </c>
      <c r="H1182" s="440">
        <f>SUM(F1182:G1182)</f>
        <v>15.240682002017124</v>
      </c>
      <c r="I1182" s="441"/>
      <c r="J1182" s="440">
        <v>9.1695922409036381</v>
      </c>
      <c r="K1182" s="440">
        <v>9.3593752879963255</v>
      </c>
      <c r="L1182" s="440">
        <f>SUM(J1182:K1182)</f>
        <v>18.528967528899962</v>
      </c>
      <c r="M1182" s="352"/>
      <c r="N1182" s="347"/>
    </row>
    <row r="1183" spans="1:14" x14ac:dyDescent="0.25">
      <c r="A1183" s="362" t="str">
        <f>name!E$5</f>
        <v>Professional occupations</v>
      </c>
      <c r="B1183" s="440">
        <v>9.9925974821688612</v>
      </c>
      <c r="C1183" s="440">
        <v>10.190779166958771</v>
      </c>
      <c r="D1183" s="440">
        <f t="shared" ref="D1183:D1190" si="430">SUM(B1183:C1183)</f>
        <v>20.183376649127631</v>
      </c>
      <c r="E1183" s="441"/>
      <c r="F1183" s="440">
        <v>10.628030708760299</v>
      </c>
      <c r="G1183" s="440">
        <v>10.244113030596159</v>
      </c>
      <c r="H1183" s="440">
        <f t="shared" ref="H1183:H1190" si="431">SUM(F1183:G1183)</f>
        <v>20.87214373935646</v>
      </c>
      <c r="I1183" s="441"/>
      <c r="J1183" s="440">
        <v>13.686083399832235</v>
      </c>
      <c r="K1183" s="440">
        <v>12.007162342554565</v>
      </c>
      <c r="L1183" s="440">
        <f t="shared" ref="L1183:L1190" si="432">SUM(J1183:K1183)</f>
        <v>25.6932457423868</v>
      </c>
      <c r="M1183" s="352"/>
      <c r="N1183" s="347"/>
    </row>
    <row r="1184" spans="1:14" x14ac:dyDescent="0.25">
      <c r="A1184" s="362" t="str">
        <f>name!E$6</f>
        <v>Associate professional and technical</v>
      </c>
      <c r="B1184" s="440">
        <v>22.664957741635725</v>
      </c>
      <c r="C1184" s="440">
        <v>36.298127261357976</v>
      </c>
      <c r="D1184" s="440">
        <f t="shared" si="430"/>
        <v>58.963085002993701</v>
      </c>
      <c r="E1184" s="441"/>
      <c r="F1184" s="440">
        <v>25.391498596218138</v>
      </c>
      <c r="G1184" s="440">
        <v>37.209598959622802</v>
      </c>
      <c r="H1184" s="440">
        <f t="shared" si="431"/>
        <v>62.601097555840937</v>
      </c>
      <c r="I1184" s="441"/>
      <c r="J1184" s="440">
        <v>29.192051635854209</v>
      </c>
      <c r="K1184" s="440">
        <v>42.55569569441893</v>
      </c>
      <c r="L1184" s="440">
        <f t="shared" si="432"/>
        <v>71.747747330273143</v>
      </c>
      <c r="M1184" s="352"/>
      <c r="N1184" s="347"/>
    </row>
    <row r="1185" spans="1:14" x14ac:dyDescent="0.25">
      <c r="A1185" s="362" t="str">
        <f>name!E$7</f>
        <v>Administrative and secretarial</v>
      </c>
      <c r="B1185" s="440">
        <v>11.712575526433922</v>
      </c>
      <c r="C1185" s="440">
        <v>2.3879599235339874</v>
      </c>
      <c r="D1185" s="440">
        <f t="shared" si="430"/>
        <v>14.100535449967909</v>
      </c>
      <c r="E1185" s="441"/>
      <c r="F1185" s="440">
        <v>10.64840243416015</v>
      </c>
      <c r="G1185" s="440">
        <v>2.5160375097609022</v>
      </c>
      <c r="H1185" s="440">
        <f t="shared" si="431"/>
        <v>13.164439943921053</v>
      </c>
      <c r="I1185" s="441"/>
      <c r="J1185" s="440">
        <v>9.0790489154374594</v>
      </c>
      <c r="K1185" s="440">
        <v>2.8246359493137092</v>
      </c>
      <c r="L1185" s="440">
        <f t="shared" si="432"/>
        <v>11.903684864751169</v>
      </c>
      <c r="M1185" s="352"/>
      <c r="N1185" s="347"/>
    </row>
    <row r="1186" spans="1:14" x14ac:dyDescent="0.25">
      <c r="A1186" s="362" t="str">
        <f>name!E$8</f>
        <v>Skilled trades occupations</v>
      </c>
      <c r="B1186" s="440">
        <v>1.8190195719241375</v>
      </c>
      <c r="C1186" s="440">
        <v>8.0393205473945279</v>
      </c>
      <c r="D1186" s="440">
        <f t="shared" si="430"/>
        <v>9.8583401193186653</v>
      </c>
      <c r="E1186" s="441"/>
      <c r="F1186" s="440">
        <v>2.3711267173178436</v>
      </c>
      <c r="G1186" s="440">
        <v>7.8838664695414638</v>
      </c>
      <c r="H1186" s="440">
        <f t="shared" si="431"/>
        <v>10.254993186859307</v>
      </c>
      <c r="I1186" s="441"/>
      <c r="J1186" s="440">
        <v>2.6343072676384764</v>
      </c>
      <c r="K1186" s="440">
        <v>8.4480188507150071</v>
      </c>
      <c r="L1186" s="440">
        <f t="shared" si="432"/>
        <v>11.082326118353484</v>
      </c>
      <c r="M1186" s="352"/>
      <c r="N1186" s="347"/>
    </row>
    <row r="1187" spans="1:14" x14ac:dyDescent="0.25">
      <c r="A1187" s="362" t="str">
        <f>name!E$9</f>
        <v>Caring, leisure and other service</v>
      </c>
      <c r="B1187" s="440">
        <v>4.5735384838982158</v>
      </c>
      <c r="C1187" s="440">
        <v>4.5988512130521677</v>
      </c>
      <c r="D1187" s="440">
        <f t="shared" si="430"/>
        <v>9.1723896969503826</v>
      </c>
      <c r="E1187" s="441"/>
      <c r="F1187" s="440">
        <v>4.8090269817046538</v>
      </c>
      <c r="G1187" s="440">
        <v>3.8694138846755037</v>
      </c>
      <c r="H1187" s="440">
        <f t="shared" si="431"/>
        <v>8.6784408663801571</v>
      </c>
      <c r="I1187" s="441"/>
      <c r="J1187" s="440">
        <v>5.4525418605554954</v>
      </c>
      <c r="K1187" s="440">
        <v>4.5263363328447648</v>
      </c>
      <c r="L1187" s="440">
        <f t="shared" si="432"/>
        <v>9.9788781934002593</v>
      </c>
      <c r="M1187" s="352"/>
      <c r="N1187" s="347"/>
    </row>
    <row r="1188" spans="1:14" x14ac:dyDescent="0.25">
      <c r="A1188" s="362" t="str">
        <f>name!E$10</f>
        <v>Sales and customer service</v>
      </c>
      <c r="B1188" s="440">
        <v>2.7312349540473932</v>
      </c>
      <c r="C1188" s="440">
        <v>1.6082891097447967</v>
      </c>
      <c r="D1188" s="440">
        <f t="shared" si="430"/>
        <v>4.3395240637921901</v>
      </c>
      <c r="E1188" s="441"/>
      <c r="F1188" s="440">
        <v>3.0692475185860695</v>
      </c>
      <c r="G1188" s="440">
        <v>2.1802631228364384</v>
      </c>
      <c r="H1188" s="440">
        <f t="shared" si="431"/>
        <v>5.2495106414225079</v>
      </c>
      <c r="I1188" s="441"/>
      <c r="J1188" s="440">
        <v>3.1901002055263743</v>
      </c>
      <c r="K1188" s="440">
        <v>2.3092346457323436</v>
      </c>
      <c r="L1188" s="440">
        <f t="shared" si="432"/>
        <v>5.4993348512587179</v>
      </c>
      <c r="M1188" s="352"/>
      <c r="N1188" s="347"/>
    </row>
    <row r="1189" spans="1:14" x14ac:dyDescent="0.25">
      <c r="A1189" s="362" t="str">
        <f>name!E$11</f>
        <v>Process, plant and machine operatives</v>
      </c>
      <c r="B1189" s="440">
        <v>0.13406273430465257</v>
      </c>
      <c r="C1189" s="440">
        <v>1.0210776967346835</v>
      </c>
      <c r="D1189" s="440">
        <f t="shared" si="430"/>
        <v>1.1551404310393361</v>
      </c>
      <c r="E1189" s="441"/>
      <c r="F1189" s="440">
        <v>0.12485840395534627</v>
      </c>
      <c r="G1189" s="440">
        <v>0.84421531176871456</v>
      </c>
      <c r="H1189" s="440">
        <f t="shared" si="431"/>
        <v>0.96907371572406087</v>
      </c>
      <c r="I1189" s="441"/>
      <c r="J1189" s="440">
        <v>0.13098497005608051</v>
      </c>
      <c r="K1189" s="440">
        <v>0.86775641818656291</v>
      </c>
      <c r="L1189" s="440">
        <f t="shared" si="432"/>
        <v>0.99874138824264347</v>
      </c>
      <c r="M1189" s="352"/>
      <c r="N1189" s="347"/>
    </row>
    <row r="1190" spans="1:14" x14ac:dyDescent="0.25">
      <c r="A1190" s="362" t="str">
        <f>name!E$12</f>
        <v>Elementary occupations</v>
      </c>
      <c r="B1190" s="440">
        <v>6.932169619319259</v>
      </c>
      <c r="C1190" s="440">
        <v>4.7103638357990931</v>
      </c>
      <c r="D1190" s="440">
        <f t="shared" si="430"/>
        <v>11.642533455118352</v>
      </c>
      <c r="E1190" s="441"/>
      <c r="F1190" s="440">
        <v>5.2753177331066254</v>
      </c>
      <c r="G1190" s="440">
        <v>4.0633006143283694</v>
      </c>
      <c r="H1190" s="440">
        <f t="shared" si="431"/>
        <v>9.3386183474349949</v>
      </c>
      <c r="I1190" s="441"/>
      <c r="J1190" s="440">
        <v>4.9832895046001333</v>
      </c>
      <c r="K1190" s="440">
        <v>4.6117844764492917</v>
      </c>
      <c r="L1190" s="440">
        <f t="shared" si="432"/>
        <v>9.5950739810494241</v>
      </c>
      <c r="M1190" s="352"/>
      <c r="N1190" s="347"/>
    </row>
    <row r="1191" spans="1:14" s="286" customFormat="1" x14ac:dyDescent="0.25">
      <c r="A1191" s="362"/>
      <c r="B1191" s="440"/>
      <c r="C1191" s="440"/>
      <c r="D1191" s="440"/>
      <c r="E1191" s="441"/>
      <c r="F1191" s="440"/>
      <c r="G1191" s="440"/>
      <c r="H1191" s="440"/>
      <c r="I1191" s="441"/>
      <c r="J1191" s="440"/>
      <c r="K1191" s="440"/>
      <c r="L1191" s="440"/>
      <c r="M1191" s="352"/>
      <c r="N1191" s="347"/>
    </row>
    <row r="1192" spans="1:14" x14ac:dyDescent="0.25">
      <c r="A1192" s="357" t="s">
        <v>32</v>
      </c>
      <c r="B1192" s="450">
        <f>SUM(B1182:B1190)</f>
        <v>65.755000000155775</v>
      </c>
      <c r="C1192" s="450">
        <f t="shared" ref="C1192:D1192" si="433">SUM(C1182:C1190)</f>
        <v>76.731999999311256</v>
      </c>
      <c r="D1192" s="450">
        <f t="shared" si="433"/>
        <v>142.48699999946703</v>
      </c>
      <c r="E1192" s="450"/>
      <c r="F1192" s="450">
        <f t="shared" ref="F1192:H1192" si="434">SUM(F1182:F1190)</f>
        <v>69.417999999951945</v>
      </c>
      <c r="G1192" s="450">
        <f t="shared" si="434"/>
        <v>76.950999999004665</v>
      </c>
      <c r="H1192" s="450">
        <f t="shared" si="434"/>
        <v>146.36899999895658</v>
      </c>
      <c r="I1192" s="450"/>
      <c r="J1192" s="450">
        <f t="shared" ref="J1192:L1192" si="435">SUM(J1182:J1190)</f>
        <v>77.518000000404101</v>
      </c>
      <c r="K1192" s="450">
        <f t="shared" si="435"/>
        <v>87.509999998211498</v>
      </c>
      <c r="L1192" s="450">
        <f t="shared" si="435"/>
        <v>165.0279999986156</v>
      </c>
      <c r="M1192" s="352"/>
      <c r="N1192" s="347"/>
    </row>
    <row r="1193" spans="1:14" x14ac:dyDescent="0.25">
      <c r="A1193" s="348"/>
      <c r="B1193" s="348"/>
      <c r="C1193" s="348"/>
      <c r="D1193" s="348"/>
      <c r="E1193" s="348"/>
      <c r="F1193" s="348"/>
      <c r="G1193" s="348"/>
      <c r="H1193" s="348"/>
      <c r="I1193" s="348"/>
      <c r="J1193" s="348"/>
      <c r="K1193" s="348"/>
      <c r="L1193" s="353"/>
      <c r="M1193" s="352"/>
      <c r="N1193" s="347"/>
    </row>
    <row r="1194" spans="1:14" x14ac:dyDescent="0.25">
      <c r="A1194" s="348"/>
      <c r="B1194" s="348"/>
      <c r="C1194" s="348"/>
      <c r="D1194" s="348"/>
      <c r="E1194" s="348"/>
      <c r="F1194" s="348"/>
      <c r="G1194" s="348"/>
      <c r="H1194" s="348"/>
      <c r="I1194" s="348"/>
      <c r="J1194" s="348"/>
      <c r="K1194" s="348"/>
      <c r="L1194" s="372" t="s">
        <v>35</v>
      </c>
      <c r="M1194" s="352"/>
      <c r="N1194" s="347"/>
    </row>
    <row r="1195" spans="1:14" x14ac:dyDescent="0.25">
      <c r="A1195" s="355"/>
      <c r="B1195" s="365"/>
      <c r="C1195" s="365"/>
      <c r="D1195" s="365"/>
      <c r="E1195" s="365"/>
      <c r="F1195" s="365"/>
      <c r="G1195" s="365"/>
      <c r="H1195" s="365"/>
      <c r="I1195" s="365"/>
      <c r="J1195" s="365"/>
      <c r="K1195" s="365"/>
      <c r="L1195" s="347"/>
      <c r="M1195" s="352"/>
      <c r="N1195" s="347"/>
    </row>
    <row r="1196" spans="1:14" x14ac:dyDescent="0.25">
      <c r="A1196" s="354" t="str">
        <f>name!A73</f>
        <v>Libraries, etc</v>
      </c>
      <c r="B1196" s="515">
        <f>B$6</f>
        <v>2007</v>
      </c>
      <c r="C1196" s="515"/>
      <c r="D1196" s="515"/>
      <c r="E1196" s="369"/>
      <c r="F1196" s="515">
        <f>F$6</f>
        <v>2017</v>
      </c>
      <c r="G1196" s="515"/>
      <c r="H1196" s="515"/>
      <c r="I1196" s="369"/>
      <c r="J1196" s="515">
        <f>J$6</f>
        <v>2027</v>
      </c>
      <c r="K1196" s="515"/>
      <c r="L1196" s="515"/>
      <c r="M1196" s="352"/>
      <c r="N1196" s="347"/>
    </row>
    <row r="1197" spans="1:14" x14ac:dyDescent="0.25">
      <c r="A1197" s="370"/>
      <c r="B1197" s="371" t="s">
        <v>387</v>
      </c>
      <c r="C1197" s="371" t="s">
        <v>388</v>
      </c>
      <c r="D1197" s="371" t="s">
        <v>32</v>
      </c>
      <c r="E1197" s="371"/>
      <c r="F1197" s="371" t="s">
        <v>387</v>
      </c>
      <c r="G1197" s="371" t="s">
        <v>388</v>
      </c>
      <c r="H1197" s="371" t="s">
        <v>32</v>
      </c>
      <c r="I1197" s="371"/>
      <c r="J1197" s="371" t="s">
        <v>387</v>
      </c>
      <c r="K1197" s="371" t="s">
        <v>388</v>
      </c>
      <c r="L1197" s="371" t="s">
        <v>32</v>
      </c>
      <c r="M1197" s="352"/>
      <c r="N1197" s="347"/>
    </row>
    <row r="1198" spans="1:14" s="286" customFormat="1" x14ac:dyDescent="0.25">
      <c r="A1198" s="374"/>
      <c r="B1198" s="375"/>
      <c r="C1198" s="375"/>
      <c r="D1198" s="375"/>
      <c r="E1198" s="375"/>
      <c r="F1198" s="375"/>
      <c r="G1198" s="375"/>
      <c r="H1198" s="375"/>
      <c r="I1198" s="375"/>
      <c r="J1198" s="375"/>
      <c r="K1198" s="375"/>
      <c r="L1198" s="375"/>
      <c r="M1198" s="352"/>
      <c r="N1198" s="347"/>
    </row>
    <row r="1199" spans="1:14" x14ac:dyDescent="0.25">
      <c r="A1199" s="362" t="str">
        <f>name!E$4</f>
        <v>Managers, directors and senior officials</v>
      </c>
      <c r="B1199" s="440">
        <v>7.2011706907114208</v>
      </c>
      <c r="C1199" s="440">
        <v>8.2751319318433634</v>
      </c>
      <c r="D1199" s="440">
        <f>SUM(B1199:C1199)</f>
        <v>15.476302622554783</v>
      </c>
      <c r="E1199" s="441"/>
      <c r="F1199" s="440">
        <v>11.108335324585553</v>
      </c>
      <c r="G1199" s="440">
        <v>8.8047154801392633</v>
      </c>
      <c r="H1199" s="440">
        <f>SUM(F1199:G1199)</f>
        <v>19.913050804724818</v>
      </c>
      <c r="I1199" s="441"/>
      <c r="J1199" s="440">
        <v>14.882728848167201</v>
      </c>
      <c r="K1199" s="440">
        <v>10.480786738358999</v>
      </c>
      <c r="L1199" s="440">
        <f>SUM(J1199:K1199)</f>
        <v>25.363515586526198</v>
      </c>
      <c r="M1199" s="352"/>
      <c r="N1199" s="347"/>
    </row>
    <row r="1200" spans="1:14" x14ac:dyDescent="0.25">
      <c r="A1200" s="362" t="str">
        <f>name!E$5</f>
        <v>Professional occupations</v>
      </c>
      <c r="B1200" s="440">
        <v>12.272300866038968</v>
      </c>
      <c r="C1200" s="440">
        <v>10.249516862296627</v>
      </c>
      <c r="D1200" s="440">
        <f t="shared" ref="D1200:D1207" si="436">SUM(B1200:C1200)</f>
        <v>22.521817728335595</v>
      </c>
      <c r="E1200" s="441"/>
      <c r="F1200" s="440">
        <v>13.317483338148866</v>
      </c>
      <c r="G1200" s="440">
        <v>10.364431462599484</v>
      </c>
      <c r="H1200" s="440">
        <f t="shared" ref="H1200:H1207" si="437">SUM(F1200:G1200)</f>
        <v>23.681914800748352</v>
      </c>
      <c r="I1200" s="441"/>
      <c r="J1200" s="440">
        <v>17.855911271735373</v>
      </c>
      <c r="K1200" s="440">
        <v>12.444140727448103</v>
      </c>
      <c r="L1200" s="440">
        <f t="shared" ref="L1200:L1207" si="438">SUM(J1200:K1200)</f>
        <v>30.300051999183474</v>
      </c>
      <c r="M1200" s="352"/>
      <c r="N1200" s="347"/>
    </row>
    <row r="1201" spans="1:14" x14ac:dyDescent="0.25">
      <c r="A1201" s="362" t="str">
        <f>name!E$6</f>
        <v>Associate professional and technical</v>
      </c>
      <c r="B1201" s="440">
        <v>32.608996415563325</v>
      </c>
      <c r="C1201" s="440">
        <v>35.034124164973022</v>
      </c>
      <c r="D1201" s="440">
        <f t="shared" si="436"/>
        <v>67.643120580536348</v>
      </c>
      <c r="E1201" s="441"/>
      <c r="F1201" s="440">
        <v>36.525368403538003</v>
      </c>
      <c r="G1201" s="440">
        <v>35.736550857291739</v>
      </c>
      <c r="H1201" s="440">
        <f t="shared" si="437"/>
        <v>72.261919260829742</v>
      </c>
      <c r="I1201" s="441"/>
      <c r="J1201" s="440">
        <v>43.199428515779253</v>
      </c>
      <c r="K1201" s="440">
        <v>41.538931833817905</v>
      </c>
      <c r="L1201" s="440">
        <f t="shared" si="438"/>
        <v>84.738360349597158</v>
      </c>
      <c r="M1201" s="352"/>
      <c r="N1201" s="347"/>
    </row>
    <row r="1202" spans="1:14" x14ac:dyDescent="0.25">
      <c r="A1202" s="362" t="str">
        <f>name!E$7</f>
        <v>Administrative and secretarial</v>
      </c>
      <c r="B1202" s="440">
        <v>18.725043991030699</v>
      </c>
      <c r="C1202" s="440">
        <v>4.125628070209209</v>
      </c>
      <c r="D1202" s="440">
        <f t="shared" si="436"/>
        <v>22.850672061239909</v>
      </c>
      <c r="E1202" s="441"/>
      <c r="F1202" s="440">
        <v>16.943287034672245</v>
      </c>
      <c r="G1202" s="440">
        <v>3.5589074960778331</v>
      </c>
      <c r="H1202" s="440">
        <f t="shared" si="437"/>
        <v>20.502194530750078</v>
      </c>
      <c r="I1202" s="441"/>
      <c r="J1202" s="440">
        <v>14.693619276778094</v>
      </c>
      <c r="K1202" s="440">
        <v>4.2004214004058698</v>
      </c>
      <c r="L1202" s="440">
        <f t="shared" si="438"/>
        <v>18.894040677183963</v>
      </c>
      <c r="M1202" s="352"/>
      <c r="N1202" s="347"/>
    </row>
    <row r="1203" spans="1:14" x14ac:dyDescent="0.25">
      <c r="A1203" s="362" t="str">
        <f>name!E$8</f>
        <v>Skilled trades occupations</v>
      </c>
      <c r="B1203" s="440">
        <v>3.1258960274513568</v>
      </c>
      <c r="C1203" s="440">
        <v>10.44928341425498</v>
      </c>
      <c r="D1203" s="440">
        <f t="shared" si="436"/>
        <v>13.575179441706336</v>
      </c>
      <c r="E1203" s="441"/>
      <c r="F1203" s="440">
        <v>4.1077252961840331</v>
      </c>
      <c r="G1203" s="440">
        <v>10.30601083291184</v>
      </c>
      <c r="H1203" s="440">
        <f t="shared" si="437"/>
        <v>14.413736129095874</v>
      </c>
      <c r="I1203" s="441"/>
      <c r="J1203" s="440">
        <v>4.7567957959421276</v>
      </c>
      <c r="K1203" s="440">
        <v>11.467265427635022</v>
      </c>
      <c r="L1203" s="440">
        <f t="shared" si="438"/>
        <v>16.224061223577149</v>
      </c>
      <c r="M1203" s="352"/>
      <c r="N1203" s="347"/>
    </row>
    <row r="1204" spans="1:14" x14ac:dyDescent="0.25">
      <c r="A1204" s="362" t="str">
        <f>name!E$9</f>
        <v>Caring, leisure and other service</v>
      </c>
      <c r="B1204" s="440">
        <v>7.4576748391653416</v>
      </c>
      <c r="C1204" s="440">
        <v>6.7511502031436077</v>
      </c>
      <c r="D1204" s="440">
        <f t="shared" si="436"/>
        <v>14.208825042308948</v>
      </c>
      <c r="E1204" s="441"/>
      <c r="F1204" s="440">
        <v>8.013171266031021</v>
      </c>
      <c r="G1204" s="440">
        <v>5.280647778466939</v>
      </c>
      <c r="H1204" s="440">
        <f t="shared" si="437"/>
        <v>13.29381904449796</v>
      </c>
      <c r="I1204" s="441"/>
      <c r="J1204" s="440">
        <v>9.3102253783094646</v>
      </c>
      <c r="K1204" s="440">
        <v>6.3998626714398377</v>
      </c>
      <c r="L1204" s="440">
        <f t="shared" si="438"/>
        <v>15.710088049749302</v>
      </c>
      <c r="M1204" s="352"/>
      <c r="N1204" s="347"/>
    </row>
    <row r="1205" spans="1:14" x14ac:dyDescent="0.25">
      <c r="A1205" s="362" t="str">
        <f>name!E$10</f>
        <v>Sales and customer service</v>
      </c>
      <c r="B1205" s="440">
        <v>4.6586048956138111</v>
      </c>
      <c r="C1205" s="440">
        <v>2.5090063902937518</v>
      </c>
      <c r="D1205" s="440">
        <f t="shared" si="436"/>
        <v>7.1676112859075634</v>
      </c>
      <c r="E1205" s="441"/>
      <c r="F1205" s="440">
        <v>4.5397105500293788</v>
      </c>
      <c r="G1205" s="440">
        <v>3.0881123096766228</v>
      </c>
      <c r="H1205" s="440">
        <f t="shared" si="437"/>
        <v>7.6278228597060016</v>
      </c>
      <c r="I1205" s="441"/>
      <c r="J1205" s="440">
        <v>4.8281905963053058</v>
      </c>
      <c r="K1205" s="440">
        <v>3.3931482104454318</v>
      </c>
      <c r="L1205" s="440">
        <f t="shared" si="438"/>
        <v>8.2213388067507367</v>
      </c>
      <c r="M1205" s="352"/>
      <c r="N1205" s="347"/>
    </row>
    <row r="1206" spans="1:14" x14ac:dyDescent="0.25">
      <c r="A1206" s="362" t="str">
        <f>name!E$11</f>
        <v>Process, plant and machine operatives</v>
      </c>
      <c r="B1206" s="440">
        <v>0.19661547256564996</v>
      </c>
      <c r="C1206" s="440">
        <v>1.5260112129765884</v>
      </c>
      <c r="D1206" s="440">
        <f t="shared" si="436"/>
        <v>1.7226266855422383</v>
      </c>
      <c r="E1206" s="441"/>
      <c r="F1206" s="440">
        <v>0.21431757852316155</v>
      </c>
      <c r="G1206" s="440">
        <v>1.3636233915912226</v>
      </c>
      <c r="H1206" s="440">
        <f t="shared" si="437"/>
        <v>1.5779409701143841</v>
      </c>
      <c r="I1206" s="441"/>
      <c r="J1206" s="440">
        <v>0.23390520814943455</v>
      </c>
      <c r="K1206" s="440">
        <v>1.4640295733494104</v>
      </c>
      <c r="L1206" s="440">
        <f t="shared" si="438"/>
        <v>1.697934781498845</v>
      </c>
      <c r="M1206" s="352"/>
      <c r="N1206" s="347"/>
    </row>
    <row r="1207" spans="1:14" ht="13.5" customHeight="1" x14ac:dyDescent="0.25">
      <c r="A1207" s="362" t="str">
        <f>name!E$12</f>
        <v>Elementary occupations</v>
      </c>
      <c r="B1207" s="440">
        <v>13.139696802285984</v>
      </c>
      <c r="C1207" s="440">
        <v>7.2771477492042091</v>
      </c>
      <c r="D1207" s="440">
        <f t="shared" si="436"/>
        <v>20.416844551490193</v>
      </c>
      <c r="E1207" s="441"/>
      <c r="F1207" s="440">
        <v>9.9336012084480103</v>
      </c>
      <c r="G1207" s="440">
        <v>6.4290003902114439</v>
      </c>
      <c r="H1207" s="440">
        <f t="shared" si="437"/>
        <v>16.362601598659452</v>
      </c>
      <c r="I1207" s="441"/>
      <c r="J1207" s="440">
        <v>9.6031951096579249</v>
      </c>
      <c r="K1207" s="440">
        <v>7.6394134153492903</v>
      </c>
      <c r="L1207" s="440">
        <f t="shared" si="438"/>
        <v>17.242608525007213</v>
      </c>
      <c r="M1207" s="352"/>
      <c r="N1207" s="347"/>
    </row>
    <row r="1208" spans="1:14" s="286" customFormat="1" ht="13.5" customHeight="1" x14ac:dyDescent="0.25">
      <c r="A1208" s="362"/>
      <c r="B1208" s="440"/>
      <c r="C1208" s="440"/>
      <c r="D1208" s="440"/>
      <c r="E1208" s="441"/>
      <c r="F1208" s="440"/>
      <c r="G1208" s="440"/>
      <c r="H1208" s="440"/>
      <c r="I1208" s="441"/>
      <c r="J1208" s="440"/>
      <c r="K1208" s="440"/>
      <c r="L1208" s="440"/>
      <c r="M1208" s="352"/>
      <c r="N1208" s="347"/>
    </row>
    <row r="1209" spans="1:14" x14ac:dyDescent="0.25">
      <c r="A1209" s="357" t="s">
        <v>32</v>
      </c>
      <c r="B1209" s="450">
        <f>SUM(B1199:B1207)</f>
        <v>99.386000000426549</v>
      </c>
      <c r="C1209" s="450">
        <f t="shared" ref="C1209:D1209" si="439">SUM(C1199:C1207)</f>
        <v>86.196999999195356</v>
      </c>
      <c r="D1209" s="450">
        <f t="shared" si="439"/>
        <v>185.5829999996219</v>
      </c>
      <c r="E1209" s="450"/>
      <c r="F1209" s="450">
        <f t="shared" ref="F1209:H1209" si="440">SUM(F1199:F1207)</f>
        <v>104.70300000016029</v>
      </c>
      <c r="G1209" s="450">
        <f t="shared" si="440"/>
        <v>84.93199999896639</v>
      </c>
      <c r="H1209" s="450">
        <f t="shared" si="440"/>
        <v>189.63499999912665</v>
      </c>
      <c r="I1209" s="450"/>
      <c r="J1209" s="450">
        <f t="shared" ref="J1209:L1209" si="441">SUM(J1199:J1207)</f>
        <v>119.36400000082418</v>
      </c>
      <c r="K1209" s="450">
        <f t="shared" si="441"/>
        <v>99.027999998249868</v>
      </c>
      <c r="L1209" s="450">
        <f t="shared" si="441"/>
        <v>218.39199999907407</v>
      </c>
      <c r="M1209" s="352"/>
      <c r="N1209" s="347"/>
    </row>
    <row r="1210" spans="1:14" x14ac:dyDescent="0.25">
      <c r="A1210" s="348"/>
      <c r="B1210" s="348"/>
      <c r="C1210" s="348"/>
      <c r="D1210" s="348"/>
      <c r="E1210" s="348"/>
      <c r="F1210" s="348"/>
      <c r="G1210" s="348"/>
      <c r="H1210" s="348"/>
      <c r="I1210" s="348"/>
      <c r="J1210" s="348"/>
      <c r="K1210" s="348"/>
      <c r="L1210" s="353"/>
      <c r="M1210" s="352"/>
      <c r="N1210" s="347"/>
    </row>
    <row r="1211" spans="1:14" x14ac:dyDescent="0.25">
      <c r="A1211" s="348"/>
      <c r="B1211" s="348"/>
      <c r="C1211" s="348"/>
      <c r="D1211" s="348"/>
      <c r="E1211" s="348"/>
      <c r="F1211" s="348"/>
      <c r="G1211" s="348"/>
      <c r="H1211" s="348"/>
      <c r="I1211" s="348"/>
      <c r="J1211" s="348"/>
      <c r="K1211" s="348"/>
      <c r="L1211" s="372" t="s">
        <v>35</v>
      </c>
      <c r="M1211" s="352"/>
      <c r="N1211" s="347"/>
    </row>
    <row r="1212" spans="1:14" x14ac:dyDescent="0.25">
      <c r="A1212" s="355"/>
      <c r="B1212" s="365"/>
      <c r="C1212" s="365"/>
      <c r="D1212" s="365"/>
      <c r="E1212" s="365"/>
      <c r="F1212" s="365"/>
      <c r="G1212" s="365"/>
      <c r="H1212" s="365"/>
      <c r="I1212" s="365"/>
      <c r="J1212" s="365"/>
      <c r="K1212" s="365"/>
      <c r="L1212" s="347"/>
      <c r="M1212" s="352"/>
      <c r="N1212" s="347"/>
    </row>
    <row r="1213" spans="1:14" x14ac:dyDescent="0.25">
      <c r="A1213" s="354" t="str">
        <f>name!A74</f>
        <v>Gambling and betting</v>
      </c>
      <c r="B1213" s="515">
        <f>B$6</f>
        <v>2007</v>
      </c>
      <c r="C1213" s="515"/>
      <c r="D1213" s="515"/>
      <c r="E1213" s="369"/>
      <c r="F1213" s="515">
        <f>F$6</f>
        <v>2017</v>
      </c>
      <c r="G1213" s="515"/>
      <c r="H1213" s="515"/>
      <c r="I1213" s="369"/>
      <c r="J1213" s="515">
        <f>J$6</f>
        <v>2027</v>
      </c>
      <c r="K1213" s="515"/>
      <c r="L1213" s="515"/>
      <c r="M1213" s="352"/>
      <c r="N1213" s="347"/>
    </row>
    <row r="1214" spans="1:14" x14ac:dyDescent="0.25">
      <c r="A1214" s="370"/>
      <c r="B1214" s="371" t="s">
        <v>387</v>
      </c>
      <c r="C1214" s="371" t="s">
        <v>388</v>
      </c>
      <c r="D1214" s="371" t="s">
        <v>32</v>
      </c>
      <c r="E1214" s="371"/>
      <c r="F1214" s="371" t="s">
        <v>387</v>
      </c>
      <c r="G1214" s="371" t="s">
        <v>388</v>
      </c>
      <c r="H1214" s="371" t="s">
        <v>32</v>
      </c>
      <c r="I1214" s="371"/>
      <c r="J1214" s="371" t="s">
        <v>387</v>
      </c>
      <c r="K1214" s="371" t="s">
        <v>388</v>
      </c>
      <c r="L1214" s="371" t="s">
        <v>32</v>
      </c>
      <c r="M1214" s="352"/>
      <c r="N1214" s="347"/>
    </row>
    <row r="1215" spans="1:14" s="286" customFormat="1" x14ac:dyDescent="0.25">
      <c r="A1215" s="374"/>
      <c r="B1215" s="375"/>
      <c r="C1215" s="375"/>
      <c r="D1215" s="375"/>
      <c r="E1215" s="375"/>
      <c r="F1215" s="375"/>
      <c r="G1215" s="375"/>
      <c r="H1215" s="375"/>
      <c r="I1215" s="375"/>
      <c r="J1215" s="375"/>
      <c r="K1215" s="375"/>
      <c r="L1215" s="375"/>
      <c r="M1215" s="352"/>
      <c r="N1215" s="347"/>
    </row>
    <row r="1216" spans="1:14" x14ac:dyDescent="0.25">
      <c r="A1216" s="362" t="str">
        <f>name!E$4</f>
        <v>Managers, directors and senior officials</v>
      </c>
      <c r="B1216" s="440">
        <v>3.109926269867417</v>
      </c>
      <c r="C1216" s="440">
        <v>6.7928787702695406</v>
      </c>
      <c r="D1216" s="440">
        <f>SUM(B1216:C1216)</f>
        <v>9.9028050401369576</v>
      </c>
      <c r="E1216" s="441"/>
      <c r="F1216" s="440">
        <v>3.7891081125538584</v>
      </c>
      <c r="G1216" s="440">
        <v>7.7346608308052858</v>
      </c>
      <c r="H1216" s="440">
        <f>SUM(F1216:G1216)</f>
        <v>11.523768943359144</v>
      </c>
      <c r="I1216" s="441"/>
      <c r="J1216" s="440">
        <v>4.8873735036530821</v>
      </c>
      <c r="K1216" s="440">
        <v>8.9835237906135568</v>
      </c>
      <c r="L1216" s="440">
        <f>SUM(J1216:K1216)</f>
        <v>13.870897294266639</v>
      </c>
      <c r="M1216" s="352"/>
      <c r="N1216" s="347"/>
    </row>
    <row r="1217" spans="1:14" x14ac:dyDescent="0.25">
      <c r="A1217" s="362" t="str">
        <f>name!E$5</f>
        <v>Professional occupations</v>
      </c>
      <c r="B1217" s="440">
        <v>5.7312728958380665</v>
      </c>
      <c r="C1217" s="440">
        <v>6.7947052134566599</v>
      </c>
      <c r="D1217" s="440">
        <f t="shared" ref="D1217:D1224" si="442">SUM(B1217:C1217)</f>
        <v>12.525978109294726</v>
      </c>
      <c r="E1217" s="441"/>
      <c r="F1217" s="440">
        <v>5.093071097087547</v>
      </c>
      <c r="G1217" s="440">
        <v>7.2958903879511983</v>
      </c>
      <c r="H1217" s="440">
        <f t="shared" ref="H1217:H1224" si="443">SUM(F1217:G1217)</f>
        <v>12.388961485038745</v>
      </c>
      <c r="I1217" s="441"/>
      <c r="J1217" s="440">
        <v>6.5845094142627492</v>
      </c>
      <c r="K1217" s="440">
        <v>8.4518678201710582</v>
      </c>
      <c r="L1217" s="440">
        <f t="shared" ref="L1217:L1224" si="444">SUM(J1217:K1217)</f>
        <v>15.036377234433807</v>
      </c>
      <c r="M1217" s="352"/>
      <c r="N1217" s="347"/>
    </row>
    <row r="1218" spans="1:14" x14ac:dyDescent="0.25">
      <c r="A1218" s="362" t="str">
        <f>name!E$6</f>
        <v>Associate professional and technical</v>
      </c>
      <c r="B1218" s="440">
        <v>10.584109141862548</v>
      </c>
      <c r="C1218" s="440">
        <v>23.398698580636903</v>
      </c>
      <c r="D1218" s="440">
        <f t="shared" si="442"/>
        <v>33.982807722499452</v>
      </c>
      <c r="E1218" s="441"/>
      <c r="F1218" s="440">
        <v>9.3685669868691956</v>
      </c>
      <c r="G1218" s="440">
        <v>22.065801208853337</v>
      </c>
      <c r="H1218" s="440">
        <f t="shared" si="443"/>
        <v>31.434368195722534</v>
      </c>
      <c r="I1218" s="441"/>
      <c r="J1218" s="440">
        <v>11.033417773083562</v>
      </c>
      <c r="K1218" s="440">
        <v>23.867712527891037</v>
      </c>
      <c r="L1218" s="440">
        <f t="shared" si="444"/>
        <v>34.9011303009746</v>
      </c>
      <c r="M1218" s="352"/>
      <c r="N1218" s="347"/>
    </row>
    <row r="1219" spans="1:14" x14ac:dyDescent="0.25">
      <c r="A1219" s="362" t="str">
        <f>name!E$7</f>
        <v>Administrative and secretarial</v>
      </c>
      <c r="B1219" s="440">
        <v>10.193034898502228</v>
      </c>
      <c r="C1219" s="440">
        <v>4.2786942758588102</v>
      </c>
      <c r="D1219" s="440">
        <f t="shared" si="442"/>
        <v>14.471729174361037</v>
      </c>
      <c r="E1219" s="441"/>
      <c r="F1219" s="440">
        <v>7.4135474229035454</v>
      </c>
      <c r="G1219" s="440">
        <v>4.7926958587878987</v>
      </c>
      <c r="H1219" s="440">
        <f t="shared" si="443"/>
        <v>12.206243281691444</v>
      </c>
      <c r="I1219" s="441"/>
      <c r="J1219" s="440">
        <v>6.3427803486051424</v>
      </c>
      <c r="K1219" s="440">
        <v>5.0343223974848526</v>
      </c>
      <c r="L1219" s="440">
        <f t="shared" si="444"/>
        <v>11.377102746089996</v>
      </c>
      <c r="M1219" s="352"/>
      <c r="N1219" s="347"/>
    </row>
    <row r="1220" spans="1:14" x14ac:dyDescent="0.25">
      <c r="A1220" s="362" t="str">
        <f>name!E$8</f>
        <v>Skilled trades occupations</v>
      </c>
      <c r="B1220" s="440">
        <v>1.0344572753068262</v>
      </c>
      <c r="C1220" s="440">
        <v>8.6592441641231979</v>
      </c>
      <c r="D1220" s="440">
        <f t="shared" si="442"/>
        <v>9.6937014394300238</v>
      </c>
      <c r="E1220" s="441"/>
      <c r="F1220" s="440">
        <v>1.1895960013363738</v>
      </c>
      <c r="G1220" s="440">
        <v>8.5057195967525896</v>
      </c>
      <c r="H1220" s="440">
        <f t="shared" si="443"/>
        <v>9.695315598088964</v>
      </c>
      <c r="I1220" s="441"/>
      <c r="J1220" s="440">
        <v>1.3734327417975742</v>
      </c>
      <c r="K1220" s="440">
        <v>8.832759880341829</v>
      </c>
      <c r="L1220" s="440">
        <f t="shared" si="444"/>
        <v>10.206192622139403</v>
      </c>
      <c r="M1220" s="352"/>
      <c r="N1220" s="347"/>
    </row>
    <row r="1221" spans="1:14" x14ac:dyDescent="0.25">
      <c r="A1221" s="362" t="str">
        <f>name!E$9</f>
        <v>Caring, leisure and other service</v>
      </c>
      <c r="B1221" s="440">
        <v>3.8226532738380499</v>
      </c>
      <c r="C1221" s="440">
        <v>7.7573133012899822</v>
      </c>
      <c r="D1221" s="440">
        <f t="shared" si="442"/>
        <v>11.579966575128033</v>
      </c>
      <c r="E1221" s="441"/>
      <c r="F1221" s="440">
        <v>3.4388232764464912</v>
      </c>
      <c r="G1221" s="440">
        <v>6.738162637504713</v>
      </c>
      <c r="H1221" s="440">
        <f t="shared" si="443"/>
        <v>10.176985913951205</v>
      </c>
      <c r="I1221" s="441"/>
      <c r="J1221" s="440">
        <v>3.8147634967558126</v>
      </c>
      <c r="K1221" s="440">
        <v>7.1341400091550486</v>
      </c>
      <c r="L1221" s="440">
        <f t="shared" si="444"/>
        <v>10.948903505910861</v>
      </c>
      <c r="M1221" s="352"/>
      <c r="N1221" s="347"/>
    </row>
    <row r="1222" spans="1:14" x14ac:dyDescent="0.25">
      <c r="A1222" s="362" t="str">
        <f>name!E$10</f>
        <v>Sales and customer service</v>
      </c>
      <c r="B1222" s="440">
        <v>2.5623915224736296</v>
      </c>
      <c r="C1222" s="440">
        <v>2.8210928778170432</v>
      </c>
      <c r="D1222" s="440">
        <f t="shared" si="442"/>
        <v>5.3834844002906728</v>
      </c>
      <c r="E1222" s="441"/>
      <c r="F1222" s="440">
        <v>2.2183760174074809</v>
      </c>
      <c r="G1222" s="440">
        <v>4.4190492981874145</v>
      </c>
      <c r="H1222" s="440">
        <f t="shared" si="443"/>
        <v>6.6374253155948955</v>
      </c>
      <c r="I1222" s="441"/>
      <c r="J1222" s="440">
        <v>2.2641853040263862</v>
      </c>
      <c r="K1222" s="440">
        <v>4.1848845623672819</v>
      </c>
      <c r="L1222" s="440">
        <f t="shared" si="444"/>
        <v>6.4490698663936676</v>
      </c>
      <c r="M1222" s="352"/>
      <c r="N1222" s="347"/>
    </row>
    <row r="1223" spans="1:14" x14ac:dyDescent="0.25">
      <c r="A1223" s="362" t="str">
        <f>name!E$11</f>
        <v>Process, plant and machine operatives</v>
      </c>
      <c r="B1223" s="440">
        <v>8.7336644995201509E-2</v>
      </c>
      <c r="C1223" s="440">
        <v>1.4570176364570506</v>
      </c>
      <c r="D1223" s="440">
        <f t="shared" si="442"/>
        <v>1.5443542814522522</v>
      </c>
      <c r="E1223" s="441"/>
      <c r="F1223" s="440">
        <v>7.5387704386647644E-2</v>
      </c>
      <c r="G1223" s="440">
        <v>1.486058687425053</v>
      </c>
      <c r="H1223" s="440">
        <f t="shared" si="443"/>
        <v>1.5614463918117005</v>
      </c>
      <c r="I1223" s="441"/>
      <c r="J1223" s="440">
        <v>6.9860089404932491E-2</v>
      </c>
      <c r="K1223" s="440">
        <v>1.4090956654739519</v>
      </c>
      <c r="L1223" s="440">
        <f t="shared" si="444"/>
        <v>1.4789557548788843</v>
      </c>
      <c r="M1223" s="352"/>
      <c r="N1223" s="347"/>
    </row>
    <row r="1224" spans="1:14" x14ac:dyDescent="0.25">
      <c r="A1224" s="362" t="str">
        <f>name!E$12</f>
        <v>Elementary occupations</v>
      </c>
      <c r="B1224" s="440">
        <v>6.800818077373723</v>
      </c>
      <c r="C1224" s="440">
        <v>8.0193551800109848</v>
      </c>
      <c r="D1224" s="440">
        <f t="shared" si="442"/>
        <v>14.820173257384708</v>
      </c>
      <c r="E1224" s="441"/>
      <c r="F1224" s="440">
        <v>3.8145233810086854</v>
      </c>
      <c r="G1224" s="440">
        <v>8.5129614934882785</v>
      </c>
      <c r="H1224" s="440">
        <f t="shared" si="443"/>
        <v>12.327484874496964</v>
      </c>
      <c r="I1224" s="441"/>
      <c r="J1224" s="440">
        <v>3.6136773285192181</v>
      </c>
      <c r="K1224" s="440">
        <v>8.675693346115132</v>
      </c>
      <c r="L1224" s="440">
        <f t="shared" si="444"/>
        <v>12.28937067463435</v>
      </c>
      <c r="M1224" s="352"/>
      <c r="N1224" s="347"/>
    </row>
    <row r="1225" spans="1:14" s="286" customFormat="1" x14ac:dyDescent="0.25">
      <c r="A1225" s="362"/>
      <c r="B1225" s="440"/>
      <c r="C1225" s="440"/>
      <c r="D1225" s="440"/>
      <c r="E1225" s="441"/>
      <c r="F1225" s="440"/>
      <c r="G1225" s="440"/>
      <c r="H1225" s="440"/>
      <c r="I1225" s="441"/>
      <c r="J1225" s="440"/>
      <c r="K1225" s="440"/>
      <c r="L1225" s="440"/>
      <c r="M1225" s="352"/>
      <c r="N1225" s="347"/>
    </row>
    <row r="1226" spans="1:14" x14ac:dyDescent="0.25">
      <c r="A1226" s="357" t="s">
        <v>32</v>
      </c>
      <c r="B1226" s="450">
        <f>SUM(B1216:B1224)</f>
        <v>43.926000000057698</v>
      </c>
      <c r="C1226" s="450">
        <f t="shared" ref="C1226:D1226" si="445">SUM(C1216:C1224)</f>
        <v>69.978999999920177</v>
      </c>
      <c r="D1226" s="450">
        <f t="shared" si="445"/>
        <v>113.90499999997787</v>
      </c>
      <c r="E1226" s="450"/>
      <c r="F1226" s="450">
        <f t="shared" ref="F1226:H1226" si="446">SUM(F1216:F1224)</f>
        <v>36.400999999999826</v>
      </c>
      <c r="G1226" s="450">
        <f t="shared" si="446"/>
        <v>71.550999999755774</v>
      </c>
      <c r="H1226" s="450">
        <f t="shared" si="446"/>
        <v>107.95199999975559</v>
      </c>
      <c r="I1226" s="450"/>
      <c r="J1226" s="450">
        <f t="shared" ref="J1226:L1226" si="447">SUM(J1216:J1224)</f>
        <v>39.984000000108459</v>
      </c>
      <c r="K1226" s="450">
        <f t="shared" si="447"/>
        <v>76.573999999613761</v>
      </c>
      <c r="L1226" s="450">
        <f t="shared" si="447"/>
        <v>116.55799999972221</v>
      </c>
      <c r="M1226" s="352"/>
      <c r="N1226" s="347"/>
    </row>
    <row r="1227" spans="1:14" x14ac:dyDescent="0.25">
      <c r="A1227" s="348"/>
      <c r="B1227" s="348"/>
      <c r="C1227" s="348"/>
      <c r="D1227" s="348"/>
      <c r="E1227" s="348"/>
      <c r="F1227" s="348"/>
      <c r="G1227" s="348"/>
      <c r="H1227" s="348"/>
      <c r="I1227" s="348"/>
      <c r="J1227" s="348"/>
      <c r="K1227" s="348"/>
      <c r="L1227" s="353"/>
      <c r="M1227" s="352"/>
      <c r="N1227" s="347"/>
    </row>
    <row r="1228" spans="1:14" x14ac:dyDescent="0.25">
      <c r="A1228" s="348"/>
      <c r="B1228" s="348"/>
      <c r="C1228" s="348"/>
      <c r="D1228" s="348"/>
      <c r="E1228" s="348"/>
      <c r="F1228" s="348"/>
      <c r="G1228" s="348"/>
      <c r="H1228" s="348"/>
      <c r="I1228" s="348"/>
      <c r="J1228" s="348"/>
      <c r="K1228" s="348"/>
      <c r="L1228" s="372" t="s">
        <v>35</v>
      </c>
      <c r="M1228" s="352"/>
      <c r="N1228" s="347"/>
    </row>
    <row r="1229" spans="1:14" x14ac:dyDescent="0.25">
      <c r="A1229" s="355"/>
      <c r="B1229" s="365"/>
      <c r="C1229" s="365"/>
      <c r="D1229" s="365"/>
      <c r="E1229" s="365"/>
      <c r="F1229" s="365"/>
      <c r="G1229" s="365"/>
      <c r="H1229" s="365"/>
      <c r="I1229" s="365"/>
      <c r="J1229" s="365"/>
      <c r="K1229" s="365"/>
      <c r="L1229" s="347"/>
      <c r="M1229" s="352"/>
      <c r="N1229" s="347"/>
    </row>
    <row r="1230" spans="1:14" x14ac:dyDescent="0.25">
      <c r="A1230" s="354" t="str">
        <f>name!A75</f>
        <v>Sport and recreation</v>
      </c>
      <c r="B1230" s="515">
        <f>B$6</f>
        <v>2007</v>
      </c>
      <c r="C1230" s="515"/>
      <c r="D1230" s="515"/>
      <c r="E1230" s="369"/>
      <c r="F1230" s="515">
        <f>F$6</f>
        <v>2017</v>
      </c>
      <c r="G1230" s="515"/>
      <c r="H1230" s="515"/>
      <c r="I1230" s="369"/>
      <c r="J1230" s="515">
        <f>J$6</f>
        <v>2027</v>
      </c>
      <c r="K1230" s="515"/>
      <c r="L1230" s="515"/>
      <c r="M1230" s="352"/>
      <c r="N1230" s="347"/>
    </row>
    <row r="1231" spans="1:14" x14ac:dyDescent="0.25">
      <c r="A1231" s="370"/>
      <c r="B1231" s="371" t="s">
        <v>387</v>
      </c>
      <c r="C1231" s="371" t="s">
        <v>388</v>
      </c>
      <c r="D1231" s="371" t="s">
        <v>32</v>
      </c>
      <c r="E1231" s="371"/>
      <c r="F1231" s="371" t="s">
        <v>387</v>
      </c>
      <c r="G1231" s="371" t="s">
        <v>388</v>
      </c>
      <c r="H1231" s="371" t="s">
        <v>32</v>
      </c>
      <c r="I1231" s="371"/>
      <c r="J1231" s="371" t="s">
        <v>387</v>
      </c>
      <c r="K1231" s="371" t="s">
        <v>388</v>
      </c>
      <c r="L1231" s="371" t="s">
        <v>32</v>
      </c>
      <c r="M1231" s="352"/>
      <c r="N1231" s="347"/>
    </row>
    <row r="1232" spans="1:14" s="286" customFormat="1" x14ac:dyDescent="0.25">
      <c r="A1232" s="374"/>
      <c r="B1232" s="375"/>
      <c r="C1232" s="375"/>
      <c r="D1232" s="375"/>
      <c r="E1232" s="375"/>
      <c r="F1232" s="375"/>
      <c r="G1232" s="375"/>
      <c r="H1232" s="375"/>
      <c r="I1232" s="375"/>
      <c r="J1232" s="375"/>
      <c r="K1232" s="375"/>
      <c r="L1232" s="375"/>
      <c r="M1232" s="352"/>
      <c r="N1232" s="347"/>
    </row>
    <row r="1233" spans="1:14" x14ac:dyDescent="0.25">
      <c r="A1233" s="362" t="str">
        <f>name!E$4</f>
        <v>Managers, directors and senior officials</v>
      </c>
      <c r="B1233" s="440">
        <v>13.699157544872691</v>
      </c>
      <c r="C1233" s="440">
        <v>17.691278027064367</v>
      </c>
      <c r="D1233" s="440">
        <f>SUM(B1233:C1233)</f>
        <v>31.390435571937058</v>
      </c>
      <c r="E1233" s="441"/>
      <c r="F1233" s="440">
        <v>28.934548636022285</v>
      </c>
      <c r="G1233" s="440">
        <v>26.107242510609073</v>
      </c>
      <c r="H1233" s="440">
        <f>SUM(F1233:G1233)</f>
        <v>55.041791146631354</v>
      </c>
      <c r="I1233" s="441"/>
      <c r="J1233" s="440">
        <v>38.876954717671431</v>
      </c>
      <c r="K1233" s="440">
        <v>29.253944901090239</v>
      </c>
      <c r="L1233" s="440">
        <f>SUM(J1233:K1233)</f>
        <v>68.130899618761674</v>
      </c>
      <c r="M1233" s="352"/>
      <c r="N1233" s="347"/>
    </row>
    <row r="1234" spans="1:14" x14ac:dyDescent="0.25">
      <c r="A1234" s="362" t="str">
        <f>name!E$5</f>
        <v>Professional occupations</v>
      </c>
      <c r="B1234" s="440">
        <v>26.16674451913363</v>
      </c>
      <c r="C1234" s="440">
        <v>18.382852817661121</v>
      </c>
      <c r="D1234" s="440">
        <f t="shared" ref="D1234:D1241" si="448">SUM(B1234:C1234)</f>
        <v>44.549597336794747</v>
      </c>
      <c r="E1234" s="441"/>
      <c r="F1234" s="440">
        <v>30.123398060657767</v>
      </c>
      <c r="G1234" s="440">
        <v>26.562253281965855</v>
      </c>
      <c r="H1234" s="440">
        <f t="shared" ref="H1234:H1241" si="449">SUM(F1234:G1234)</f>
        <v>56.685651342623622</v>
      </c>
      <c r="I1234" s="441"/>
      <c r="J1234" s="440">
        <v>38.953529574186895</v>
      </c>
      <c r="K1234" s="440">
        <v>29.389819162000816</v>
      </c>
      <c r="L1234" s="440">
        <f t="shared" ref="L1234:L1241" si="450">SUM(J1234:K1234)</f>
        <v>68.343348736187707</v>
      </c>
      <c r="M1234" s="352"/>
      <c r="N1234" s="347"/>
    </row>
    <row r="1235" spans="1:14" x14ac:dyDescent="0.25">
      <c r="A1235" s="362" t="str">
        <f>name!E$6</f>
        <v>Associate professional and technical</v>
      </c>
      <c r="B1235" s="440">
        <v>47.383403969575937</v>
      </c>
      <c r="C1235" s="440">
        <v>62.945748917597243</v>
      </c>
      <c r="D1235" s="440">
        <f t="shared" si="448"/>
        <v>110.32915288717318</v>
      </c>
      <c r="E1235" s="441"/>
      <c r="F1235" s="440">
        <v>53.712937988793662</v>
      </c>
      <c r="G1235" s="440">
        <v>82.964687629057408</v>
      </c>
      <c r="H1235" s="440">
        <f t="shared" si="449"/>
        <v>136.67762561785108</v>
      </c>
      <c r="I1235" s="441"/>
      <c r="J1235" s="440">
        <v>63.643934522102562</v>
      </c>
      <c r="K1235" s="440">
        <v>86.632264228706759</v>
      </c>
      <c r="L1235" s="440">
        <f t="shared" si="450"/>
        <v>150.27619875080933</v>
      </c>
      <c r="M1235" s="352"/>
      <c r="N1235" s="347"/>
    </row>
    <row r="1236" spans="1:14" x14ac:dyDescent="0.25">
      <c r="A1236" s="362" t="str">
        <f>name!E$7</f>
        <v>Administrative and secretarial</v>
      </c>
      <c r="B1236" s="440">
        <v>54.371853915105369</v>
      </c>
      <c r="C1236" s="440">
        <v>10.34347591387521</v>
      </c>
      <c r="D1236" s="440">
        <f t="shared" si="448"/>
        <v>64.715329828980572</v>
      </c>
      <c r="E1236" s="441"/>
      <c r="F1236" s="440">
        <v>56.998841571923101</v>
      </c>
      <c r="G1236" s="440">
        <v>16.221922481710006</v>
      </c>
      <c r="H1236" s="440">
        <f t="shared" si="449"/>
        <v>73.220764053633104</v>
      </c>
      <c r="I1236" s="441"/>
      <c r="J1236" s="440">
        <v>49.093908099948123</v>
      </c>
      <c r="K1236" s="440">
        <v>15.856506461400981</v>
      </c>
      <c r="L1236" s="440">
        <f t="shared" si="450"/>
        <v>64.950414561349106</v>
      </c>
      <c r="M1236" s="352"/>
      <c r="N1236" s="347"/>
    </row>
    <row r="1237" spans="1:14" x14ac:dyDescent="0.25">
      <c r="A1237" s="362" t="str">
        <f>name!E$8</f>
        <v>Skilled trades occupations</v>
      </c>
      <c r="B1237" s="440">
        <v>4.3894688851890908</v>
      </c>
      <c r="C1237" s="440">
        <v>23.130099927816534</v>
      </c>
      <c r="D1237" s="440">
        <f t="shared" si="448"/>
        <v>27.519568813005627</v>
      </c>
      <c r="E1237" s="441"/>
      <c r="F1237" s="440">
        <v>7.3882763945488712</v>
      </c>
      <c r="G1237" s="440">
        <v>31.471220299824747</v>
      </c>
      <c r="H1237" s="440">
        <f t="shared" si="449"/>
        <v>38.859496694373618</v>
      </c>
      <c r="I1237" s="441"/>
      <c r="J1237" s="440">
        <v>9.8889581831602023</v>
      </c>
      <c r="K1237" s="440">
        <v>32.42512684669051</v>
      </c>
      <c r="L1237" s="440">
        <f t="shared" si="450"/>
        <v>42.314085029850716</v>
      </c>
      <c r="M1237" s="352"/>
      <c r="N1237" s="347"/>
    </row>
    <row r="1238" spans="1:14" x14ac:dyDescent="0.25">
      <c r="A1238" s="362" t="str">
        <f>name!E$9</f>
        <v>Caring, leisure and other service</v>
      </c>
      <c r="B1238" s="440">
        <v>29.771918008405279</v>
      </c>
      <c r="C1238" s="440">
        <v>25.808479961066045</v>
      </c>
      <c r="D1238" s="440">
        <f t="shared" si="448"/>
        <v>55.580397969471321</v>
      </c>
      <c r="E1238" s="441"/>
      <c r="F1238" s="440">
        <v>33.286265326688373</v>
      </c>
      <c r="G1238" s="440">
        <v>32.676709547147688</v>
      </c>
      <c r="H1238" s="440">
        <f t="shared" si="449"/>
        <v>65.96297487383606</v>
      </c>
      <c r="I1238" s="441"/>
      <c r="J1238" s="440">
        <v>35.645274626425902</v>
      </c>
      <c r="K1238" s="440">
        <v>33.708727997460478</v>
      </c>
      <c r="L1238" s="440">
        <f t="shared" si="450"/>
        <v>69.354002623886373</v>
      </c>
      <c r="M1238" s="352"/>
      <c r="N1238" s="347"/>
    </row>
    <row r="1239" spans="1:14" x14ac:dyDescent="0.25">
      <c r="A1239" s="362" t="str">
        <f>name!E$10</f>
        <v>Sales and customer service</v>
      </c>
      <c r="B1239" s="440">
        <v>13.544375173163766</v>
      </c>
      <c r="C1239" s="440">
        <v>7.5291623415903794</v>
      </c>
      <c r="D1239" s="440">
        <f t="shared" si="448"/>
        <v>21.073537514754147</v>
      </c>
      <c r="E1239" s="441"/>
      <c r="F1239" s="440">
        <v>15.668478205377298</v>
      </c>
      <c r="G1239" s="440">
        <v>17.305961573825478</v>
      </c>
      <c r="H1239" s="440">
        <f t="shared" si="449"/>
        <v>32.974439779202775</v>
      </c>
      <c r="I1239" s="441"/>
      <c r="J1239" s="440">
        <v>16.276519902374716</v>
      </c>
      <c r="K1239" s="440">
        <v>15.184588289638036</v>
      </c>
      <c r="L1239" s="440">
        <f t="shared" si="450"/>
        <v>31.461108192012752</v>
      </c>
      <c r="M1239" s="352"/>
      <c r="N1239" s="347"/>
    </row>
    <row r="1240" spans="1:14" x14ac:dyDescent="0.25">
      <c r="A1240" s="362" t="str">
        <f>name!E$11</f>
        <v>Process, plant and machine operatives</v>
      </c>
      <c r="B1240" s="440">
        <v>0.54264886435103521</v>
      </c>
      <c r="C1240" s="440">
        <v>4.9872399816613884</v>
      </c>
      <c r="D1240" s="440">
        <f t="shared" si="448"/>
        <v>5.5298888460124234</v>
      </c>
      <c r="E1240" s="441"/>
      <c r="F1240" s="440">
        <v>0.55586181353340713</v>
      </c>
      <c r="G1240" s="440">
        <v>6.3530584979346987</v>
      </c>
      <c r="H1240" s="440">
        <f t="shared" si="449"/>
        <v>6.9089203114681057</v>
      </c>
      <c r="I1240" s="441"/>
      <c r="J1240" s="440">
        <v>0.48845073730092248</v>
      </c>
      <c r="K1240" s="440">
        <v>5.7829957968035712</v>
      </c>
      <c r="L1240" s="440">
        <f t="shared" si="450"/>
        <v>6.271446534104494</v>
      </c>
      <c r="M1240" s="352"/>
      <c r="N1240" s="347"/>
    </row>
    <row r="1241" spans="1:14" x14ac:dyDescent="0.25">
      <c r="A1241" s="362" t="str">
        <f>name!E$12</f>
        <v>Elementary occupations</v>
      </c>
      <c r="B1241" s="440">
        <v>41.428429120362267</v>
      </c>
      <c r="C1241" s="440">
        <v>24.909662110893109</v>
      </c>
      <c r="D1241" s="440">
        <f t="shared" si="448"/>
        <v>66.338091231255376</v>
      </c>
      <c r="E1241" s="441"/>
      <c r="F1241" s="440">
        <v>33.573392002825827</v>
      </c>
      <c r="G1241" s="440">
        <v>37.16494417660352</v>
      </c>
      <c r="H1241" s="440">
        <f t="shared" si="449"/>
        <v>70.738336179429353</v>
      </c>
      <c r="I1241" s="441"/>
      <c r="J1241" s="440">
        <v>31.881469637708697</v>
      </c>
      <c r="K1241" s="440">
        <v>37.569026314016163</v>
      </c>
      <c r="L1241" s="440">
        <f t="shared" si="450"/>
        <v>69.450495951724861</v>
      </c>
      <c r="M1241" s="352"/>
      <c r="N1241" s="347"/>
    </row>
    <row r="1242" spans="1:14" s="286" customFormat="1" x14ac:dyDescent="0.25">
      <c r="A1242" s="362"/>
      <c r="B1242" s="440"/>
      <c r="C1242" s="440"/>
      <c r="D1242" s="440"/>
      <c r="E1242" s="441"/>
      <c r="F1242" s="440"/>
      <c r="G1242" s="440"/>
      <c r="H1242" s="440"/>
      <c r="I1242" s="441"/>
      <c r="J1242" s="440"/>
      <c r="K1242" s="440"/>
      <c r="L1242" s="440"/>
      <c r="M1242" s="352"/>
      <c r="N1242" s="347"/>
    </row>
    <row r="1243" spans="1:14" x14ac:dyDescent="0.25">
      <c r="A1243" s="357" t="s">
        <v>32</v>
      </c>
      <c r="B1243" s="450">
        <f>SUM(B1233:B1241)</f>
        <v>231.29800000015905</v>
      </c>
      <c r="C1243" s="450">
        <f t="shared" ref="C1243:D1243" si="451">SUM(C1233:C1241)</f>
        <v>195.7279999992254</v>
      </c>
      <c r="D1243" s="450">
        <f t="shared" si="451"/>
        <v>427.02599999938445</v>
      </c>
      <c r="E1243" s="450"/>
      <c r="F1243" s="450">
        <f t="shared" ref="F1243:H1243" si="452">SUM(F1233:F1241)</f>
        <v>260.24200000037058</v>
      </c>
      <c r="G1243" s="450">
        <f t="shared" si="452"/>
        <v>276.82799999867848</v>
      </c>
      <c r="H1243" s="450">
        <f t="shared" si="452"/>
        <v>537.06999999904906</v>
      </c>
      <c r="I1243" s="450"/>
      <c r="J1243" s="450">
        <f t="shared" ref="J1243:L1243" si="453">SUM(J1233:J1241)</f>
        <v>284.74900000087945</v>
      </c>
      <c r="K1243" s="450">
        <f t="shared" si="453"/>
        <v>285.80299999780755</v>
      </c>
      <c r="L1243" s="450">
        <f t="shared" si="453"/>
        <v>570.55199999868705</v>
      </c>
      <c r="M1243" s="352"/>
      <c r="N1243" s="347"/>
    </row>
    <row r="1244" spans="1:14" x14ac:dyDescent="0.25">
      <c r="A1244" s="348"/>
      <c r="B1244" s="348"/>
      <c r="C1244" s="348"/>
      <c r="D1244" s="348"/>
      <c r="E1244" s="348"/>
      <c r="F1244" s="348"/>
      <c r="G1244" s="348"/>
      <c r="H1244" s="348"/>
      <c r="I1244" s="348"/>
      <c r="J1244" s="348"/>
      <c r="K1244" s="348"/>
      <c r="L1244" s="353"/>
      <c r="M1244" s="352"/>
      <c r="N1244" s="347"/>
    </row>
    <row r="1245" spans="1:14" x14ac:dyDescent="0.25">
      <c r="A1245" s="348"/>
      <c r="B1245" s="348"/>
      <c r="C1245" s="348"/>
      <c r="D1245" s="348"/>
      <c r="E1245" s="348"/>
      <c r="F1245" s="348"/>
      <c r="G1245" s="348"/>
      <c r="H1245" s="348"/>
      <c r="I1245" s="348"/>
      <c r="J1245" s="348"/>
      <c r="K1245" s="348"/>
      <c r="L1245" s="372" t="s">
        <v>35</v>
      </c>
      <c r="M1245" s="352"/>
      <c r="N1245" s="347"/>
    </row>
    <row r="1246" spans="1:14" x14ac:dyDescent="0.25">
      <c r="A1246" s="355"/>
      <c r="B1246" s="365"/>
      <c r="C1246" s="365"/>
      <c r="D1246" s="365"/>
      <c r="E1246" s="365"/>
      <c r="F1246" s="365"/>
      <c r="G1246" s="365"/>
      <c r="H1246" s="365"/>
      <c r="I1246" s="365"/>
      <c r="J1246" s="365"/>
      <c r="K1246" s="365"/>
      <c r="L1246" s="347"/>
      <c r="M1246" s="352"/>
      <c r="N1246" s="347"/>
    </row>
    <row r="1247" spans="1:14" x14ac:dyDescent="0.25">
      <c r="A1247" s="354" t="str">
        <f>name!A76</f>
        <v>Membership organisations</v>
      </c>
      <c r="B1247" s="515">
        <f>B$6</f>
        <v>2007</v>
      </c>
      <c r="C1247" s="515"/>
      <c r="D1247" s="515"/>
      <c r="E1247" s="369"/>
      <c r="F1247" s="515">
        <f>F$6</f>
        <v>2017</v>
      </c>
      <c r="G1247" s="515"/>
      <c r="H1247" s="515"/>
      <c r="I1247" s="369"/>
      <c r="J1247" s="515">
        <f>J$6</f>
        <v>2027</v>
      </c>
      <c r="K1247" s="515"/>
      <c r="L1247" s="515"/>
      <c r="M1247" s="352"/>
      <c r="N1247" s="347"/>
    </row>
    <row r="1248" spans="1:14" x14ac:dyDescent="0.25">
      <c r="A1248" s="370"/>
      <c r="B1248" s="371" t="s">
        <v>387</v>
      </c>
      <c r="C1248" s="371" t="s">
        <v>388</v>
      </c>
      <c r="D1248" s="371" t="s">
        <v>32</v>
      </c>
      <c r="E1248" s="371"/>
      <c r="F1248" s="371" t="s">
        <v>387</v>
      </c>
      <c r="G1248" s="371" t="s">
        <v>388</v>
      </c>
      <c r="H1248" s="371" t="s">
        <v>32</v>
      </c>
      <c r="I1248" s="371"/>
      <c r="J1248" s="371" t="s">
        <v>387</v>
      </c>
      <c r="K1248" s="371" t="s">
        <v>388</v>
      </c>
      <c r="L1248" s="371" t="s">
        <v>32</v>
      </c>
      <c r="M1248" s="352"/>
      <c r="N1248" s="347"/>
    </row>
    <row r="1249" spans="1:14" s="286" customFormat="1" x14ac:dyDescent="0.25">
      <c r="A1249" s="374"/>
      <c r="B1249" s="375"/>
      <c r="C1249" s="375"/>
      <c r="D1249" s="375"/>
      <c r="E1249" s="375"/>
      <c r="F1249" s="375"/>
      <c r="G1249" s="375"/>
      <c r="H1249" s="375"/>
      <c r="I1249" s="375"/>
      <c r="J1249" s="375"/>
      <c r="K1249" s="375"/>
      <c r="L1249" s="375"/>
      <c r="M1249" s="352"/>
      <c r="N1249" s="347"/>
    </row>
    <row r="1250" spans="1:14" x14ac:dyDescent="0.25">
      <c r="A1250" s="362" t="str">
        <f>name!E$4</f>
        <v>Managers, directors and senior officials</v>
      </c>
      <c r="B1250" s="440">
        <v>15.597709206048206</v>
      </c>
      <c r="C1250" s="440">
        <v>13.075949782630424</v>
      </c>
      <c r="D1250" s="440">
        <f>SUM(B1250:C1250)</f>
        <v>28.673658988678632</v>
      </c>
      <c r="E1250" s="441"/>
      <c r="F1250" s="440">
        <v>26.768147594359089</v>
      </c>
      <c r="G1250" s="440">
        <v>12.407424395837255</v>
      </c>
      <c r="H1250" s="440">
        <f>SUM(F1250:G1250)</f>
        <v>39.175571990196346</v>
      </c>
      <c r="I1250" s="441"/>
      <c r="J1250" s="440">
        <v>31.648138156496199</v>
      </c>
      <c r="K1250" s="440">
        <v>14.660985904747196</v>
      </c>
      <c r="L1250" s="440">
        <f>SUM(J1250:K1250)</f>
        <v>46.309124061243395</v>
      </c>
      <c r="M1250" s="352"/>
      <c r="N1250" s="347"/>
    </row>
    <row r="1251" spans="1:14" x14ac:dyDescent="0.25">
      <c r="A1251" s="362" t="str">
        <f>name!E$5</f>
        <v>Professional occupations</v>
      </c>
      <c r="B1251" s="440">
        <v>56.557354065864146</v>
      </c>
      <c r="C1251" s="440">
        <v>60.462338241438033</v>
      </c>
      <c r="D1251" s="440">
        <f t="shared" ref="D1251:D1258" si="454">SUM(B1251:C1251)</f>
        <v>117.01969230730218</v>
      </c>
      <c r="E1251" s="441"/>
      <c r="F1251" s="440">
        <v>85.206710219934052</v>
      </c>
      <c r="G1251" s="440">
        <v>58.265367180029394</v>
      </c>
      <c r="H1251" s="440">
        <f t="shared" ref="H1251:H1258" si="455">SUM(F1251:G1251)</f>
        <v>143.47207739996344</v>
      </c>
      <c r="I1251" s="441"/>
      <c r="J1251" s="440">
        <v>103.43859119309735</v>
      </c>
      <c r="K1251" s="440">
        <v>62.941887122540074</v>
      </c>
      <c r="L1251" s="440">
        <f t="shared" ref="L1251:L1258" si="456">SUM(J1251:K1251)</f>
        <v>166.38047831563742</v>
      </c>
      <c r="M1251" s="352"/>
      <c r="N1251" s="347"/>
    </row>
    <row r="1252" spans="1:14" x14ac:dyDescent="0.25">
      <c r="A1252" s="362" t="str">
        <f>name!E$6</f>
        <v>Associate professional and technical</v>
      </c>
      <c r="B1252" s="440">
        <v>33.904191688093491</v>
      </c>
      <c r="C1252" s="440">
        <v>20.009779176336906</v>
      </c>
      <c r="D1252" s="440">
        <f t="shared" si="454"/>
        <v>53.913970864430397</v>
      </c>
      <c r="E1252" s="441"/>
      <c r="F1252" s="440">
        <v>57.640712848178218</v>
      </c>
      <c r="G1252" s="440">
        <v>21.884760644711211</v>
      </c>
      <c r="H1252" s="440">
        <f t="shared" si="455"/>
        <v>79.525473492889432</v>
      </c>
      <c r="I1252" s="441"/>
      <c r="J1252" s="440">
        <v>63.176926213418177</v>
      </c>
      <c r="K1252" s="440">
        <v>23.87180616865216</v>
      </c>
      <c r="L1252" s="440">
        <f t="shared" si="456"/>
        <v>87.048732382070341</v>
      </c>
      <c r="M1252" s="352"/>
      <c r="N1252" s="347"/>
    </row>
    <row r="1253" spans="1:14" x14ac:dyDescent="0.25">
      <c r="A1253" s="362" t="str">
        <f>name!E$7</f>
        <v>Administrative and secretarial</v>
      </c>
      <c r="B1253" s="440">
        <v>56.215532254597214</v>
      </c>
      <c r="C1253" s="440">
        <v>8.1469387405117377</v>
      </c>
      <c r="D1253" s="440">
        <f t="shared" si="454"/>
        <v>64.36247099510895</v>
      </c>
      <c r="E1253" s="441"/>
      <c r="F1253" s="440">
        <v>60.26258629285654</v>
      </c>
      <c r="G1253" s="440">
        <v>8.1185118410864323</v>
      </c>
      <c r="H1253" s="440">
        <f t="shared" si="455"/>
        <v>68.38109813394297</v>
      </c>
      <c r="I1253" s="441"/>
      <c r="J1253" s="440">
        <v>44.619155434843094</v>
      </c>
      <c r="K1253" s="440">
        <v>8.6092554385290114</v>
      </c>
      <c r="L1253" s="440">
        <f t="shared" si="456"/>
        <v>53.228410873372106</v>
      </c>
      <c r="M1253" s="352"/>
      <c r="N1253" s="347"/>
    </row>
    <row r="1254" spans="1:14" x14ac:dyDescent="0.25">
      <c r="A1254" s="362" t="str">
        <f>name!E$8</f>
        <v>Skilled trades occupations</v>
      </c>
      <c r="B1254" s="440">
        <v>4.5185892504880218</v>
      </c>
      <c r="C1254" s="440">
        <v>8.9111594662888667</v>
      </c>
      <c r="D1254" s="440">
        <f t="shared" si="454"/>
        <v>13.429748716776889</v>
      </c>
      <c r="E1254" s="441"/>
      <c r="F1254" s="440">
        <v>4.285709667207704</v>
      </c>
      <c r="G1254" s="440">
        <v>7.6871331923796387</v>
      </c>
      <c r="H1254" s="440">
        <f t="shared" si="455"/>
        <v>11.972842859587342</v>
      </c>
      <c r="I1254" s="441"/>
      <c r="J1254" s="440">
        <v>4.3863962906292988</v>
      </c>
      <c r="K1254" s="440">
        <v>7.879365519697445</v>
      </c>
      <c r="L1254" s="440">
        <f t="shared" si="456"/>
        <v>12.265761810326744</v>
      </c>
      <c r="M1254" s="352"/>
      <c r="N1254" s="347"/>
    </row>
    <row r="1255" spans="1:14" x14ac:dyDescent="0.25">
      <c r="A1255" s="362" t="str">
        <f>name!E$9</f>
        <v>Caring, leisure and other service</v>
      </c>
      <c r="B1255" s="440">
        <v>21.631668082721216</v>
      </c>
      <c r="C1255" s="440">
        <v>6.2794425240479361</v>
      </c>
      <c r="D1255" s="440">
        <f t="shared" si="454"/>
        <v>27.911110606769153</v>
      </c>
      <c r="E1255" s="441"/>
      <c r="F1255" s="440">
        <v>27.369503337641785</v>
      </c>
      <c r="G1255" s="440">
        <v>4.7190319858434222</v>
      </c>
      <c r="H1255" s="440">
        <f t="shared" si="455"/>
        <v>32.088535323485203</v>
      </c>
      <c r="I1255" s="441"/>
      <c r="J1255" s="440">
        <v>27.582132928904343</v>
      </c>
      <c r="K1255" s="440">
        <v>5.310226255896537</v>
      </c>
      <c r="L1255" s="440">
        <f t="shared" si="456"/>
        <v>32.892359184800881</v>
      </c>
      <c r="M1255" s="352"/>
      <c r="N1255" s="347"/>
    </row>
    <row r="1256" spans="1:14" x14ac:dyDescent="0.25">
      <c r="A1256" s="362" t="str">
        <f>name!E$10</f>
        <v>Sales and customer service</v>
      </c>
      <c r="B1256" s="440">
        <v>6.4901857228184614</v>
      </c>
      <c r="C1256" s="440">
        <v>1.456039872265751</v>
      </c>
      <c r="D1256" s="440">
        <f t="shared" si="454"/>
        <v>7.9462255950842122</v>
      </c>
      <c r="E1256" s="441"/>
      <c r="F1256" s="440">
        <v>6.9592476834622428</v>
      </c>
      <c r="G1256" s="440">
        <v>1.641240269196353</v>
      </c>
      <c r="H1256" s="440">
        <f t="shared" si="455"/>
        <v>8.6004879526585967</v>
      </c>
      <c r="I1256" s="441"/>
      <c r="J1256" s="440">
        <v>6.958030089415181</v>
      </c>
      <c r="K1256" s="440">
        <v>1.8238523327782541</v>
      </c>
      <c r="L1256" s="440">
        <f t="shared" si="456"/>
        <v>8.7818824221934353</v>
      </c>
      <c r="M1256" s="352"/>
      <c r="N1256" s="347"/>
    </row>
    <row r="1257" spans="1:14" x14ac:dyDescent="0.25">
      <c r="A1257" s="362" t="str">
        <f>name!E$11</f>
        <v>Process, plant and machine operatives</v>
      </c>
      <c r="B1257" s="440">
        <v>3.8663759476542929</v>
      </c>
      <c r="C1257" s="440">
        <v>2.952921836955861</v>
      </c>
      <c r="D1257" s="440">
        <f t="shared" si="454"/>
        <v>6.8192977846101535</v>
      </c>
      <c r="E1257" s="441"/>
      <c r="F1257" s="440">
        <v>3.648831844467042</v>
      </c>
      <c r="G1257" s="440">
        <v>2.5328352933623952</v>
      </c>
      <c r="H1257" s="440">
        <f t="shared" si="455"/>
        <v>6.1816671378294377</v>
      </c>
      <c r="I1257" s="441"/>
      <c r="J1257" s="440">
        <v>2.4674395644553826</v>
      </c>
      <c r="K1257" s="440">
        <v>2.328573510278019</v>
      </c>
      <c r="L1257" s="440">
        <f t="shared" si="456"/>
        <v>4.796013074733402</v>
      </c>
      <c r="M1257" s="352"/>
      <c r="N1257" s="347"/>
    </row>
    <row r="1258" spans="1:14" x14ac:dyDescent="0.25">
      <c r="A1258" s="362" t="str">
        <f>name!E$12</f>
        <v>Elementary occupations</v>
      </c>
      <c r="B1258" s="440">
        <v>43.964393781921402</v>
      </c>
      <c r="C1258" s="440">
        <v>7.2144303595948065</v>
      </c>
      <c r="D1258" s="440">
        <f t="shared" si="454"/>
        <v>51.178824141516209</v>
      </c>
      <c r="E1258" s="441"/>
      <c r="F1258" s="440">
        <v>25.834550510941757</v>
      </c>
      <c r="G1258" s="440">
        <v>4.5076951960364413</v>
      </c>
      <c r="H1258" s="440">
        <f t="shared" si="455"/>
        <v>30.342245706978197</v>
      </c>
      <c r="I1258" s="441"/>
      <c r="J1258" s="440">
        <v>20.339190129546207</v>
      </c>
      <c r="K1258" s="440">
        <v>4.7930477453142117</v>
      </c>
      <c r="L1258" s="440">
        <f t="shared" si="456"/>
        <v>25.132237874860419</v>
      </c>
      <c r="M1258" s="352"/>
      <c r="N1258" s="347"/>
    </row>
    <row r="1259" spans="1:14" s="286" customFormat="1" x14ac:dyDescent="0.25">
      <c r="A1259" s="362"/>
      <c r="B1259" s="440"/>
      <c r="C1259" s="440"/>
      <c r="D1259" s="440"/>
      <c r="E1259" s="441"/>
      <c r="F1259" s="440"/>
      <c r="G1259" s="440"/>
      <c r="H1259" s="440"/>
      <c r="I1259" s="441"/>
      <c r="J1259" s="440"/>
      <c r="K1259" s="440"/>
      <c r="L1259" s="440"/>
      <c r="M1259" s="352"/>
      <c r="N1259" s="347"/>
    </row>
    <row r="1260" spans="1:14" x14ac:dyDescent="0.25">
      <c r="A1260" s="357" t="s">
        <v>32</v>
      </c>
      <c r="B1260" s="450">
        <f>SUM(B1250:B1258)</f>
        <v>242.74600000020644</v>
      </c>
      <c r="C1260" s="450">
        <f t="shared" ref="C1260:D1260" si="457">SUM(C1250:C1258)</f>
        <v>128.50900000007033</v>
      </c>
      <c r="D1260" s="450">
        <f t="shared" si="457"/>
        <v>371.25500000027682</v>
      </c>
      <c r="E1260" s="450"/>
      <c r="F1260" s="450">
        <f t="shared" ref="F1260:H1260" si="458">SUM(F1250:F1258)</f>
        <v>297.97599999904844</v>
      </c>
      <c r="G1260" s="450">
        <f t="shared" si="458"/>
        <v>121.76399999848253</v>
      </c>
      <c r="H1260" s="450">
        <f t="shared" si="458"/>
        <v>419.7399999975309</v>
      </c>
      <c r="I1260" s="450"/>
      <c r="J1260" s="450">
        <f t="shared" ref="J1260:L1260" si="459">SUM(J1250:J1258)</f>
        <v>304.61600000080523</v>
      </c>
      <c r="K1260" s="450">
        <f t="shared" si="459"/>
        <v>132.21899999843293</v>
      </c>
      <c r="L1260" s="450">
        <f t="shared" si="459"/>
        <v>436.83499999923828</v>
      </c>
      <c r="M1260" s="352"/>
      <c r="N1260" s="347"/>
    </row>
    <row r="1261" spans="1:14" x14ac:dyDescent="0.25">
      <c r="A1261" s="348"/>
      <c r="B1261" s="348"/>
      <c r="C1261" s="348"/>
      <c r="D1261" s="348"/>
      <c r="E1261" s="348"/>
      <c r="F1261" s="348"/>
      <c r="G1261" s="348"/>
      <c r="H1261" s="348"/>
      <c r="I1261" s="348"/>
      <c r="J1261" s="348"/>
      <c r="K1261" s="348"/>
      <c r="L1261" s="353"/>
      <c r="M1261" s="352"/>
      <c r="N1261" s="347"/>
    </row>
    <row r="1262" spans="1:14" x14ac:dyDescent="0.25">
      <c r="A1262" s="348"/>
      <c r="B1262" s="348"/>
      <c r="C1262" s="348"/>
      <c r="D1262" s="348"/>
      <c r="E1262" s="348"/>
      <c r="F1262" s="348"/>
      <c r="G1262" s="348"/>
      <c r="H1262" s="348"/>
      <c r="I1262" s="348"/>
      <c r="J1262" s="348"/>
      <c r="K1262" s="348"/>
      <c r="L1262" s="372" t="s">
        <v>35</v>
      </c>
      <c r="M1262" s="352"/>
      <c r="N1262" s="347"/>
    </row>
    <row r="1263" spans="1:14" x14ac:dyDescent="0.25">
      <c r="A1263" s="355"/>
      <c r="B1263" s="365"/>
      <c r="C1263" s="365"/>
      <c r="D1263" s="365"/>
      <c r="E1263" s="365"/>
      <c r="F1263" s="365"/>
      <c r="G1263" s="365"/>
      <c r="H1263" s="365"/>
      <c r="I1263" s="365"/>
      <c r="J1263" s="365"/>
      <c r="K1263" s="365"/>
      <c r="L1263" s="347"/>
      <c r="M1263" s="352"/>
      <c r="N1263" s="347"/>
    </row>
    <row r="1264" spans="1:14" x14ac:dyDescent="0.25">
      <c r="A1264" s="354" t="str">
        <f>name!A77</f>
        <v>Repair of goods</v>
      </c>
      <c r="B1264" s="515">
        <f>B$6</f>
        <v>2007</v>
      </c>
      <c r="C1264" s="515"/>
      <c r="D1264" s="515"/>
      <c r="E1264" s="369"/>
      <c r="F1264" s="515">
        <f>F$6</f>
        <v>2017</v>
      </c>
      <c r="G1264" s="515"/>
      <c r="H1264" s="515"/>
      <c r="I1264" s="369"/>
      <c r="J1264" s="515">
        <f>J$6</f>
        <v>2027</v>
      </c>
      <c r="K1264" s="515"/>
      <c r="L1264" s="515"/>
      <c r="M1264" s="352"/>
      <c r="N1264" s="347"/>
    </row>
    <row r="1265" spans="1:14" x14ac:dyDescent="0.25">
      <c r="A1265" s="370"/>
      <c r="B1265" s="371" t="s">
        <v>387</v>
      </c>
      <c r="C1265" s="371" t="s">
        <v>388</v>
      </c>
      <c r="D1265" s="371" t="s">
        <v>32</v>
      </c>
      <c r="E1265" s="371"/>
      <c r="F1265" s="371" t="s">
        <v>387</v>
      </c>
      <c r="G1265" s="371" t="s">
        <v>388</v>
      </c>
      <c r="H1265" s="371" t="s">
        <v>32</v>
      </c>
      <c r="I1265" s="371"/>
      <c r="J1265" s="371" t="s">
        <v>387</v>
      </c>
      <c r="K1265" s="371" t="s">
        <v>388</v>
      </c>
      <c r="L1265" s="371" t="s">
        <v>32</v>
      </c>
      <c r="M1265" s="352"/>
      <c r="N1265" s="347"/>
    </row>
    <row r="1266" spans="1:14" s="286" customFormat="1" x14ac:dyDescent="0.25">
      <c r="A1266" s="374"/>
      <c r="B1266" s="375"/>
      <c r="C1266" s="375"/>
      <c r="D1266" s="375"/>
      <c r="E1266" s="375"/>
      <c r="F1266" s="375"/>
      <c r="G1266" s="375"/>
      <c r="H1266" s="375"/>
      <c r="I1266" s="375"/>
      <c r="J1266" s="375"/>
      <c r="K1266" s="375"/>
      <c r="L1266" s="375"/>
      <c r="M1266" s="352"/>
      <c r="N1266" s="347"/>
    </row>
    <row r="1267" spans="1:14" x14ac:dyDescent="0.25">
      <c r="A1267" s="362" t="str">
        <f>name!E$4</f>
        <v>Managers, directors and senior officials</v>
      </c>
      <c r="B1267" s="440">
        <v>3.6844877592176517</v>
      </c>
      <c r="C1267" s="440">
        <v>9.7233899659207168</v>
      </c>
      <c r="D1267" s="440">
        <f>SUM(B1267:C1267)</f>
        <v>13.407877725138368</v>
      </c>
      <c r="E1267" s="441"/>
      <c r="F1267" s="440">
        <v>6.4400454332893915</v>
      </c>
      <c r="G1267" s="440">
        <v>9.1529352561372441</v>
      </c>
      <c r="H1267" s="440">
        <f>SUM(F1267:G1267)</f>
        <v>15.592980689426636</v>
      </c>
      <c r="I1267" s="441"/>
      <c r="J1267" s="440">
        <v>7.1351488181567344</v>
      </c>
      <c r="K1267" s="440">
        <v>10.218062181043646</v>
      </c>
      <c r="L1267" s="440">
        <f>SUM(J1267:K1267)</f>
        <v>17.353210999200378</v>
      </c>
      <c r="M1267" s="352"/>
      <c r="N1267" s="347"/>
    </row>
    <row r="1268" spans="1:14" x14ac:dyDescent="0.25">
      <c r="A1268" s="362" t="str">
        <f>name!E$5</f>
        <v>Professional occupations</v>
      </c>
      <c r="B1268" s="440">
        <v>1.326183691121493</v>
      </c>
      <c r="C1268" s="440">
        <v>7.4713255932318683</v>
      </c>
      <c r="D1268" s="440">
        <f t="shared" ref="D1268:D1275" si="460">SUM(B1268:C1268)</f>
        <v>8.797509284353362</v>
      </c>
      <c r="E1268" s="441"/>
      <c r="F1268" s="440">
        <v>1.8961977323068595</v>
      </c>
      <c r="G1268" s="440">
        <v>8.1009552511858196</v>
      </c>
      <c r="H1268" s="440">
        <f t="shared" ref="H1268:H1275" si="461">SUM(F1268:G1268)</f>
        <v>9.9971529834926791</v>
      </c>
      <c r="I1268" s="441"/>
      <c r="J1268" s="440">
        <v>2.4130513333080117</v>
      </c>
      <c r="K1268" s="440">
        <v>10.090294663529438</v>
      </c>
      <c r="L1268" s="440">
        <f t="shared" ref="L1268:L1275" si="462">SUM(J1268:K1268)</f>
        <v>12.503345996837449</v>
      </c>
      <c r="M1268" s="352"/>
      <c r="N1268" s="347"/>
    </row>
    <row r="1269" spans="1:14" x14ac:dyDescent="0.25">
      <c r="A1269" s="362" t="str">
        <f>name!E$6</f>
        <v>Associate professional and technical</v>
      </c>
      <c r="B1269" s="440">
        <v>1.3339688503660974</v>
      </c>
      <c r="C1269" s="440">
        <v>4.7542020397784848</v>
      </c>
      <c r="D1269" s="440">
        <f t="shared" si="460"/>
        <v>6.0881708901445819</v>
      </c>
      <c r="E1269" s="441"/>
      <c r="F1269" s="440">
        <v>1.9985875991459241</v>
      </c>
      <c r="G1269" s="440">
        <v>4.4933229486781068</v>
      </c>
      <c r="H1269" s="440">
        <f t="shared" si="461"/>
        <v>6.4919105478240304</v>
      </c>
      <c r="I1269" s="441"/>
      <c r="J1269" s="440">
        <v>2.3742828461113414</v>
      </c>
      <c r="K1269" s="440">
        <v>5.3138381614471184</v>
      </c>
      <c r="L1269" s="440">
        <f t="shared" si="462"/>
        <v>7.6881210075584594</v>
      </c>
      <c r="M1269" s="352"/>
      <c r="N1269" s="347"/>
    </row>
    <row r="1270" spans="1:14" x14ac:dyDescent="0.25">
      <c r="A1270" s="362" t="str">
        <f>name!E$7</f>
        <v>Administrative and secretarial</v>
      </c>
      <c r="B1270" s="440">
        <v>1.4079416575836641</v>
      </c>
      <c r="C1270" s="440">
        <v>1.4526392713735581</v>
      </c>
      <c r="D1270" s="440">
        <f t="shared" si="460"/>
        <v>2.8605809289572219</v>
      </c>
      <c r="E1270" s="441"/>
      <c r="F1270" s="440">
        <v>1.3032064253909676</v>
      </c>
      <c r="G1270" s="440">
        <v>1.2319729344639199</v>
      </c>
      <c r="H1270" s="440">
        <f t="shared" si="461"/>
        <v>2.5351793598548875</v>
      </c>
      <c r="I1270" s="441"/>
      <c r="J1270" s="440">
        <v>1.1547589219642507</v>
      </c>
      <c r="K1270" s="440">
        <v>1.4044309904905776</v>
      </c>
      <c r="L1270" s="440">
        <f t="shared" si="462"/>
        <v>2.5591899124548281</v>
      </c>
      <c r="M1270" s="352"/>
      <c r="N1270" s="347"/>
    </row>
    <row r="1271" spans="1:14" x14ac:dyDescent="0.25">
      <c r="A1271" s="362" t="str">
        <f>name!E$8</f>
        <v>Skilled trades occupations</v>
      </c>
      <c r="B1271" s="440">
        <v>0.86502124177761675</v>
      </c>
      <c r="C1271" s="440">
        <v>5.2359688594135534</v>
      </c>
      <c r="D1271" s="440">
        <f t="shared" si="460"/>
        <v>6.1009901011911705</v>
      </c>
      <c r="E1271" s="441"/>
      <c r="F1271" s="440">
        <v>1.2449991157609694</v>
      </c>
      <c r="G1271" s="440">
        <v>4.0343434502625515</v>
      </c>
      <c r="H1271" s="440">
        <f t="shared" si="461"/>
        <v>5.2793425660235211</v>
      </c>
      <c r="I1271" s="441"/>
      <c r="J1271" s="440">
        <v>1.1053994080086393</v>
      </c>
      <c r="K1271" s="440">
        <v>4.0178272805796205</v>
      </c>
      <c r="L1271" s="440">
        <f t="shared" si="462"/>
        <v>5.12322668858826</v>
      </c>
      <c r="M1271" s="352"/>
      <c r="N1271" s="347"/>
    </row>
    <row r="1272" spans="1:14" x14ac:dyDescent="0.25">
      <c r="A1272" s="362" t="str">
        <f>name!E$9</f>
        <v>Caring, leisure and other service</v>
      </c>
      <c r="B1272" s="440">
        <v>0.16764342292517681</v>
      </c>
      <c r="C1272" s="440">
        <v>0.19220472051505721</v>
      </c>
      <c r="D1272" s="440">
        <f t="shared" si="460"/>
        <v>0.35984814344023403</v>
      </c>
      <c r="E1272" s="441"/>
      <c r="F1272" s="440">
        <v>0.23523426719486515</v>
      </c>
      <c r="G1272" s="440">
        <v>0.20722616757742801</v>
      </c>
      <c r="H1272" s="440">
        <f t="shared" si="461"/>
        <v>0.44246043477229313</v>
      </c>
      <c r="I1272" s="441"/>
      <c r="J1272" s="440">
        <v>0.26876663297166659</v>
      </c>
      <c r="K1272" s="440">
        <v>0.27702483758314017</v>
      </c>
      <c r="L1272" s="440">
        <f t="shared" si="462"/>
        <v>0.54579147055480681</v>
      </c>
      <c r="M1272" s="352"/>
      <c r="N1272" s="347"/>
    </row>
    <row r="1273" spans="1:14" x14ac:dyDescent="0.25">
      <c r="A1273" s="362" t="str">
        <f>name!E$10</f>
        <v>Sales and customer service</v>
      </c>
      <c r="B1273" s="440">
        <v>6.4631452480295026</v>
      </c>
      <c r="C1273" s="440">
        <v>6.8215036888794609</v>
      </c>
      <c r="D1273" s="440">
        <f t="shared" si="460"/>
        <v>13.284648936908964</v>
      </c>
      <c r="E1273" s="441"/>
      <c r="F1273" s="440">
        <v>5.1313905021742325</v>
      </c>
      <c r="G1273" s="440">
        <v>5.7012535969627702</v>
      </c>
      <c r="H1273" s="440">
        <f t="shared" si="461"/>
        <v>10.832644099137003</v>
      </c>
      <c r="I1273" s="441"/>
      <c r="J1273" s="440">
        <v>4.3025974773835349</v>
      </c>
      <c r="K1273" s="440">
        <v>4.9735908100852013</v>
      </c>
      <c r="L1273" s="440">
        <f t="shared" si="462"/>
        <v>9.2761882874687362</v>
      </c>
      <c r="M1273" s="352"/>
      <c r="N1273" s="347"/>
    </row>
    <row r="1274" spans="1:14" x14ac:dyDescent="0.25">
      <c r="A1274" s="362" t="str">
        <f>name!E$11</f>
        <v>Process, plant and machine operatives</v>
      </c>
      <c r="B1274" s="440">
        <v>0.18311636202520346</v>
      </c>
      <c r="C1274" s="440">
        <v>1.9788050223266114</v>
      </c>
      <c r="D1274" s="440">
        <f t="shared" si="460"/>
        <v>2.1619213843518148</v>
      </c>
      <c r="E1274" s="441"/>
      <c r="F1274" s="440">
        <v>0.36401792032982461</v>
      </c>
      <c r="G1274" s="440">
        <v>1.5284652753869552</v>
      </c>
      <c r="H1274" s="440">
        <f t="shared" si="461"/>
        <v>1.8924831957167798</v>
      </c>
      <c r="I1274" s="441"/>
      <c r="J1274" s="440">
        <v>0.21643760346519547</v>
      </c>
      <c r="K1274" s="440">
        <v>1.466968209445886</v>
      </c>
      <c r="L1274" s="440">
        <f t="shared" si="462"/>
        <v>1.6834058129110816</v>
      </c>
      <c r="M1274" s="352"/>
      <c r="N1274" s="347"/>
    </row>
    <row r="1275" spans="1:14" x14ac:dyDescent="0.25">
      <c r="A1275" s="362" t="str">
        <f>name!E$12</f>
        <v>Elementary occupations</v>
      </c>
      <c r="B1275" s="440">
        <v>1.0144917670984319</v>
      </c>
      <c r="C1275" s="440">
        <v>3.04696083837031</v>
      </c>
      <c r="D1275" s="440">
        <f t="shared" si="460"/>
        <v>4.0614526054687419</v>
      </c>
      <c r="E1275" s="441"/>
      <c r="F1275" s="440">
        <v>0.78332100466565346</v>
      </c>
      <c r="G1275" s="440">
        <v>2.6505251191105152</v>
      </c>
      <c r="H1275" s="440">
        <f t="shared" si="461"/>
        <v>3.4338461237761688</v>
      </c>
      <c r="I1275" s="441"/>
      <c r="J1275" s="440">
        <v>0.86855695881804085</v>
      </c>
      <c r="K1275" s="440">
        <v>3.148962865728596</v>
      </c>
      <c r="L1275" s="440">
        <f t="shared" si="462"/>
        <v>4.0175198245466373</v>
      </c>
      <c r="M1275" s="352"/>
      <c r="N1275" s="347"/>
    </row>
    <row r="1276" spans="1:14" s="286" customFormat="1" x14ac:dyDescent="0.25">
      <c r="A1276" s="362"/>
      <c r="B1276" s="440"/>
      <c r="C1276" s="440"/>
      <c r="D1276" s="440"/>
      <c r="E1276" s="441"/>
      <c r="F1276" s="440"/>
      <c r="G1276" s="440"/>
      <c r="H1276" s="440"/>
      <c r="I1276" s="441"/>
      <c r="J1276" s="440"/>
      <c r="K1276" s="440"/>
      <c r="L1276" s="440"/>
      <c r="M1276" s="352"/>
      <c r="N1276" s="347"/>
    </row>
    <row r="1277" spans="1:14" x14ac:dyDescent="0.25">
      <c r="A1277" s="357" t="s">
        <v>32</v>
      </c>
      <c r="B1277" s="450">
        <f>SUM(B1267:B1275)</f>
        <v>16.446000000144835</v>
      </c>
      <c r="C1277" s="450">
        <f t="shared" ref="C1277:D1277" si="463">SUM(C1267:C1275)</f>
        <v>40.676999999809624</v>
      </c>
      <c r="D1277" s="450">
        <f t="shared" si="463"/>
        <v>57.122999999954459</v>
      </c>
      <c r="E1277" s="450"/>
      <c r="F1277" s="450">
        <f t="shared" ref="F1277:H1277" si="464">SUM(F1267:F1275)</f>
        <v>19.397000000258689</v>
      </c>
      <c r="G1277" s="450">
        <f t="shared" si="464"/>
        <v>37.100999999765307</v>
      </c>
      <c r="H1277" s="450">
        <f t="shared" si="464"/>
        <v>56.498000000024</v>
      </c>
      <c r="I1277" s="450"/>
      <c r="J1277" s="450">
        <f t="shared" ref="J1277:L1277" si="465">SUM(J1267:J1275)</f>
        <v>19.839000000187415</v>
      </c>
      <c r="K1277" s="450">
        <f t="shared" si="465"/>
        <v>40.910999999933232</v>
      </c>
      <c r="L1277" s="450">
        <f t="shared" si="465"/>
        <v>60.750000000120636</v>
      </c>
      <c r="M1277" s="352"/>
      <c r="N1277" s="347"/>
    </row>
    <row r="1278" spans="1:14" x14ac:dyDescent="0.25">
      <c r="A1278" s="348"/>
      <c r="B1278" s="348"/>
      <c r="C1278" s="348"/>
      <c r="D1278" s="348"/>
      <c r="E1278" s="348"/>
      <c r="F1278" s="348"/>
      <c r="G1278" s="348"/>
      <c r="H1278" s="348"/>
      <c r="I1278" s="348"/>
      <c r="J1278" s="348"/>
      <c r="K1278" s="348"/>
      <c r="L1278" s="353"/>
      <c r="M1278" s="352"/>
      <c r="N1278" s="347"/>
    </row>
    <row r="1279" spans="1:14" x14ac:dyDescent="0.25">
      <c r="A1279" s="348"/>
      <c r="B1279" s="348"/>
      <c r="C1279" s="348"/>
      <c r="D1279" s="348"/>
      <c r="E1279" s="348"/>
      <c r="F1279" s="348"/>
      <c r="G1279" s="348"/>
      <c r="H1279" s="348"/>
      <c r="I1279" s="348"/>
      <c r="J1279" s="348"/>
      <c r="K1279" s="348"/>
      <c r="L1279" s="372" t="s">
        <v>35</v>
      </c>
      <c r="M1279" s="352"/>
      <c r="N1279" s="347"/>
    </row>
    <row r="1280" spans="1:14" x14ac:dyDescent="0.25">
      <c r="A1280" s="355"/>
      <c r="B1280" s="365"/>
      <c r="C1280" s="365"/>
      <c r="D1280" s="365"/>
      <c r="E1280" s="365"/>
      <c r="F1280" s="365"/>
      <c r="G1280" s="365"/>
      <c r="H1280" s="365"/>
      <c r="I1280" s="365"/>
      <c r="J1280" s="365"/>
      <c r="K1280" s="365"/>
      <c r="L1280" s="347"/>
      <c r="M1280" s="352"/>
      <c r="N1280" s="347"/>
    </row>
    <row r="1281" spans="1:14" x14ac:dyDescent="0.25">
      <c r="A1281" s="354" t="str">
        <f>name!A78</f>
        <v>Other personal service</v>
      </c>
      <c r="B1281" s="515">
        <f>B$6</f>
        <v>2007</v>
      </c>
      <c r="C1281" s="515"/>
      <c r="D1281" s="515"/>
      <c r="E1281" s="369"/>
      <c r="F1281" s="515">
        <f>F$6</f>
        <v>2017</v>
      </c>
      <c r="G1281" s="515"/>
      <c r="H1281" s="515"/>
      <c r="I1281" s="369"/>
      <c r="J1281" s="515">
        <f>J$6</f>
        <v>2027</v>
      </c>
      <c r="K1281" s="515"/>
      <c r="L1281" s="515"/>
      <c r="M1281" s="352"/>
      <c r="N1281" s="347"/>
    </row>
    <row r="1282" spans="1:14" x14ac:dyDescent="0.25">
      <c r="A1282" s="370"/>
      <c r="B1282" s="371" t="s">
        <v>387</v>
      </c>
      <c r="C1282" s="371" t="s">
        <v>388</v>
      </c>
      <c r="D1282" s="371" t="s">
        <v>32</v>
      </c>
      <c r="E1282" s="371"/>
      <c r="F1282" s="371" t="s">
        <v>387</v>
      </c>
      <c r="G1282" s="371" t="s">
        <v>388</v>
      </c>
      <c r="H1282" s="371" t="s">
        <v>32</v>
      </c>
      <c r="I1282" s="371"/>
      <c r="J1282" s="371" t="s">
        <v>387</v>
      </c>
      <c r="K1282" s="371" t="s">
        <v>388</v>
      </c>
      <c r="L1282" s="371" t="s">
        <v>32</v>
      </c>
      <c r="M1282" s="352"/>
      <c r="N1282" s="347"/>
    </row>
    <row r="1283" spans="1:14" s="286" customFormat="1" x14ac:dyDescent="0.25">
      <c r="A1283" s="374"/>
      <c r="B1283" s="375"/>
      <c r="C1283" s="375"/>
      <c r="D1283" s="375"/>
      <c r="E1283" s="375"/>
      <c r="F1283" s="375"/>
      <c r="G1283" s="375"/>
      <c r="H1283" s="375"/>
      <c r="I1283" s="375"/>
      <c r="J1283" s="375"/>
      <c r="K1283" s="375"/>
      <c r="L1283" s="375"/>
      <c r="M1283" s="352"/>
      <c r="N1283" s="347"/>
    </row>
    <row r="1284" spans="1:14" x14ac:dyDescent="0.25">
      <c r="A1284" s="362" t="str">
        <f>name!E$4</f>
        <v>Managers, directors and senior officials</v>
      </c>
      <c r="B1284" s="440">
        <v>16.469578657074752</v>
      </c>
      <c r="C1284" s="440">
        <v>32.058911121842804</v>
      </c>
      <c r="D1284" s="440">
        <f>SUM(B1284:C1284)</f>
        <v>48.52848977891756</v>
      </c>
      <c r="E1284" s="441"/>
      <c r="F1284" s="440">
        <v>26.07784536707106</v>
      </c>
      <c r="G1284" s="440">
        <v>24.948801449200392</v>
      </c>
      <c r="H1284" s="440">
        <f>SUM(F1284:G1284)</f>
        <v>51.026646816271452</v>
      </c>
      <c r="I1284" s="441"/>
      <c r="J1284" s="440">
        <v>33.576649643626489</v>
      </c>
      <c r="K1284" s="440">
        <v>27.927127313785228</v>
      </c>
      <c r="L1284" s="440">
        <f>SUM(J1284:K1284)</f>
        <v>61.503776957411716</v>
      </c>
      <c r="M1284" s="352"/>
      <c r="N1284" s="347"/>
    </row>
    <row r="1285" spans="1:14" x14ac:dyDescent="0.25">
      <c r="A1285" s="362" t="str">
        <f>name!E$5</f>
        <v>Professional occupations</v>
      </c>
      <c r="B1285" s="440">
        <v>14.590506558870098</v>
      </c>
      <c r="C1285" s="440">
        <v>22.760182189322958</v>
      </c>
      <c r="D1285" s="440">
        <f t="shared" ref="D1285:D1292" si="466">SUM(B1285:C1285)</f>
        <v>37.350688748193058</v>
      </c>
      <c r="E1285" s="441"/>
      <c r="F1285" s="440">
        <v>20.93073731010098</v>
      </c>
      <c r="G1285" s="440">
        <v>17.674391557778542</v>
      </c>
      <c r="H1285" s="440">
        <f t="shared" ref="H1285:H1292" si="467">SUM(F1285:G1285)</f>
        <v>38.605128867879522</v>
      </c>
      <c r="I1285" s="441"/>
      <c r="J1285" s="440">
        <v>28.363124732955704</v>
      </c>
      <c r="K1285" s="440">
        <v>19.863551534772025</v>
      </c>
      <c r="L1285" s="440">
        <f t="shared" ref="L1285:L1292" si="468">SUM(J1285:K1285)</f>
        <v>48.226676267727726</v>
      </c>
      <c r="M1285" s="352"/>
      <c r="N1285" s="347"/>
    </row>
    <row r="1286" spans="1:14" x14ac:dyDescent="0.25">
      <c r="A1286" s="362" t="str">
        <f>name!E$6</f>
        <v>Associate professional and technical</v>
      </c>
      <c r="B1286" s="440">
        <v>23.177757455578014</v>
      </c>
      <c r="C1286" s="440">
        <v>32.151042785934614</v>
      </c>
      <c r="D1286" s="440">
        <f t="shared" si="466"/>
        <v>55.328800241512624</v>
      </c>
      <c r="E1286" s="441"/>
      <c r="F1286" s="440">
        <v>33.661110861318726</v>
      </c>
      <c r="G1286" s="440">
        <v>27.344325833950258</v>
      </c>
      <c r="H1286" s="440">
        <f t="shared" si="467"/>
        <v>61.005436695268983</v>
      </c>
      <c r="I1286" s="441"/>
      <c r="J1286" s="440">
        <v>41.494668298360025</v>
      </c>
      <c r="K1286" s="440">
        <v>31.176859147880077</v>
      </c>
      <c r="L1286" s="440">
        <f t="shared" si="468"/>
        <v>72.671527446240106</v>
      </c>
      <c r="M1286" s="352"/>
      <c r="N1286" s="347"/>
    </row>
    <row r="1287" spans="1:14" x14ac:dyDescent="0.25">
      <c r="A1287" s="362" t="str">
        <f>name!E$7</f>
        <v>Administrative and secretarial</v>
      </c>
      <c r="B1287" s="440">
        <v>25.035513398326245</v>
      </c>
      <c r="C1287" s="440">
        <v>7.4435128530793664</v>
      </c>
      <c r="D1287" s="440">
        <f t="shared" si="466"/>
        <v>32.479026251405614</v>
      </c>
      <c r="E1287" s="441"/>
      <c r="F1287" s="440">
        <v>26.075868003299799</v>
      </c>
      <c r="G1287" s="440">
        <v>5.302198139459362</v>
      </c>
      <c r="H1287" s="440">
        <f t="shared" si="467"/>
        <v>31.37806614275916</v>
      </c>
      <c r="I1287" s="441"/>
      <c r="J1287" s="440">
        <v>23.727230501270267</v>
      </c>
      <c r="K1287" s="440">
        <v>6.2419871657279344</v>
      </c>
      <c r="L1287" s="440">
        <f t="shared" si="468"/>
        <v>29.969217666998201</v>
      </c>
      <c r="M1287" s="352"/>
      <c r="N1287" s="347"/>
    </row>
    <row r="1288" spans="1:14" x14ac:dyDescent="0.25">
      <c r="A1288" s="362" t="str">
        <f>name!E$8</f>
        <v>Skilled trades occupations</v>
      </c>
      <c r="B1288" s="440">
        <v>3.2399229646015719</v>
      </c>
      <c r="C1288" s="440">
        <v>23.373090975463313</v>
      </c>
      <c r="D1288" s="440">
        <f t="shared" si="466"/>
        <v>26.613013940064885</v>
      </c>
      <c r="E1288" s="441"/>
      <c r="F1288" s="440">
        <v>5.5161454682137476</v>
      </c>
      <c r="G1288" s="440">
        <v>16.383899838054003</v>
      </c>
      <c r="H1288" s="440">
        <f t="shared" si="467"/>
        <v>21.900045306267749</v>
      </c>
      <c r="I1288" s="441"/>
      <c r="J1288" s="440">
        <v>7.9590110774245604</v>
      </c>
      <c r="K1288" s="440">
        <v>18.357505560510479</v>
      </c>
      <c r="L1288" s="440">
        <f t="shared" si="468"/>
        <v>26.316516637935038</v>
      </c>
      <c r="M1288" s="352"/>
      <c r="N1288" s="347"/>
    </row>
    <row r="1289" spans="1:14" x14ac:dyDescent="0.25">
      <c r="A1289" s="362" t="str">
        <f>name!E$9</f>
        <v>Caring, leisure and other service</v>
      </c>
      <c r="B1289" s="440">
        <v>175.5675062132978</v>
      </c>
      <c r="C1289" s="440">
        <v>69.323914260317224</v>
      </c>
      <c r="D1289" s="440">
        <f t="shared" si="466"/>
        <v>244.89142047361503</v>
      </c>
      <c r="E1289" s="441"/>
      <c r="F1289" s="440">
        <v>196.49810313912548</v>
      </c>
      <c r="G1289" s="440">
        <v>54.496535303971363</v>
      </c>
      <c r="H1289" s="440">
        <f t="shared" si="467"/>
        <v>250.99463844309685</v>
      </c>
      <c r="I1289" s="441"/>
      <c r="J1289" s="440">
        <v>181.26097965526438</v>
      </c>
      <c r="K1289" s="440">
        <v>56.884786154901462</v>
      </c>
      <c r="L1289" s="440">
        <f t="shared" si="468"/>
        <v>238.14576581016584</v>
      </c>
      <c r="M1289" s="352"/>
      <c r="N1289" s="347"/>
    </row>
    <row r="1290" spans="1:14" x14ac:dyDescent="0.25">
      <c r="A1290" s="362" t="str">
        <f>name!E$10</f>
        <v>Sales and customer service</v>
      </c>
      <c r="B1290" s="440">
        <v>9.2909985905696999</v>
      </c>
      <c r="C1290" s="440">
        <v>6.6208179089565569</v>
      </c>
      <c r="D1290" s="440">
        <f t="shared" si="466"/>
        <v>15.911816499526257</v>
      </c>
      <c r="E1290" s="441"/>
      <c r="F1290" s="440">
        <v>10.926712086707331</v>
      </c>
      <c r="G1290" s="440">
        <v>6.7595057893947788</v>
      </c>
      <c r="H1290" s="440">
        <f t="shared" si="467"/>
        <v>17.686217876102109</v>
      </c>
      <c r="I1290" s="441"/>
      <c r="J1290" s="440">
        <v>11.365033644450396</v>
      </c>
      <c r="K1290" s="440">
        <v>7.6019821333806075</v>
      </c>
      <c r="L1290" s="440">
        <f t="shared" si="468"/>
        <v>18.967015777831001</v>
      </c>
      <c r="M1290" s="352"/>
      <c r="N1290" s="347"/>
    </row>
    <row r="1291" spans="1:14" x14ac:dyDescent="0.25">
      <c r="A1291" s="362" t="str">
        <f>name!E$11</f>
        <v>Process, plant and machine operatives</v>
      </c>
      <c r="B1291" s="440">
        <v>1.6806014602996471</v>
      </c>
      <c r="C1291" s="440">
        <v>21.128696691819645</v>
      </c>
      <c r="D1291" s="440">
        <f t="shared" si="466"/>
        <v>22.809298152119293</v>
      </c>
      <c r="E1291" s="441"/>
      <c r="F1291" s="440">
        <v>1.4630470999228438</v>
      </c>
      <c r="G1291" s="440">
        <v>11.577794524977676</v>
      </c>
      <c r="H1291" s="440">
        <f t="shared" si="467"/>
        <v>13.040841624900519</v>
      </c>
      <c r="I1291" s="441"/>
      <c r="J1291" s="440">
        <v>1.1632695029370104</v>
      </c>
      <c r="K1291" s="440">
        <v>11.054619814111273</v>
      </c>
      <c r="L1291" s="440">
        <f t="shared" si="468"/>
        <v>12.217889317048284</v>
      </c>
      <c r="M1291" s="352"/>
      <c r="N1291" s="347"/>
    </row>
    <row r="1292" spans="1:14" x14ac:dyDescent="0.25">
      <c r="A1292" s="362" t="str">
        <f>name!E$12</f>
        <v>Elementary occupations</v>
      </c>
      <c r="B1292" s="440">
        <v>30.897614701866164</v>
      </c>
      <c r="C1292" s="440">
        <v>35.812831212112798</v>
      </c>
      <c r="D1292" s="440">
        <f t="shared" si="466"/>
        <v>66.710445913978958</v>
      </c>
      <c r="E1292" s="441"/>
      <c r="F1292" s="440">
        <v>17.560430668134231</v>
      </c>
      <c r="G1292" s="440">
        <v>27.590547562692869</v>
      </c>
      <c r="H1292" s="440">
        <f t="shared" si="467"/>
        <v>45.1509782308271</v>
      </c>
      <c r="I1292" s="441"/>
      <c r="J1292" s="440">
        <v>17.333032945993796</v>
      </c>
      <c r="K1292" s="440">
        <v>30.399581173607434</v>
      </c>
      <c r="L1292" s="440">
        <f t="shared" si="468"/>
        <v>47.73261411960123</v>
      </c>
      <c r="M1292" s="352"/>
      <c r="N1292" s="347"/>
    </row>
    <row r="1293" spans="1:14" s="286" customFormat="1" x14ac:dyDescent="0.25">
      <c r="A1293" s="362"/>
      <c r="B1293" s="440"/>
      <c r="C1293" s="440"/>
      <c r="D1293" s="440"/>
      <c r="E1293" s="441"/>
      <c r="F1293" s="440"/>
      <c r="G1293" s="440"/>
      <c r="H1293" s="440"/>
      <c r="I1293" s="441"/>
      <c r="J1293" s="440"/>
      <c r="K1293" s="440"/>
      <c r="L1293" s="440"/>
      <c r="M1293" s="352"/>
      <c r="N1293" s="347"/>
    </row>
    <row r="1294" spans="1:14" x14ac:dyDescent="0.25">
      <c r="A1294" s="357" t="s">
        <v>32</v>
      </c>
      <c r="B1294" s="450">
        <f>SUM(B1284:B1292)</f>
        <v>299.95000000048407</v>
      </c>
      <c r="C1294" s="450">
        <f t="shared" ref="C1294:D1294" si="469">SUM(C1284:C1292)</f>
        <v>250.67299999884929</v>
      </c>
      <c r="D1294" s="450">
        <f t="shared" si="469"/>
        <v>550.62299999933327</v>
      </c>
      <c r="E1294" s="450"/>
      <c r="F1294" s="450">
        <f t="shared" ref="F1294:H1294" si="470">SUM(F1284:F1292)</f>
        <v>338.71000000389421</v>
      </c>
      <c r="G1294" s="450">
        <f t="shared" si="470"/>
        <v>192.07799999947926</v>
      </c>
      <c r="H1294" s="450">
        <f t="shared" si="470"/>
        <v>530.78800000337344</v>
      </c>
      <c r="I1294" s="450"/>
      <c r="J1294" s="450">
        <f t="shared" ref="J1294:L1294" si="471">SUM(J1284:J1292)</f>
        <v>346.24300000228266</v>
      </c>
      <c r="K1294" s="450">
        <f t="shared" si="471"/>
        <v>209.5079999986765</v>
      </c>
      <c r="L1294" s="450">
        <f t="shared" si="471"/>
        <v>555.75100000095915</v>
      </c>
      <c r="M1294" s="352"/>
      <c r="N1294" s="347"/>
    </row>
    <row r="1295" spans="1:14" x14ac:dyDescent="0.25">
      <c r="A1295" s="348"/>
      <c r="B1295" s="348"/>
      <c r="C1295" s="348"/>
      <c r="D1295" s="348"/>
      <c r="E1295" s="348"/>
      <c r="F1295" s="348"/>
      <c r="G1295" s="348"/>
      <c r="H1295" s="348"/>
      <c r="I1295" s="348"/>
      <c r="J1295" s="348"/>
      <c r="K1295" s="348"/>
      <c r="L1295" s="353"/>
      <c r="M1295" s="352"/>
      <c r="N1295" s="347"/>
    </row>
  </sheetData>
  <mergeCells count="228"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</mergeCells>
  <pageMargins left="0.7" right="0.7" top="0.75" bottom="0.75" header="0.3" footer="0.3"/>
  <pageSetup paperSize="9" scale="78" orientation="portrait" r:id="rId1"/>
  <rowBreaks count="19" manualBreakCount="19">
    <brk id="54" max="16383" man="1"/>
    <brk id="122" max="11" man="1"/>
    <brk id="190" max="11" man="1"/>
    <brk id="258" max="11" man="1"/>
    <brk id="326" max="11" man="1"/>
    <brk id="394" max="11" man="1"/>
    <brk id="462" max="11" man="1"/>
    <brk id="530" max="11" man="1"/>
    <brk id="598" max="11" man="1"/>
    <brk id="666" max="11" man="1"/>
    <brk id="734" max="11" man="1"/>
    <brk id="802" max="11" man="1"/>
    <brk id="870" max="11" man="1"/>
    <brk id="938" max="11" man="1"/>
    <brk id="1006" max="11" man="1"/>
    <brk id="1074" max="11" man="1"/>
    <brk id="1142" max="11" man="1"/>
    <brk id="1210" max="11" man="1"/>
    <brk id="1278" max="11" man="1"/>
  </rowBreaks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>
    <pageSetUpPr fitToPage="1"/>
  </sheetPr>
  <dimension ref="A1:W1295"/>
  <sheetViews>
    <sheetView showGridLines="0" zoomScale="85" zoomScaleNormal="85" workbookViewId="0"/>
  </sheetViews>
  <sheetFormatPr defaultRowHeight="13.2" x14ac:dyDescent="0.25"/>
  <cols>
    <col min="1" max="1" width="33.109375" bestFit="1" customWidth="1"/>
    <col min="2" max="2" width="6.6640625" customWidth="1"/>
    <col min="3" max="4" width="5.5546875" customWidth="1"/>
    <col min="5" max="5" width="6.6640625" customWidth="1"/>
    <col min="6" max="6" width="4.6640625" customWidth="1"/>
    <col min="7" max="7" width="6.6640625" customWidth="1"/>
    <col min="8" max="9" width="5.5546875" customWidth="1"/>
    <col min="10" max="10" width="6.6640625" customWidth="1"/>
    <col min="11" max="11" width="4.88671875" customWidth="1"/>
    <col min="12" max="13" width="6.6640625" customWidth="1"/>
    <col min="14" max="14" width="5.5546875" customWidth="1"/>
    <col min="15" max="15" width="6.6640625" customWidth="1"/>
    <col min="259" max="259" width="33.109375" bestFit="1" customWidth="1"/>
    <col min="260" max="262" width="7.109375" customWidth="1"/>
    <col min="263" max="263" width="5" customWidth="1"/>
    <col min="264" max="266" width="7.109375" customWidth="1"/>
    <col min="267" max="267" width="5" customWidth="1"/>
    <col min="268" max="270" width="7.109375" customWidth="1"/>
    <col min="515" max="515" width="33.109375" bestFit="1" customWidth="1"/>
    <col min="516" max="518" width="7.109375" customWidth="1"/>
    <col min="519" max="519" width="5" customWidth="1"/>
    <col min="520" max="522" width="7.109375" customWidth="1"/>
    <col min="523" max="523" width="5" customWidth="1"/>
    <col min="524" max="526" width="7.109375" customWidth="1"/>
    <col min="771" max="771" width="33.109375" bestFit="1" customWidth="1"/>
    <col min="772" max="774" width="7.109375" customWidth="1"/>
    <col min="775" max="775" width="5" customWidth="1"/>
    <col min="776" max="778" width="7.109375" customWidth="1"/>
    <col min="779" max="779" width="5" customWidth="1"/>
    <col min="780" max="782" width="7.109375" customWidth="1"/>
    <col min="1027" max="1027" width="33.109375" bestFit="1" customWidth="1"/>
    <col min="1028" max="1030" width="7.109375" customWidth="1"/>
    <col min="1031" max="1031" width="5" customWidth="1"/>
    <col min="1032" max="1034" width="7.109375" customWidth="1"/>
    <col min="1035" max="1035" width="5" customWidth="1"/>
    <col min="1036" max="1038" width="7.109375" customWidth="1"/>
    <col min="1283" max="1283" width="33.109375" bestFit="1" customWidth="1"/>
    <col min="1284" max="1286" width="7.109375" customWidth="1"/>
    <col min="1287" max="1287" width="5" customWidth="1"/>
    <col min="1288" max="1290" width="7.109375" customWidth="1"/>
    <col min="1291" max="1291" width="5" customWidth="1"/>
    <col min="1292" max="1294" width="7.109375" customWidth="1"/>
    <col min="1539" max="1539" width="33.109375" bestFit="1" customWidth="1"/>
    <col min="1540" max="1542" width="7.109375" customWidth="1"/>
    <col min="1543" max="1543" width="5" customWidth="1"/>
    <col min="1544" max="1546" width="7.109375" customWidth="1"/>
    <col min="1547" max="1547" width="5" customWidth="1"/>
    <col min="1548" max="1550" width="7.109375" customWidth="1"/>
    <col min="1795" max="1795" width="33.109375" bestFit="1" customWidth="1"/>
    <col min="1796" max="1798" width="7.109375" customWidth="1"/>
    <col min="1799" max="1799" width="5" customWidth="1"/>
    <col min="1800" max="1802" width="7.109375" customWidth="1"/>
    <col min="1803" max="1803" width="5" customWidth="1"/>
    <col min="1804" max="1806" width="7.109375" customWidth="1"/>
    <col min="2051" max="2051" width="33.109375" bestFit="1" customWidth="1"/>
    <col min="2052" max="2054" width="7.109375" customWidth="1"/>
    <col min="2055" max="2055" width="5" customWidth="1"/>
    <col min="2056" max="2058" width="7.109375" customWidth="1"/>
    <col min="2059" max="2059" width="5" customWidth="1"/>
    <col min="2060" max="2062" width="7.109375" customWidth="1"/>
    <col min="2307" max="2307" width="33.109375" bestFit="1" customWidth="1"/>
    <col min="2308" max="2310" width="7.109375" customWidth="1"/>
    <col min="2311" max="2311" width="5" customWidth="1"/>
    <col min="2312" max="2314" width="7.109375" customWidth="1"/>
    <col min="2315" max="2315" width="5" customWidth="1"/>
    <col min="2316" max="2318" width="7.109375" customWidth="1"/>
    <col min="2563" max="2563" width="33.109375" bestFit="1" customWidth="1"/>
    <col min="2564" max="2566" width="7.109375" customWidth="1"/>
    <col min="2567" max="2567" width="5" customWidth="1"/>
    <col min="2568" max="2570" width="7.109375" customWidth="1"/>
    <col min="2571" max="2571" width="5" customWidth="1"/>
    <col min="2572" max="2574" width="7.109375" customWidth="1"/>
    <col min="2819" max="2819" width="33.109375" bestFit="1" customWidth="1"/>
    <col min="2820" max="2822" width="7.109375" customWidth="1"/>
    <col min="2823" max="2823" width="5" customWidth="1"/>
    <col min="2824" max="2826" width="7.109375" customWidth="1"/>
    <col min="2827" max="2827" width="5" customWidth="1"/>
    <col min="2828" max="2830" width="7.109375" customWidth="1"/>
    <col min="3075" max="3075" width="33.109375" bestFit="1" customWidth="1"/>
    <col min="3076" max="3078" width="7.109375" customWidth="1"/>
    <col min="3079" max="3079" width="5" customWidth="1"/>
    <col min="3080" max="3082" width="7.109375" customWidth="1"/>
    <col min="3083" max="3083" width="5" customWidth="1"/>
    <col min="3084" max="3086" width="7.109375" customWidth="1"/>
    <col min="3331" max="3331" width="33.109375" bestFit="1" customWidth="1"/>
    <col min="3332" max="3334" width="7.109375" customWidth="1"/>
    <col min="3335" max="3335" width="5" customWidth="1"/>
    <col min="3336" max="3338" width="7.109375" customWidth="1"/>
    <col min="3339" max="3339" width="5" customWidth="1"/>
    <col min="3340" max="3342" width="7.109375" customWidth="1"/>
    <col min="3587" max="3587" width="33.109375" bestFit="1" customWidth="1"/>
    <col min="3588" max="3590" width="7.109375" customWidth="1"/>
    <col min="3591" max="3591" width="5" customWidth="1"/>
    <col min="3592" max="3594" width="7.109375" customWidth="1"/>
    <col min="3595" max="3595" width="5" customWidth="1"/>
    <col min="3596" max="3598" width="7.109375" customWidth="1"/>
    <col min="3843" max="3843" width="33.109375" bestFit="1" customWidth="1"/>
    <col min="3844" max="3846" width="7.109375" customWidth="1"/>
    <col min="3847" max="3847" width="5" customWidth="1"/>
    <col min="3848" max="3850" width="7.109375" customWidth="1"/>
    <col min="3851" max="3851" width="5" customWidth="1"/>
    <col min="3852" max="3854" width="7.109375" customWidth="1"/>
    <col min="4099" max="4099" width="33.109375" bestFit="1" customWidth="1"/>
    <col min="4100" max="4102" width="7.109375" customWidth="1"/>
    <col min="4103" max="4103" width="5" customWidth="1"/>
    <col min="4104" max="4106" width="7.109375" customWidth="1"/>
    <col min="4107" max="4107" width="5" customWidth="1"/>
    <col min="4108" max="4110" width="7.109375" customWidth="1"/>
    <col min="4355" max="4355" width="33.109375" bestFit="1" customWidth="1"/>
    <col min="4356" max="4358" width="7.109375" customWidth="1"/>
    <col min="4359" max="4359" width="5" customWidth="1"/>
    <col min="4360" max="4362" width="7.109375" customWidth="1"/>
    <col min="4363" max="4363" width="5" customWidth="1"/>
    <col min="4364" max="4366" width="7.109375" customWidth="1"/>
    <col min="4611" max="4611" width="33.109375" bestFit="1" customWidth="1"/>
    <col min="4612" max="4614" width="7.109375" customWidth="1"/>
    <col min="4615" max="4615" width="5" customWidth="1"/>
    <col min="4616" max="4618" width="7.109375" customWidth="1"/>
    <col min="4619" max="4619" width="5" customWidth="1"/>
    <col min="4620" max="4622" width="7.109375" customWidth="1"/>
    <col min="4867" max="4867" width="33.109375" bestFit="1" customWidth="1"/>
    <col min="4868" max="4870" width="7.109375" customWidth="1"/>
    <col min="4871" max="4871" width="5" customWidth="1"/>
    <col min="4872" max="4874" width="7.109375" customWidth="1"/>
    <col min="4875" max="4875" width="5" customWidth="1"/>
    <col min="4876" max="4878" width="7.109375" customWidth="1"/>
    <col min="5123" max="5123" width="33.109375" bestFit="1" customWidth="1"/>
    <col min="5124" max="5126" width="7.109375" customWidth="1"/>
    <col min="5127" max="5127" width="5" customWidth="1"/>
    <col min="5128" max="5130" width="7.109375" customWidth="1"/>
    <col min="5131" max="5131" width="5" customWidth="1"/>
    <col min="5132" max="5134" width="7.109375" customWidth="1"/>
    <col min="5379" max="5379" width="33.109375" bestFit="1" customWidth="1"/>
    <col min="5380" max="5382" width="7.109375" customWidth="1"/>
    <col min="5383" max="5383" width="5" customWidth="1"/>
    <col min="5384" max="5386" width="7.109375" customWidth="1"/>
    <col min="5387" max="5387" width="5" customWidth="1"/>
    <col min="5388" max="5390" width="7.109375" customWidth="1"/>
    <col min="5635" max="5635" width="33.109375" bestFit="1" customWidth="1"/>
    <col min="5636" max="5638" width="7.109375" customWidth="1"/>
    <col min="5639" max="5639" width="5" customWidth="1"/>
    <col min="5640" max="5642" width="7.109375" customWidth="1"/>
    <col min="5643" max="5643" width="5" customWidth="1"/>
    <col min="5644" max="5646" width="7.109375" customWidth="1"/>
    <col min="5891" max="5891" width="33.109375" bestFit="1" customWidth="1"/>
    <col min="5892" max="5894" width="7.109375" customWidth="1"/>
    <col min="5895" max="5895" width="5" customWidth="1"/>
    <col min="5896" max="5898" width="7.109375" customWidth="1"/>
    <col min="5899" max="5899" width="5" customWidth="1"/>
    <col min="5900" max="5902" width="7.109375" customWidth="1"/>
    <col min="6147" max="6147" width="33.109375" bestFit="1" customWidth="1"/>
    <col min="6148" max="6150" width="7.109375" customWidth="1"/>
    <col min="6151" max="6151" width="5" customWidth="1"/>
    <col min="6152" max="6154" width="7.109375" customWidth="1"/>
    <col min="6155" max="6155" width="5" customWidth="1"/>
    <col min="6156" max="6158" width="7.109375" customWidth="1"/>
    <col min="6403" max="6403" width="33.109375" bestFit="1" customWidth="1"/>
    <col min="6404" max="6406" width="7.109375" customWidth="1"/>
    <col min="6407" max="6407" width="5" customWidth="1"/>
    <col min="6408" max="6410" width="7.109375" customWidth="1"/>
    <col min="6411" max="6411" width="5" customWidth="1"/>
    <col min="6412" max="6414" width="7.109375" customWidth="1"/>
    <col min="6659" max="6659" width="33.109375" bestFit="1" customWidth="1"/>
    <col min="6660" max="6662" width="7.109375" customWidth="1"/>
    <col min="6663" max="6663" width="5" customWidth="1"/>
    <col min="6664" max="6666" width="7.109375" customWidth="1"/>
    <col min="6667" max="6667" width="5" customWidth="1"/>
    <col min="6668" max="6670" width="7.109375" customWidth="1"/>
    <col min="6915" max="6915" width="33.109375" bestFit="1" customWidth="1"/>
    <col min="6916" max="6918" width="7.109375" customWidth="1"/>
    <col min="6919" max="6919" width="5" customWidth="1"/>
    <col min="6920" max="6922" width="7.109375" customWidth="1"/>
    <col min="6923" max="6923" width="5" customWidth="1"/>
    <col min="6924" max="6926" width="7.109375" customWidth="1"/>
    <col min="7171" max="7171" width="33.109375" bestFit="1" customWidth="1"/>
    <col min="7172" max="7174" width="7.109375" customWidth="1"/>
    <col min="7175" max="7175" width="5" customWidth="1"/>
    <col min="7176" max="7178" width="7.109375" customWidth="1"/>
    <col min="7179" max="7179" width="5" customWidth="1"/>
    <col min="7180" max="7182" width="7.109375" customWidth="1"/>
    <col min="7427" max="7427" width="33.109375" bestFit="1" customWidth="1"/>
    <col min="7428" max="7430" width="7.109375" customWidth="1"/>
    <col min="7431" max="7431" width="5" customWidth="1"/>
    <col min="7432" max="7434" width="7.109375" customWidth="1"/>
    <col min="7435" max="7435" width="5" customWidth="1"/>
    <col min="7436" max="7438" width="7.109375" customWidth="1"/>
    <col min="7683" max="7683" width="33.109375" bestFit="1" customWidth="1"/>
    <col min="7684" max="7686" width="7.109375" customWidth="1"/>
    <col min="7687" max="7687" width="5" customWidth="1"/>
    <col min="7688" max="7690" width="7.109375" customWidth="1"/>
    <col min="7691" max="7691" width="5" customWidth="1"/>
    <col min="7692" max="7694" width="7.109375" customWidth="1"/>
    <col min="7939" max="7939" width="33.109375" bestFit="1" customWidth="1"/>
    <col min="7940" max="7942" width="7.109375" customWidth="1"/>
    <col min="7943" max="7943" width="5" customWidth="1"/>
    <col min="7944" max="7946" width="7.109375" customWidth="1"/>
    <col min="7947" max="7947" width="5" customWidth="1"/>
    <col min="7948" max="7950" width="7.109375" customWidth="1"/>
    <col min="8195" max="8195" width="33.109375" bestFit="1" customWidth="1"/>
    <col min="8196" max="8198" width="7.109375" customWidth="1"/>
    <col min="8199" max="8199" width="5" customWidth="1"/>
    <col min="8200" max="8202" width="7.109375" customWidth="1"/>
    <col min="8203" max="8203" width="5" customWidth="1"/>
    <col min="8204" max="8206" width="7.109375" customWidth="1"/>
    <col min="8451" max="8451" width="33.109375" bestFit="1" customWidth="1"/>
    <col min="8452" max="8454" width="7.109375" customWidth="1"/>
    <col min="8455" max="8455" width="5" customWidth="1"/>
    <col min="8456" max="8458" width="7.109375" customWidth="1"/>
    <col min="8459" max="8459" width="5" customWidth="1"/>
    <col min="8460" max="8462" width="7.109375" customWidth="1"/>
    <col min="8707" max="8707" width="33.109375" bestFit="1" customWidth="1"/>
    <col min="8708" max="8710" width="7.109375" customWidth="1"/>
    <col min="8711" max="8711" width="5" customWidth="1"/>
    <col min="8712" max="8714" width="7.109375" customWidth="1"/>
    <col min="8715" max="8715" width="5" customWidth="1"/>
    <col min="8716" max="8718" width="7.109375" customWidth="1"/>
    <col min="8963" max="8963" width="33.109375" bestFit="1" customWidth="1"/>
    <col min="8964" max="8966" width="7.109375" customWidth="1"/>
    <col min="8967" max="8967" width="5" customWidth="1"/>
    <col min="8968" max="8970" width="7.109375" customWidth="1"/>
    <col min="8971" max="8971" width="5" customWidth="1"/>
    <col min="8972" max="8974" width="7.109375" customWidth="1"/>
    <col min="9219" max="9219" width="33.109375" bestFit="1" customWidth="1"/>
    <col min="9220" max="9222" width="7.109375" customWidth="1"/>
    <col min="9223" max="9223" width="5" customWidth="1"/>
    <col min="9224" max="9226" width="7.109375" customWidth="1"/>
    <col min="9227" max="9227" width="5" customWidth="1"/>
    <col min="9228" max="9230" width="7.109375" customWidth="1"/>
    <col min="9475" max="9475" width="33.109375" bestFit="1" customWidth="1"/>
    <col min="9476" max="9478" width="7.109375" customWidth="1"/>
    <col min="9479" max="9479" width="5" customWidth="1"/>
    <col min="9480" max="9482" width="7.109375" customWidth="1"/>
    <col min="9483" max="9483" width="5" customWidth="1"/>
    <col min="9484" max="9486" width="7.109375" customWidth="1"/>
    <col min="9731" max="9731" width="33.109375" bestFit="1" customWidth="1"/>
    <col min="9732" max="9734" width="7.109375" customWidth="1"/>
    <col min="9735" max="9735" width="5" customWidth="1"/>
    <col min="9736" max="9738" width="7.109375" customWidth="1"/>
    <col min="9739" max="9739" width="5" customWidth="1"/>
    <col min="9740" max="9742" width="7.109375" customWidth="1"/>
    <col min="9987" max="9987" width="33.109375" bestFit="1" customWidth="1"/>
    <col min="9988" max="9990" width="7.109375" customWidth="1"/>
    <col min="9991" max="9991" width="5" customWidth="1"/>
    <col min="9992" max="9994" width="7.109375" customWidth="1"/>
    <col min="9995" max="9995" width="5" customWidth="1"/>
    <col min="9996" max="9998" width="7.109375" customWidth="1"/>
    <col min="10243" max="10243" width="33.109375" bestFit="1" customWidth="1"/>
    <col min="10244" max="10246" width="7.109375" customWidth="1"/>
    <col min="10247" max="10247" width="5" customWidth="1"/>
    <col min="10248" max="10250" width="7.109375" customWidth="1"/>
    <col min="10251" max="10251" width="5" customWidth="1"/>
    <col min="10252" max="10254" width="7.109375" customWidth="1"/>
    <col min="10499" max="10499" width="33.109375" bestFit="1" customWidth="1"/>
    <col min="10500" max="10502" width="7.109375" customWidth="1"/>
    <col min="10503" max="10503" width="5" customWidth="1"/>
    <col min="10504" max="10506" width="7.109375" customWidth="1"/>
    <col min="10507" max="10507" width="5" customWidth="1"/>
    <col min="10508" max="10510" width="7.109375" customWidth="1"/>
    <col min="10755" max="10755" width="33.109375" bestFit="1" customWidth="1"/>
    <col min="10756" max="10758" width="7.109375" customWidth="1"/>
    <col min="10759" max="10759" width="5" customWidth="1"/>
    <col min="10760" max="10762" width="7.109375" customWidth="1"/>
    <col min="10763" max="10763" width="5" customWidth="1"/>
    <col min="10764" max="10766" width="7.109375" customWidth="1"/>
    <col min="11011" max="11011" width="33.109375" bestFit="1" customWidth="1"/>
    <col min="11012" max="11014" width="7.109375" customWidth="1"/>
    <col min="11015" max="11015" width="5" customWidth="1"/>
    <col min="11016" max="11018" width="7.109375" customWidth="1"/>
    <col min="11019" max="11019" width="5" customWidth="1"/>
    <col min="11020" max="11022" width="7.109375" customWidth="1"/>
    <col min="11267" max="11267" width="33.109375" bestFit="1" customWidth="1"/>
    <col min="11268" max="11270" width="7.109375" customWidth="1"/>
    <col min="11271" max="11271" width="5" customWidth="1"/>
    <col min="11272" max="11274" width="7.109375" customWidth="1"/>
    <col min="11275" max="11275" width="5" customWidth="1"/>
    <col min="11276" max="11278" width="7.109375" customWidth="1"/>
    <col min="11523" max="11523" width="33.109375" bestFit="1" customWidth="1"/>
    <col min="11524" max="11526" width="7.109375" customWidth="1"/>
    <col min="11527" max="11527" width="5" customWidth="1"/>
    <col min="11528" max="11530" width="7.109375" customWidth="1"/>
    <col min="11531" max="11531" width="5" customWidth="1"/>
    <col min="11532" max="11534" width="7.109375" customWidth="1"/>
    <col min="11779" max="11779" width="33.109375" bestFit="1" customWidth="1"/>
    <col min="11780" max="11782" width="7.109375" customWidth="1"/>
    <col min="11783" max="11783" width="5" customWidth="1"/>
    <col min="11784" max="11786" width="7.109375" customWidth="1"/>
    <col min="11787" max="11787" width="5" customWidth="1"/>
    <col min="11788" max="11790" width="7.109375" customWidth="1"/>
    <col min="12035" max="12035" width="33.109375" bestFit="1" customWidth="1"/>
    <col min="12036" max="12038" width="7.109375" customWidth="1"/>
    <col min="12039" max="12039" width="5" customWidth="1"/>
    <col min="12040" max="12042" width="7.109375" customWidth="1"/>
    <col min="12043" max="12043" width="5" customWidth="1"/>
    <col min="12044" max="12046" width="7.109375" customWidth="1"/>
    <col min="12291" max="12291" width="33.109375" bestFit="1" customWidth="1"/>
    <col min="12292" max="12294" width="7.109375" customWidth="1"/>
    <col min="12295" max="12295" width="5" customWidth="1"/>
    <col min="12296" max="12298" width="7.109375" customWidth="1"/>
    <col min="12299" max="12299" width="5" customWidth="1"/>
    <col min="12300" max="12302" width="7.109375" customWidth="1"/>
    <col min="12547" max="12547" width="33.109375" bestFit="1" customWidth="1"/>
    <col min="12548" max="12550" width="7.109375" customWidth="1"/>
    <col min="12551" max="12551" width="5" customWidth="1"/>
    <col min="12552" max="12554" width="7.109375" customWidth="1"/>
    <col min="12555" max="12555" width="5" customWidth="1"/>
    <col min="12556" max="12558" width="7.109375" customWidth="1"/>
    <col min="12803" max="12803" width="33.109375" bestFit="1" customWidth="1"/>
    <col min="12804" max="12806" width="7.109375" customWidth="1"/>
    <col min="12807" max="12807" width="5" customWidth="1"/>
    <col min="12808" max="12810" width="7.109375" customWidth="1"/>
    <col min="12811" max="12811" width="5" customWidth="1"/>
    <col min="12812" max="12814" width="7.109375" customWidth="1"/>
    <col min="13059" max="13059" width="33.109375" bestFit="1" customWidth="1"/>
    <col min="13060" max="13062" width="7.109375" customWidth="1"/>
    <col min="13063" max="13063" width="5" customWidth="1"/>
    <col min="13064" max="13066" width="7.109375" customWidth="1"/>
    <col min="13067" max="13067" width="5" customWidth="1"/>
    <col min="13068" max="13070" width="7.109375" customWidth="1"/>
    <col min="13315" max="13315" width="33.109375" bestFit="1" customWidth="1"/>
    <col min="13316" max="13318" width="7.109375" customWidth="1"/>
    <col min="13319" max="13319" width="5" customWidth="1"/>
    <col min="13320" max="13322" width="7.109375" customWidth="1"/>
    <col min="13323" max="13323" width="5" customWidth="1"/>
    <col min="13324" max="13326" width="7.109375" customWidth="1"/>
    <col min="13571" max="13571" width="33.109375" bestFit="1" customWidth="1"/>
    <col min="13572" max="13574" width="7.109375" customWidth="1"/>
    <col min="13575" max="13575" width="5" customWidth="1"/>
    <col min="13576" max="13578" width="7.109375" customWidth="1"/>
    <col min="13579" max="13579" width="5" customWidth="1"/>
    <col min="13580" max="13582" width="7.109375" customWidth="1"/>
    <col min="13827" max="13827" width="33.109375" bestFit="1" customWidth="1"/>
    <col min="13828" max="13830" width="7.109375" customWidth="1"/>
    <col min="13831" max="13831" width="5" customWidth="1"/>
    <col min="13832" max="13834" width="7.109375" customWidth="1"/>
    <col min="13835" max="13835" width="5" customWidth="1"/>
    <col min="13836" max="13838" width="7.109375" customWidth="1"/>
    <col min="14083" max="14083" width="33.109375" bestFit="1" customWidth="1"/>
    <col min="14084" max="14086" width="7.109375" customWidth="1"/>
    <col min="14087" max="14087" width="5" customWidth="1"/>
    <col min="14088" max="14090" width="7.109375" customWidth="1"/>
    <col min="14091" max="14091" width="5" customWidth="1"/>
    <col min="14092" max="14094" width="7.109375" customWidth="1"/>
    <col min="14339" max="14339" width="33.109375" bestFit="1" customWidth="1"/>
    <col min="14340" max="14342" width="7.109375" customWidth="1"/>
    <col min="14343" max="14343" width="5" customWidth="1"/>
    <col min="14344" max="14346" width="7.109375" customWidth="1"/>
    <col min="14347" max="14347" width="5" customWidth="1"/>
    <col min="14348" max="14350" width="7.109375" customWidth="1"/>
    <col min="14595" max="14595" width="33.109375" bestFit="1" customWidth="1"/>
    <col min="14596" max="14598" width="7.109375" customWidth="1"/>
    <col min="14599" max="14599" width="5" customWidth="1"/>
    <col min="14600" max="14602" width="7.109375" customWidth="1"/>
    <col min="14603" max="14603" width="5" customWidth="1"/>
    <col min="14604" max="14606" width="7.109375" customWidth="1"/>
    <col min="14851" max="14851" width="33.109375" bestFit="1" customWidth="1"/>
    <col min="14852" max="14854" width="7.109375" customWidth="1"/>
    <col min="14855" max="14855" width="5" customWidth="1"/>
    <col min="14856" max="14858" width="7.109375" customWidth="1"/>
    <col min="14859" max="14859" width="5" customWidth="1"/>
    <col min="14860" max="14862" width="7.109375" customWidth="1"/>
    <col min="15107" max="15107" width="33.109375" bestFit="1" customWidth="1"/>
    <col min="15108" max="15110" width="7.109375" customWidth="1"/>
    <col min="15111" max="15111" width="5" customWidth="1"/>
    <col min="15112" max="15114" width="7.109375" customWidth="1"/>
    <col min="15115" max="15115" width="5" customWidth="1"/>
    <col min="15116" max="15118" width="7.109375" customWidth="1"/>
    <col min="15363" max="15363" width="33.109375" bestFit="1" customWidth="1"/>
    <col min="15364" max="15366" width="7.109375" customWidth="1"/>
    <col min="15367" max="15367" width="5" customWidth="1"/>
    <col min="15368" max="15370" width="7.109375" customWidth="1"/>
    <col min="15371" max="15371" width="5" customWidth="1"/>
    <col min="15372" max="15374" width="7.109375" customWidth="1"/>
    <col min="15619" max="15619" width="33.109375" bestFit="1" customWidth="1"/>
    <col min="15620" max="15622" width="7.109375" customWidth="1"/>
    <col min="15623" max="15623" width="5" customWidth="1"/>
    <col min="15624" max="15626" width="7.109375" customWidth="1"/>
    <col min="15627" max="15627" width="5" customWidth="1"/>
    <col min="15628" max="15630" width="7.109375" customWidth="1"/>
    <col min="15875" max="15875" width="33.109375" bestFit="1" customWidth="1"/>
    <col min="15876" max="15878" width="7.109375" customWidth="1"/>
    <col min="15879" max="15879" width="5" customWidth="1"/>
    <col min="15880" max="15882" width="7.109375" customWidth="1"/>
    <col min="15883" max="15883" width="5" customWidth="1"/>
    <col min="15884" max="15886" width="7.109375" customWidth="1"/>
    <col min="16131" max="16131" width="33.109375" bestFit="1" customWidth="1"/>
    <col min="16132" max="16134" width="7.109375" customWidth="1"/>
    <col min="16135" max="16135" width="5" customWidth="1"/>
    <col min="16136" max="16138" width="7.109375" customWidth="1"/>
    <col min="16139" max="16139" width="5" customWidth="1"/>
    <col min="16140" max="16142" width="7.109375" customWidth="1"/>
  </cols>
  <sheetData>
    <row r="1" spans="1:23" s="286" customFormat="1" ht="15.6" x14ac:dyDescent="0.3">
      <c r="A1" s="265" t="str">
        <f>CONCATENATE("Industry and Occupation Table 2  Occuptation composition by employment status, ",B$6,"-",L$6)</f>
        <v>Industry and Occupation Table 2  Occuptation composition by employment status, 2007-2027</v>
      </c>
    </row>
    <row r="2" spans="1:23" s="286" customFormat="1" x14ac:dyDescent="0.25"/>
    <row r="3" spans="1:23" s="286" customFormat="1" x14ac:dyDescent="0.25"/>
    <row r="4" spans="1:23" s="286" customFormat="1" x14ac:dyDescent="0.25">
      <c r="O4" s="367" t="s">
        <v>35</v>
      </c>
    </row>
    <row r="5" spans="1:23" s="402" customFormat="1" x14ac:dyDescent="0.25">
      <c r="A5" s="355"/>
      <c r="B5" s="355"/>
      <c r="C5" s="355"/>
      <c r="D5" s="355"/>
      <c r="E5" s="355"/>
      <c r="F5" s="355"/>
      <c r="G5" s="355"/>
      <c r="H5" s="355"/>
      <c r="I5" s="355"/>
      <c r="J5" s="355"/>
      <c r="K5" s="355"/>
      <c r="L5" s="355"/>
      <c r="M5" s="355"/>
      <c r="N5" s="355"/>
    </row>
    <row r="6" spans="1:23" s="402" customFormat="1" x14ac:dyDescent="0.25">
      <c r="A6" s="354" t="s">
        <v>0</v>
      </c>
      <c r="B6" s="515">
        <v>2007</v>
      </c>
      <c r="C6" s="515"/>
      <c r="D6" s="515"/>
      <c r="E6" s="515"/>
      <c r="F6" s="359"/>
      <c r="G6" s="515">
        <v>2017</v>
      </c>
      <c r="H6" s="515"/>
      <c r="I6" s="515"/>
      <c r="J6" s="515"/>
      <c r="K6" s="401"/>
      <c r="L6" s="515">
        <v>2027</v>
      </c>
      <c r="M6" s="515"/>
      <c r="N6" s="515"/>
      <c r="O6" s="515"/>
      <c r="S6" s="403"/>
      <c r="T6" s="403"/>
      <c r="U6" s="403"/>
      <c r="V6" s="403"/>
      <c r="W6" s="403"/>
    </row>
    <row r="7" spans="1:23" s="402" customFormat="1" x14ac:dyDescent="0.25">
      <c r="A7" s="368"/>
      <c r="B7" s="388" t="str">
        <f>name!$J$5</f>
        <v>FT</v>
      </c>
      <c r="C7" s="388" t="str">
        <f>name!$J$6</f>
        <v>PT</v>
      </c>
      <c r="D7" s="388" t="str">
        <f>name!$J$4</f>
        <v>SE</v>
      </c>
      <c r="E7" s="388" t="s">
        <v>32</v>
      </c>
      <c r="F7" s="404"/>
      <c r="G7" s="388" t="str">
        <f>name!$J$5</f>
        <v>FT</v>
      </c>
      <c r="H7" s="388" t="str">
        <f>name!$J$6</f>
        <v>PT</v>
      </c>
      <c r="I7" s="388" t="str">
        <f>name!$J$4</f>
        <v>SE</v>
      </c>
      <c r="J7" s="388" t="s">
        <v>32</v>
      </c>
      <c r="K7" s="404"/>
      <c r="L7" s="388" t="str">
        <f>name!$J$5</f>
        <v>FT</v>
      </c>
      <c r="M7" s="388" t="str">
        <f>name!$J$6</f>
        <v>PT</v>
      </c>
      <c r="N7" s="388" t="str">
        <f>name!$J$4</f>
        <v>SE</v>
      </c>
      <c r="O7" s="388" t="s">
        <v>32</v>
      </c>
      <c r="T7" s="405"/>
      <c r="V7" s="405"/>
    </row>
    <row r="8" spans="1:23" s="351" customFormat="1" x14ac:dyDescent="0.25">
      <c r="A8" s="352"/>
      <c r="B8" s="350"/>
      <c r="C8" s="350"/>
      <c r="D8" s="350"/>
      <c r="E8" s="350"/>
      <c r="F8" s="350"/>
      <c r="G8" s="350"/>
      <c r="H8" s="350"/>
      <c r="I8" s="350"/>
      <c r="J8" s="350"/>
      <c r="K8" s="350"/>
      <c r="L8" s="350"/>
      <c r="M8" s="350"/>
      <c r="N8" s="350"/>
      <c r="O8" s="350"/>
      <c r="T8" s="363"/>
      <c r="V8" s="363"/>
    </row>
    <row r="9" spans="1:23" s="351" customFormat="1" x14ac:dyDescent="0.25">
      <c r="A9" s="362" t="str">
        <f>name!E$4</f>
        <v>Managers, directors and senior officials</v>
      </c>
      <c r="B9" s="363">
        <f>SUM(B26,B43,B60,B77,B94,B111,B128,B145,B162,B179,B196,B213,B230,B247,B264,B281,B298,B315,B332,B349,B366,B383,B400,B417,B434,B451,B468,B485,B502,B519,B536,B553,B570,B587,B604,B621,B638,B655,B672,B689,B706,B723,B740,B757,B774,B791,B808,B825,B842,B859,B876,B893,B910,B927,B944,B961,B978,B995,B1012,B1029,B1046,B1063,B1080,B1097,B1114,B1131,B1148,B1165,B1182,B1199,B1216,B1233,B1250,B1267,B1284)</f>
        <v>1856.6974708726264</v>
      </c>
      <c r="C9" s="363">
        <f t="shared" ref="C9:D9" si="0">SUM(C26,C43,C60,C77,C94,C111,C128,C145,C162,C179,C196,C213,C230,C247,C264,C281,C298,C315,C332,C349,C366,C383,C400,C417,C434,C451,C468,C485,C502,C519,C536,C553,C570,C587,C604,C621,C638,C655,C672,C689,C706,C723,C740,C757,C774,C791,C808,C825,C842,C859,C876,C893,C910,C927,C944,C961,C978,C995,C1012,C1029,C1046,C1063,C1080,C1097,C1114,C1131,C1148,C1165,C1182,C1199,C1216,C1233,C1250,C1267,C1284)</f>
        <v>260.3234462801945</v>
      </c>
      <c r="D9" s="363">
        <f t="shared" si="0"/>
        <v>658.6513074236758</v>
      </c>
      <c r="E9" s="363">
        <f>SUM(B9:D9)</f>
        <v>2775.6722245764968</v>
      </c>
      <c r="F9" s="364"/>
      <c r="G9" s="363">
        <f>SUM(G26,G43,G60,G77,G94,G111,G128,G145,G162,G179,G196,G213,G230,G247,G264,G281,G298,G315,G332,G349,G366,G383,G400,G417,G434,G451,G468,G485,G502,G519,G536,G553,G570,G587,G604,G621,G638,G655,G672,G689,G706,G723,G740,G757,G774,G791,G808,G825,G842,G859,G876,G893,G910,G927,G944,G961,G978,G995,G1012,G1029,G1046,G1063,G1080,G1097,G1114,G1131,G1148,G1165,G1182,G1199,G1216,G1233,G1250,G1267,G1284)</f>
        <v>2392.033511847987</v>
      </c>
      <c r="H9" s="363">
        <f t="shared" ref="H9:I9" si="1">SUM(H26,H43,H60,H77,H94,H111,H128,H145,H162,H179,H196,H213,H230,H247,H264,H281,H298,H315,H332,H349,H366,H383,H400,H417,H434,H451,H468,H485,H502,H519,H536,H553,H570,H587,H604,H621,H638,H655,H672,H689,H706,H723,H740,H757,H774,H791,H808,H825,H842,H859,H876,H893,H910,H927,H944,H961,H978,H995,H1012,H1029,H1046,H1063,H1080,H1097,H1114,H1131,H1148,H1165,H1182,H1199,H1216,H1233,H1250,H1267,H1284)</f>
        <v>390.19968652945596</v>
      </c>
      <c r="I9" s="363">
        <f t="shared" si="1"/>
        <v>784.19115839074277</v>
      </c>
      <c r="J9" s="363">
        <f>SUM(G9:I9)</f>
        <v>3566.4243567681856</v>
      </c>
      <c r="K9" s="364"/>
      <c r="L9" s="363">
        <f>SUM(L26,L43,L60,L77,L94,L111,L128,L145,L162,L179,L196,L213,L230,L247,L264,L281,L298,L315,L332,L349,L366,L383,L400,L417,L434,L451,L468,L485,L502,L519,L536,L553,L570,L587,L604,L621,L638,L655,L672,L689,L706,L723,L740,L757,L774,L791,L808,L825,L842,L859,L876,L893,L910,L927,L944,L961,L978,L995,L1012,L1029,L1046,L1063,L1080,L1097,L1114,L1131,L1148,L1165,L1182,L1199,L1216,L1233,L1250,L1267,L1284)</f>
        <v>2726.8131620003173</v>
      </c>
      <c r="M9" s="363">
        <f t="shared" ref="M9:N9" si="2">SUM(M26,M43,M60,M77,M94,M111,M128,M145,M162,M179,M196,M213,M230,M247,M264,M281,M298,M315,M332,M349,M366,M383,M400,M417,M434,M451,M468,M485,M502,M519,M536,M553,M570,M587,M604,M621,M638,M655,M672,M689,M706,M723,M740,M757,M774,M791,M808,M825,M842,M859,M876,M893,M910,M927,M944,M961,M978,M995,M1012,M1029,M1046,M1063,M1080,M1097,M1114,M1131,M1148,M1165,M1182,M1199,M1216,M1233,M1250,M1267,M1284)</f>
        <v>507.93395657203166</v>
      </c>
      <c r="N9" s="363">
        <f t="shared" si="2"/>
        <v>770.22429338493293</v>
      </c>
      <c r="O9" s="363">
        <f>SUM(L9:N9)</f>
        <v>4004.9714119572818</v>
      </c>
      <c r="T9" s="363"/>
      <c r="V9" s="363"/>
    </row>
    <row r="10" spans="1:23" s="351" customFormat="1" x14ac:dyDescent="0.25">
      <c r="A10" s="362" t="str">
        <f>name!E$5</f>
        <v>Professional occupations</v>
      </c>
      <c r="B10" s="363">
        <f t="shared" ref="B10:D10" si="3">SUM(B27,B44,B61,B78,B95,B112,B129,B146,B163,B180,B197,B214,B231,B248,B265,B282,B299,B316,B333,B350,B367,B384,B401,B418,B435,B452,B469,B486,B503,B520,B537,B554,B571,B588,B605,B622,B639,B656,B673,B690,B707,B724,B741,B758,B775,B792,B809,B826,B843,B860,B877,B894,B911,B928,B945,B962,B979,B996,B1013,B1030,B1047,B1064,B1081,B1098,B1115,B1132,B1149,B1166,B1183,B1200,B1217,B1234,B1251,B1268,B1285)</f>
        <v>3850.5506304057703</v>
      </c>
      <c r="C10" s="363">
        <f t="shared" si="3"/>
        <v>1061.0971995323391</v>
      </c>
      <c r="D10" s="363">
        <f t="shared" si="3"/>
        <v>514.40391368412782</v>
      </c>
      <c r="E10" s="363">
        <f t="shared" ref="E10:E17" si="4">SUM(B10:D10)</f>
        <v>5426.0517436222372</v>
      </c>
      <c r="F10" s="364"/>
      <c r="G10" s="363">
        <f t="shared" ref="G10:I10" si="5">SUM(G27,G44,G61,G78,G95,G112,G129,G146,G163,G180,G197,G214,G231,G248,G265,G282,G299,G316,G333,G350,G367,G384,G401,G418,G435,G452,G469,G486,G503,G520,G537,G554,G571,G588,G605,G622,G639,G656,G673,G690,G707,G724,G741,G758,G775,G792,G809,G826,G843,G860,G877,G894,G911,G928,G945,G962,G979,G996,G1013,G1030,G1047,G1064,G1081,G1098,G1115,G1132,G1149,G1166,G1183,G1200,G1217,G1234,G1251,G1268,G1285)</f>
        <v>4764.9738254608419</v>
      </c>
      <c r="H10" s="363">
        <f t="shared" si="5"/>
        <v>1392.0197612293637</v>
      </c>
      <c r="I10" s="363">
        <f t="shared" si="5"/>
        <v>716.49825187397505</v>
      </c>
      <c r="J10" s="363">
        <f t="shared" ref="J10:J17" si="6">SUM(G10:I10)</f>
        <v>6873.4918385641804</v>
      </c>
      <c r="K10" s="364"/>
      <c r="L10" s="363">
        <f t="shared" ref="L10:N10" si="7">SUM(L27,L44,L61,L78,L95,L112,L129,L146,L163,L180,L197,L214,L231,L248,L265,L282,L299,L316,L333,L350,L367,L384,L401,L418,L435,L452,L469,L486,L503,L520,L537,L554,L571,L588,L605,L622,L639,L656,L673,L690,L707,L724,L741,L758,L775,L792,L809,L826,L843,L860,L877,L894,L911,L928,L945,L962,L979,L996,L1013,L1030,L1047,L1064,L1081,L1098,L1115,L1132,L1149,L1166,L1183,L1200,L1217,L1234,L1251,L1268,L1285)</f>
        <v>5198.6650524179759</v>
      </c>
      <c r="M10" s="363">
        <f t="shared" si="7"/>
        <v>1746.9701721775596</v>
      </c>
      <c r="N10" s="363">
        <f t="shared" si="7"/>
        <v>748.98365907238656</v>
      </c>
      <c r="O10" s="363">
        <f t="shared" ref="O10:O17" si="8">SUM(L10:N10)</f>
        <v>7694.6188836679212</v>
      </c>
      <c r="T10" s="363"/>
      <c r="V10" s="363"/>
    </row>
    <row r="11" spans="1:23" s="351" customFormat="1" x14ac:dyDescent="0.25">
      <c r="A11" s="362" t="str">
        <f>name!E$6</f>
        <v>Associate professional and technical</v>
      </c>
      <c r="B11" s="363">
        <f t="shared" ref="B11:D11" si="9">SUM(B28,B45,B62,B79,B96,B113,B130,B147,B164,B181,B198,B215,B232,B249,B266,B283,B300,B317,B334,B351,B368,B385,B402,B419,B436,B453,B470,B487,B504,B521,B538,B555,B572,B589,B606,B623,B640,B657,B674,B691,B708,B725,B742,B759,B776,B793,B810,B827,B844,B861,B878,B895,B912,B929,B946,B963,B980,B997,B1014,B1031,B1048,B1065,B1082,B1099,B1116,B1133,B1150,B1167,B1184,B1201,B1218,B1235,B1252,B1269,B1286)</f>
        <v>3057.6092461663761</v>
      </c>
      <c r="C11" s="363">
        <f t="shared" si="9"/>
        <v>629.24020215491066</v>
      </c>
      <c r="D11" s="363">
        <f t="shared" si="9"/>
        <v>505.3395032733348</v>
      </c>
      <c r="E11" s="363">
        <f t="shared" si="4"/>
        <v>4192.1889515946214</v>
      </c>
      <c r="F11" s="364"/>
      <c r="G11" s="363">
        <f t="shared" ref="G11:I11" si="10">SUM(G28,G45,G62,G79,G96,G113,G130,G147,G164,G181,G198,G215,G232,G249,G266,G283,G300,G317,G334,G351,G368,G385,G402,G419,G436,G453,G470,G487,G504,G521,G538,G555,G572,G589,G606,G623,G640,G657,G674,G691,G708,G725,G742,G759,G776,G793,G810,G827,G844,G861,G878,G895,G912,G929,G946,G963,G980,G997,G1014,G1031,G1048,G1065,G1082,G1099,G1116,G1133,G1150,G1167,G1184,G1201,G1218,G1235,G1252,G1269,G1286)</f>
        <v>3400.9323994350821</v>
      </c>
      <c r="H11" s="363">
        <f t="shared" si="10"/>
        <v>778.6263265887693</v>
      </c>
      <c r="I11" s="363">
        <f t="shared" si="10"/>
        <v>704.82495589820837</v>
      </c>
      <c r="J11" s="363">
        <f t="shared" si="6"/>
        <v>4884.3836819220596</v>
      </c>
      <c r="K11" s="364"/>
      <c r="L11" s="363">
        <f t="shared" ref="L11:N11" si="11">SUM(L28,L45,L62,L79,L96,L113,L130,L147,L164,L181,L198,L215,L232,L249,L266,L283,L300,L317,L334,L351,L368,L385,L402,L419,L436,L453,L470,L487,L504,L521,L538,L555,L572,L589,L606,L623,L640,L657,L674,L691,L708,L725,L742,L759,L776,L793,L810,L827,L844,L861,L878,L895,L912,L929,L946,L963,L980,L997,L1014,L1031,L1048,L1065,L1082,L1099,L1116,L1133,L1150,L1167,L1184,L1201,L1218,L1235,L1252,L1269,L1286)</f>
        <v>3634.7076028763549</v>
      </c>
      <c r="M11" s="363">
        <f t="shared" si="11"/>
        <v>957.74507638025602</v>
      </c>
      <c r="N11" s="363">
        <f t="shared" si="11"/>
        <v>717.06928014547043</v>
      </c>
      <c r="O11" s="363">
        <f t="shared" si="8"/>
        <v>5309.5219594020818</v>
      </c>
      <c r="T11" s="363"/>
      <c r="V11" s="363"/>
    </row>
    <row r="12" spans="1:23" s="351" customFormat="1" x14ac:dyDescent="0.25">
      <c r="A12" s="362" t="str">
        <f>name!E$7</f>
        <v>Administrative and secretarial</v>
      </c>
      <c r="B12" s="363">
        <f t="shared" ref="B12:D12" si="12">SUM(B29,B46,B63,B80,B97,B114,B131,B148,B165,B182,B199,B216,B233,B250,B267,B284,B301,B318,B335,B352,B369,B386,B403,B420,B437,B454,B471,B488,B505,B522,B539,B556,B573,B590,B607,B624,B641,B658,B675,B692,B709,B726,B743,B760,B777,B794,B811,B828,B845,B862,B879,B896,B913,B930,B947,B964,B981,B998,B1015,B1032,B1049,B1066,B1083,B1100,B1117,B1134,B1151,B1168,B1185,B1202,B1219,B1236,B1253,B1270,B1287)</f>
        <v>2380.5906574484707</v>
      </c>
      <c r="C12" s="363">
        <f t="shared" si="12"/>
        <v>1542.8888989521081</v>
      </c>
      <c r="D12" s="363">
        <f t="shared" si="12"/>
        <v>99.897936311659819</v>
      </c>
      <c r="E12" s="363">
        <f t="shared" si="4"/>
        <v>4023.377492712239</v>
      </c>
      <c r="F12" s="364"/>
      <c r="G12" s="363">
        <f t="shared" ref="G12:I12" si="13">SUM(G29,G46,G63,G80,G97,G114,G131,G148,G165,G182,G199,G216,G233,G250,G267,G284,G301,G318,G335,G352,G369,G386,G403,G420,G437,G454,G471,G488,G505,G522,G539,G556,G573,G590,G607,G624,G641,G658,G675,G692,G709,G726,G743,G760,G777,G794,G811,G828,G845,G862,G879,G896,G913,G930,G947,G964,G981,G998,G1015,G1032,G1049,G1066,G1083,G1100,G1117,G1134,G1151,G1168,G1185,G1202,G1219,G1236,G1253,G1270,G1287)</f>
        <v>2128.5740630191044</v>
      </c>
      <c r="H12" s="363">
        <f t="shared" si="13"/>
        <v>1420.3942953796491</v>
      </c>
      <c r="I12" s="363">
        <f t="shared" si="13"/>
        <v>131.81803914330177</v>
      </c>
      <c r="J12" s="363">
        <f t="shared" si="6"/>
        <v>3680.7863975420551</v>
      </c>
      <c r="K12" s="364"/>
      <c r="L12" s="363">
        <f t="shared" ref="L12:N12" si="14">SUM(L29,L46,L63,L80,L97,L114,L131,L148,L165,L182,L199,L216,L233,L250,L267,L284,L301,L318,L335,L352,L369,L386,L403,L420,L437,L454,L471,L488,L505,L522,L539,L556,L573,L590,L607,L624,L641,L658,L675,L692,L709,L726,L743,L760,L777,L794,L811,L828,L845,L862,L879,L896,L913,L930,L947,L964,L981,L998,L1015,L1032,L1049,L1066,L1083,L1100,L1117,L1134,L1151,L1168,L1185,L1202,L1219,L1236,L1253,L1270,L1287)</f>
        <v>1767.3248954274306</v>
      </c>
      <c r="M12" s="363">
        <f t="shared" si="14"/>
        <v>1213.5107225809086</v>
      </c>
      <c r="N12" s="363">
        <f t="shared" si="14"/>
        <v>96.319458941829296</v>
      </c>
      <c r="O12" s="363">
        <f t="shared" si="8"/>
        <v>3077.1550769501687</v>
      </c>
      <c r="T12" s="363"/>
      <c r="V12" s="363"/>
    </row>
    <row r="13" spans="1:23" s="351" customFormat="1" x14ac:dyDescent="0.25">
      <c r="A13" s="362" t="str">
        <f>name!E$8</f>
        <v>Skilled trades occupations</v>
      </c>
      <c r="B13" s="363">
        <f t="shared" ref="B13:D13" si="15">SUM(B30,B47,B64,B81,B98,B115,B132,B149,B166,B183,B200,B217,B234,B251,B268,B285,B302,B319,B336,B353,B370,B387,B404,B421,B438,B455,B472,B489,B506,B523,B540,B557,B574,B591,B608,B625,B642,B659,B676,B693,B710,B727,B744,B761,B778,B795,B812,B829,B846,B863,B880,B897,B914,B931,B948,B965,B982,B999,B1016,B1033,B1050,B1067,B1084,B1101,B1118,B1135,B1152,B1169,B1186,B1203,B1220,B1237,B1254,B1271,B1288)</f>
        <v>2215.056106388472</v>
      </c>
      <c r="C13" s="363">
        <f t="shared" si="15"/>
        <v>288.69605673688591</v>
      </c>
      <c r="D13" s="363">
        <f t="shared" si="15"/>
        <v>1079.8631646031074</v>
      </c>
      <c r="E13" s="363">
        <f t="shared" si="4"/>
        <v>3583.6153277284657</v>
      </c>
      <c r="F13" s="364"/>
      <c r="G13" s="363">
        <f t="shared" ref="G13:I13" si="16">SUM(G30,G47,G64,G81,G98,G115,G132,G149,G166,G183,G200,G217,G234,G251,G268,G285,G302,G319,G336,G353,G370,G387,G404,G421,G438,G455,G472,G489,G506,G523,G540,G557,G574,G591,G608,G625,G642,G659,G676,G693,G710,G727,G744,G761,G778,G795,G812,G829,G846,G863,G880,G897,G914,G931,G948,G965,G982,G999,G1016,G1033,G1050,G1067,G1084,G1101,G1118,G1135,G1152,G1169,G1186,G1203,G1220,G1237,G1254,G1271,G1288)</f>
        <v>2013.2322444781198</v>
      </c>
      <c r="H13" s="363">
        <f t="shared" si="16"/>
        <v>293.27315678611001</v>
      </c>
      <c r="I13" s="363">
        <f t="shared" si="16"/>
        <v>1126.3309576079644</v>
      </c>
      <c r="J13" s="363">
        <f t="shared" si="6"/>
        <v>3432.8363588721941</v>
      </c>
      <c r="K13" s="364"/>
      <c r="L13" s="363">
        <f t="shared" ref="L13:N13" si="17">SUM(L30,L47,L64,L81,L98,L115,L132,L149,L166,L183,L200,L217,L234,L251,L268,L285,L302,L319,L336,L353,L370,L387,L404,L421,L438,L455,L472,L489,L506,L523,L540,L557,L574,L591,L608,L625,L642,L659,L676,L693,L710,L727,L744,L761,L778,L795,L812,L829,L846,L863,L880,L897,L914,L931,L948,L965,L982,L999,L1016,L1033,L1050,L1067,L1084,L1101,L1118,L1135,L1152,L1169,L1186,L1203,L1220,L1237,L1254,L1271,L1288)</f>
        <v>1779.9695640723855</v>
      </c>
      <c r="M13" s="363">
        <f t="shared" si="17"/>
        <v>283.11509355402529</v>
      </c>
      <c r="N13" s="363">
        <f t="shared" si="17"/>
        <v>1063.100894549194</v>
      </c>
      <c r="O13" s="363">
        <f t="shared" si="8"/>
        <v>3126.1855521756047</v>
      </c>
      <c r="T13" s="363"/>
      <c r="V13" s="363"/>
    </row>
    <row r="14" spans="1:23" s="351" customFormat="1" x14ac:dyDescent="0.25">
      <c r="A14" s="362" t="str">
        <f>name!E$9</f>
        <v>Caring, leisure and other service</v>
      </c>
      <c r="B14" s="363">
        <f t="shared" ref="B14:D14" si="18">SUM(B31,B48,B65,B82,B99,B116,B133,B150,B167,B184,B201,B218,B235,B252,B269,B286,B303,B320,B337,B354,B371,B388,B405,B422,B439,B456,B473,B490,B507,B524,B541,B558,B575,B592,B609,B626,B643,B660,B677,B694,B711,B728,B745,B762,B779,B796,B813,B830,B847,B864,B881,B898,B915,B932,B949,B966,B983,B1000,B1017,B1034,B1051,B1068,B1085,B1102,B1119,B1136,B1153,B1170,B1187,B1204,B1221,B1238,B1255,B1272,B1289)</f>
        <v>1344.4800029843818</v>
      </c>
      <c r="C14" s="363">
        <f t="shared" si="18"/>
        <v>1069.1494167612118</v>
      </c>
      <c r="D14" s="363">
        <f t="shared" si="18"/>
        <v>231.92140297680766</v>
      </c>
      <c r="E14" s="363">
        <f t="shared" si="4"/>
        <v>2645.5508227224013</v>
      </c>
      <c r="F14" s="364"/>
      <c r="G14" s="363">
        <f t="shared" ref="G14:I14" si="19">SUM(G31,G48,G65,G82,G99,G116,G133,G150,G167,G184,G201,G218,G235,G252,G269,G286,G303,G320,G337,G354,G371,G388,G405,G422,G439,G456,G473,G490,G507,G524,G541,G558,G575,G592,G609,G626,G643,G660,G677,G694,G711,G728,G745,G762,G779,G796,G813,G830,G847,G864,G881,G898,G915,G932,G949,G966,G983,G1000,G1017,G1034,G1051,G1068,G1085,G1102,G1119,G1136,G1153,G1170,G1187,G1204,G1221,G1238,G1255,G1272,G1289)</f>
        <v>1591.2265056445444</v>
      </c>
      <c r="H14" s="363">
        <f t="shared" si="19"/>
        <v>1413.1622689286114</v>
      </c>
      <c r="I14" s="363">
        <f t="shared" si="19"/>
        <v>340.69735115209221</v>
      </c>
      <c r="J14" s="363">
        <f t="shared" si="6"/>
        <v>3345.0861257252482</v>
      </c>
      <c r="K14" s="364"/>
      <c r="L14" s="363">
        <f t="shared" ref="L14:N14" si="20">SUM(L31,L48,L65,L82,L99,L116,L133,L150,L167,L184,L201,L218,L235,L252,L269,L286,L303,L320,L337,L354,L371,L388,L405,L422,L439,L456,L473,L490,L507,L524,L541,L558,L575,L592,L609,L626,L643,L660,L677,L694,L711,L728,L745,L762,L779,L796,L813,L830,L847,L864,L881,L898,L915,L932,L949,L966,L983,L1000,L1017,L1034,L1051,L1068,L1085,L1102,L1119,L1136,L1153,L1170,L1187,L1204,L1221,L1238,L1255,L1272,L1289)</f>
        <v>1735.0839553683643</v>
      </c>
      <c r="M14" s="363">
        <f t="shared" si="20"/>
        <v>1742.1274499544591</v>
      </c>
      <c r="N14" s="363">
        <f t="shared" si="20"/>
        <v>333.59778831955884</v>
      </c>
      <c r="O14" s="363">
        <f t="shared" si="8"/>
        <v>3810.8091936423821</v>
      </c>
      <c r="T14" s="363"/>
      <c r="V14" s="363"/>
    </row>
    <row r="15" spans="1:23" s="351" customFormat="1" x14ac:dyDescent="0.25">
      <c r="A15" s="362" t="str">
        <f>name!E$10</f>
        <v>Sales and customer service</v>
      </c>
      <c r="B15" s="363">
        <f t="shared" ref="B15:D15" si="21">SUM(B32,B49,B66,B83,B100,B117,B134,B151,B168,B185,B202,B219,B236,B253,B270,B287,B304,B321,B338,B355,B372,B389,B406,B423,B440,B457,B474,B491,B508,B525,B542,B559,B576,B593,B610,B627,B644,B661,B678,B695,B712,B729,B746,B763,B780,B797,B814,B831,B848,B865,B882,B899,B916,B933,B950,B967,B984,B1001,B1018,B1035,B1052,B1069,B1086,B1103,B1120,B1137,B1154,B1171,B1188,B1205,B1222,B1239,B1256,B1273,B1290)</f>
        <v>1147.145879599221</v>
      </c>
      <c r="C15" s="363">
        <f t="shared" si="21"/>
        <v>1564.2612632970158</v>
      </c>
      <c r="D15" s="363">
        <f t="shared" si="21"/>
        <v>80.776765918734611</v>
      </c>
      <c r="E15" s="363">
        <f t="shared" si="4"/>
        <v>2792.1839088149718</v>
      </c>
      <c r="F15" s="364"/>
      <c r="G15" s="363">
        <f t="shared" ref="G15:I15" si="22">SUM(G32,G49,G66,G83,G100,G117,G134,G151,G168,G185,G202,G219,G236,G253,G270,G287,G304,G321,G338,G355,G372,G389,G406,G423,G440,G457,G474,G491,G508,G525,G542,G559,G576,G593,G610,G627,G644,G661,G678,G695,G712,G729,G746,G763,G780,G797,G814,G831,G848,G865,G882,G899,G916,G933,G950,G967,G984,G1001,G1018,G1035,G1052,G1069,G1086,G1103,G1120,G1137,G1154,G1171,G1188,G1205,G1222,G1239,G1256,G1273,G1290)</f>
        <v>1192.2685104396228</v>
      </c>
      <c r="H15" s="363">
        <f t="shared" si="22"/>
        <v>1643.2115128172452</v>
      </c>
      <c r="I15" s="363">
        <f t="shared" si="22"/>
        <v>93.553567518957536</v>
      </c>
      <c r="J15" s="363">
        <f t="shared" si="6"/>
        <v>2929.0335907758254</v>
      </c>
      <c r="K15" s="364"/>
      <c r="L15" s="363">
        <f t="shared" ref="L15:N15" si="23">SUM(L32,L49,L66,L83,L100,L117,L134,L151,L168,L185,L202,L219,L236,L253,L270,L287,L304,L321,L338,L355,L372,L389,L406,L423,L440,L457,L474,L491,L508,L525,L542,L559,L576,L593,L610,L627,L644,L661,L678,L695,L712,L729,L746,L763,L780,L797,L814,L831,L848,L865,L882,L899,L916,L933,L950,L967,L984,L1001,L1018,L1035,L1052,L1069,L1086,L1103,L1120,L1137,L1154,L1171,L1188,L1205,L1222,L1239,L1256,L1273,L1290)</f>
        <v>1112.2688085692153</v>
      </c>
      <c r="M15" s="363">
        <f t="shared" si="23"/>
        <v>1689.9680630195394</v>
      </c>
      <c r="N15" s="363">
        <f t="shared" si="23"/>
        <v>74.376874307279962</v>
      </c>
      <c r="O15" s="363">
        <f t="shared" si="8"/>
        <v>2876.6137458960347</v>
      </c>
      <c r="T15" s="363"/>
      <c r="V15" s="363"/>
    </row>
    <row r="16" spans="1:23" s="351" customFormat="1" x14ac:dyDescent="0.25">
      <c r="A16" s="362" t="str">
        <f>name!E$11</f>
        <v>Process, plant and machine operatives</v>
      </c>
      <c r="B16" s="363">
        <f t="shared" ref="B16:D16" si="24">SUM(B33,B50,B67,B84,B101,B118,B135,B152,B169,B186,B203,B220,B237,B254,B271,B288,B305,B322,B339,B356,B373,B390,B407,B424,B441,B458,B475,B492,B509,B526,B543,B560,B577,B594,B611,B628,B645,B662,B679,B696,B713,B730,B747,B764,B781,B798,B815,B832,B849,B866,B883,B900,B917,B934,B951,B968,B985,B1002,B1019,B1036,B1053,B1070,B1087,B1104,B1121,B1138,B1155,B1172,B1189,B1206,B1223,B1240,B1257,B1274,B1291)</f>
        <v>1729.3246245512464</v>
      </c>
      <c r="C16" s="363">
        <f t="shared" si="24"/>
        <v>273.28140337834139</v>
      </c>
      <c r="D16" s="363">
        <f t="shared" si="24"/>
        <v>311.54312342634739</v>
      </c>
      <c r="E16" s="363">
        <f t="shared" si="4"/>
        <v>2314.1491513559349</v>
      </c>
      <c r="F16" s="364"/>
      <c r="G16" s="363">
        <f t="shared" ref="G16:I16" si="25">SUM(G33,G50,G67,G84,G101,G118,G135,G152,G169,G186,G203,G220,G237,G254,G271,G288,G305,G322,G339,G356,G373,G390,G407,G424,G441,G458,G475,G492,G509,G526,G543,G560,G577,G594,G611,G628,G645,G662,G679,G696,G713,G730,G747,G764,G781,G798,G815,G832,G849,G866,G883,G900,G917,G934,G951,G968,G985,G1002,G1019,G1036,G1053,G1070,G1087,G1104,G1121,G1138,G1155,G1172,G1189,G1206,G1223,G1240,G1257,G1274,G1291)</f>
        <v>1530.444919446129</v>
      </c>
      <c r="H16" s="363">
        <f t="shared" si="25"/>
        <v>291.11900982577237</v>
      </c>
      <c r="I16" s="363">
        <f t="shared" si="25"/>
        <v>358.39260941386556</v>
      </c>
      <c r="J16" s="363">
        <f t="shared" si="6"/>
        <v>2179.9565386857666</v>
      </c>
      <c r="K16" s="364"/>
      <c r="L16" s="363">
        <f t="shared" ref="L16:N16" si="26">SUM(L33,L50,L67,L84,L101,L118,L135,L152,L169,L186,L203,L220,L237,L254,L271,L288,L305,L322,L339,L356,L373,L390,L407,L424,L441,L458,L475,L492,L509,L526,L543,L560,L577,L594,L611,L628,L645,L662,L679,L696,L713,L730,L747,L764,L781,L798,L815,L832,L849,L866,L883,L900,L917,L934,L951,L968,L985,L1002,L1019,L1036,L1053,L1070,L1087,L1104,L1121,L1138,L1155,L1172,L1189,L1206,L1223,L1240,L1257,L1274,L1291)</f>
        <v>1328.4753867664147</v>
      </c>
      <c r="M16" s="363">
        <f t="shared" si="26"/>
        <v>318.86195248360485</v>
      </c>
      <c r="N16" s="363">
        <f t="shared" si="26"/>
        <v>326.78857453140461</v>
      </c>
      <c r="O16" s="363">
        <f t="shared" si="8"/>
        <v>1974.1259137814241</v>
      </c>
      <c r="T16" s="363"/>
      <c r="V16" s="363"/>
    </row>
    <row r="17" spans="1:15" s="351" customFormat="1" x14ac:dyDescent="0.25">
      <c r="A17" s="362" t="str">
        <f>name!E$12</f>
        <v>Elementary occupations</v>
      </c>
      <c r="B17" s="363">
        <f t="shared" ref="B17:D17" si="27">SUM(B34,B51,B68,B85,B102,B119,B136,B153,B170,B187,B204,B221,B238,B255,B272,B289,B306,B323,B340,B357,B374,B391,B408,B425,B442,B459,B476,B493,B510,B527,B544,B561,B578,B595,B612,B629,B646,B663,B680,B697,B714,B731,B748,B765,B782,B799,B816,B833,B850,B867,B884,B901,B918,B935,B952,B969,B986,B1003,B1020,B1037,B1054,B1071,B1088,B1105,B1122,B1139,B1156,B1173,B1190,B1207,B1224,B1241,B1258,B1275,B1292)</f>
        <v>1609.1513815860978</v>
      </c>
      <c r="C17" s="363">
        <f t="shared" si="27"/>
        <v>2213.4711129057582</v>
      </c>
      <c r="D17" s="363">
        <f t="shared" si="27"/>
        <v>214.59488238085154</v>
      </c>
      <c r="E17" s="363">
        <f t="shared" si="4"/>
        <v>4037.2173768727075</v>
      </c>
      <c r="F17" s="364"/>
      <c r="G17" s="363">
        <f t="shared" ref="G17:I17" si="28">SUM(G34,G51,G68,G85,G102,G119,G136,G153,G170,G187,G204,G221,G238,G255,G272,G289,G306,G323,G340,G357,G374,G391,G408,G425,G442,G459,G476,G493,G510,G527,G544,G561,G578,G595,G612,G629,G646,G663,G680,G697,G714,G731,G748,G765,G782,G799,G816,G833,G850,G867,G884,G901,G918,G935,G952,G969,G986,G1003,G1020,G1037,G1054,G1071,G1088,G1105,G1122,G1139,G1156,G1173,G1190,G1207,G1224,G1241,G1258,G1275,G1292)</f>
        <v>1662.870020206984</v>
      </c>
      <c r="H17" s="363">
        <f t="shared" si="28"/>
        <v>2001.5869819367149</v>
      </c>
      <c r="I17" s="363">
        <f t="shared" si="28"/>
        <v>291.53610900077922</v>
      </c>
      <c r="J17" s="363">
        <f t="shared" si="6"/>
        <v>3955.993111144478</v>
      </c>
      <c r="K17" s="364"/>
      <c r="L17" s="363">
        <f t="shared" ref="L17:N17" si="29">SUM(L34,L51,L68,L85,L102,L119,L136,L153,L170,L187,L204,L221,L238,L255,L272,L289,L306,L323,L340,L357,L374,L391,L408,L425,L442,L459,L476,L493,L510,L527,L544,L561,L578,L595,L612,L629,L646,L663,L680,L697,L714,L731,L748,L765,L782,L799,L816,L833,L850,L867,L884,L901,L918,L935,L952,L969,L986,L1003,L1020,L1037,L1054,L1071,L1088,L1105,L1122,L1139,L1156,L1173,L1190,L1207,L1224,L1241,L1258,L1275,L1292)</f>
        <v>1637.1895725018539</v>
      </c>
      <c r="M17" s="363">
        <f t="shared" si="29"/>
        <v>2025.4535132717349</v>
      </c>
      <c r="N17" s="363">
        <f t="shared" si="29"/>
        <v>284.30817675365927</v>
      </c>
      <c r="O17" s="363">
        <f t="shared" si="8"/>
        <v>3946.9512625272478</v>
      </c>
    </row>
    <row r="18" spans="1:15" s="351" customFormat="1" x14ac:dyDescent="0.25">
      <c r="A18" s="362"/>
      <c r="B18" s="363"/>
      <c r="C18" s="363"/>
      <c r="D18" s="363"/>
      <c r="E18" s="363"/>
      <c r="F18" s="364"/>
      <c r="G18" s="363"/>
      <c r="H18" s="363"/>
      <c r="I18" s="363"/>
      <c r="J18" s="363"/>
      <c r="K18" s="364"/>
      <c r="L18" s="363"/>
      <c r="M18" s="363"/>
      <c r="N18" s="363"/>
      <c r="O18" s="363"/>
    </row>
    <row r="19" spans="1:15" s="351" customFormat="1" x14ac:dyDescent="0.25">
      <c r="A19" s="357" t="s">
        <v>32</v>
      </c>
      <c r="B19" s="360">
        <f>SUM(B9:B17)</f>
        <v>19190.606000002663</v>
      </c>
      <c r="C19" s="360">
        <f t="shared" ref="C19:O19" si="30">SUM(C9:C17)</f>
        <v>8902.4089999987664</v>
      </c>
      <c r="D19" s="360">
        <f t="shared" si="30"/>
        <v>3696.9919999986473</v>
      </c>
      <c r="E19" s="360">
        <f t="shared" si="30"/>
        <v>31790.007000000074</v>
      </c>
      <c r="F19" s="360"/>
      <c r="G19" s="360">
        <f t="shared" si="30"/>
        <v>20676.55599997842</v>
      </c>
      <c r="H19" s="360">
        <f t="shared" si="30"/>
        <v>9623.5930000216922</v>
      </c>
      <c r="I19" s="360">
        <f t="shared" si="30"/>
        <v>4547.8429999998871</v>
      </c>
      <c r="J19" s="360">
        <f t="shared" si="30"/>
        <v>34847.991999999984</v>
      </c>
      <c r="K19" s="360"/>
      <c r="L19" s="360">
        <f t="shared" si="30"/>
        <v>20920.498000000316</v>
      </c>
      <c r="M19" s="360">
        <f t="shared" si="30"/>
        <v>10485.685999994121</v>
      </c>
      <c r="N19" s="360">
        <f t="shared" si="30"/>
        <v>4414.7690000057164</v>
      </c>
      <c r="O19" s="360">
        <f t="shared" si="30"/>
        <v>35820.953000000147</v>
      </c>
    </row>
    <row r="20" spans="1:15" s="351" customFormat="1" x14ac:dyDescent="0.25">
      <c r="A20" s="348"/>
      <c r="B20" s="349"/>
      <c r="C20" s="349"/>
      <c r="D20" s="349"/>
      <c r="E20" s="349"/>
      <c r="F20" s="349"/>
      <c r="G20" s="349"/>
      <c r="H20" s="349"/>
      <c r="I20" s="349"/>
      <c r="J20" s="349"/>
      <c r="K20" s="349"/>
      <c r="L20" s="349"/>
      <c r="M20" s="349"/>
      <c r="N20" s="350"/>
    </row>
    <row r="21" spans="1:15" s="351" customFormat="1" x14ac:dyDescent="0.25">
      <c r="A21" s="348"/>
      <c r="B21" s="348"/>
      <c r="C21" s="348"/>
      <c r="D21" s="348"/>
      <c r="E21" s="348"/>
      <c r="F21" s="348"/>
      <c r="G21" s="348"/>
      <c r="H21" s="348"/>
      <c r="I21" s="348"/>
      <c r="J21" s="348"/>
      <c r="K21" s="348"/>
      <c r="L21" s="348"/>
      <c r="M21" s="348"/>
      <c r="N21" s="353"/>
      <c r="O21" s="367" t="s">
        <v>35</v>
      </c>
    </row>
    <row r="22" spans="1:15" s="351" customFormat="1" x14ac:dyDescent="0.25">
      <c r="A22" s="355"/>
      <c r="B22" s="355"/>
      <c r="C22" s="355"/>
      <c r="D22" s="355"/>
      <c r="E22" s="355"/>
      <c r="F22" s="355"/>
      <c r="G22" s="355"/>
      <c r="H22" s="355"/>
      <c r="I22" s="355"/>
      <c r="J22" s="355"/>
      <c r="K22" s="355"/>
      <c r="L22" s="355"/>
      <c r="M22" s="355"/>
      <c r="N22" s="355"/>
      <c r="O22" s="355"/>
    </row>
    <row r="23" spans="1:15" s="351" customFormat="1" x14ac:dyDescent="0.25">
      <c r="A23" s="354" t="str">
        <f>name!A4</f>
        <v>Agriculture, etc</v>
      </c>
      <c r="B23" s="517">
        <f>$B$6</f>
        <v>2007</v>
      </c>
      <c r="C23" s="517"/>
      <c r="D23" s="517"/>
      <c r="E23" s="517"/>
      <c r="F23" s="380"/>
      <c r="G23" s="517">
        <f>$G$6</f>
        <v>2017</v>
      </c>
      <c r="H23" s="517"/>
      <c r="I23" s="517"/>
      <c r="J23" s="517"/>
      <c r="K23" s="380"/>
      <c r="L23" s="517">
        <f>$L$6</f>
        <v>2027</v>
      </c>
      <c r="M23" s="517"/>
      <c r="N23" s="517"/>
      <c r="O23" s="517"/>
    </row>
    <row r="24" spans="1:15" s="351" customFormat="1" x14ac:dyDescent="0.25">
      <c r="A24" s="370"/>
      <c r="B24" s="388" t="str">
        <f>$B$7</f>
        <v>FT</v>
      </c>
      <c r="C24" s="388" t="str">
        <f>$C$7</f>
        <v>PT</v>
      </c>
      <c r="D24" s="388" t="str">
        <f>$D$7</f>
        <v>SE</v>
      </c>
      <c r="E24" s="388" t="str">
        <f>$E$7</f>
        <v>Total</v>
      </c>
      <c r="F24" s="388"/>
      <c r="G24" s="388" t="str">
        <f>$G$7</f>
        <v>FT</v>
      </c>
      <c r="H24" s="388" t="str">
        <f>$H$7</f>
        <v>PT</v>
      </c>
      <c r="I24" s="388" t="str">
        <f>$I$7</f>
        <v>SE</v>
      </c>
      <c r="J24" s="388" t="str">
        <f>$J$7</f>
        <v>Total</v>
      </c>
      <c r="K24" s="388"/>
      <c r="L24" s="388" t="str">
        <f>$L$7</f>
        <v>FT</v>
      </c>
      <c r="M24" s="388" t="str">
        <f>$M$7</f>
        <v>PT</v>
      </c>
      <c r="N24" s="388" t="str">
        <f>$N$7</f>
        <v>SE</v>
      </c>
      <c r="O24" s="388" t="str">
        <f>$O$7</f>
        <v>Total</v>
      </c>
    </row>
    <row r="25" spans="1:15" s="351" customFormat="1" x14ac:dyDescent="0.25">
      <c r="A25" s="374"/>
      <c r="B25" s="350"/>
      <c r="C25" s="350"/>
      <c r="D25" s="350"/>
      <c r="E25" s="350"/>
      <c r="F25" s="350"/>
      <c r="G25" s="350"/>
      <c r="H25" s="350"/>
      <c r="I25" s="350"/>
      <c r="J25" s="350"/>
      <c r="K25" s="350"/>
      <c r="L25" s="350"/>
      <c r="M25" s="350"/>
      <c r="N25" s="350"/>
      <c r="O25" s="350"/>
    </row>
    <row r="26" spans="1:15" s="351" customFormat="1" x14ac:dyDescent="0.25">
      <c r="A26" s="362" t="str">
        <f>name!E$4</f>
        <v>Managers, directors and senior officials</v>
      </c>
      <c r="B26" s="440">
        <v>12.374016606590361</v>
      </c>
      <c r="C26" s="440">
        <v>3.275218901823985</v>
      </c>
      <c r="D26" s="440">
        <v>7.1055410194412563</v>
      </c>
      <c r="E26" s="440">
        <f>SUM(B26:D26)</f>
        <v>22.754776527855604</v>
      </c>
      <c r="F26" s="441"/>
      <c r="G26" s="440">
        <v>18.824488122643782</v>
      </c>
      <c r="H26" s="440">
        <v>4.5766775104574702</v>
      </c>
      <c r="I26" s="440">
        <v>8.8908491902324069</v>
      </c>
      <c r="J26" s="440">
        <f>SUM(G26:I26)</f>
        <v>32.292014823333659</v>
      </c>
      <c r="K26" s="441"/>
      <c r="L26" s="440">
        <v>18.969976206719704</v>
      </c>
      <c r="M26" s="440">
        <v>6.530909961270754</v>
      </c>
      <c r="N26" s="440">
        <v>8.3181311827167157</v>
      </c>
      <c r="O26" s="440">
        <f>SUM(L26:N26)</f>
        <v>33.819017350707171</v>
      </c>
    </row>
    <row r="27" spans="1:15" s="351" customFormat="1" x14ac:dyDescent="0.25">
      <c r="A27" s="362" t="str">
        <f>name!E$5</f>
        <v>Professional occupations</v>
      </c>
      <c r="B27" s="440">
        <v>12.562941871141387</v>
      </c>
      <c r="C27" s="440">
        <v>2.0960069622964803</v>
      </c>
      <c r="D27" s="440">
        <v>1.0885708207197418</v>
      </c>
      <c r="E27" s="440">
        <f t="shared" ref="E27:E34" si="31">SUM(B27:D27)</f>
        <v>15.747519654157609</v>
      </c>
      <c r="F27" s="441"/>
      <c r="G27" s="440">
        <v>14.128968997247048</v>
      </c>
      <c r="H27" s="440">
        <v>3.5204726458258646</v>
      </c>
      <c r="I27" s="440">
        <v>3.8180837010653015</v>
      </c>
      <c r="J27" s="440">
        <f t="shared" ref="J27:J34" si="32">SUM(G27:I27)</f>
        <v>21.467525344138213</v>
      </c>
      <c r="K27" s="441"/>
      <c r="L27" s="440">
        <v>16.793956563693129</v>
      </c>
      <c r="M27" s="440">
        <v>5.3072312031933562</v>
      </c>
      <c r="N27" s="440">
        <v>3.7581173434403263</v>
      </c>
      <c r="O27" s="440">
        <f t="shared" ref="O27:O34" si="33">SUM(L27:N27)</f>
        <v>25.859305110326812</v>
      </c>
    </row>
    <row r="28" spans="1:15" s="351" customFormat="1" x14ac:dyDescent="0.25">
      <c r="A28" s="362" t="str">
        <f>name!E$6</f>
        <v>Associate professional and technical</v>
      </c>
      <c r="B28" s="440">
        <v>9.2362254453073316</v>
      </c>
      <c r="C28" s="440">
        <v>1.7549738428924051</v>
      </c>
      <c r="D28" s="440">
        <v>0.77751154433146685</v>
      </c>
      <c r="E28" s="440">
        <f t="shared" si="31"/>
        <v>11.768710832531204</v>
      </c>
      <c r="F28" s="441"/>
      <c r="G28" s="440">
        <v>12.122579027739416</v>
      </c>
      <c r="H28" s="440">
        <v>2.9600424195944068</v>
      </c>
      <c r="I28" s="440">
        <v>2.5081187460104348</v>
      </c>
      <c r="J28" s="440">
        <f t="shared" si="32"/>
        <v>17.590740193344256</v>
      </c>
      <c r="K28" s="441"/>
      <c r="L28" s="440">
        <v>13.096966509932452</v>
      </c>
      <c r="M28" s="440">
        <v>4.4198865142858867</v>
      </c>
      <c r="N28" s="440">
        <v>2.6539076605597156</v>
      </c>
      <c r="O28" s="440">
        <f t="shared" si="33"/>
        <v>20.170760684778053</v>
      </c>
    </row>
    <row r="29" spans="1:15" s="351" customFormat="1" x14ac:dyDescent="0.25">
      <c r="A29" s="362" t="str">
        <f>name!E$7</f>
        <v>Administrative and secretarial</v>
      </c>
      <c r="B29" s="440">
        <v>10.180609242641127</v>
      </c>
      <c r="C29" s="440">
        <v>11.542355774065163</v>
      </c>
      <c r="D29" s="440">
        <v>1.1897183864678711</v>
      </c>
      <c r="E29" s="440">
        <f t="shared" si="31"/>
        <v>22.91268340317416</v>
      </c>
      <c r="F29" s="441"/>
      <c r="G29" s="440">
        <v>9.8093773264488711</v>
      </c>
      <c r="H29" s="440">
        <v>10.206989856976106</v>
      </c>
      <c r="I29" s="440">
        <v>1.8217231744861824</v>
      </c>
      <c r="J29" s="440">
        <f t="shared" si="32"/>
        <v>21.838090357911156</v>
      </c>
      <c r="K29" s="441"/>
      <c r="L29" s="440">
        <v>7.3490713248675368</v>
      </c>
      <c r="M29" s="440">
        <v>10.755470002344424</v>
      </c>
      <c r="N29" s="440">
        <v>1.1040796594161522</v>
      </c>
      <c r="O29" s="440">
        <f t="shared" si="33"/>
        <v>19.208620986628112</v>
      </c>
    </row>
    <row r="30" spans="1:15" s="351" customFormat="1" x14ac:dyDescent="0.25">
      <c r="A30" s="362" t="str">
        <f>name!E$8</f>
        <v>Skilled trades occupations</v>
      </c>
      <c r="B30" s="440">
        <v>46.786059578998575</v>
      </c>
      <c r="C30" s="440">
        <v>15.315304030975584</v>
      </c>
      <c r="D30" s="440">
        <v>115.585985133702</v>
      </c>
      <c r="E30" s="440">
        <f t="shared" si="31"/>
        <v>177.68734874367615</v>
      </c>
      <c r="F30" s="441"/>
      <c r="G30" s="440">
        <v>63.587201843224037</v>
      </c>
      <c r="H30" s="440">
        <v>12.341598186739416</v>
      </c>
      <c r="I30" s="440">
        <v>138.97663316199058</v>
      </c>
      <c r="J30" s="440">
        <f>SUM(G30:I30)</f>
        <v>214.90543319195405</v>
      </c>
      <c r="K30" s="441"/>
      <c r="L30" s="440">
        <v>64.424039062816064</v>
      </c>
      <c r="M30" s="440">
        <v>14.029076160727293</v>
      </c>
      <c r="N30" s="440">
        <v>114.96704685802794</v>
      </c>
      <c r="O30" s="440">
        <f t="shared" si="33"/>
        <v>193.42016208157131</v>
      </c>
    </row>
    <row r="31" spans="1:15" s="351" customFormat="1" x14ac:dyDescent="0.25">
      <c r="A31" s="362" t="str">
        <f>name!E$9</f>
        <v>Caring, leisure and other service</v>
      </c>
      <c r="B31" s="440">
        <v>9.8916435183863491</v>
      </c>
      <c r="C31" s="440">
        <v>5.715430548763452</v>
      </c>
      <c r="D31" s="440">
        <v>2.0863266890154146</v>
      </c>
      <c r="E31" s="440">
        <f t="shared" si="31"/>
        <v>17.693400756165214</v>
      </c>
      <c r="F31" s="441"/>
      <c r="G31" s="440">
        <v>13.660142658051985</v>
      </c>
      <c r="H31" s="440">
        <v>5.1267269796980521</v>
      </c>
      <c r="I31" s="440">
        <v>4.6074355513148877</v>
      </c>
      <c r="J31" s="440">
        <f t="shared" si="32"/>
        <v>23.394305189064923</v>
      </c>
      <c r="K31" s="441"/>
      <c r="L31" s="440">
        <v>15.021401872526194</v>
      </c>
      <c r="M31" s="440">
        <v>6.7592632642239305</v>
      </c>
      <c r="N31" s="440">
        <v>5.2507203752404585</v>
      </c>
      <c r="O31" s="440">
        <f t="shared" si="33"/>
        <v>27.031385511990582</v>
      </c>
    </row>
    <row r="32" spans="1:15" s="351" customFormat="1" x14ac:dyDescent="0.25">
      <c r="A32" s="362" t="str">
        <f>name!E$10</f>
        <v>Sales and customer service</v>
      </c>
      <c r="B32" s="440">
        <v>2.8937438066257117</v>
      </c>
      <c r="C32" s="440">
        <v>3.2645527879676921</v>
      </c>
      <c r="D32" s="440">
        <v>0.25373071230747551</v>
      </c>
      <c r="E32" s="440">
        <f t="shared" si="31"/>
        <v>6.4120273069008791</v>
      </c>
      <c r="F32" s="441"/>
      <c r="G32" s="440">
        <v>3.94794397562015</v>
      </c>
      <c r="H32" s="440">
        <v>3.0422736232744496</v>
      </c>
      <c r="I32" s="440">
        <v>0.5108919141020658</v>
      </c>
      <c r="J32" s="440">
        <f t="shared" si="32"/>
        <v>7.5011095129966652</v>
      </c>
      <c r="K32" s="441"/>
      <c r="L32" s="440">
        <v>3.3906114961439386</v>
      </c>
      <c r="M32" s="440">
        <v>3.3210933975930321</v>
      </c>
      <c r="N32" s="440">
        <v>0.47291988603494667</v>
      </c>
      <c r="O32" s="440">
        <f t="shared" si="33"/>
        <v>7.1846247797719176</v>
      </c>
    </row>
    <row r="33" spans="1:15" s="351" customFormat="1" x14ac:dyDescent="0.25">
      <c r="A33" s="362" t="str">
        <f>name!E$11</f>
        <v>Process, plant and machine operatives</v>
      </c>
      <c r="B33" s="440">
        <v>20.333477274763734</v>
      </c>
      <c r="C33" s="440">
        <v>5.3825533115142168</v>
      </c>
      <c r="D33" s="440">
        <v>1.593721663894067</v>
      </c>
      <c r="E33" s="440">
        <f t="shared" si="31"/>
        <v>27.309752250172018</v>
      </c>
      <c r="F33" s="441"/>
      <c r="G33" s="440">
        <v>18.633382368508485</v>
      </c>
      <c r="H33" s="440">
        <v>2.9890406738453366</v>
      </c>
      <c r="I33" s="440">
        <v>2.3662722245556433</v>
      </c>
      <c r="J33" s="440">
        <f t="shared" si="32"/>
        <v>23.988695266909467</v>
      </c>
      <c r="K33" s="441"/>
      <c r="L33" s="440">
        <v>16.091783667493392</v>
      </c>
      <c r="M33" s="440">
        <v>2.8927389291433099</v>
      </c>
      <c r="N33" s="440">
        <v>2.2709045148627167</v>
      </c>
      <c r="O33" s="440">
        <f t="shared" si="33"/>
        <v>21.255427111499419</v>
      </c>
    </row>
    <row r="34" spans="1:15" s="351" customFormat="1" x14ac:dyDescent="0.25">
      <c r="A34" s="362" t="str">
        <f>name!E$12</f>
        <v>Elementary occupations</v>
      </c>
      <c r="B34" s="440">
        <v>39.065282654751876</v>
      </c>
      <c r="C34" s="440">
        <v>20.32560383962981</v>
      </c>
      <c r="D34" s="440">
        <v>12.317894030273095</v>
      </c>
      <c r="E34" s="440">
        <f t="shared" si="31"/>
        <v>71.708780524654784</v>
      </c>
      <c r="F34" s="441"/>
      <c r="G34" s="440">
        <v>45.739915680323413</v>
      </c>
      <c r="H34" s="440">
        <v>10.791178103861709</v>
      </c>
      <c r="I34" s="440">
        <v>22.501992337400008</v>
      </c>
      <c r="J34" s="440">
        <f t="shared" si="32"/>
        <v>79.033086121585129</v>
      </c>
      <c r="K34" s="441"/>
      <c r="L34" s="440">
        <v>37.796193295057236</v>
      </c>
      <c r="M34" s="440">
        <v>11.639330567381124</v>
      </c>
      <c r="N34" s="440">
        <v>22.04717252123903</v>
      </c>
      <c r="O34" s="440">
        <f t="shared" si="33"/>
        <v>71.482696383677393</v>
      </c>
    </row>
    <row r="35" spans="1:15" s="351" customFormat="1" x14ac:dyDescent="0.25">
      <c r="A35" s="362"/>
      <c r="B35" s="440"/>
      <c r="C35" s="440"/>
      <c r="D35" s="440"/>
      <c r="E35" s="440"/>
      <c r="F35" s="441"/>
      <c r="G35" s="440"/>
      <c r="H35" s="440"/>
      <c r="I35" s="440"/>
      <c r="J35" s="440"/>
      <c r="K35" s="441"/>
      <c r="L35" s="440"/>
      <c r="M35" s="440"/>
      <c r="N35" s="440"/>
      <c r="O35" s="440"/>
    </row>
    <row r="36" spans="1:15" s="351" customFormat="1" x14ac:dyDescent="0.25">
      <c r="A36" s="357" t="s">
        <v>32</v>
      </c>
      <c r="B36" s="450">
        <f>SUM(B26:B34)</f>
        <v>163.32399999920645</v>
      </c>
      <c r="C36" s="450">
        <f t="shared" ref="C36:O36" si="34">SUM(C26:C34)</f>
        <v>68.671999999928786</v>
      </c>
      <c r="D36" s="450">
        <f t="shared" si="34"/>
        <v>141.99900000015236</v>
      </c>
      <c r="E36" s="450">
        <f t="shared" si="34"/>
        <v>373.99499999928764</v>
      </c>
      <c r="F36" s="450"/>
      <c r="G36" s="450">
        <f t="shared" si="34"/>
        <v>200.45399999980717</v>
      </c>
      <c r="H36" s="450">
        <f t="shared" si="34"/>
        <v>55.555000000272805</v>
      </c>
      <c r="I36" s="450">
        <f t="shared" si="34"/>
        <v>186.00200000115751</v>
      </c>
      <c r="J36" s="450">
        <f t="shared" si="34"/>
        <v>442.01100000123756</v>
      </c>
      <c r="K36" s="450"/>
      <c r="L36" s="450">
        <f t="shared" si="34"/>
        <v>192.93399999924964</v>
      </c>
      <c r="M36" s="450">
        <f t="shared" si="34"/>
        <v>65.655000000163113</v>
      </c>
      <c r="N36" s="450">
        <f t="shared" si="34"/>
        <v>160.843000001538</v>
      </c>
      <c r="O36" s="450">
        <f t="shared" si="34"/>
        <v>419.43200000095078</v>
      </c>
    </row>
    <row r="37" spans="1:15" s="351" customFormat="1" x14ac:dyDescent="0.25">
      <c r="A37" s="348"/>
      <c r="B37" s="348"/>
      <c r="C37" s="348"/>
      <c r="D37" s="348"/>
      <c r="E37" s="348"/>
      <c r="F37" s="348"/>
      <c r="G37" s="348"/>
      <c r="H37" s="348"/>
      <c r="I37" s="348"/>
      <c r="J37" s="348"/>
      <c r="K37" s="348"/>
      <c r="L37" s="348"/>
      <c r="M37" s="348"/>
      <c r="N37" s="353"/>
    </row>
    <row r="38" spans="1:15" s="351" customFormat="1" x14ac:dyDescent="0.25">
      <c r="A38" s="348"/>
      <c r="B38" s="348"/>
      <c r="C38" s="348"/>
      <c r="D38" s="348"/>
      <c r="E38" s="348"/>
      <c r="F38" s="348"/>
      <c r="G38" s="348"/>
      <c r="H38" s="348"/>
      <c r="I38" s="348"/>
      <c r="J38" s="348"/>
      <c r="K38" s="348"/>
      <c r="L38" s="348"/>
      <c r="M38" s="348"/>
      <c r="N38" s="353"/>
      <c r="O38" s="367" t="s">
        <v>35</v>
      </c>
    </row>
    <row r="39" spans="1:15" s="351" customFormat="1" x14ac:dyDescent="0.25">
      <c r="A39" s="355"/>
      <c r="B39" s="355"/>
      <c r="C39" s="355"/>
      <c r="D39" s="355"/>
      <c r="E39" s="355"/>
      <c r="F39" s="355"/>
      <c r="G39" s="355"/>
      <c r="H39" s="355"/>
      <c r="I39" s="355"/>
      <c r="J39" s="355"/>
      <c r="K39" s="355"/>
      <c r="L39" s="355"/>
      <c r="M39" s="355"/>
      <c r="N39" s="355"/>
      <c r="O39" s="355"/>
    </row>
    <row r="40" spans="1:15" s="351" customFormat="1" x14ac:dyDescent="0.25">
      <c r="A40" s="354" t="str">
        <f>name!A5</f>
        <v>Coal, oil &amp; gas; Mining &amp; related</v>
      </c>
      <c r="B40" s="517">
        <f>$B$6</f>
        <v>2007</v>
      </c>
      <c r="C40" s="517"/>
      <c r="D40" s="517"/>
      <c r="E40" s="517"/>
      <c r="F40" s="380"/>
      <c r="G40" s="517">
        <f>$G$6</f>
        <v>2017</v>
      </c>
      <c r="H40" s="517"/>
      <c r="I40" s="517"/>
      <c r="J40" s="517"/>
      <c r="K40" s="380"/>
      <c r="L40" s="517">
        <f>$L$6</f>
        <v>2027</v>
      </c>
      <c r="M40" s="517"/>
      <c r="N40" s="517"/>
      <c r="O40" s="517"/>
    </row>
    <row r="41" spans="1:15" s="351" customFormat="1" x14ac:dyDescent="0.25">
      <c r="A41" s="370"/>
      <c r="B41" s="388" t="str">
        <f>$B$7</f>
        <v>FT</v>
      </c>
      <c r="C41" s="388" t="str">
        <f>$C$7</f>
        <v>PT</v>
      </c>
      <c r="D41" s="388" t="str">
        <f>$D$7</f>
        <v>SE</v>
      </c>
      <c r="E41" s="388" t="str">
        <f>$E$7</f>
        <v>Total</v>
      </c>
      <c r="F41" s="388"/>
      <c r="G41" s="388" t="str">
        <f>$G$7</f>
        <v>FT</v>
      </c>
      <c r="H41" s="388" t="str">
        <f>$H$7</f>
        <v>PT</v>
      </c>
      <c r="I41" s="388" t="str">
        <f>$I$7</f>
        <v>SE</v>
      </c>
      <c r="J41" s="388" t="str">
        <f>$J$7</f>
        <v>Total</v>
      </c>
      <c r="K41" s="388"/>
      <c r="L41" s="388" t="str">
        <f>$L$7</f>
        <v>FT</v>
      </c>
      <c r="M41" s="388" t="str">
        <f>$M$7</f>
        <v>PT</v>
      </c>
      <c r="N41" s="388" t="str">
        <f>$N$7</f>
        <v>SE</v>
      </c>
      <c r="O41" s="388" t="str">
        <f>$O$7</f>
        <v>Total</v>
      </c>
    </row>
    <row r="42" spans="1:15" s="351" customFormat="1" x14ac:dyDescent="0.25">
      <c r="A42" s="374"/>
      <c r="B42" s="350"/>
      <c r="C42" s="350"/>
      <c r="D42" s="350"/>
      <c r="E42" s="350"/>
      <c r="F42" s="350"/>
      <c r="G42" s="350"/>
      <c r="H42" s="350"/>
      <c r="I42" s="350"/>
      <c r="J42" s="350"/>
      <c r="K42" s="350"/>
      <c r="L42" s="350"/>
      <c r="M42" s="350"/>
      <c r="N42" s="350"/>
      <c r="O42" s="350"/>
    </row>
    <row r="43" spans="1:15" s="351" customFormat="1" x14ac:dyDescent="0.25">
      <c r="A43" s="362" t="str">
        <f>name!E$4</f>
        <v>Managers, directors and senior officials</v>
      </c>
      <c r="B43" s="440">
        <v>5.2273349016539017</v>
      </c>
      <c r="C43" s="440">
        <v>0.20074770382325877</v>
      </c>
      <c r="D43" s="440">
        <v>1.3370739435727959</v>
      </c>
      <c r="E43" s="440">
        <f>SUM(B43:D43)</f>
        <v>6.7651565490499568</v>
      </c>
      <c r="F43" s="441"/>
      <c r="G43" s="440">
        <v>5.8512304558599952</v>
      </c>
      <c r="H43" s="440">
        <v>0.1975009667623111</v>
      </c>
      <c r="I43" s="440">
        <v>1.2143962458106603</v>
      </c>
      <c r="J43" s="440">
        <f>SUM(G43:I43)</f>
        <v>7.2631276684329666</v>
      </c>
      <c r="K43" s="441"/>
      <c r="L43" s="440">
        <v>5.7701185351223936</v>
      </c>
      <c r="M43" s="440">
        <v>0.22772482053408569</v>
      </c>
      <c r="N43" s="440">
        <v>1.1411827321496439</v>
      </c>
      <c r="O43" s="440">
        <f>SUM(L43:N43)</f>
        <v>7.1390260878061227</v>
      </c>
    </row>
    <row r="44" spans="1:15" s="351" customFormat="1" x14ac:dyDescent="0.25">
      <c r="A44" s="362" t="str">
        <f>name!E$5</f>
        <v>Professional occupations</v>
      </c>
      <c r="B44" s="440">
        <v>9.8758075752376833</v>
      </c>
      <c r="C44" s="440">
        <v>0.36209588720696922</v>
      </c>
      <c r="D44" s="440">
        <v>1.6006802128566264</v>
      </c>
      <c r="E44" s="440">
        <f t="shared" ref="E44:E51" si="35">SUM(B44:D44)</f>
        <v>11.83858367530128</v>
      </c>
      <c r="F44" s="441"/>
      <c r="G44" s="440">
        <v>12.294652620137224</v>
      </c>
      <c r="H44" s="440">
        <v>0.48330302412159665</v>
      </c>
      <c r="I44" s="440">
        <v>0.73622902037023619</v>
      </c>
      <c r="J44" s="440">
        <f t="shared" ref="J44:J46" si="36">SUM(G44:I44)</f>
        <v>13.514184664629058</v>
      </c>
      <c r="K44" s="441"/>
      <c r="L44" s="440">
        <v>12.066966594832289</v>
      </c>
      <c r="M44" s="440">
        <v>0.50358381883000203</v>
      </c>
      <c r="N44" s="440">
        <v>0.55927630016727348</v>
      </c>
      <c r="O44" s="440">
        <f t="shared" ref="O44:O51" si="37">SUM(L44:N44)</f>
        <v>13.129826713829564</v>
      </c>
    </row>
    <row r="45" spans="1:15" s="351" customFormat="1" x14ac:dyDescent="0.25">
      <c r="A45" s="362" t="str">
        <f>name!E$6</f>
        <v>Associate professional and technical</v>
      </c>
      <c r="B45" s="440">
        <v>8.3802338512569889</v>
      </c>
      <c r="C45" s="440">
        <v>0.19148299012938202</v>
      </c>
      <c r="D45" s="440">
        <v>1.2487292385737565</v>
      </c>
      <c r="E45" s="440">
        <f t="shared" si="35"/>
        <v>9.8204460799601279</v>
      </c>
      <c r="F45" s="441"/>
      <c r="G45" s="440">
        <v>8.2001787772180865</v>
      </c>
      <c r="H45" s="440">
        <v>0.28131350870146526</v>
      </c>
      <c r="I45" s="440">
        <v>0.69256686070027929</v>
      </c>
      <c r="J45" s="440">
        <f t="shared" si="36"/>
        <v>9.1740591466198325</v>
      </c>
      <c r="K45" s="441"/>
      <c r="L45" s="440">
        <v>7.6496750444738986</v>
      </c>
      <c r="M45" s="440">
        <v>0.30752921717587106</v>
      </c>
      <c r="N45" s="440">
        <v>0.57378290086466488</v>
      </c>
      <c r="O45" s="440">
        <f t="shared" si="37"/>
        <v>8.5309871625144336</v>
      </c>
    </row>
    <row r="46" spans="1:15" s="351" customFormat="1" x14ac:dyDescent="0.25">
      <c r="A46" s="362" t="str">
        <f>name!E$7</f>
        <v>Administrative and secretarial</v>
      </c>
      <c r="B46" s="440">
        <v>4.5213697116124312</v>
      </c>
      <c r="C46" s="440">
        <v>0.7148255314120725</v>
      </c>
      <c r="D46" s="440">
        <v>0.69128751689534984</v>
      </c>
      <c r="E46" s="440">
        <f t="shared" si="35"/>
        <v>5.9274827599198536</v>
      </c>
      <c r="F46" s="441"/>
      <c r="G46" s="440">
        <v>4.5022587695008349</v>
      </c>
      <c r="H46" s="440">
        <v>0.73955137459552733</v>
      </c>
      <c r="I46" s="440">
        <v>0.37714646099334892</v>
      </c>
      <c r="J46" s="440">
        <f t="shared" si="36"/>
        <v>5.6189566050897115</v>
      </c>
      <c r="K46" s="441"/>
      <c r="L46" s="440">
        <v>3.2983826051662062</v>
      </c>
      <c r="M46" s="440">
        <v>0.61936037791526943</v>
      </c>
      <c r="N46" s="440">
        <v>0.25919140999934348</v>
      </c>
      <c r="O46" s="440">
        <f t="shared" si="37"/>
        <v>4.1769343930808187</v>
      </c>
    </row>
    <row r="47" spans="1:15" s="351" customFormat="1" x14ac:dyDescent="0.25">
      <c r="A47" s="362" t="str">
        <f>name!E$8</f>
        <v>Skilled trades occupations</v>
      </c>
      <c r="B47" s="440">
        <v>10.108330386170707</v>
      </c>
      <c r="C47" s="440">
        <v>0.21773061168477051</v>
      </c>
      <c r="D47" s="440">
        <v>1.1297225804637159</v>
      </c>
      <c r="E47" s="440">
        <f t="shared" si="35"/>
        <v>11.455783578319192</v>
      </c>
      <c r="F47" s="441"/>
      <c r="G47" s="440">
        <v>8.1895218149315649</v>
      </c>
      <c r="H47" s="440">
        <v>0.26364684636959196</v>
      </c>
      <c r="I47" s="440">
        <v>1.3007360823485496</v>
      </c>
      <c r="J47" s="440">
        <f>SUM(G47:I47)</f>
        <v>9.7539047436497075</v>
      </c>
      <c r="K47" s="441"/>
      <c r="L47" s="440">
        <v>6.071974399233885</v>
      </c>
      <c r="M47" s="440">
        <v>0.298793835954139</v>
      </c>
      <c r="N47" s="440">
        <v>1.0556697626485341</v>
      </c>
      <c r="O47" s="440">
        <f t="shared" si="37"/>
        <v>7.4264379978365582</v>
      </c>
    </row>
    <row r="48" spans="1:15" s="351" customFormat="1" x14ac:dyDescent="0.25">
      <c r="A48" s="362" t="str">
        <f>name!E$9</f>
        <v>Caring, leisure and other service</v>
      </c>
      <c r="B48" s="440">
        <v>0.49447894886192567</v>
      </c>
      <c r="C48" s="440">
        <v>0.35832521717944904</v>
      </c>
      <c r="D48" s="440">
        <v>0.18883976139133507</v>
      </c>
      <c r="E48" s="440">
        <f t="shared" si="35"/>
        <v>1.0416439274327098</v>
      </c>
      <c r="F48" s="441"/>
      <c r="G48" s="440">
        <v>0.74686505846742346</v>
      </c>
      <c r="H48" s="440">
        <v>0.62654196905130555</v>
      </c>
      <c r="I48" s="440">
        <v>9.6487715613013239E-2</v>
      </c>
      <c r="J48" s="440">
        <f t="shared" ref="J48:J51" si="38">SUM(G48:I48)</f>
        <v>1.4698947431317422</v>
      </c>
      <c r="K48" s="441"/>
      <c r="L48" s="440">
        <v>0.63562773003209194</v>
      </c>
      <c r="M48" s="440">
        <v>0.66861177749452427</v>
      </c>
      <c r="N48" s="440">
        <v>0.10058812343000761</v>
      </c>
      <c r="O48" s="440">
        <f t="shared" si="37"/>
        <v>1.4048276309566239</v>
      </c>
    </row>
    <row r="49" spans="1:15" s="351" customFormat="1" x14ac:dyDescent="0.25">
      <c r="A49" s="362" t="str">
        <f>name!E$10</f>
        <v>Sales and customer service</v>
      </c>
      <c r="B49" s="440">
        <v>1.0734951186489274</v>
      </c>
      <c r="C49" s="440">
        <v>0.32912818025580065</v>
      </c>
      <c r="D49" s="440">
        <v>0.1658465375723718</v>
      </c>
      <c r="E49" s="440">
        <f t="shared" si="35"/>
        <v>1.5684698364770999</v>
      </c>
      <c r="F49" s="441"/>
      <c r="G49" s="440">
        <v>1.154119968064458</v>
      </c>
      <c r="H49" s="440">
        <v>0.42263839759237409</v>
      </c>
      <c r="I49" s="440">
        <v>0.10045185398997832</v>
      </c>
      <c r="J49" s="440">
        <f t="shared" si="38"/>
        <v>1.6772102196468106</v>
      </c>
      <c r="K49" s="441"/>
      <c r="L49" s="440">
        <v>0.96154178619542019</v>
      </c>
      <c r="M49" s="440">
        <v>0.36639234880409083</v>
      </c>
      <c r="N49" s="440">
        <v>8.8636739719180957E-2</v>
      </c>
      <c r="O49" s="440">
        <f t="shared" si="37"/>
        <v>1.416570874718692</v>
      </c>
    </row>
    <row r="50" spans="1:15" s="351" customFormat="1" x14ac:dyDescent="0.25">
      <c r="A50" s="362" t="str">
        <f>name!E$11</f>
        <v>Process, plant and machine operatives</v>
      </c>
      <c r="B50" s="440">
        <v>15.767671250765119</v>
      </c>
      <c r="C50" s="440">
        <v>0.36749486144148807</v>
      </c>
      <c r="D50" s="440">
        <v>0.87992349038319095</v>
      </c>
      <c r="E50" s="440">
        <f t="shared" si="35"/>
        <v>17.0150896025898</v>
      </c>
      <c r="F50" s="441"/>
      <c r="G50" s="440">
        <v>11.253656690379506</v>
      </c>
      <c r="H50" s="440">
        <v>0.54160520008765167</v>
      </c>
      <c r="I50" s="440">
        <v>1.0815784540080864</v>
      </c>
      <c r="J50" s="440">
        <f t="shared" si="38"/>
        <v>12.876840344475244</v>
      </c>
      <c r="K50" s="441"/>
      <c r="L50" s="440">
        <v>8.9069818664228322</v>
      </c>
      <c r="M50" s="440">
        <v>0.57079922878502576</v>
      </c>
      <c r="N50" s="440">
        <v>1.0106873928686617</v>
      </c>
      <c r="O50" s="440">
        <f t="shared" si="37"/>
        <v>10.488468488076519</v>
      </c>
    </row>
    <row r="51" spans="1:15" s="351" customFormat="1" x14ac:dyDescent="0.25">
      <c r="A51" s="362" t="str">
        <f>name!E$12</f>
        <v>Elementary occupations</v>
      </c>
      <c r="B51" s="440">
        <v>1.4752782557498987</v>
      </c>
      <c r="C51" s="440">
        <v>0.31916901687766497</v>
      </c>
      <c r="D51" s="440">
        <v>0.77689671829849105</v>
      </c>
      <c r="E51" s="440">
        <f t="shared" si="35"/>
        <v>2.5713439909260547</v>
      </c>
      <c r="F51" s="441"/>
      <c r="G51" s="440">
        <v>0.96051584507808052</v>
      </c>
      <c r="H51" s="440">
        <v>0.28389871271514039</v>
      </c>
      <c r="I51" s="440">
        <v>1.4114073061930823</v>
      </c>
      <c r="J51" s="440">
        <f t="shared" si="38"/>
        <v>2.6558218639863034</v>
      </c>
      <c r="K51" s="441"/>
      <c r="L51" s="440">
        <v>0.73673143839823785</v>
      </c>
      <c r="M51" s="440">
        <v>0.21120457451923966</v>
      </c>
      <c r="N51" s="440">
        <v>1.2669846381917615</v>
      </c>
      <c r="O51" s="440">
        <f t="shared" si="37"/>
        <v>2.2149206511092392</v>
      </c>
    </row>
    <row r="52" spans="1:15" s="351" customFormat="1" x14ac:dyDescent="0.25">
      <c r="A52" s="362"/>
      <c r="B52" s="440"/>
      <c r="C52" s="440"/>
      <c r="D52" s="440"/>
      <c r="E52" s="440"/>
      <c r="F52" s="441"/>
      <c r="G52" s="440"/>
      <c r="H52" s="440"/>
      <c r="I52" s="440"/>
      <c r="J52" s="440"/>
      <c r="K52" s="441"/>
      <c r="L52" s="440"/>
      <c r="M52" s="440"/>
      <c r="N52" s="440"/>
      <c r="O52" s="440"/>
    </row>
    <row r="53" spans="1:15" s="351" customFormat="1" x14ac:dyDescent="0.25">
      <c r="A53" s="357" t="s">
        <v>32</v>
      </c>
      <c r="B53" s="450">
        <f>SUM(B43:B51)</f>
        <v>56.92399999995758</v>
      </c>
      <c r="C53" s="450">
        <f t="shared" ref="C53:E53" si="39">SUM(C43:C51)</f>
        <v>3.0610000000108561</v>
      </c>
      <c r="D53" s="450">
        <f t="shared" si="39"/>
        <v>8.0190000000076331</v>
      </c>
      <c r="E53" s="450">
        <f t="shared" si="39"/>
        <v>68.003999999976074</v>
      </c>
      <c r="F53" s="450"/>
      <c r="G53" s="450">
        <f t="shared" ref="G53:J53" si="40">SUM(G43:G51)</f>
        <v>53.152999999637167</v>
      </c>
      <c r="H53" s="450">
        <f t="shared" si="40"/>
        <v>3.8399999999969645</v>
      </c>
      <c r="I53" s="450">
        <f t="shared" si="40"/>
        <v>7.0110000000272343</v>
      </c>
      <c r="J53" s="450">
        <f t="shared" si="40"/>
        <v>64.003999999661374</v>
      </c>
      <c r="K53" s="450"/>
      <c r="L53" s="450">
        <f t="shared" ref="L53:O53" si="41">SUM(L43:L51)</f>
        <v>46.097999999877253</v>
      </c>
      <c r="M53" s="450">
        <f t="shared" si="41"/>
        <v>3.7740000000122476</v>
      </c>
      <c r="N53" s="450">
        <f t="shared" si="41"/>
        <v>6.0560000000390719</v>
      </c>
      <c r="O53" s="450">
        <f t="shared" si="41"/>
        <v>55.927999999928581</v>
      </c>
    </row>
    <row r="54" spans="1:15" s="351" customFormat="1" x14ac:dyDescent="0.25">
      <c r="A54" s="348"/>
      <c r="B54" s="348"/>
      <c r="C54" s="348"/>
      <c r="D54" s="348"/>
      <c r="E54" s="348"/>
      <c r="F54" s="348"/>
      <c r="G54" s="348"/>
      <c r="H54" s="348"/>
      <c r="I54" s="348"/>
      <c r="J54" s="348"/>
      <c r="K54" s="348"/>
      <c r="L54" s="348"/>
      <c r="M54" s="348"/>
      <c r="N54" s="353"/>
    </row>
    <row r="55" spans="1:15" s="351" customFormat="1" x14ac:dyDescent="0.25">
      <c r="A55" s="348"/>
      <c r="B55" s="348"/>
      <c r="C55" s="348"/>
      <c r="D55" s="348"/>
      <c r="E55" s="348"/>
      <c r="F55" s="348"/>
      <c r="G55" s="348"/>
      <c r="H55" s="348"/>
      <c r="I55" s="348"/>
      <c r="J55" s="348"/>
      <c r="K55" s="348"/>
      <c r="L55" s="348"/>
      <c r="M55" s="348"/>
      <c r="N55" s="353"/>
      <c r="O55" s="367" t="s">
        <v>35</v>
      </c>
    </row>
    <row r="56" spans="1:15" s="351" customFormat="1" x14ac:dyDescent="0.25">
      <c r="A56" s="355"/>
      <c r="B56" s="355"/>
      <c r="C56" s="355"/>
      <c r="D56" s="355"/>
      <c r="E56" s="355"/>
      <c r="F56" s="355"/>
      <c r="G56" s="355"/>
      <c r="H56" s="355"/>
      <c r="I56" s="355"/>
      <c r="J56" s="355"/>
      <c r="K56" s="355"/>
      <c r="L56" s="355"/>
      <c r="M56" s="355"/>
      <c r="N56" s="355"/>
      <c r="O56" s="355"/>
    </row>
    <row r="57" spans="1:15" s="351" customFormat="1" x14ac:dyDescent="0.25">
      <c r="A57" s="354" t="str">
        <f>name!A6</f>
        <v>Food products</v>
      </c>
      <c r="B57" s="517">
        <f>$B$6</f>
        <v>2007</v>
      </c>
      <c r="C57" s="517"/>
      <c r="D57" s="517"/>
      <c r="E57" s="517"/>
      <c r="F57" s="380"/>
      <c r="G57" s="517">
        <f>$G$6</f>
        <v>2017</v>
      </c>
      <c r="H57" s="517"/>
      <c r="I57" s="517"/>
      <c r="J57" s="517"/>
      <c r="K57" s="380"/>
      <c r="L57" s="517">
        <f>$L$6</f>
        <v>2027</v>
      </c>
      <c r="M57" s="517"/>
      <c r="N57" s="517"/>
      <c r="O57" s="517"/>
    </row>
    <row r="58" spans="1:15" s="351" customFormat="1" x14ac:dyDescent="0.25">
      <c r="A58" s="370"/>
      <c r="B58" s="388" t="str">
        <f>$B$7</f>
        <v>FT</v>
      </c>
      <c r="C58" s="388" t="str">
        <f>$C$7</f>
        <v>PT</v>
      </c>
      <c r="D58" s="388" t="str">
        <f>$D$7</f>
        <v>SE</v>
      </c>
      <c r="E58" s="388" t="str">
        <f>$E$7</f>
        <v>Total</v>
      </c>
      <c r="F58" s="388"/>
      <c r="G58" s="388" t="str">
        <f>$G$7</f>
        <v>FT</v>
      </c>
      <c r="H58" s="388" t="str">
        <f>$H$7</f>
        <v>PT</v>
      </c>
      <c r="I58" s="388" t="str">
        <f>$I$7</f>
        <v>SE</v>
      </c>
      <c r="J58" s="388" t="str">
        <f>$J$7</f>
        <v>Total</v>
      </c>
      <c r="K58" s="388"/>
      <c r="L58" s="388" t="str">
        <f>$L$7</f>
        <v>FT</v>
      </c>
      <c r="M58" s="388" t="str">
        <f>$M$7</f>
        <v>PT</v>
      </c>
      <c r="N58" s="388" t="str">
        <f>$N$7</f>
        <v>SE</v>
      </c>
      <c r="O58" s="388" t="str">
        <f>$O$7</f>
        <v>Total</v>
      </c>
    </row>
    <row r="59" spans="1:15" s="351" customFormat="1" x14ac:dyDescent="0.25">
      <c r="A59" s="374"/>
      <c r="B59" s="350"/>
      <c r="C59" s="350"/>
      <c r="D59" s="350"/>
      <c r="E59" s="350"/>
      <c r="F59" s="350"/>
      <c r="G59" s="350"/>
      <c r="H59" s="350"/>
      <c r="I59" s="350"/>
      <c r="J59" s="350"/>
      <c r="K59" s="350"/>
      <c r="L59" s="350"/>
      <c r="M59" s="350"/>
      <c r="N59" s="350"/>
      <c r="O59" s="350"/>
    </row>
    <row r="60" spans="1:15" s="351" customFormat="1" x14ac:dyDescent="0.25">
      <c r="A60" s="362" t="str">
        <f>name!E$4</f>
        <v>Managers, directors and senior officials</v>
      </c>
      <c r="B60" s="440">
        <v>25.744072938058547</v>
      </c>
      <c r="C60" s="440">
        <v>1.5783753159380172</v>
      </c>
      <c r="D60" s="440">
        <v>2.502661868525033</v>
      </c>
      <c r="E60" s="440">
        <f>SUM(B60:D60)</f>
        <v>29.8251101225216</v>
      </c>
      <c r="F60" s="441"/>
      <c r="G60" s="440">
        <v>26.157023753282655</v>
      </c>
      <c r="H60" s="440">
        <v>2.4199678402989155</v>
      </c>
      <c r="I60" s="440">
        <v>4.2872984701560473</v>
      </c>
      <c r="J60" s="440">
        <f>SUM(G60:I60)</f>
        <v>32.86429006373762</v>
      </c>
      <c r="K60" s="441"/>
      <c r="L60" s="440">
        <v>29.603508437845448</v>
      </c>
      <c r="M60" s="440">
        <v>3.2899110432774012</v>
      </c>
      <c r="N60" s="440">
        <v>4.4353812608225329</v>
      </c>
      <c r="O60" s="440">
        <f>SUM(L60:N60)</f>
        <v>37.328800741945379</v>
      </c>
    </row>
    <row r="61" spans="1:15" s="351" customFormat="1" x14ac:dyDescent="0.25">
      <c r="A61" s="362" t="str">
        <f>name!E$5</f>
        <v>Professional occupations</v>
      </c>
      <c r="B61" s="440">
        <v>22.658581015568927</v>
      </c>
      <c r="C61" s="440">
        <v>0.65828184935645062</v>
      </c>
      <c r="D61" s="440">
        <v>0.81141676932462004</v>
      </c>
      <c r="E61" s="440">
        <f t="shared" ref="E61:E68" si="42">SUM(B61:D61)</f>
        <v>24.128279634249996</v>
      </c>
      <c r="F61" s="441"/>
      <c r="G61" s="440">
        <v>18.688553913949114</v>
      </c>
      <c r="H61" s="440">
        <v>1.0198017309516747</v>
      </c>
      <c r="I61" s="440">
        <v>1.4087850236527819</v>
      </c>
      <c r="J61" s="440">
        <f t="shared" ref="J61:J63" si="43">SUM(G61:I61)</f>
        <v>21.117140668553571</v>
      </c>
      <c r="K61" s="441"/>
      <c r="L61" s="440">
        <v>21.589030878478088</v>
      </c>
      <c r="M61" s="440">
        <v>1.2971555471579566</v>
      </c>
      <c r="N61" s="440">
        <v>1.4777548206797941</v>
      </c>
      <c r="O61" s="440">
        <f t="shared" ref="O61:O68" si="44">SUM(L61:N61)</f>
        <v>24.363941246315839</v>
      </c>
    </row>
    <row r="62" spans="1:15" s="351" customFormat="1" x14ac:dyDescent="0.25">
      <c r="A62" s="362" t="str">
        <f>name!E$6</f>
        <v>Associate professional and technical</v>
      </c>
      <c r="B62" s="440">
        <v>26.774286862884662</v>
      </c>
      <c r="C62" s="440">
        <v>2.0186097099148066</v>
      </c>
      <c r="D62" s="440">
        <v>0.67339889107184003</v>
      </c>
      <c r="E62" s="440">
        <f t="shared" si="42"/>
        <v>29.466295463871308</v>
      </c>
      <c r="F62" s="441"/>
      <c r="G62" s="440">
        <v>37.877969321343542</v>
      </c>
      <c r="H62" s="440">
        <v>2.4393155903375647</v>
      </c>
      <c r="I62" s="440">
        <v>1.310222218347225</v>
      </c>
      <c r="J62" s="440">
        <f t="shared" si="43"/>
        <v>41.627507130028334</v>
      </c>
      <c r="K62" s="441"/>
      <c r="L62" s="440">
        <v>40.297657365291606</v>
      </c>
      <c r="M62" s="440">
        <v>2.8016959084527109</v>
      </c>
      <c r="N62" s="440">
        <v>1.1634800073263947</v>
      </c>
      <c r="O62" s="440">
        <f t="shared" si="44"/>
        <v>44.262833281070705</v>
      </c>
    </row>
    <row r="63" spans="1:15" s="351" customFormat="1" x14ac:dyDescent="0.25">
      <c r="A63" s="362" t="str">
        <f>name!E$7</f>
        <v>Administrative and secretarial</v>
      </c>
      <c r="B63" s="440">
        <v>17.984021547338926</v>
      </c>
      <c r="C63" s="440">
        <v>4.9037173378221279</v>
      </c>
      <c r="D63" s="440">
        <v>0.64339224776607473</v>
      </c>
      <c r="E63" s="440">
        <f t="shared" si="42"/>
        <v>23.531131132927129</v>
      </c>
      <c r="F63" s="441"/>
      <c r="G63" s="440">
        <v>20.695248299462914</v>
      </c>
      <c r="H63" s="440">
        <v>7.5944638187468971</v>
      </c>
      <c r="I63" s="440">
        <v>1.0709858085276593</v>
      </c>
      <c r="J63" s="440">
        <f t="shared" si="43"/>
        <v>29.360697926737473</v>
      </c>
      <c r="K63" s="441"/>
      <c r="L63" s="440">
        <v>19.246962232239611</v>
      </c>
      <c r="M63" s="440">
        <v>7.5738804235480783</v>
      </c>
      <c r="N63" s="440">
        <v>0.82291823886870163</v>
      </c>
      <c r="O63" s="440">
        <f t="shared" si="44"/>
        <v>27.643760894656392</v>
      </c>
    </row>
    <row r="64" spans="1:15" s="351" customFormat="1" x14ac:dyDescent="0.25">
      <c r="A64" s="362" t="str">
        <f>name!E$8</f>
        <v>Skilled trades occupations</v>
      </c>
      <c r="B64" s="440">
        <v>61.321817674631951</v>
      </c>
      <c r="C64" s="440">
        <v>2.6195946946821413</v>
      </c>
      <c r="D64" s="440">
        <v>4.9090234228819485</v>
      </c>
      <c r="E64" s="440">
        <f t="shared" si="42"/>
        <v>68.850435792196038</v>
      </c>
      <c r="F64" s="441"/>
      <c r="G64" s="440">
        <v>47.935513492806038</v>
      </c>
      <c r="H64" s="440">
        <v>2.0099827535510042</v>
      </c>
      <c r="I64" s="440">
        <v>7.1276215067788016</v>
      </c>
      <c r="J64" s="440">
        <f>SUM(G64:I64)</f>
        <v>57.073117753135847</v>
      </c>
      <c r="K64" s="441"/>
      <c r="L64" s="440">
        <v>38.552056359082151</v>
      </c>
      <c r="M64" s="440">
        <v>1.7214927092379795</v>
      </c>
      <c r="N64" s="440">
        <v>5.4951557301303691</v>
      </c>
      <c r="O64" s="440">
        <f t="shared" si="44"/>
        <v>45.7687047984505</v>
      </c>
    </row>
    <row r="65" spans="1:15" s="351" customFormat="1" x14ac:dyDescent="0.25">
      <c r="A65" s="362" t="str">
        <f>name!E$9</f>
        <v>Caring, leisure and other service</v>
      </c>
      <c r="B65" s="440">
        <v>1.5190112411379941</v>
      </c>
      <c r="C65" s="440">
        <v>0.31844329486817857</v>
      </c>
      <c r="D65" s="440">
        <v>0.21101788971304228</v>
      </c>
      <c r="E65" s="440">
        <f t="shared" si="42"/>
        <v>2.0484724257192148</v>
      </c>
      <c r="F65" s="441"/>
      <c r="G65" s="440">
        <v>1.8564682960598675</v>
      </c>
      <c r="H65" s="440">
        <v>0.44964743201836072</v>
      </c>
      <c r="I65" s="440">
        <v>0.5094949233802113</v>
      </c>
      <c r="J65" s="440">
        <f t="shared" ref="J65:J68" si="45">SUM(G65:I65)</f>
        <v>2.8156106514584396</v>
      </c>
      <c r="K65" s="441"/>
      <c r="L65" s="440">
        <v>1.9441523608947173</v>
      </c>
      <c r="M65" s="440">
        <v>0.543466733790545</v>
      </c>
      <c r="N65" s="440">
        <v>0.50474039694823547</v>
      </c>
      <c r="O65" s="440">
        <f t="shared" si="44"/>
        <v>2.9923594916334979</v>
      </c>
    </row>
    <row r="66" spans="1:15" s="351" customFormat="1" x14ac:dyDescent="0.25">
      <c r="A66" s="362" t="str">
        <f>name!E$10</f>
        <v>Sales and customer service</v>
      </c>
      <c r="B66" s="440">
        <v>6.4596767620554481</v>
      </c>
      <c r="C66" s="440">
        <v>4.3631350270734117</v>
      </c>
      <c r="D66" s="440">
        <v>0.23031797156354405</v>
      </c>
      <c r="E66" s="440">
        <f t="shared" si="42"/>
        <v>11.053129760692403</v>
      </c>
      <c r="F66" s="441"/>
      <c r="G66" s="440">
        <v>9.562654768512159</v>
      </c>
      <c r="H66" s="440">
        <v>7.2924107723098732</v>
      </c>
      <c r="I66" s="440">
        <v>0.62166493037607007</v>
      </c>
      <c r="J66" s="440">
        <f t="shared" si="45"/>
        <v>17.476730471198103</v>
      </c>
      <c r="K66" s="441"/>
      <c r="L66" s="440">
        <v>9.291218482351745</v>
      </c>
      <c r="M66" s="440">
        <v>7.7264604882909662</v>
      </c>
      <c r="N66" s="440">
        <v>0.59379274094912038</v>
      </c>
      <c r="O66" s="440">
        <f t="shared" si="44"/>
        <v>17.611471711591832</v>
      </c>
    </row>
    <row r="67" spans="1:15" s="351" customFormat="1" x14ac:dyDescent="0.25">
      <c r="A67" s="362" t="str">
        <f>name!E$11</f>
        <v>Process, plant and machine operatives</v>
      </c>
      <c r="B67" s="440">
        <v>137.21140380116015</v>
      </c>
      <c r="C67" s="440">
        <v>13.187146159928959</v>
      </c>
      <c r="D67" s="440">
        <v>1.2175116262464052</v>
      </c>
      <c r="E67" s="440">
        <f t="shared" si="42"/>
        <v>151.61606158733551</v>
      </c>
      <c r="F67" s="441"/>
      <c r="G67" s="440">
        <v>112.78922136682216</v>
      </c>
      <c r="H67" s="440">
        <v>10.134753510792191</v>
      </c>
      <c r="I67" s="440">
        <v>3.5668104739824087</v>
      </c>
      <c r="J67" s="440">
        <f t="shared" si="45"/>
        <v>126.49078535159677</v>
      </c>
      <c r="K67" s="441"/>
      <c r="L67" s="440">
        <v>87.612552504459757</v>
      </c>
      <c r="M67" s="440">
        <v>8.1193941653241222</v>
      </c>
      <c r="N67" s="440">
        <v>2.9163898497464955</v>
      </c>
      <c r="O67" s="440">
        <f t="shared" si="44"/>
        <v>98.648336519530375</v>
      </c>
    </row>
    <row r="68" spans="1:15" s="351" customFormat="1" x14ac:dyDescent="0.25">
      <c r="A68" s="362" t="str">
        <f>name!E$12</f>
        <v>Elementary occupations</v>
      </c>
      <c r="B68" s="440">
        <v>37.121128154553254</v>
      </c>
      <c r="C68" s="440">
        <v>7.839696610596504</v>
      </c>
      <c r="D68" s="440">
        <v>0.49225931293655634</v>
      </c>
      <c r="E68" s="440">
        <f t="shared" si="42"/>
        <v>45.453084078086313</v>
      </c>
      <c r="F68" s="441"/>
      <c r="G68" s="440">
        <v>51.707346786202059</v>
      </c>
      <c r="H68" s="440">
        <v>10.18365655168517</v>
      </c>
      <c r="I68" s="440">
        <v>1.5841166449910078</v>
      </c>
      <c r="J68" s="440">
        <f t="shared" si="45"/>
        <v>63.475119982878233</v>
      </c>
      <c r="K68" s="441"/>
      <c r="L68" s="440">
        <v>49.265861377345381</v>
      </c>
      <c r="M68" s="440">
        <v>12.451542981263257</v>
      </c>
      <c r="N68" s="440">
        <v>1.6053869546605797</v>
      </c>
      <c r="O68" s="440">
        <f t="shared" si="44"/>
        <v>63.322791313269221</v>
      </c>
    </row>
    <row r="69" spans="1:15" s="351" customFormat="1" x14ac:dyDescent="0.25">
      <c r="A69" s="362"/>
      <c r="B69" s="440"/>
      <c r="C69" s="440"/>
      <c r="D69" s="440"/>
      <c r="E69" s="440"/>
      <c r="F69" s="441"/>
      <c r="G69" s="440"/>
      <c r="H69" s="440"/>
      <c r="I69" s="440"/>
      <c r="J69" s="440"/>
      <c r="K69" s="441"/>
      <c r="L69" s="440"/>
      <c r="M69" s="440"/>
      <c r="N69" s="440"/>
      <c r="O69" s="440"/>
    </row>
    <row r="70" spans="1:15" s="351" customFormat="1" x14ac:dyDescent="0.25">
      <c r="A70" s="357" t="s">
        <v>32</v>
      </c>
      <c r="B70" s="450">
        <f>SUM(B60:B68)</f>
        <v>336.79399999738985</v>
      </c>
      <c r="C70" s="450">
        <f t="shared" ref="C70:E70" si="46">SUM(C60:C68)</f>
        <v>37.487000000180601</v>
      </c>
      <c r="D70" s="450">
        <f t="shared" si="46"/>
        <v>11.691000000029064</v>
      </c>
      <c r="E70" s="450">
        <f t="shared" si="46"/>
        <v>385.97199999759948</v>
      </c>
      <c r="F70" s="450"/>
      <c r="G70" s="450">
        <f t="shared" ref="G70:J70" si="47">SUM(G60:G68)</f>
        <v>327.26999999844048</v>
      </c>
      <c r="H70" s="450">
        <f t="shared" si="47"/>
        <v>43.544000000691646</v>
      </c>
      <c r="I70" s="450">
        <f t="shared" si="47"/>
        <v>21.487000000192211</v>
      </c>
      <c r="J70" s="450">
        <f t="shared" si="47"/>
        <v>392.3009999993244</v>
      </c>
      <c r="K70" s="450"/>
      <c r="L70" s="450">
        <f t="shared" ref="L70:O70" si="48">SUM(L60:L68)</f>
        <v>297.4029999979885</v>
      </c>
      <c r="M70" s="450">
        <f t="shared" si="48"/>
        <v>45.52500000034302</v>
      </c>
      <c r="N70" s="450">
        <f t="shared" si="48"/>
        <v>19.015000000132222</v>
      </c>
      <c r="O70" s="450">
        <f t="shared" si="48"/>
        <v>361.94299999846373</v>
      </c>
    </row>
    <row r="71" spans="1:15" s="351" customFormat="1" x14ac:dyDescent="0.25">
      <c r="A71" s="348"/>
      <c r="B71" s="348"/>
      <c r="C71" s="348"/>
      <c r="D71" s="348"/>
      <c r="E71" s="348"/>
      <c r="F71" s="348"/>
      <c r="G71" s="348"/>
      <c r="H71" s="348"/>
      <c r="I71" s="348"/>
      <c r="J71" s="348"/>
      <c r="K71" s="348"/>
      <c r="L71" s="348"/>
      <c r="M71" s="348"/>
      <c r="N71" s="353"/>
    </row>
    <row r="72" spans="1:15" s="351" customFormat="1" x14ac:dyDescent="0.25">
      <c r="A72" s="348"/>
      <c r="B72" s="348"/>
      <c r="C72" s="348"/>
      <c r="D72" s="348"/>
      <c r="E72" s="348"/>
      <c r="F72" s="348"/>
      <c r="G72" s="348"/>
      <c r="H72" s="348"/>
      <c r="I72" s="348"/>
      <c r="J72" s="348"/>
      <c r="K72" s="348"/>
      <c r="L72" s="348"/>
      <c r="M72" s="348"/>
      <c r="N72" s="353"/>
      <c r="O72" s="367" t="s">
        <v>35</v>
      </c>
    </row>
    <row r="73" spans="1:15" s="351" customFormat="1" x14ac:dyDescent="0.25">
      <c r="A73" s="355"/>
      <c r="B73" s="355"/>
      <c r="C73" s="355"/>
      <c r="D73" s="355"/>
      <c r="E73" s="355"/>
      <c r="F73" s="355"/>
      <c r="G73" s="355"/>
      <c r="H73" s="355"/>
      <c r="I73" s="355"/>
      <c r="J73" s="355"/>
      <c r="K73" s="355"/>
      <c r="L73" s="355"/>
      <c r="M73" s="355"/>
      <c r="N73" s="355"/>
      <c r="O73" s="355"/>
    </row>
    <row r="74" spans="1:15" s="351" customFormat="1" x14ac:dyDescent="0.25">
      <c r="A74" s="354" t="str">
        <f>name!A7</f>
        <v>Beverages and tobacco</v>
      </c>
      <c r="B74" s="517">
        <f>$B$6</f>
        <v>2007</v>
      </c>
      <c r="C74" s="517"/>
      <c r="D74" s="517"/>
      <c r="E74" s="517"/>
      <c r="F74" s="380"/>
      <c r="G74" s="517">
        <f>$G$6</f>
        <v>2017</v>
      </c>
      <c r="H74" s="517"/>
      <c r="I74" s="517"/>
      <c r="J74" s="517"/>
      <c r="K74" s="380"/>
      <c r="L74" s="517">
        <f>$L$6</f>
        <v>2027</v>
      </c>
      <c r="M74" s="517"/>
      <c r="N74" s="517"/>
      <c r="O74" s="517"/>
    </row>
    <row r="75" spans="1:15" s="351" customFormat="1" x14ac:dyDescent="0.25">
      <c r="A75" s="370"/>
      <c r="B75" s="388" t="str">
        <f>$B$7</f>
        <v>FT</v>
      </c>
      <c r="C75" s="388" t="str">
        <f>$C$7</f>
        <v>PT</v>
      </c>
      <c r="D75" s="388" t="str">
        <f>$D$7</f>
        <v>SE</v>
      </c>
      <c r="E75" s="388" t="str">
        <f>$E$7</f>
        <v>Total</v>
      </c>
      <c r="F75" s="388"/>
      <c r="G75" s="388" t="str">
        <f>$G$7</f>
        <v>FT</v>
      </c>
      <c r="H75" s="388" t="str">
        <f>$H$7</f>
        <v>PT</v>
      </c>
      <c r="I75" s="388" t="str">
        <f>$I$7</f>
        <v>SE</v>
      </c>
      <c r="J75" s="388" t="str">
        <f>$J$7</f>
        <v>Total</v>
      </c>
      <c r="K75" s="388"/>
      <c r="L75" s="388" t="str">
        <f>$L$7</f>
        <v>FT</v>
      </c>
      <c r="M75" s="388" t="str">
        <f>$M$7</f>
        <v>PT</v>
      </c>
      <c r="N75" s="388" t="str">
        <f>$N$7</f>
        <v>SE</v>
      </c>
      <c r="O75" s="388" t="str">
        <f>$O$7</f>
        <v>Total</v>
      </c>
    </row>
    <row r="76" spans="1:15" s="351" customFormat="1" x14ac:dyDescent="0.25">
      <c r="A76" s="374"/>
      <c r="B76" s="350"/>
      <c r="C76" s="350"/>
      <c r="D76" s="350"/>
      <c r="E76" s="350"/>
      <c r="F76" s="350"/>
      <c r="G76" s="350"/>
      <c r="H76" s="350"/>
      <c r="I76" s="350"/>
      <c r="J76" s="350"/>
      <c r="K76" s="350"/>
      <c r="L76" s="350"/>
      <c r="M76" s="350"/>
      <c r="N76" s="350"/>
      <c r="O76" s="350"/>
    </row>
    <row r="77" spans="1:15" s="351" customFormat="1" x14ac:dyDescent="0.25">
      <c r="A77" s="362" t="str">
        <f>name!E$4</f>
        <v>Managers, directors and senior officials</v>
      </c>
      <c r="B77" s="440">
        <v>4.3404860819920374</v>
      </c>
      <c r="C77" s="440">
        <v>0.34242491918240547</v>
      </c>
      <c r="D77" s="440">
        <v>0.27063147077387739</v>
      </c>
      <c r="E77" s="440">
        <f>SUM(B77:D77)</f>
        <v>4.9535424719483201</v>
      </c>
      <c r="F77" s="441"/>
      <c r="G77" s="440">
        <v>4.8616816655229398</v>
      </c>
      <c r="H77" s="440">
        <v>0.48701587833045956</v>
      </c>
      <c r="I77" s="440">
        <v>0.42573962288884765</v>
      </c>
      <c r="J77" s="440">
        <f>SUM(G77:I77)</f>
        <v>5.7744371667422465</v>
      </c>
      <c r="K77" s="441"/>
      <c r="L77" s="440">
        <v>5.0927898038283459</v>
      </c>
      <c r="M77" s="440">
        <v>0.63544809527017487</v>
      </c>
      <c r="N77" s="440">
        <v>0.42670211319751217</v>
      </c>
      <c r="O77" s="440">
        <f>SUM(L77:N77)</f>
        <v>6.1549400122960334</v>
      </c>
    </row>
    <row r="78" spans="1:15" s="351" customFormat="1" x14ac:dyDescent="0.25">
      <c r="A78" s="362" t="str">
        <f>name!E$5</f>
        <v>Professional occupations</v>
      </c>
      <c r="B78" s="440">
        <v>4.6258251262070287</v>
      </c>
      <c r="C78" s="440">
        <v>0.32130624989489126</v>
      </c>
      <c r="D78" s="440">
        <v>0.32059831930808175</v>
      </c>
      <c r="E78" s="440">
        <f t="shared" ref="E78:E85" si="49">SUM(B78:D78)</f>
        <v>5.2677296954100017</v>
      </c>
      <c r="F78" s="441"/>
      <c r="G78" s="440">
        <v>4.6453536201729513</v>
      </c>
      <c r="H78" s="440">
        <v>0.46936374049129614</v>
      </c>
      <c r="I78" s="440">
        <v>0.4453169428836431</v>
      </c>
      <c r="J78" s="440">
        <f t="shared" ref="J78:J80" si="50">SUM(G78:I78)</f>
        <v>5.5600343035478907</v>
      </c>
      <c r="K78" s="441"/>
      <c r="L78" s="440">
        <v>4.8267525996039344</v>
      </c>
      <c r="M78" s="440">
        <v>0.55361445226461892</v>
      </c>
      <c r="N78" s="440">
        <v>0.42655230426673002</v>
      </c>
      <c r="O78" s="440">
        <f t="shared" ref="O78:O85" si="51">SUM(L78:N78)</f>
        <v>5.8069193561352836</v>
      </c>
    </row>
    <row r="79" spans="1:15" s="351" customFormat="1" x14ac:dyDescent="0.25">
      <c r="A79" s="362" t="str">
        <f>name!E$6</f>
        <v>Associate professional and technical</v>
      </c>
      <c r="B79" s="440">
        <v>6.5810756598165101</v>
      </c>
      <c r="C79" s="440">
        <v>0.92758879337401956</v>
      </c>
      <c r="D79" s="440">
        <v>0.18741800956975341</v>
      </c>
      <c r="E79" s="440">
        <f t="shared" si="49"/>
        <v>7.6960824627602831</v>
      </c>
      <c r="F79" s="441"/>
      <c r="G79" s="440">
        <v>6.8358137297130508</v>
      </c>
      <c r="H79" s="440">
        <v>1.0976628710410896</v>
      </c>
      <c r="I79" s="440">
        <v>0.31093917772490687</v>
      </c>
      <c r="J79" s="440">
        <f t="shared" si="50"/>
        <v>8.2444157784790466</v>
      </c>
      <c r="K79" s="441"/>
      <c r="L79" s="440">
        <v>6.7499369775556968</v>
      </c>
      <c r="M79" s="440">
        <v>1.2025994593320974</v>
      </c>
      <c r="N79" s="440">
        <v>0.26073066681038076</v>
      </c>
      <c r="O79" s="440">
        <f t="shared" si="51"/>
        <v>8.2132671036981737</v>
      </c>
    </row>
    <row r="80" spans="1:15" s="351" customFormat="1" x14ac:dyDescent="0.25">
      <c r="A80" s="362" t="str">
        <f>name!E$7</f>
        <v>Administrative and secretarial</v>
      </c>
      <c r="B80" s="440">
        <v>3.7332551099648121</v>
      </c>
      <c r="C80" s="440">
        <v>1.0357932704614203</v>
      </c>
      <c r="D80" s="440">
        <v>5.6237024478314392E-2</v>
      </c>
      <c r="E80" s="440">
        <f t="shared" si="49"/>
        <v>4.8252854049045473</v>
      </c>
      <c r="F80" s="441"/>
      <c r="G80" s="440">
        <v>2.779852655795056</v>
      </c>
      <c r="H80" s="440">
        <v>1.4128724708194718</v>
      </c>
      <c r="I80" s="440">
        <v>9.1843025354608601E-2</v>
      </c>
      <c r="J80" s="440">
        <f t="shared" si="50"/>
        <v>4.284568151969137</v>
      </c>
      <c r="K80" s="441"/>
      <c r="L80" s="440">
        <v>2.0690085071171223</v>
      </c>
      <c r="M80" s="440">
        <v>1.305267404850968</v>
      </c>
      <c r="N80" s="440">
        <v>6.7915582403074853E-2</v>
      </c>
      <c r="O80" s="440">
        <f t="shared" si="51"/>
        <v>3.4421914943711651</v>
      </c>
    </row>
    <row r="81" spans="1:15" s="351" customFormat="1" x14ac:dyDescent="0.25">
      <c r="A81" s="362" t="str">
        <f>name!E$8</f>
        <v>Skilled trades occupations</v>
      </c>
      <c r="B81" s="440">
        <v>3.81355887772304</v>
      </c>
      <c r="C81" s="440">
        <v>0.20874983821106502</v>
      </c>
      <c r="D81" s="440">
        <v>0.32360385639622397</v>
      </c>
      <c r="E81" s="440">
        <f t="shared" si="49"/>
        <v>4.3459125723303282</v>
      </c>
      <c r="F81" s="441"/>
      <c r="G81" s="440">
        <v>3.0537566923650159</v>
      </c>
      <c r="H81" s="440">
        <v>0.16096535777844428</v>
      </c>
      <c r="I81" s="440">
        <v>0.368049559987634</v>
      </c>
      <c r="J81" s="440">
        <f>SUM(G81:I81)</f>
        <v>3.5827716101310942</v>
      </c>
      <c r="K81" s="441"/>
      <c r="L81" s="440">
        <v>2.4187328294615136</v>
      </c>
      <c r="M81" s="440">
        <v>0.15714341566841847</v>
      </c>
      <c r="N81" s="440">
        <v>0.32628210206921571</v>
      </c>
      <c r="O81" s="440">
        <f t="shared" si="51"/>
        <v>2.9021583471991477</v>
      </c>
    </row>
    <row r="82" spans="1:15" s="351" customFormat="1" x14ac:dyDescent="0.25">
      <c r="A82" s="362" t="str">
        <f>name!E$9</f>
        <v>Caring, leisure and other service</v>
      </c>
      <c r="B82" s="440">
        <v>0.86211658745888697</v>
      </c>
      <c r="C82" s="440">
        <v>0.34928086186814095</v>
      </c>
      <c r="D82" s="440">
        <v>0.12608326581577531</v>
      </c>
      <c r="E82" s="440">
        <f t="shared" si="49"/>
        <v>1.3374807151428032</v>
      </c>
      <c r="F82" s="441"/>
      <c r="G82" s="440">
        <v>0.93994855763897467</v>
      </c>
      <c r="H82" s="440">
        <v>0.42444569176826963</v>
      </c>
      <c r="I82" s="440">
        <v>0.23701035021944755</v>
      </c>
      <c r="J82" s="440">
        <f t="shared" ref="J82:J85" si="52">SUM(G82:I82)</f>
        <v>1.6014045996266919</v>
      </c>
      <c r="K82" s="441"/>
      <c r="L82" s="440">
        <v>1.0113289348079808</v>
      </c>
      <c r="M82" s="440">
        <v>0.46685464181287312</v>
      </c>
      <c r="N82" s="440">
        <v>0.20510959484223176</v>
      </c>
      <c r="O82" s="440">
        <f t="shared" si="51"/>
        <v>1.6832931714630857</v>
      </c>
    </row>
    <row r="83" spans="1:15" s="351" customFormat="1" x14ac:dyDescent="0.25">
      <c r="A83" s="362" t="str">
        <f>name!E$10</f>
        <v>Sales and customer service</v>
      </c>
      <c r="B83" s="440">
        <v>1.7297265889257485</v>
      </c>
      <c r="C83" s="440">
        <v>0.57106152757527406</v>
      </c>
      <c r="D83" s="440">
        <v>0.10083965691378245</v>
      </c>
      <c r="E83" s="440">
        <f t="shared" si="49"/>
        <v>2.401627773414805</v>
      </c>
      <c r="F83" s="441"/>
      <c r="G83" s="440">
        <v>1.7069244786654683</v>
      </c>
      <c r="H83" s="440">
        <v>0.79852788057961221</v>
      </c>
      <c r="I83" s="440">
        <v>0.13347597013206097</v>
      </c>
      <c r="J83" s="440">
        <f t="shared" si="52"/>
        <v>2.6389283293771415</v>
      </c>
      <c r="K83" s="441"/>
      <c r="L83" s="440">
        <v>1.5063789649985002</v>
      </c>
      <c r="M83" s="440">
        <v>0.84537657495846752</v>
      </c>
      <c r="N83" s="440">
        <v>0.12675232774589862</v>
      </c>
      <c r="O83" s="440">
        <f t="shared" si="51"/>
        <v>2.4785078677028665</v>
      </c>
    </row>
    <row r="84" spans="1:15" s="351" customFormat="1" x14ac:dyDescent="0.25">
      <c r="A84" s="362" t="str">
        <f>name!E$11</f>
        <v>Process, plant and machine operatives</v>
      </c>
      <c r="B84" s="440">
        <v>9.7242263235651354</v>
      </c>
      <c r="C84" s="440">
        <v>0.65104346019063142</v>
      </c>
      <c r="D84" s="440">
        <v>0.26766430615100578</v>
      </c>
      <c r="E84" s="440">
        <f t="shared" si="49"/>
        <v>10.642934089906774</v>
      </c>
      <c r="F84" s="441"/>
      <c r="G84" s="440">
        <v>7.6042455220737812</v>
      </c>
      <c r="H84" s="440">
        <v>0.58103325717875753</v>
      </c>
      <c r="I84" s="440">
        <v>0.22222313364088256</v>
      </c>
      <c r="J84" s="440">
        <f t="shared" si="52"/>
        <v>8.4075019128934212</v>
      </c>
      <c r="K84" s="441"/>
      <c r="L84" s="440">
        <v>6.2671779309811209</v>
      </c>
      <c r="M84" s="440">
        <v>0.57752951606984926</v>
      </c>
      <c r="N84" s="440">
        <v>0.16785292366559867</v>
      </c>
      <c r="O84" s="440">
        <f t="shared" si="51"/>
        <v>7.0125603707165691</v>
      </c>
    </row>
    <row r="85" spans="1:15" s="351" customFormat="1" x14ac:dyDescent="0.25">
      <c r="A85" s="362" t="str">
        <f>name!E$12</f>
        <v>Elementary occupations</v>
      </c>
      <c r="B85" s="440">
        <v>3.5587296441380585</v>
      </c>
      <c r="C85" s="440">
        <v>1.1797510792364181</v>
      </c>
      <c r="D85" s="440">
        <v>0.10292409060420392</v>
      </c>
      <c r="E85" s="440">
        <f t="shared" si="49"/>
        <v>4.8414048139786807</v>
      </c>
      <c r="F85" s="441"/>
      <c r="G85" s="440">
        <v>3.3064230779977577</v>
      </c>
      <c r="H85" s="440">
        <v>1.0181128520452012</v>
      </c>
      <c r="I85" s="440">
        <v>0.17240221716832477</v>
      </c>
      <c r="J85" s="440">
        <f t="shared" si="52"/>
        <v>4.4969381472112842</v>
      </c>
      <c r="K85" s="441"/>
      <c r="L85" s="440">
        <v>2.7068934515088148</v>
      </c>
      <c r="M85" s="440">
        <v>0.92116643978193702</v>
      </c>
      <c r="N85" s="440">
        <v>0.16210238500672064</v>
      </c>
      <c r="O85" s="440">
        <f t="shared" si="51"/>
        <v>3.7901622762974725</v>
      </c>
    </row>
    <row r="86" spans="1:15" s="351" customFormat="1" x14ac:dyDescent="0.25">
      <c r="A86" s="362"/>
      <c r="B86" s="440"/>
      <c r="C86" s="440"/>
      <c r="D86" s="440"/>
      <c r="E86" s="440"/>
      <c r="F86" s="441"/>
      <c r="G86" s="440"/>
      <c r="H86" s="440"/>
      <c r="I86" s="440"/>
      <c r="J86" s="440"/>
      <c r="K86" s="441"/>
      <c r="L86" s="440"/>
      <c r="M86" s="440"/>
      <c r="N86" s="440"/>
      <c r="O86" s="440"/>
    </row>
    <row r="87" spans="1:15" s="351" customFormat="1" x14ac:dyDescent="0.25">
      <c r="A87" s="357" t="s">
        <v>32</v>
      </c>
      <c r="B87" s="450">
        <f>SUM(B77:B85)</f>
        <v>38.968999999791258</v>
      </c>
      <c r="C87" s="450">
        <f t="shared" ref="C87:E87" si="53">SUM(C77:C85)</f>
        <v>5.5869999999942657</v>
      </c>
      <c r="D87" s="450">
        <f t="shared" si="53"/>
        <v>1.7560000000110183</v>
      </c>
      <c r="E87" s="450">
        <f t="shared" si="53"/>
        <v>46.311999999796541</v>
      </c>
      <c r="F87" s="450"/>
      <c r="G87" s="450">
        <f t="shared" ref="G87:J87" si="54">SUM(G77:G85)</f>
        <v>35.733999999944999</v>
      </c>
      <c r="H87" s="450">
        <f t="shared" si="54"/>
        <v>6.4500000000326008</v>
      </c>
      <c r="I87" s="450">
        <f t="shared" si="54"/>
        <v>2.4070000000003557</v>
      </c>
      <c r="J87" s="450">
        <f t="shared" si="54"/>
        <v>44.590999999977946</v>
      </c>
      <c r="K87" s="450"/>
      <c r="L87" s="450">
        <f t="shared" ref="L87:O87" si="55">SUM(L77:L85)</f>
        <v>32.64899999986303</v>
      </c>
      <c r="M87" s="450">
        <f t="shared" si="55"/>
        <v>6.665000000009405</v>
      </c>
      <c r="N87" s="450">
        <f t="shared" si="55"/>
        <v>2.1700000000073634</v>
      </c>
      <c r="O87" s="450">
        <f t="shared" si="55"/>
        <v>41.483999999879799</v>
      </c>
    </row>
    <row r="88" spans="1:15" s="351" customFormat="1" x14ac:dyDescent="0.25">
      <c r="A88" s="348"/>
      <c r="B88" s="348"/>
      <c r="C88" s="348"/>
      <c r="D88" s="348"/>
      <c r="E88" s="348"/>
      <c r="F88" s="348"/>
      <c r="G88" s="348"/>
      <c r="H88" s="348"/>
      <c r="I88" s="348"/>
      <c r="J88" s="348"/>
      <c r="K88" s="348"/>
      <c r="L88" s="348"/>
      <c r="M88" s="348"/>
      <c r="N88" s="353"/>
    </row>
    <row r="89" spans="1:15" s="351" customFormat="1" x14ac:dyDescent="0.25">
      <c r="A89" s="348"/>
      <c r="B89" s="348"/>
      <c r="C89" s="348"/>
      <c r="D89" s="348"/>
      <c r="E89" s="348"/>
      <c r="F89" s="348"/>
      <c r="G89" s="348"/>
      <c r="H89" s="348"/>
      <c r="I89" s="348"/>
      <c r="J89" s="348"/>
      <c r="K89" s="348"/>
      <c r="L89" s="348"/>
      <c r="M89" s="348"/>
      <c r="N89" s="353"/>
      <c r="O89" s="367" t="s">
        <v>35</v>
      </c>
    </row>
    <row r="90" spans="1:15" s="351" customFormat="1" x14ac:dyDescent="0.25">
      <c r="A90" s="355"/>
      <c r="B90" s="355"/>
      <c r="C90" s="355"/>
      <c r="D90" s="355"/>
      <c r="E90" s="355"/>
      <c r="F90" s="355"/>
      <c r="G90" s="355"/>
      <c r="H90" s="355"/>
      <c r="I90" s="355"/>
      <c r="J90" s="355"/>
      <c r="K90" s="355"/>
      <c r="L90" s="355"/>
      <c r="M90" s="355"/>
      <c r="N90" s="355"/>
      <c r="O90" s="355"/>
    </row>
    <row r="91" spans="1:15" s="351" customFormat="1" x14ac:dyDescent="0.25">
      <c r="A91" s="354" t="str">
        <f>name!A8</f>
        <v>Textiles</v>
      </c>
      <c r="B91" s="517">
        <f>$B$6</f>
        <v>2007</v>
      </c>
      <c r="C91" s="517"/>
      <c r="D91" s="517"/>
      <c r="E91" s="517"/>
      <c r="F91" s="380"/>
      <c r="G91" s="517">
        <f>$G$6</f>
        <v>2017</v>
      </c>
      <c r="H91" s="517"/>
      <c r="I91" s="517"/>
      <c r="J91" s="517"/>
      <c r="K91" s="380"/>
      <c r="L91" s="517">
        <f>$L$6</f>
        <v>2027</v>
      </c>
      <c r="M91" s="517"/>
      <c r="N91" s="517"/>
      <c r="O91" s="517"/>
    </row>
    <row r="92" spans="1:15" s="351" customFormat="1" x14ac:dyDescent="0.25">
      <c r="A92" s="370"/>
      <c r="B92" s="388" t="str">
        <f>$B$7</f>
        <v>FT</v>
      </c>
      <c r="C92" s="388" t="str">
        <f>$C$7</f>
        <v>PT</v>
      </c>
      <c r="D92" s="388" t="str">
        <f>$D$7</f>
        <v>SE</v>
      </c>
      <c r="E92" s="388" t="str">
        <f>$E$7</f>
        <v>Total</v>
      </c>
      <c r="F92" s="388"/>
      <c r="G92" s="388" t="str">
        <f>$G$7</f>
        <v>FT</v>
      </c>
      <c r="H92" s="388" t="str">
        <f>$H$7</f>
        <v>PT</v>
      </c>
      <c r="I92" s="388" t="str">
        <f>$I$7</f>
        <v>SE</v>
      </c>
      <c r="J92" s="388" t="str">
        <f>$J$7</f>
        <v>Total</v>
      </c>
      <c r="K92" s="388"/>
      <c r="L92" s="388" t="str">
        <f>$L$7</f>
        <v>FT</v>
      </c>
      <c r="M92" s="388" t="str">
        <f>$M$7</f>
        <v>PT</v>
      </c>
      <c r="N92" s="388" t="str">
        <f>$N$7</f>
        <v>SE</v>
      </c>
      <c r="O92" s="388" t="str">
        <f>$O$7</f>
        <v>Total</v>
      </c>
    </row>
    <row r="93" spans="1:15" s="351" customFormat="1" x14ac:dyDescent="0.25">
      <c r="A93" s="374"/>
      <c r="B93" s="350"/>
      <c r="C93" s="350"/>
      <c r="D93" s="350"/>
      <c r="E93" s="350"/>
      <c r="F93" s="350"/>
      <c r="G93" s="350"/>
      <c r="H93" s="350"/>
      <c r="I93" s="350"/>
      <c r="J93" s="350"/>
      <c r="K93" s="350"/>
      <c r="L93" s="350"/>
      <c r="M93" s="350"/>
      <c r="N93" s="350"/>
      <c r="O93" s="350"/>
    </row>
    <row r="94" spans="1:15" s="351" customFormat="1" x14ac:dyDescent="0.25">
      <c r="A94" s="362" t="str">
        <f>name!E$4</f>
        <v>Managers, directors and senior officials</v>
      </c>
      <c r="B94" s="440">
        <v>4.2146007793425797</v>
      </c>
      <c r="C94" s="440">
        <v>0.42150915635200847</v>
      </c>
      <c r="D94" s="440">
        <v>1.7982654689907323</v>
      </c>
      <c r="E94" s="440">
        <f>SUM(B94:D94)</f>
        <v>6.4343754046853201</v>
      </c>
      <c r="F94" s="441"/>
      <c r="G94" s="440">
        <v>4.7304784692434092</v>
      </c>
      <c r="H94" s="440">
        <v>0.37541059322383047</v>
      </c>
      <c r="I94" s="440">
        <v>3.0860068489067718</v>
      </c>
      <c r="J94" s="440">
        <f>SUM(G94:I94)</f>
        <v>8.1918959113740115</v>
      </c>
      <c r="K94" s="441"/>
      <c r="L94" s="440">
        <v>4.6191800832018517</v>
      </c>
      <c r="M94" s="440">
        <v>0.36874040020240972</v>
      </c>
      <c r="N94" s="440">
        <v>2.3854853245161638</v>
      </c>
      <c r="O94" s="440">
        <f>SUM(L94:N94)</f>
        <v>7.3734058079204257</v>
      </c>
    </row>
    <row r="95" spans="1:15" s="351" customFormat="1" x14ac:dyDescent="0.25">
      <c r="A95" s="362" t="str">
        <f>name!E$5</f>
        <v>Professional occupations</v>
      </c>
      <c r="B95" s="440">
        <v>2.889150567844581</v>
      </c>
      <c r="C95" s="440">
        <v>0.23063675814103812</v>
      </c>
      <c r="D95" s="440">
        <v>0.39713779932306736</v>
      </c>
      <c r="E95" s="440">
        <f t="shared" ref="E95:E102" si="56">SUM(B95:D95)</f>
        <v>3.5169251253086866</v>
      </c>
      <c r="F95" s="441"/>
      <c r="G95" s="440">
        <v>2.9911256460131828</v>
      </c>
      <c r="H95" s="440">
        <v>0.28943680499467728</v>
      </c>
      <c r="I95" s="440">
        <v>0.88758401922063468</v>
      </c>
      <c r="J95" s="440">
        <f t="shared" ref="J95:J97" si="57">SUM(G95:I95)</f>
        <v>4.1681464702284945</v>
      </c>
      <c r="K95" s="441"/>
      <c r="L95" s="440">
        <v>2.9006114483917589</v>
      </c>
      <c r="M95" s="440">
        <v>0.31268822024730741</v>
      </c>
      <c r="N95" s="440">
        <v>0.73070640006221432</v>
      </c>
      <c r="O95" s="440">
        <f t="shared" ref="O95:O102" si="58">SUM(L95:N95)</f>
        <v>3.944006068701281</v>
      </c>
    </row>
    <row r="96" spans="1:15" s="351" customFormat="1" x14ac:dyDescent="0.25">
      <c r="A96" s="362" t="str">
        <f>name!E$6</f>
        <v>Associate professional and technical</v>
      </c>
      <c r="B96" s="440">
        <v>4.9879925250724941</v>
      </c>
      <c r="C96" s="440">
        <v>0.50388471570180815</v>
      </c>
      <c r="D96" s="440">
        <v>0.99957111992299819</v>
      </c>
      <c r="E96" s="440">
        <f t="shared" si="56"/>
        <v>6.4914483606973006</v>
      </c>
      <c r="F96" s="441"/>
      <c r="G96" s="440">
        <v>4.0974430792253491</v>
      </c>
      <c r="H96" s="440">
        <v>0.64103905885120904</v>
      </c>
      <c r="I96" s="440">
        <v>1.9467608380479988</v>
      </c>
      <c r="J96" s="440">
        <f t="shared" si="57"/>
        <v>6.6852429761245578</v>
      </c>
      <c r="K96" s="441"/>
      <c r="L96" s="440">
        <v>3.8444170518864498</v>
      </c>
      <c r="M96" s="440">
        <v>0.56412994111607329</v>
      </c>
      <c r="N96" s="440">
        <v>1.4980460469425776</v>
      </c>
      <c r="O96" s="440">
        <f t="shared" si="58"/>
        <v>5.9065930399451005</v>
      </c>
    </row>
    <row r="97" spans="1:15" s="351" customFormat="1" x14ac:dyDescent="0.25">
      <c r="A97" s="362" t="str">
        <f>name!E$7</f>
        <v>Administrative and secretarial</v>
      </c>
      <c r="B97" s="440">
        <v>3.4706901328925142</v>
      </c>
      <c r="C97" s="440">
        <v>0.83651183389818062</v>
      </c>
      <c r="D97" s="440">
        <v>0.16589760475170132</v>
      </c>
      <c r="E97" s="440">
        <f t="shared" si="56"/>
        <v>4.473099571542396</v>
      </c>
      <c r="F97" s="441"/>
      <c r="G97" s="440">
        <v>3.7317030902135371</v>
      </c>
      <c r="H97" s="440">
        <v>0.88624816553291785</v>
      </c>
      <c r="I97" s="440">
        <v>0.27453523873815999</v>
      </c>
      <c r="J97" s="440">
        <f t="shared" si="57"/>
        <v>4.8924864944846149</v>
      </c>
      <c r="K97" s="441"/>
      <c r="L97" s="440">
        <v>2.9641085410193297</v>
      </c>
      <c r="M97" s="440">
        <v>0.62826095456751307</v>
      </c>
      <c r="N97" s="440">
        <v>0.16183530497407569</v>
      </c>
      <c r="O97" s="440">
        <f t="shared" si="58"/>
        <v>3.7542048005609185</v>
      </c>
    </row>
    <row r="98" spans="1:15" s="351" customFormat="1" x14ac:dyDescent="0.25">
      <c r="A98" s="362" t="str">
        <f>name!E$8</f>
        <v>Skilled trades occupations</v>
      </c>
      <c r="B98" s="440">
        <v>9.0931435731486179</v>
      </c>
      <c r="C98" s="440">
        <v>0.7994126039925934</v>
      </c>
      <c r="D98" s="440">
        <v>3.1712883518233244</v>
      </c>
      <c r="E98" s="440">
        <f t="shared" si="56"/>
        <v>13.063844528964536</v>
      </c>
      <c r="F98" s="441"/>
      <c r="G98" s="440">
        <v>6.9576290471707978</v>
      </c>
      <c r="H98" s="440">
        <v>0.69239374502807005</v>
      </c>
      <c r="I98" s="440">
        <v>2.7894175400613168</v>
      </c>
      <c r="J98" s="440">
        <f>SUM(G98:I98)</f>
        <v>10.439440332260185</v>
      </c>
      <c r="K98" s="441"/>
      <c r="L98" s="440">
        <v>4.7678992685043005</v>
      </c>
      <c r="M98" s="440">
        <v>0.47447426653644093</v>
      </c>
      <c r="N98" s="440">
        <v>1.4535387407159497</v>
      </c>
      <c r="O98" s="440">
        <f t="shared" si="58"/>
        <v>6.6959122757566911</v>
      </c>
    </row>
    <row r="99" spans="1:15" s="351" customFormat="1" x14ac:dyDescent="0.25">
      <c r="A99" s="362" t="str">
        <f>name!E$9</f>
        <v>Caring, leisure and other service</v>
      </c>
      <c r="B99" s="440">
        <v>0.72740388625092545</v>
      </c>
      <c r="C99" s="440">
        <v>7.2906246792011242E-2</v>
      </c>
      <c r="D99" s="440">
        <v>0.15621409391977137</v>
      </c>
      <c r="E99" s="440">
        <f t="shared" si="56"/>
        <v>0.95652422696270811</v>
      </c>
      <c r="F99" s="441"/>
      <c r="G99" s="440">
        <v>0.69704818170237492</v>
      </c>
      <c r="H99" s="440">
        <v>8.4331964033417708E-2</v>
      </c>
      <c r="I99" s="440">
        <v>0.95777199922271117</v>
      </c>
      <c r="J99" s="440">
        <f t="shared" ref="J99:J102" si="59">SUM(G99:I99)</f>
        <v>1.7391521449585037</v>
      </c>
      <c r="K99" s="441"/>
      <c r="L99" s="440">
        <v>0.67111413871739223</v>
      </c>
      <c r="M99" s="440">
        <v>9.1024777459520353E-2</v>
      </c>
      <c r="N99" s="440">
        <v>0.7492514390631525</v>
      </c>
      <c r="O99" s="440">
        <f t="shared" si="58"/>
        <v>1.5113903552400649</v>
      </c>
    </row>
    <row r="100" spans="1:15" s="351" customFormat="1" x14ac:dyDescent="0.25">
      <c r="A100" s="362" t="str">
        <f>name!E$10</f>
        <v>Sales and customer service</v>
      </c>
      <c r="B100" s="440">
        <v>1.5198228821876116</v>
      </c>
      <c r="C100" s="440">
        <v>0.78825627645668594</v>
      </c>
      <c r="D100" s="440">
        <v>0.39778878530403722</v>
      </c>
      <c r="E100" s="440">
        <f t="shared" si="56"/>
        <v>2.7058679439483346</v>
      </c>
      <c r="F100" s="441"/>
      <c r="G100" s="440">
        <v>1.6455746629204655</v>
      </c>
      <c r="H100" s="440">
        <v>0.89138603497186564</v>
      </c>
      <c r="I100" s="440">
        <v>0.76990777534584132</v>
      </c>
      <c r="J100" s="440">
        <f t="shared" si="59"/>
        <v>3.3068684732381723</v>
      </c>
      <c r="K100" s="441"/>
      <c r="L100" s="440">
        <v>1.384273412980725</v>
      </c>
      <c r="M100" s="440">
        <v>0.76703123259896655</v>
      </c>
      <c r="N100" s="440">
        <v>0.5101979597399704</v>
      </c>
      <c r="O100" s="440">
        <f t="shared" si="58"/>
        <v>2.661502605319662</v>
      </c>
    </row>
    <row r="101" spans="1:15" s="351" customFormat="1" x14ac:dyDescent="0.25">
      <c r="A101" s="362" t="str">
        <f>name!E$11</f>
        <v>Process, plant and machine operatives</v>
      </c>
      <c r="B101" s="440">
        <v>15.646946136879624</v>
      </c>
      <c r="C101" s="440">
        <v>2.6137327168861719</v>
      </c>
      <c r="D101" s="440">
        <v>1.7895173985786532</v>
      </c>
      <c r="E101" s="440">
        <f t="shared" si="56"/>
        <v>20.050196252344449</v>
      </c>
      <c r="F101" s="441"/>
      <c r="G101" s="440">
        <v>11.731466023067675</v>
      </c>
      <c r="H101" s="440">
        <v>2.7611178411511377</v>
      </c>
      <c r="I101" s="440">
        <v>1.8289923110128252</v>
      </c>
      <c r="J101" s="440">
        <f t="shared" si="59"/>
        <v>16.321576175231638</v>
      </c>
      <c r="K101" s="441"/>
      <c r="L101" s="440">
        <v>7.9731803737075317</v>
      </c>
      <c r="M101" s="440">
        <v>1.8014763638562632</v>
      </c>
      <c r="N101" s="440">
        <v>0.9230576615066568</v>
      </c>
      <c r="O101" s="440">
        <f t="shared" si="58"/>
        <v>10.697714399070453</v>
      </c>
    </row>
    <row r="102" spans="1:15" s="351" customFormat="1" x14ac:dyDescent="0.25">
      <c r="A102" s="362" t="str">
        <f>name!E$12</f>
        <v>Elementary occupations</v>
      </c>
      <c r="B102" s="440">
        <v>3.963249516102417</v>
      </c>
      <c r="C102" s="440">
        <v>0.89514969180924597</v>
      </c>
      <c r="D102" s="440">
        <v>0.66731937747697678</v>
      </c>
      <c r="E102" s="440">
        <f t="shared" si="56"/>
        <v>5.5257185853886401</v>
      </c>
      <c r="F102" s="441"/>
      <c r="G102" s="440">
        <v>3.1435318002324659</v>
      </c>
      <c r="H102" s="440">
        <v>1.1096357923376312</v>
      </c>
      <c r="I102" s="440">
        <v>1.3800234295685316</v>
      </c>
      <c r="J102" s="440">
        <f t="shared" si="59"/>
        <v>5.6331910221386288</v>
      </c>
      <c r="K102" s="441"/>
      <c r="L102" s="440">
        <v>2.4042156814425653</v>
      </c>
      <c r="M102" s="440">
        <v>1.0751738434788995</v>
      </c>
      <c r="N102" s="440">
        <v>0.93488112254310818</v>
      </c>
      <c r="O102" s="440">
        <f t="shared" si="58"/>
        <v>4.4142706474645728</v>
      </c>
    </row>
    <row r="103" spans="1:15" s="351" customFormat="1" x14ac:dyDescent="0.25">
      <c r="A103" s="362"/>
      <c r="B103" s="440"/>
      <c r="C103" s="440"/>
      <c r="D103" s="440"/>
      <c r="E103" s="440"/>
      <c r="F103" s="441"/>
      <c r="G103" s="440"/>
      <c r="H103" s="440"/>
      <c r="I103" s="440"/>
      <c r="J103" s="440"/>
      <c r="K103" s="441"/>
      <c r="L103" s="440"/>
      <c r="M103" s="440"/>
      <c r="N103" s="440"/>
      <c r="O103" s="440"/>
    </row>
    <row r="104" spans="1:15" s="351" customFormat="1" x14ac:dyDescent="0.25">
      <c r="A104" s="357" t="s">
        <v>32</v>
      </c>
      <c r="B104" s="450">
        <f>SUM(B94:B102)</f>
        <v>46.512999999721366</v>
      </c>
      <c r="C104" s="450">
        <f t="shared" ref="C104:E104" si="60">SUM(C94:C102)</f>
        <v>7.1620000000297441</v>
      </c>
      <c r="D104" s="450">
        <f t="shared" si="60"/>
        <v>9.5430000000912614</v>
      </c>
      <c r="E104" s="450">
        <f t="shared" si="60"/>
        <v>63.21799999984237</v>
      </c>
      <c r="F104" s="450"/>
      <c r="G104" s="450">
        <f t="shared" ref="G104:J104" si="61">SUM(G94:G102)</f>
        <v>39.725999999789259</v>
      </c>
      <c r="H104" s="450">
        <f t="shared" si="61"/>
        <v>7.731000000124757</v>
      </c>
      <c r="I104" s="450">
        <f t="shared" si="61"/>
        <v>13.92100000012479</v>
      </c>
      <c r="J104" s="450">
        <f t="shared" si="61"/>
        <v>61.37800000003881</v>
      </c>
      <c r="K104" s="450"/>
      <c r="L104" s="450">
        <f t="shared" ref="L104:O104" si="62">SUM(L94:L102)</f>
        <v>31.528999999851905</v>
      </c>
      <c r="M104" s="450">
        <f t="shared" si="62"/>
        <v>6.0830000000633939</v>
      </c>
      <c r="N104" s="450">
        <f t="shared" si="62"/>
        <v>9.3470000000638702</v>
      </c>
      <c r="O104" s="450">
        <f t="shared" si="62"/>
        <v>46.95899999997917</v>
      </c>
    </row>
    <row r="105" spans="1:15" s="351" customFormat="1" x14ac:dyDescent="0.25">
      <c r="A105" s="348"/>
      <c r="B105" s="348"/>
      <c r="C105" s="348"/>
      <c r="D105" s="348"/>
      <c r="E105" s="348"/>
      <c r="F105" s="348"/>
      <c r="G105" s="348"/>
      <c r="H105" s="348"/>
      <c r="I105" s="348"/>
      <c r="J105" s="348"/>
      <c r="K105" s="348"/>
      <c r="L105" s="348"/>
      <c r="M105" s="348"/>
      <c r="N105" s="353"/>
    </row>
    <row r="106" spans="1:15" s="351" customFormat="1" x14ac:dyDescent="0.25">
      <c r="A106" s="348"/>
      <c r="B106" s="348"/>
      <c r="C106" s="348"/>
      <c r="D106" s="348"/>
      <c r="E106" s="348"/>
      <c r="F106" s="348"/>
      <c r="G106" s="348"/>
      <c r="H106" s="348"/>
      <c r="I106" s="348"/>
      <c r="J106" s="348"/>
      <c r="K106" s="348"/>
      <c r="L106" s="348"/>
      <c r="M106" s="348"/>
      <c r="N106" s="353"/>
      <c r="O106" s="367" t="s">
        <v>35</v>
      </c>
    </row>
    <row r="107" spans="1:15" s="351" customFormat="1" x14ac:dyDescent="0.25">
      <c r="A107" s="355"/>
      <c r="B107" s="355"/>
      <c r="C107" s="355"/>
      <c r="D107" s="355"/>
      <c r="E107" s="355"/>
      <c r="F107" s="355"/>
      <c r="G107" s="355"/>
      <c r="H107" s="355"/>
      <c r="I107" s="355"/>
      <c r="J107" s="355"/>
      <c r="K107" s="355"/>
      <c r="L107" s="355"/>
      <c r="M107" s="355"/>
      <c r="N107" s="355"/>
      <c r="O107" s="355"/>
    </row>
    <row r="108" spans="1:15" s="351" customFormat="1" x14ac:dyDescent="0.25">
      <c r="A108" s="354" t="str">
        <f>name!A9</f>
        <v>Wearing apparel; Leather, etc</v>
      </c>
      <c r="B108" s="517">
        <f>$B$6</f>
        <v>2007</v>
      </c>
      <c r="C108" s="517"/>
      <c r="D108" s="517"/>
      <c r="E108" s="517"/>
      <c r="F108" s="380"/>
      <c r="G108" s="517">
        <f>$G$6</f>
        <v>2017</v>
      </c>
      <c r="H108" s="517"/>
      <c r="I108" s="517"/>
      <c r="J108" s="517"/>
      <c r="K108" s="380"/>
      <c r="L108" s="517">
        <f>$L$6</f>
        <v>2027</v>
      </c>
      <c r="M108" s="517"/>
      <c r="N108" s="517"/>
      <c r="O108" s="517"/>
    </row>
    <row r="109" spans="1:15" s="351" customFormat="1" x14ac:dyDescent="0.25">
      <c r="A109" s="370"/>
      <c r="B109" s="388" t="str">
        <f>$B$7</f>
        <v>FT</v>
      </c>
      <c r="C109" s="388" t="str">
        <f>$C$7</f>
        <v>PT</v>
      </c>
      <c r="D109" s="388" t="str">
        <f>$D$7</f>
        <v>SE</v>
      </c>
      <c r="E109" s="388" t="str">
        <f>$E$7</f>
        <v>Total</v>
      </c>
      <c r="F109" s="388"/>
      <c r="G109" s="388" t="str">
        <f>$G$7</f>
        <v>FT</v>
      </c>
      <c r="H109" s="388" t="str">
        <f>$H$7</f>
        <v>PT</v>
      </c>
      <c r="I109" s="388" t="str">
        <f>$I$7</f>
        <v>SE</v>
      </c>
      <c r="J109" s="388" t="str">
        <f>$J$7</f>
        <v>Total</v>
      </c>
      <c r="K109" s="388"/>
      <c r="L109" s="388" t="str">
        <f>$L$7</f>
        <v>FT</v>
      </c>
      <c r="M109" s="388" t="str">
        <f>$M$7</f>
        <v>PT</v>
      </c>
      <c r="N109" s="388" t="str">
        <f>$N$7</f>
        <v>SE</v>
      </c>
      <c r="O109" s="388" t="str">
        <f>$O$7</f>
        <v>Total</v>
      </c>
    </row>
    <row r="110" spans="1:15" s="351" customFormat="1" x14ac:dyDescent="0.25">
      <c r="A110" s="374"/>
      <c r="B110" s="350"/>
      <c r="C110" s="350"/>
      <c r="D110" s="350"/>
      <c r="E110" s="350"/>
      <c r="F110" s="350"/>
      <c r="G110" s="350"/>
      <c r="H110" s="350"/>
      <c r="I110" s="350"/>
      <c r="J110" s="350"/>
      <c r="K110" s="350"/>
      <c r="L110" s="350"/>
      <c r="M110" s="350"/>
      <c r="N110" s="350"/>
      <c r="O110" s="350"/>
    </row>
    <row r="111" spans="1:15" s="351" customFormat="1" x14ac:dyDescent="0.25">
      <c r="A111" s="362" t="str">
        <f>name!E$4</f>
        <v>Managers, directors and senior officials</v>
      </c>
      <c r="B111" s="440">
        <v>3.3376049932169627</v>
      </c>
      <c r="C111" s="440">
        <v>0.7296660686144224</v>
      </c>
      <c r="D111" s="440">
        <v>1.1864483354593531</v>
      </c>
      <c r="E111" s="440">
        <f>SUM(B111:D111)</f>
        <v>5.2537193972907383</v>
      </c>
      <c r="F111" s="441"/>
      <c r="G111" s="440">
        <v>2.5369012774712432</v>
      </c>
      <c r="H111" s="440">
        <v>0.42316908192066049</v>
      </c>
      <c r="I111" s="440">
        <v>1.219331672177093</v>
      </c>
      <c r="J111" s="440">
        <f>SUM(G111:I111)</f>
        <v>4.1794020315689968</v>
      </c>
      <c r="K111" s="441"/>
      <c r="L111" s="440">
        <v>2.3419250672053256</v>
      </c>
      <c r="M111" s="440">
        <v>0.38673292603361592</v>
      </c>
      <c r="N111" s="440">
        <v>0.94346149010126756</v>
      </c>
      <c r="O111" s="440">
        <f>SUM(L111:N111)</f>
        <v>3.6721194833402091</v>
      </c>
    </row>
    <row r="112" spans="1:15" s="351" customFormat="1" x14ac:dyDescent="0.25">
      <c r="A112" s="362" t="str">
        <f>name!E$5</f>
        <v>Professional occupations</v>
      </c>
      <c r="B112" s="440">
        <v>3.3810563488710668</v>
      </c>
      <c r="C112" s="440">
        <v>0.35968825340376048</v>
      </c>
      <c r="D112" s="440">
        <v>0.33880230577906439</v>
      </c>
      <c r="E112" s="440">
        <f t="shared" ref="E112:E119" si="63">SUM(B112:D112)</f>
        <v>4.0795469080538913</v>
      </c>
      <c r="F112" s="441"/>
      <c r="G112" s="440">
        <v>4.0088372754245807</v>
      </c>
      <c r="H112" s="440">
        <v>0.23570632561173441</v>
      </c>
      <c r="I112" s="440">
        <v>0.41983350366708816</v>
      </c>
      <c r="J112" s="440">
        <f t="shared" ref="J112:J114" si="64">SUM(G112:I112)</f>
        <v>4.6643771047034033</v>
      </c>
      <c r="K112" s="441"/>
      <c r="L112" s="440">
        <v>3.9903381310884631</v>
      </c>
      <c r="M112" s="440">
        <v>0.3337075011003538</v>
      </c>
      <c r="N112" s="440">
        <v>0.33125142829113613</v>
      </c>
      <c r="O112" s="440">
        <f t="shared" ref="O112:O119" si="65">SUM(L112:N112)</f>
        <v>4.6552970604799526</v>
      </c>
    </row>
    <row r="113" spans="1:15" s="351" customFormat="1" x14ac:dyDescent="0.25">
      <c r="A113" s="362" t="str">
        <f>name!E$6</f>
        <v>Associate professional and technical</v>
      </c>
      <c r="B113" s="440">
        <v>4.950526877163627</v>
      </c>
      <c r="C113" s="440">
        <v>1.2116198897941097</v>
      </c>
      <c r="D113" s="440">
        <v>1.5648133972503004</v>
      </c>
      <c r="E113" s="440">
        <f t="shared" si="63"/>
        <v>7.7269601642080366</v>
      </c>
      <c r="F113" s="441"/>
      <c r="G113" s="440">
        <v>3.4698284501571086</v>
      </c>
      <c r="H113" s="440">
        <v>0.68410777992054661</v>
      </c>
      <c r="I113" s="440">
        <v>1.7607511702304828</v>
      </c>
      <c r="J113" s="440">
        <f t="shared" si="64"/>
        <v>5.9146874003081384</v>
      </c>
      <c r="K113" s="441"/>
      <c r="L113" s="440">
        <v>3.0466946128314638</v>
      </c>
      <c r="M113" s="440">
        <v>0.58583971421859904</v>
      </c>
      <c r="N113" s="440">
        <v>1.2694096271351289</v>
      </c>
      <c r="O113" s="440">
        <f t="shared" si="65"/>
        <v>4.9019439541851915</v>
      </c>
    </row>
    <row r="114" spans="1:15" s="351" customFormat="1" x14ac:dyDescent="0.25">
      <c r="A114" s="362" t="str">
        <f>name!E$7</f>
        <v>Administrative and secretarial</v>
      </c>
      <c r="B114" s="440">
        <v>4.82639903669397</v>
      </c>
      <c r="C114" s="440">
        <v>1.6295791895401153</v>
      </c>
      <c r="D114" s="440">
        <v>0.16270249632108097</v>
      </c>
      <c r="E114" s="440">
        <f t="shared" si="63"/>
        <v>6.6186807225551663</v>
      </c>
      <c r="F114" s="441"/>
      <c r="G114" s="440">
        <v>3.4193594485945495</v>
      </c>
      <c r="H114" s="440">
        <v>0.99460666364966177</v>
      </c>
      <c r="I114" s="440">
        <v>0.20316959168365994</v>
      </c>
      <c r="J114" s="440">
        <f t="shared" si="64"/>
        <v>4.6171357039278718</v>
      </c>
      <c r="K114" s="441"/>
      <c r="L114" s="440">
        <v>2.3460761637286898</v>
      </c>
      <c r="M114" s="440">
        <v>0.73758667120610533</v>
      </c>
      <c r="N114" s="440">
        <v>0.12841502553738582</v>
      </c>
      <c r="O114" s="440">
        <f t="shared" si="65"/>
        <v>3.2120778604721809</v>
      </c>
    </row>
    <row r="115" spans="1:15" s="351" customFormat="1" x14ac:dyDescent="0.25">
      <c r="A115" s="362" t="str">
        <f>name!E$8</f>
        <v>Skilled trades occupations</v>
      </c>
      <c r="B115" s="440">
        <v>5.8902483857882526</v>
      </c>
      <c r="C115" s="440">
        <v>1.4965839889284229</v>
      </c>
      <c r="D115" s="440">
        <v>4.4154163719604425</v>
      </c>
      <c r="E115" s="440">
        <f t="shared" si="63"/>
        <v>11.802248746677119</v>
      </c>
      <c r="F115" s="441"/>
      <c r="G115" s="440">
        <v>2.7475827847254006</v>
      </c>
      <c r="H115" s="440">
        <v>0.68039479582618023</v>
      </c>
      <c r="I115" s="440">
        <v>2.4848679372442719</v>
      </c>
      <c r="J115" s="440">
        <f>SUM(G115:I115)</f>
        <v>5.9128455177958532</v>
      </c>
      <c r="K115" s="441"/>
      <c r="L115" s="440">
        <v>1.6304441692327749</v>
      </c>
      <c r="M115" s="440">
        <v>0.41929197402688162</v>
      </c>
      <c r="N115" s="440">
        <v>1.3576770320053331</v>
      </c>
      <c r="O115" s="440">
        <f t="shared" si="65"/>
        <v>3.4074131752649892</v>
      </c>
    </row>
    <row r="116" spans="1:15" s="351" customFormat="1" x14ac:dyDescent="0.25">
      <c r="A116" s="362" t="str">
        <f>name!E$9</f>
        <v>Caring, leisure and other service</v>
      </c>
      <c r="B116" s="440">
        <v>1.9232837002938679</v>
      </c>
      <c r="C116" s="440">
        <v>0.26613768297261714</v>
      </c>
      <c r="D116" s="440">
        <v>0.20699725375142511</v>
      </c>
      <c r="E116" s="440">
        <f t="shared" si="63"/>
        <v>2.3964186370179101</v>
      </c>
      <c r="F116" s="441"/>
      <c r="G116" s="440">
        <v>2.34499389343258</v>
      </c>
      <c r="H116" s="440">
        <v>0.22111972054518378</v>
      </c>
      <c r="I116" s="440">
        <v>0.61288346906138091</v>
      </c>
      <c r="J116" s="440">
        <f t="shared" ref="J116:J119" si="66">SUM(G116:I116)</f>
        <v>3.1789970830391447</v>
      </c>
      <c r="K116" s="441"/>
      <c r="L116" s="440">
        <v>2.3758348346321676</v>
      </c>
      <c r="M116" s="440">
        <v>0.33801742631719123</v>
      </c>
      <c r="N116" s="440">
        <v>0.48339062602249211</v>
      </c>
      <c r="O116" s="440">
        <f t="shared" si="65"/>
        <v>3.1972428869718508</v>
      </c>
    </row>
    <row r="117" spans="1:15" s="351" customFormat="1" x14ac:dyDescent="0.25">
      <c r="A117" s="362" t="str">
        <f>name!E$10</f>
        <v>Sales and customer service</v>
      </c>
      <c r="B117" s="440">
        <v>1.4094924240764732</v>
      </c>
      <c r="C117" s="440">
        <v>1.4905822322297495</v>
      </c>
      <c r="D117" s="440">
        <v>0.17979064807803982</v>
      </c>
      <c r="E117" s="440">
        <f t="shared" si="63"/>
        <v>3.0798653043842625</v>
      </c>
      <c r="F117" s="441"/>
      <c r="G117" s="440">
        <v>1.2711276984932824</v>
      </c>
      <c r="H117" s="440">
        <v>0.78837196898156503</v>
      </c>
      <c r="I117" s="440">
        <v>0.1949572938999598</v>
      </c>
      <c r="J117" s="440">
        <f t="shared" si="66"/>
        <v>2.2544569613748076</v>
      </c>
      <c r="K117" s="441"/>
      <c r="L117" s="440">
        <v>1.0559226018474668</v>
      </c>
      <c r="M117" s="440">
        <v>0.78315671116378227</v>
      </c>
      <c r="N117" s="440">
        <v>0.1412811839045823</v>
      </c>
      <c r="O117" s="440">
        <f t="shared" si="65"/>
        <v>1.9803604969158313</v>
      </c>
    </row>
    <row r="118" spans="1:15" s="351" customFormat="1" x14ac:dyDescent="0.25">
      <c r="A118" s="362" t="str">
        <f>name!E$11</f>
        <v>Process, plant and machine operatives</v>
      </c>
      <c r="B118" s="440">
        <v>14.114401075543384</v>
      </c>
      <c r="C118" s="440">
        <v>6.5330061545653786</v>
      </c>
      <c r="D118" s="440">
        <v>1.6406220515060639</v>
      </c>
      <c r="E118" s="440">
        <f t="shared" si="63"/>
        <v>22.288029281614826</v>
      </c>
      <c r="F118" s="441"/>
      <c r="G118" s="440">
        <v>4.0653938646703702</v>
      </c>
      <c r="H118" s="440">
        <v>2.5516607718490407</v>
      </c>
      <c r="I118" s="440">
        <v>0.74985853046925333</v>
      </c>
      <c r="J118" s="440">
        <f t="shared" si="66"/>
        <v>7.3669131669886641</v>
      </c>
      <c r="K118" s="441"/>
      <c r="L118" s="440">
        <v>2.2527251812146467</v>
      </c>
      <c r="M118" s="440">
        <v>1.4472922064216442</v>
      </c>
      <c r="N118" s="440">
        <v>0.44959447566785499</v>
      </c>
      <c r="O118" s="440">
        <f t="shared" si="65"/>
        <v>4.1496118633041457</v>
      </c>
    </row>
    <row r="119" spans="1:15" s="351" customFormat="1" x14ac:dyDescent="0.25">
      <c r="A119" s="362" t="str">
        <f>name!E$12</f>
        <v>Elementary occupations</v>
      </c>
      <c r="B119" s="440">
        <v>5.3359871579830704</v>
      </c>
      <c r="C119" s="440">
        <v>1.3951365400810116</v>
      </c>
      <c r="D119" s="440">
        <v>0.90740713997973876</v>
      </c>
      <c r="E119" s="440">
        <f t="shared" si="63"/>
        <v>7.6385308380438213</v>
      </c>
      <c r="F119" s="441"/>
      <c r="G119" s="440">
        <v>3.9159753069453282</v>
      </c>
      <c r="H119" s="440">
        <v>1.180862891867188</v>
      </c>
      <c r="I119" s="440">
        <v>1.3203468316714033</v>
      </c>
      <c r="J119" s="440">
        <f t="shared" si="66"/>
        <v>6.4171850304839202</v>
      </c>
      <c r="K119" s="441"/>
      <c r="L119" s="440">
        <v>2.8920392382037572</v>
      </c>
      <c r="M119" s="440">
        <v>0.97437486962071207</v>
      </c>
      <c r="N119" s="440">
        <v>0.91351911140607023</v>
      </c>
      <c r="O119" s="440">
        <f t="shared" si="65"/>
        <v>4.7799332192305393</v>
      </c>
    </row>
    <row r="120" spans="1:15" s="351" customFormat="1" x14ac:dyDescent="0.25">
      <c r="A120" s="362"/>
      <c r="B120" s="440"/>
      <c r="C120" s="440"/>
      <c r="D120" s="440"/>
      <c r="E120" s="440"/>
      <c r="F120" s="441"/>
      <c r="G120" s="440"/>
      <c r="H120" s="440"/>
      <c r="I120" s="440"/>
      <c r="J120" s="440"/>
      <c r="K120" s="441"/>
      <c r="L120" s="440"/>
      <c r="M120" s="440"/>
      <c r="N120" s="440"/>
      <c r="O120" s="440"/>
    </row>
    <row r="121" spans="1:15" s="351" customFormat="1" x14ac:dyDescent="0.25">
      <c r="A121" s="357" t="s">
        <v>32</v>
      </c>
      <c r="B121" s="450">
        <f>SUM(B111:B119)</f>
        <v>45.168999999630671</v>
      </c>
      <c r="C121" s="450">
        <f t="shared" ref="C121:E121" si="67">SUM(C111:C119)</f>
        <v>15.112000000129587</v>
      </c>
      <c r="D121" s="450">
        <f t="shared" si="67"/>
        <v>10.60300000008551</v>
      </c>
      <c r="E121" s="450">
        <f t="shared" si="67"/>
        <v>70.88399999984577</v>
      </c>
      <c r="F121" s="450"/>
      <c r="G121" s="450">
        <f t="shared" ref="G121:J121" si="68">SUM(G111:G119)</f>
        <v>27.779999999914441</v>
      </c>
      <c r="H121" s="450">
        <f t="shared" si="68"/>
        <v>7.7600000001717611</v>
      </c>
      <c r="I121" s="450">
        <f t="shared" si="68"/>
        <v>8.966000000104593</v>
      </c>
      <c r="J121" s="450">
        <f t="shared" si="68"/>
        <v>44.506000000190802</v>
      </c>
      <c r="K121" s="450"/>
      <c r="L121" s="450">
        <f t="shared" ref="L121:O121" si="69">SUM(L111:L119)</f>
        <v>21.931999999984754</v>
      </c>
      <c r="M121" s="450">
        <f t="shared" si="69"/>
        <v>6.0060000001088856</v>
      </c>
      <c r="N121" s="450">
        <f t="shared" si="69"/>
        <v>6.0180000000712512</v>
      </c>
      <c r="O121" s="450">
        <f t="shared" si="69"/>
        <v>33.956000000164892</v>
      </c>
    </row>
    <row r="122" spans="1:15" s="351" customFormat="1" x14ac:dyDescent="0.25">
      <c r="A122" s="348"/>
      <c r="B122" s="348"/>
      <c r="C122" s="348"/>
      <c r="D122" s="348"/>
      <c r="E122" s="348"/>
      <c r="F122" s="348"/>
      <c r="G122" s="348"/>
      <c r="H122" s="348"/>
      <c r="I122" s="348"/>
      <c r="J122" s="348"/>
      <c r="K122" s="348"/>
      <c r="L122" s="348"/>
      <c r="M122" s="348"/>
      <c r="N122" s="353"/>
    </row>
    <row r="123" spans="1:15" s="351" customFormat="1" x14ac:dyDescent="0.25">
      <c r="A123" s="348"/>
      <c r="B123" s="348"/>
      <c r="C123" s="348"/>
      <c r="D123" s="348"/>
      <c r="E123" s="348"/>
      <c r="F123" s="348"/>
      <c r="G123" s="348"/>
      <c r="H123" s="348"/>
      <c r="I123" s="348"/>
      <c r="J123" s="348"/>
      <c r="K123" s="348"/>
      <c r="L123" s="348"/>
      <c r="M123" s="348"/>
      <c r="N123" s="353"/>
      <c r="O123" s="367" t="s">
        <v>35</v>
      </c>
    </row>
    <row r="124" spans="1:15" s="351" customFormat="1" x14ac:dyDescent="0.25">
      <c r="A124" s="355"/>
      <c r="B124" s="355"/>
      <c r="C124" s="355"/>
      <c r="D124" s="355"/>
      <c r="E124" s="355"/>
      <c r="F124" s="355"/>
      <c r="G124" s="355"/>
      <c r="H124" s="355"/>
      <c r="I124" s="355"/>
      <c r="J124" s="355"/>
      <c r="K124" s="355"/>
      <c r="L124" s="355"/>
      <c r="M124" s="355"/>
      <c r="N124" s="355"/>
      <c r="O124" s="355"/>
    </row>
    <row r="125" spans="1:15" s="351" customFormat="1" x14ac:dyDescent="0.25">
      <c r="A125" s="354" t="str">
        <f>name!A10</f>
        <v xml:space="preserve">Wood and cork </v>
      </c>
      <c r="B125" s="517">
        <f>$B$6</f>
        <v>2007</v>
      </c>
      <c r="C125" s="517"/>
      <c r="D125" s="517"/>
      <c r="E125" s="517"/>
      <c r="F125" s="380"/>
      <c r="G125" s="517">
        <f>$G$6</f>
        <v>2017</v>
      </c>
      <c r="H125" s="517"/>
      <c r="I125" s="517"/>
      <c r="J125" s="517"/>
      <c r="K125" s="380"/>
      <c r="L125" s="517">
        <f>$L$6</f>
        <v>2027</v>
      </c>
      <c r="M125" s="517"/>
      <c r="N125" s="517"/>
      <c r="O125" s="517"/>
    </row>
    <row r="126" spans="1:15" s="351" customFormat="1" x14ac:dyDescent="0.25">
      <c r="A126" s="370"/>
      <c r="B126" s="388" t="str">
        <f>$B$7</f>
        <v>FT</v>
      </c>
      <c r="C126" s="388" t="str">
        <f>$C$7</f>
        <v>PT</v>
      </c>
      <c r="D126" s="388" t="str">
        <f>$D$7</f>
        <v>SE</v>
      </c>
      <c r="E126" s="388" t="str">
        <f>$E$7</f>
        <v>Total</v>
      </c>
      <c r="F126" s="388"/>
      <c r="G126" s="388" t="str">
        <f>$G$7</f>
        <v>FT</v>
      </c>
      <c r="H126" s="388" t="str">
        <f>$H$7</f>
        <v>PT</v>
      </c>
      <c r="I126" s="388" t="str">
        <f>$I$7</f>
        <v>SE</v>
      </c>
      <c r="J126" s="388" t="str">
        <f>$J$7</f>
        <v>Total</v>
      </c>
      <c r="K126" s="388"/>
      <c r="L126" s="388" t="str">
        <f>$L$7</f>
        <v>FT</v>
      </c>
      <c r="M126" s="388" t="str">
        <f>$M$7</f>
        <v>PT</v>
      </c>
      <c r="N126" s="388" t="str">
        <f>$N$7</f>
        <v>SE</v>
      </c>
      <c r="O126" s="388" t="str">
        <f>$O$7</f>
        <v>Total</v>
      </c>
    </row>
    <row r="127" spans="1:15" s="351" customFormat="1" x14ac:dyDescent="0.25">
      <c r="A127" s="374"/>
      <c r="B127" s="350"/>
      <c r="C127" s="350"/>
      <c r="D127" s="350"/>
      <c r="E127" s="350"/>
      <c r="F127" s="350"/>
      <c r="G127" s="350"/>
      <c r="H127" s="350"/>
      <c r="I127" s="350"/>
      <c r="J127" s="350"/>
      <c r="K127" s="350"/>
      <c r="L127" s="350"/>
      <c r="M127" s="350"/>
      <c r="N127" s="350"/>
      <c r="O127" s="350"/>
    </row>
    <row r="128" spans="1:15" s="351" customFormat="1" x14ac:dyDescent="0.25">
      <c r="A128" s="362" t="str">
        <f>name!E$4</f>
        <v>Managers, directors and senior officials</v>
      </c>
      <c r="B128" s="440">
        <v>6.8963340226202767</v>
      </c>
      <c r="C128" s="440">
        <v>0.37495500873100995</v>
      </c>
      <c r="D128" s="440">
        <v>0.65101072547230021</v>
      </c>
      <c r="E128" s="440">
        <f>SUM(B128:D128)</f>
        <v>7.9222997568235867</v>
      </c>
      <c r="F128" s="441"/>
      <c r="G128" s="440">
        <v>5.6556226980670017</v>
      </c>
      <c r="H128" s="440">
        <v>0.60137882205832982</v>
      </c>
      <c r="I128" s="440">
        <v>0.89873679247705329</v>
      </c>
      <c r="J128" s="440">
        <f>SUM(G128:I128)</f>
        <v>7.1557383126023852</v>
      </c>
      <c r="K128" s="441"/>
      <c r="L128" s="440">
        <v>5.9194837473971322</v>
      </c>
      <c r="M128" s="440">
        <v>0.8310365671845138</v>
      </c>
      <c r="N128" s="440">
        <v>0.89794846683888563</v>
      </c>
      <c r="O128" s="440">
        <f>SUM(L128:N128)</f>
        <v>7.6484687814205312</v>
      </c>
    </row>
    <row r="129" spans="1:15" s="351" customFormat="1" x14ac:dyDescent="0.25">
      <c r="A129" s="362" t="str">
        <f>name!E$5</f>
        <v>Professional occupations</v>
      </c>
      <c r="B129" s="440">
        <v>4.4275325417114733</v>
      </c>
      <c r="C129" s="440">
        <v>0.23597671740170062</v>
      </c>
      <c r="D129" s="440">
        <v>0.10965770205999079</v>
      </c>
      <c r="E129" s="440">
        <f t="shared" ref="E129:E136" si="70">SUM(B129:D129)</f>
        <v>4.7731669611731649</v>
      </c>
      <c r="F129" s="441"/>
      <c r="G129" s="440">
        <v>3.6292045778609627</v>
      </c>
      <c r="H129" s="440">
        <v>0.32308638020753511</v>
      </c>
      <c r="I129" s="440">
        <v>0.13968348423330176</v>
      </c>
      <c r="J129" s="440">
        <f t="shared" ref="J129:J131" si="71">SUM(G129:I129)</f>
        <v>4.0919744423018001</v>
      </c>
      <c r="K129" s="441"/>
      <c r="L129" s="440">
        <v>3.8212509751100052</v>
      </c>
      <c r="M129" s="440">
        <v>0.41370171855395727</v>
      </c>
      <c r="N129" s="440">
        <v>0.14207843713965748</v>
      </c>
      <c r="O129" s="440">
        <f t="shared" ref="O129:O136" si="72">SUM(L129:N129)</f>
        <v>4.3770311308036201</v>
      </c>
    </row>
    <row r="130" spans="1:15" s="351" customFormat="1" x14ac:dyDescent="0.25">
      <c r="A130" s="362" t="str">
        <f>name!E$6</f>
        <v>Associate professional and technical</v>
      </c>
      <c r="B130" s="440">
        <v>6.7005664543868715</v>
      </c>
      <c r="C130" s="440">
        <v>0.34737109281292455</v>
      </c>
      <c r="D130" s="440">
        <v>0.15927377402608231</v>
      </c>
      <c r="E130" s="440">
        <f t="shared" si="70"/>
        <v>7.2072113212258779</v>
      </c>
      <c r="F130" s="441"/>
      <c r="G130" s="440">
        <v>7.3873160690307298</v>
      </c>
      <c r="H130" s="440">
        <v>0.40056306468585828</v>
      </c>
      <c r="I130" s="440">
        <v>0.19590397830601772</v>
      </c>
      <c r="J130" s="440">
        <f t="shared" si="71"/>
        <v>7.9837831120226062</v>
      </c>
      <c r="K130" s="441"/>
      <c r="L130" s="440">
        <v>7.3122227926661862</v>
      </c>
      <c r="M130" s="440">
        <v>0.49745593234766383</v>
      </c>
      <c r="N130" s="440">
        <v>0.20122223024436575</v>
      </c>
      <c r="O130" s="440">
        <f t="shared" si="72"/>
        <v>8.0109009552582151</v>
      </c>
    </row>
    <row r="131" spans="1:15" s="351" customFormat="1" x14ac:dyDescent="0.25">
      <c r="A131" s="362" t="str">
        <f>name!E$7</f>
        <v>Administrative and secretarial</v>
      </c>
      <c r="B131" s="440">
        <v>5.1624990440231073</v>
      </c>
      <c r="C131" s="440">
        <v>3.0197813352694274</v>
      </c>
      <c r="D131" s="440">
        <v>8.0519009891505344E-2</v>
      </c>
      <c r="E131" s="440">
        <f t="shared" si="70"/>
        <v>8.2627993891840408</v>
      </c>
      <c r="F131" s="441"/>
      <c r="G131" s="440">
        <v>2.9603104392408288</v>
      </c>
      <c r="H131" s="440">
        <v>2.8685922658830658</v>
      </c>
      <c r="I131" s="440">
        <v>0.15765791926260381</v>
      </c>
      <c r="J131" s="440">
        <f t="shared" si="71"/>
        <v>5.9865606243864988</v>
      </c>
      <c r="K131" s="441"/>
      <c r="L131" s="440">
        <v>2.4320450035892081</v>
      </c>
      <c r="M131" s="440">
        <v>2.2291511259743033</v>
      </c>
      <c r="N131" s="440">
        <v>0.12291080478517542</v>
      </c>
      <c r="O131" s="440">
        <f t="shared" si="72"/>
        <v>4.7841069343486868</v>
      </c>
    </row>
    <row r="132" spans="1:15" s="351" customFormat="1" x14ac:dyDescent="0.25">
      <c r="A132" s="362" t="str">
        <f>name!E$8</f>
        <v>Skilled trades occupations</v>
      </c>
      <c r="B132" s="440">
        <v>21.007081097174378</v>
      </c>
      <c r="C132" s="440">
        <v>0.89967679969932235</v>
      </c>
      <c r="D132" s="440">
        <v>3.0930405817043933</v>
      </c>
      <c r="E132" s="440">
        <f t="shared" si="70"/>
        <v>24.999798478578093</v>
      </c>
      <c r="F132" s="441"/>
      <c r="G132" s="440">
        <v>23.46799311312812</v>
      </c>
      <c r="H132" s="440">
        <v>0.76158990396754433</v>
      </c>
      <c r="I132" s="440">
        <v>3.1207099174994486</v>
      </c>
      <c r="J132" s="440">
        <f>SUM(G132:I132)</f>
        <v>27.35029293459511</v>
      </c>
      <c r="K132" s="441"/>
      <c r="L132" s="440">
        <v>20.503716799276525</v>
      </c>
      <c r="M132" s="440">
        <v>0.98990610972375714</v>
      </c>
      <c r="N132" s="440">
        <v>3.0883444762058163</v>
      </c>
      <c r="O132" s="440">
        <f t="shared" si="72"/>
        <v>24.581967385206099</v>
      </c>
    </row>
    <row r="133" spans="1:15" s="351" customFormat="1" x14ac:dyDescent="0.25">
      <c r="A133" s="362" t="str">
        <f>name!E$9</f>
        <v>Caring, leisure and other service</v>
      </c>
      <c r="B133" s="440">
        <v>1.0316124303665781</v>
      </c>
      <c r="C133" s="440">
        <v>0.22700163677826124</v>
      </c>
      <c r="D133" s="440">
        <v>5.5952958097601382E-2</v>
      </c>
      <c r="E133" s="440">
        <f t="shared" si="70"/>
        <v>1.3145670252424408</v>
      </c>
      <c r="F133" s="441"/>
      <c r="G133" s="440">
        <v>0.80500509765673756</v>
      </c>
      <c r="H133" s="440">
        <v>0.61039359287613681</v>
      </c>
      <c r="I133" s="440">
        <v>0.12805974221720343</v>
      </c>
      <c r="J133" s="440">
        <f t="shared" ref="J133:J136" si="73">SUM(G133:I133)</f>
        <v>1.5434584327500778</v>
      </c>
      <c r="K133" s="441"/>
      <c r="L133" s="440">
        <v>0.85843818919771564</v>
      </c>
      <c r="M133" s="440">
        <v>0.79700295228841822</v>
      </c>
      <c r="N133" s="440">
        <v>0.16422072131794693</v>
      </c>
      <c r="O133" s="440">
        <f t="shared" si="72"/>
        <v>1.8196618628040808</v>
      </c>
    </row>
    <row r="134" spans="1:15" s="351" customFormat="1" x14ac:dyDescent="0.25">
      <c r="A134" s="362" t="str">
        <f>name!E$10</f>
        <v>Sales and customer service</v>
      </c>
      <c r="B134" s="440">
        <v>1.9290986999905044</v>
      </c>
      <c r="C134" s="440">
        <v>0.5158924022720569</v>
      </c>
      <c r="D134" s="440">
        <v>3.8332943912898029E-2</v>
      </c>
      <c r="E134" s="440">
        <f t="shared" si="70"/>
        <v>2.4833240461754595</v>
      </c>
      <c r="F134" s="441"/>
      <c r="G134" s="440">
        <v>1.6500351979226016</v>
      </c>
      <c r="H134" s="440">
        <v>0.56903146806780247</v>
      </c>
      <c r="I134" s="440">
        <v>4.5196830033643762E-2</v>
      </c>
      <c r="J134" s="440">
        <f t="shared" si="73"/>
        <v>2.2642634960240478</v>
      </c>
      <c r="K134" s="441"/>
      <c r="L134" s="440">
        <v>1.447569188971364</v>
      </c>
      <c r="M134" s="440">
        <v>0.61081728334101326</v>
      </c>
      <c r="N134" s="440">
        <v>4.3368122080351464E-2</v>
      </c>
      <c r="O134" s="440">
        <f t="shared" si="72"/>
        <v>2.1017545943927289</v>
      </c>
    </row>
    <row r="135" spans="1:15" s="351" customFormat="1" x14ac:dyDescent="0.25">
      <c r="A135" s="362" t="str">
        <f>name!E$11</f>
        <v>Process, plant and machine operatives</v>
      </c>
      <c r="B135" s="440">
        <v>21.956165994769915</v>
      </c>
      <c r="C135" s="440">
        <v>1.017050989649912</v>
      </c>
      <c r="D135" s="440">
        <v>0.43796345071443171</v>
      </c>
      <c r="E135" s="440">
        <f t="shared" si="70"/>
        <v>23.411180435134259</v>
      </c>
      <c r="F135" s="441"/>
      <c r="G135" s="440">
        <v>18.305904981078786</v>
      </c>
      <c r="H135" s="440">
        <v>0.83614154536427265</v>
      </c>
      <c r="I135" s="440">
        <v>0.46683704904983397</v>
      </c>
      <c r="J135" s="440">
        <f t="shared" si="73"/>
        <v>19.608883575492893</v>
      </c>
      <c r="K135" s="441"/>
      <c r="L135" s="440">
        <v>15.099235032029817</v>
      </c>
      <c r="M135" s="440">
        <v>0.9619269056081079</v>
      </c>
      <c r="N135" s="440">
        <v>0.45739843943832931</v>
      </c>
      <c r="O135" s="440">
        <f t="shared" si="72"/>
        <v>16.518560377076255</v>
      </c>
    </row>
    <row r="136" spans="1:15" s="351" customFormat="1" x14ac:dyDescent="0.25">
      <c r="A136" s="362" t="str">
        <f>name!E$12</f>
        <v>Elementary occupations</v>
      </c>
      <c r="B136" s="440">
        <v>4.5951097146268784</v>
      </c>
      <c r="C136" s="440">
        <v>0.84429401736969911</v>
      </c>
      <c r="D136" s="440">
        <v>0.969248854153552</v>
      </c>
      <c r="E136" s="440">
        <f t="shared" si="70"/>
        <v>6.4086525861501293</v>
      </c>
      <c r="F136" s="441"/>
      <c r="G136" s="440">
        <v>4.4656078257291325</v>
      </c>
      <c r="H136" s="440">
        <v>0.90822295693064259</v>
      </c>
      <c r="I136" s="440">
        <v>1.0612142869773249</v>
      </c>
      <c r="J136" s="440">
        <f t="shared" si="73"/>
        <v>6.4350450696371002</v>
      </c>
      <c r="K136" s="441"/>
      <c r="L136" s="440">
        <v>3.5980382713325723</v>
      </c>
      <c r="M136" s="440">
        <v>0.96000140495898867</v>
      </c>
      <c r="N136" s="440">
        <v>0.99550830206083341</v>
      </c>
      <c r="O136" s="440">
        <f t="shared" si="72"/>
        <v>5.5535479783523938</v>
      </c>
    </row>
    <row r="137" spans="1:15" s="351" customFormat="1" x14ac:dyDescent="0.25">
      <c r="A137" s="362"/>
      <c r="B137" s="440"/>
      <c r="C137" s="440"/>
      <c r="D137" s="440"/>
      <c r="E137" s="440"/>
      <c r="F137" s="441"/>
      <c r="G137" s="440"/>
      <c r="H137" s="440"/>
      <c r="I137" s="440"/>
      <c r="J137" s="440"/>
      <c r="K137" s="441"/>
      <c r="L137" s="440"/>
      <c r="M137" s="440"/>
      <c r="N137" s="440"/>
      <c r="O137" s="440"/>
    </row>
    <row r="138" spans="1:15" s="351" customFormat="1" x14ac:dyDescent="0.25">
      <c r="A138" s="357" t="s">
        <v>32</v>
      </c>
      <c r="B138" s="450">
        <f>SUM(B128:B136)</f>
        <v>73.705999999669984</v>
      </c>
      <c r="C138" s="450">
        <f t="shared" ref="C138:E138" si="74">SUM(C128:C136)</f>
        <v>7.4819999999843132</v>
      </c>
      <c r="D138" s="450">
        <f t="shared" si="74"/>
        <v>5.5950000000327549</v>
      </c>
      <c r="E138" s="450">
        <f t="shared" si="74"/>
        <v>86.78299999968705</v>
      </c>
      <c r="F138" s="450"/>
      <c r="G138" s="450">
        <f t="shared" ref="G138:J138" si="75">SUM(G128:G136)</f>
        <v>68.3269999997149</v>
      </c>
      <c r="H138" s="450">
        <f t="shared" si="75"/>
        <v>7.8790000000411871</v>
      </c>
      <c r="I138" s="450">
        <f t="shared" si="75"/>
        <v>6.2140000000564317</v>
      </c>
      <c r="J138" s="450">
        <f t="shared" si="75"/>
        <v>82.419999999812518</v>
      </c>
      <c r="K138" s="450"/>
      <c r="L138" s="450">
        <f t="shared" ref="L138:O138" si="76">SUM(L128:L136)</f>
        <v>60.991999999570524</v>
      </c>
      <c r="M138" s="450">
        <f t="shared" si="76"/>
        <v>8.2909999999807233</v>
      </c>
      <c r="N138" s="450">
        <f t="shared" si="76"/>
        <v>6.113000000111362</v>
      </c>
      <c r="O138" s="450">
        <f t="shared" si="76"/>
        <v>75.395999999662621</v>
      </c>
    </row>
    <row r="139" spans="1:15" s="351" customFormat="1" x14ac:dyDescent="0.25">
      <c r="A139" s="348"/>
      <c r="B139" s="348"/>
      <c r="C139" s="348"/>
      <c r="D139" s="348"/>
      <c r="E139" s="348"/>
      <c r="F139" s="348"/>
      <c r="G139" s="348"/>
      <c r="H139" s="348"/>
      <c r="I139" s="348"/>
      <c r="J139" s="348"/>
      <c r="K139" s="348"/>
      <c r="L139" s="348"/>
      <c r="M139" s="348"/>
      <c r="N139" s="353"/>
    </row>
    <row r="140" spans="1:15" s="351" customFormat="1" x14ac:dyDescent="0.25">
      <c r="A140" s="348"/>
      <c r="B140" s="348"/>
      <c r="C140" s="348"/>
      <c r="D140" s="348"/>
      <c r="E140" s="348"/>
      <c r="F140" s="348"/>
      <c r="G140" s="348"/>
      <c r="H140" s="348"/>
      <c r="I140" s="348"/>
      <c r="J140" s="348"/>
      <c r="K140" s="348"/>
      <c r="L140" s="348"/>
      <c r="M140" s="348"/>
      <c r="N140" s="353"/>
      <c r="O140" s="367" t="s">
        <v>35</v>
      </c>
    </row>
    <row r="141" spans="1:15" s="351" customFormat="1" x14ac:dyDescent="0.25">
      <c r="A141" s="355"/>
      <c r="B141" s="355"/>
      <c r="C141" s="355"/>
      <c r="D141" s="355"/>
      <c r="E141" s="355"/>
      <c r="F141" s="355"/>
      <c r="G141" s="355"/>
      <c r="H141" s="355"/>
      <c r="I141" s="355"/>
      <c r="J141" s="355"/>
      <c r="K141" s="355"/>
      <c r="L141" s="355"/>
      <c r="M141" s="355"/>
      <c r="N141" s="355"/>
      <c r="O141" s="355"/>
    </row>
    <row r="142" spans="1:15" s="351" customFormat="1" x14ac:dyDescent="0.25">
      <c r="A142" s="354" t="str">
        <f>name!A11</f>
        <v>Paper, etc</v>
      </c>
      <c r="B142" s="517">
        <f>$B$6</f>
        <v>2007</v>
      </c>
      <c r="C142" s="517"/>
      <c r="D142" s="517"/>
      <c r="E142" s="517"/>
      <c r="F142" s="380"/>
      <c r="G142" s="517">
        <f>$G$6</f>
        <v>2017</v>
      </c>
      <c r="H142" s="517"/>
      <c r="I142" s="517"/>
      <c r="J142" s="517"/>
      <c r="K142" s="380"/>
      <c r="L142" s="517">
        <f>$L$6</f>
        <v>2027</v>
      </c>
      <c r="M142" s="517"/>
      <c r="N142" s="517"/>
      <c r="O142" s="517"/>
    </row>
    <row r="143" spans="1:15" s="351" customFormat="1" x14ac:dyDescent="0.25">
      <c r="A143" s="370"/>
      <c r="B143" s="388" t="str">
        <f>$B$7</f>
        <v>FT</v>
      </c>
      <c r="C143" s="388" t="str">
        <f>$C$7</f>
        <v>PT</v>
      </c>
      <c r="D143" s="388" t="str">
        <f>$D$7</f>
        <v>SE</v>
      </c>
      <c r="E143" s="388" t="str">
        <f>$E$7</f>
        <v>Total</v>
      </c>
      <c r="F143" s="388"/>
      <c r="G143" s="388" t="str">
        <f>$G$7</f>
        <v>FT</v>
      </c>
      <c r="H143" s="388" t="str">
        <f>$H$7</f>
        <v>PT</v>
      </c>
      <c r="I143" s="388" t="str">
        <f>$I$7</f>
        <v>SE</v>
      </c>
      <c r="J143" s="388" t="str">
        <f>$J$7</f>
        <v>Total</v>
      </c>
      <c r="K143" s="388"/>
      <c r="L143" s="388" t="str">
        <f>$L$7</f>
        <v>FT</v>
      </c>
      <c r="M143" s="388" t="str">
        <f>$M$7</f>
        <v>PT</v>
      </c>
      <c r="N143" s="388" t="str">
        <f>$N$7</f>
        <v>SE</v>
      </c>
      <c r="O143" s="388" t="str">
        <f>$O$7</f>
        <v>Total</v>
      </c>
    </row>
    <row r="144" spans="1:15" s="351" customFormat="1" x14ac:dyDescent="0.25">
      <c r="A144" s="374"/>
      <c r="B144" s="350"/>
      <c r="C144" s="350"/>
      <c r="D144" s="350"/>
      <c r="E144" s="350"/>
      <c r="F144" s="350"/>
      <c r="G144" s="350"/>
      <c r="H144" s="350"/>
      <c r="I144" s="350"/>
      <c r="J144" s="350"/>
      <c r="K144" s="350"/>
      <c r="L144" s="350"/>
      <c r="M144" s="350"/>
      <c r="N144" s="350"/>
      <c r="O144" s="350"/>
    </row>
    <row r="145" spans="1:15" s="351" customFormat="1" x14ac:dyDescent="0.25">
      <c r="A145" s="362" t="str">
        <f>name!E$4</f>
        <v>Managers, directors and senior officials</v>
      </c>
      <c r="B145" s="440">
        <v>5.5865975594497241</v>
      </c>
      <c r="C145" s="440">
        <v>0.22307432308263828</v>
      </c>
      <c r="D145" s="440">
        <v>1.2519197462902292</v>
      </c>
      <c r="E145" s="440">
        <f>SUM(B145:D145)</f>
        <v>7.0615916288225922</v>
      </c>
      <c r="F145" s="441"/>
      <c r="G145" s="440">
        <v>6.4957470404631295</v>
      </c>
      <c r="H145" s="440">
        <v>0.15598217227926872</v>
      </c>
      <c r="I145" s="440">
        <v>1.3765411226128028</v>
      </c>
      <c r="J145" s="440">
        <f>SUM(G145:I145)</f>
        <v>8.0282703353552005</v>
      </c>
      <c r="K145" s="441"/>
      <c r="L145" s="440">
        <v>7.2915712093345553</v>
      </c>
      <c r="M145" s="440">
        <v>0.22402035657198774</v>
      </c>
      <c r="N145" s="440">
        <v>1.4866265810602328</v>
      </c>
      <c r="O145" s="440">
        <f>SUM(L145:N145)</f>
        <v>9.0022181469667757</v>
      </c>
    </row>
    <row r="146" spans="1:15" s="351" customFormat="1" x14ac:dyDescent="0.25">
      <c r="A146" s="362" t="str">
        <f>name!E$5</f>
        <v>Professional occupations</v>
      </c>
      <c r="B146" s="440">
        <v>4.9510251113568984</v>
      </c>
      <c r="C146" s="440">
        <v>0.13330750575330394</v>
      </c>
      <c r="D146" s="440">
        <v>0.33008967727731514</v>
      </c>
      <c r="E146" s="440">
        <f t="shared" ref="E146:E153" si="77">SUM(B146:D146)</f>
        <v>5.4144222943875171</v>
      </c>
      <c r="F146" s="441"/>
      <c r="G146" s="440">
        <v>5.0179641716317969</v>
      </c>
      <c r="H146" s="440">
        <v>0.12907244551208374</v>
      </c>
      <c r="I146" s="440">
        <v>0.39590671672815614</v>
      </c>
      <c r="J146" s="440">
        <f t="shared" ref="J146:J148" si="78">SUM(G146:I146)</f>
        <v>5.5429433338720369</v>
      </c>
      <c r="K146" s="441"/>
      <c r="L146" s="440">
        <v>5.4228410886748826</v>
      </c>
      <c r="M146" s="440">
        <v>0.17503656064217551</v>
      </c>
      <c r="N146" s="440">
        <v>0.40841013795197623</v>
      </c>
      <c r="O146" s="440">
        <f t="shared" ref="O146:O153" si="79">SUM(L146:N146)</f>
        <v>6.0062877872690343</v>
      </c>
    </row>
    <row r="147" spans="1:15" s="351" customFormat="1" x14ac:dyDescent="0.25">
      <c r="A147" s="362" t="str">
        <f>name!E$6</f>
        <v>Associate professional and technical</v>
      </c>
      <c r="B147" s="440">
        <v>9.4916692214116019</v>
      </c>
      <c r="C147" s="440">
        <v>0.46779174397610018</v>
      </c>
      <c r="D147" s="440">
        <v>0.98836212274837898</v>
      </c>
      <c r="E147" s="440">
        <f t="shared" si="77"/>
        <v>10.947823088136081</v>
      </c>
      <c r="F147" s="441"/>
      <c r="G147" s="440">
        <v>7.3475000688620007</v>
      </c>
      <c r="H147" s="440">
        <v>0.44324748409006576</v>
      </c>
      <c r="I147" s="440">
        <v>1.0989469398768792</v>
      </c>
      <c r="J147" s="440">
        <f t="shared" si="78"/>
        <v>8.8896944928289443</v>
      </c>
      <c r="K147" s="441"/>
      <c r="L147" s="440">
        <v>7.8062935863945446</v>
      </c>
      <c r="M147" s="440">
        <v>0.61843907604688853</v>
      </c>
      <c r="N147" s="440">
        <v>1.0749296773934298</v>
      </c>
      <c r="O147" s="440">
        <f t="shared" si="79"/>
        <v>9.4996623398348632</v>
      </c>
    </row>
    <row r="148" spans="1:15" s="351" customFormat="1" x14ac:dyDescent="0.25">
      <c r="A148" s="362" t="str">
        <f>name!E$7</f>
        <v>Administrative and secretarial</v>
      </c>
      <c r="B148" s="440">
        <v>4.4221982986685928</v>
      </c>
      <c r="C148" s="440">
        <v>0.63986630580024073</v>
      </c>
      <c r="D148" s="440">
        <v>0.10227300077572361</v>
      </c>
      <c r="E148" s="440">
        <f t="shared" si="77"/>
        <v>5.1643376052445573</v>
      </c>
      <c r="F148" s="441"/>
      <c r="G148" s="440">
        <v>3.0221297568795094</v>
      </c>
      <c r="H148" s="440">
        <v>0.73434568449633775</v>
      </c>
      <c r="I148" s="440">
        <v>0.12752771185168546</v>
      </c>
      <c r="J148" s="440">
        <f t="shared" si="78"/>
        <v>3.8840031532275323</v>
      </c>
      <c r="K148" s="441"/>
      <c r="L148" s="440">
        <v>2.5188419292985298</v>
      </c>
      <c r="M148" s="440">
        <v>0.66990516425724955</v>
      </c>
      <c r="N148" s="440">
        <v>9.6602093922132024E-2</v>
      </c>
      <c r="O148" s="440">
        <f t="shared" si="79"/>
        <v>3.2853491874779115</v>
      </c>
    </row>
    <row r="149" spans="1:15" s="351" customFormat="1" x14ac:dyDescent="0.25">
      <c r="A149" s="362" t="str">
        <f>name!E$8</f>
        <v>Skilled trades occupations</v>
      </c>
      <c r="B149" s="440">
        <v>11.841236684336927</v>
      </c>
      <c r="C149" s="440">
        <v>0.29069562827262818</v>
      </c>
      <c r="D149" s="440">
        <v>1.25223673170342</v>
      </c>
      <c r="E149" s="440">
        <f t="shared" si="77"/>
        <v>13.384169044312975</v>
      </c>
      <c r="F149" s="441"/>
      <c r="G149" s="440">
        <v>11.598742699355984</v>
      </c>
      <c r="H149" s="440">
        <v>0.14954293249912209</v>
      </c>
      <c r="I149" s="440">
        <v>0.93104422910476958</v>
      </c>
      <c r="J149" s="440">
        <f>SUM(G149:I149)</f>
        <v>12.679329860959875</v>
      </c>
      <c r="K149" s="441"/>
      <c r="L149" s="440">
        <v>9.2887377318254103</v>
      </c>
      <c r="M149" s="440">
        <v>0.1480720555397218</v>
      </c>
      <c r="N149" s="440">
        <v>0.80059432438506106</v>
      </c>
      <c r="O149" s="440">
        <f t="shared" si="79"/>
        <v>10.237404111750193</v>
      </c>
    </row>
    <row r="150" spans="1:15" s="351" customFormat="1" x14ac:dyDescent="0.25">
      <c r="A150" s="362" t="str">
        <f>name!E$9</f>
        <v>Caring, leisure and other service</v>
      </c>
      <c r="B150" s="440">
        <v>0.77273598050068681</v>
      </c>
      <c r="C150" s="440">
        <v>0.10497878828458272</v>
      </c>
      <c r="D150" s="440">
        <v>4.2756212172735349E-2</v>
      </c>
      <c r="E150" s="440">
        <f t="shared" si="77"/>
        <v>0.92047098095800495</v>
      </c>
      <c r="F150" s="441"/>
      <c r="G150" s="440">
        <v>0.70822313903953626</v>
      </c>
      <c r="H150" s="440">
        <v>0.13063046430810829</v>
      </c>
      <c r="I150" s="440">
        <v>8.2912823633843696E-2</v>
      </c>
      <c r="J150" s="440">
        <f t="shared" ref="J150:J153" si="80">SUM(G150:I150)</f>
        <v>0.92176642698148825</v>
      </c>
      <c r="K150" s="441"/>
      <c r="L150" s="440">
        <v>0.75374809508321117</v>
      </c>
      <c r="M150" s="440">
        <v>0.11929246206117398</v>
      </c>
      <c r="N150" s="440">
        <v>0.10119938059278082</v>
      </c>
      <c r="O150" s="440">
        <f t="shared" si="79"/>
        <v>0.97423993773716588</v>
      </c>
    </row>
    <row r="151" spans="1:15" s="351" customFormat="1" x14ac:dyDescent="0.25">
      <c r="A151" s="362" t="str">
        <f>name!E$10</f>
        <v>Sales and customer service</v>
      </c>
      <c r="B151" s="440">
        <v>1.1985744882604388</v>
      </c>
      <c r="C151" s="440">
        <v>0.30579995058068249</v>
      </c>
      <c r="D151" s="440">
        <v>8.1815040762457797E-2</v>
      </c>
      <c r="E151" s="440">
        <f t="shared" si="77"/>
        <v>1.5861894796035791</v>
      </c>
      <c r="F151" s="441"/>
      <c r="G151" s="440">
        <v>1.2928637122642679</v>
      </c>
      <c r="H151" s="440">
        <v>0.29548689807402356</v>
      </c>
      <c r="I151" s="440">
        <v>8.9482981851019189E-2</v>
      </c>
      <c r="J151" s="440">
        <f t="shared" si="80"/>
        <v>1.6778335921893106</v>
      </c>
      <c r="K151" s="441"/>
      <c r="L151" s="440">
        <v>1.2881117090473113</v>
      </c>
      <c r="M151" s="440">
        <v>0.29014271355653354</v>
      </c>
      <c r="N151" s="440">
        <v>8.4308637596300653E-2</v>
      </c>
      <c r="O151" s="440">
        <f t="shared" si="79"/>
        <v>1.6625630602001455</v>
      </c>
    </row>
    <row r="152" spans="1:15" s="351" customFormat="1" x14ac:dyDescent="0.25">
      <c r="A152" s="362" t="str">
        <f>name!E$11</f>
        <v>Process, plant and machine operatives</v>
      </c>
      <c r="B152" s="440">
        <v>17.244554691998079</v>
      </c>
      <c r="C152" s="440">
        <v>0.48689002472463522</v>
      </c>
      <c r="D152" s="440">
        <v>0.14964471157756945</v>
      </c>
      <c r="E152" s="440">
        <f t="shared" si="77"/>
        <v>17.881089428300282</v>
      </c>
      <c r="F152" s="441"/>
      <c r="G152" s="440">
        <v>16.480347252171061</v>
      </c>
      <c r="H152" s="440">
        <v>0.32683097095865582</v>
      </c>
      <c r="I152" s="440">
        <v>0.18957606216428058</v>
      </c>
      <c r="J152" s="440">
        <f t="shared" si="80"/>
        <v>16.996754285293999</v>
      </c>
      <c r="K152" s="441"/>
      <c r="L152" s="440">
        <v>13.027176877097599</v>
      </c>
      <c r="M152" s="440">
        <v>0.30478126500999847</v>
      </c>
      <c r="N152" s="440">
        <v>0.16695822093812884</v>
      </c>
      <c r="O152" s="440">
        <f t="shared" si="79"/>
        <v>13.498916363045726</v>
      </c>
    </row>
    <row r="153" spans="1:15" s="351" customFormat="1" x14ac:dyDescent="0.25">
      <c r="A153" s="362" t="str">
        <f>name!E$12</f>
        <v>Elementary occupations</v>
      </c>
      <c r="B153" s="440">
        <v>5.7374079638294058</v>
      </c>
      <c r="C153" s="440">
        <v>0.86259572952836383</v>
      </c>
      <c r="D153" s="440">
        <v>0.23190275667189247</v>
      </c>
      <c r="E153" s="440">
        <f t="shared" si="77"/>
        <v>6.8319064500296616</v>
      </c>
      <c r="F153" s="441"/>
      <c r="G153" s="440">
        <v>5.7094821588379965</v>
      </c>
      <c r="H153" s="440">
        <v>0.76186094782155989</v>
      </c>
      <c r="I153" s="440">
        <v>0.43806141215670152</v>
      </c>
      <c r="J153" s="440">
        <f t="shared" si="80"/>
        <v>6.9094045188162587</v>
      </c>
      <c r="K153" s="441"/>
      <c r="L153" s="440">
        <v>4.7606777728346881</v>
      </c>
      <c r="M153" s="440">
        <v>0.93731034633003396</v>
      </c>
      <c r="N153" s="440">
        <v>0.44537094613965023</v>
      </c>
      <c r="O153" s="440">
        <f t="shared" si="79"/>
        <v>6.1433590653043719</v>
      </c>
    </row>
    <row r="154" spans="1:15" s="351" customFormat="1" x14ac:dyDescent="0.25">
      <c r="A154" s="362"/>
      <c r="B154" s="440"/>
      <c r="C154" s="440"/>
      <c r="D154" s="440"/>
      <c r="E154" s="440"/>
      <c r="F154" s="441"/>
      <c r="G154" s="440"/>
      <c r="H154" s="440"/>
      <c r="I154" s="440"/>
      <c r="J154" s="440"/>
      <c r="K154" s="441"/>
      <c r="L154" s="440"/>
      <c r="M154" s="440"/>
      <c r="N154" s="440"/>
      <c r="O154" s="440"/>
    </row>
    <row r="155" spans="1:15" s="351" customFormat="1" x14ac:dyDescent="0.25">
      <c r="A155" s="357" t="s">
        <v>32</v>
      </c>
      <c r="B155" s="450">
        <f>SUM(B145:B153)</f>
        <v>61.245999999812362</v>
      </c>
      <c r="C155" s="450">
        <f t="shared" ref="C155:E155" si="81">SUM(C145:C153)</f>
        <v>3.5150000000031749</v>
      </c>
      <c r="D155" s="450">
        <f t="shared" si="81"/>
        <v>4.430999999979722</v>
      </c>
      <c r="E155" s="450">
        <f t="shared" si="81"/>
        <v>69.191999999795257</v>
      </c>
      <c r="F155" s="450"/>
      <c r="G155" s="450">
        <f t="shared" ref="G155:J155" si="82">SUM(G145:G153)</f>
        <v>57.672999999505294</v>
      </c>
      <c r="H155" s="450">
        <f t="shared" si="82"/>
        <v>3.1270000000392257</v>
      </c>
      <c r="I155" s="450">
        <f t="shared" si="82"/>
        <v>4.729999999980139</v>
      </c>
      <c r="J155" s="450">
        <f t="shared" si="82"/>
        <v>65.529999999524648</v>
      </c>
      <c r="K155" s="450"/>
      <c r="L155" s="450">
        <f t="shared" ref="L155:O155" si="83">SUM(L145:L153)</f>
        <v>52.157999999590736</v>
      </c>
      <c r="M155" s="450">
        <f t="shared" si="83"/>
        <v>3.487000000015763</v>
      </c>
      <c r="N155" s="450">
        <f t="shared" si="83"/>
        <v>4.6649999999796918</v>
      </c>
      <c r="O155" s="450">
        <f t="shared" si="83"/>
        <v>60.309999999586189</v>
      </c>
    </row>
    <row r="156" spans="1:15" s="351" customFormat="1" x14ac:dyDescent="0.25">
      <c r="A156" s="348"/>
      <c r="B156" s="348"/>
      <c r="C156" s="348"/>
      <c r="D156" s="348"/>
      <c r="E156" s="348"/>
      <c r="F156" s="348"/>
      <c r="G156" s="348"/>
      <c r="H156" s="348"/>
      <c r="I156" s="348"/>
      <c r="J156" s="348"/>
      <c r="K156" s="348"/>
      <c r="L156" s="348"/>
      <c r="M156" s="348"/>
      <c r="N156" s="353"/>
    </row>
    <row r="157" spans="1:15" s="351" customFormat="1" x14ac:dyDescent="0.25">
      <c r="A157" s="348"/>
      <c r="B157" s="348"/>
      <c r="C157" s="348"/>
      <c r="D157" s="348"/>
      <c r="E157" s="348"/>
      <c r="F157" s="348"/>
      <c r="G157" s="348"/>
      <c r="H157" s="348"/>
      <c r="I157" s="348"/>
      <c r="J157" s="348"/>
      <c r="K157" s="348"/>
      <c r="L157" s="348"/>
      <c r="M157" s="348"/>
      <c r="N157" s="353"/>
      <c r="O157" s="367" t="s">
        <v>35</v>
      </c>
    </row>
    <row r="158" spans="1:15" s="351" customFormat="1" x14ac:dyDescent="0.25">
      <c r="A158" s="355"/>
      <c r="B158" s="355"/>
      <c r="C158" s="355"/>
      <c r="D158" s="355"/>
      <c r="E158" s="355"/>
      <c r="F158" s="355"/>
      <c r="G158" s="355"/>
      <c r="H158" s="355"/>
      <c r="I158" s="355"/>
      <c r="J158" s="355"/>
      <c r="K158" s="355"/>
      <c r="L158" s="355"/>
      <c r="M158" s="355"/>
      <c r="N158" s="355"/>
      <c r="O158" s="355"/>
    </row>
    <row r="159" spans="1:15" s="351" customFormat="1" x14ac:dyDescent="0.25">
      <c r="A159" s="354" t="str">
        <f>name!A12</f>
        <v>Printing and recording</v>
      </c>
      <c r="B159" s="517">
        <f>$B$6</f>
        <v>2007</v>
      </c>
      <c r="C159" s="517"/>
      <c r="D159" s="517"/>
      <c r="E159" s="517"/>
      <c r="F159" s="380"/>
      <c r="G159" s="517">
        <f>$G$6</f>
        <v>2017</v>
      </c>
      <c r="H159" s="517"/>
      <c r="I159" s="517"/>
      <c r="J159" s="517"/>
      <c r="K159" s="380"/>
      <c r="L159" s="517">
        <f>$L$6</f>
        <v>2027</v>
      </c>
      <c r="M159" s="517"/>
      <c r="N159" s="517"/>
      <c r="O159" s="517"/>
    </row>
    <row r="160" spans="1:15" s="351" customFormat="1" x14ac:dyDescent="0.25">
      <c r="A160" s="370"/>
      <c r="B160" s="388" t="str">
        <f>$B$7</f>
        <v>FT</v>
      </c>
      <c r="C160" s="388" t="str">
        <f>$C$7</f>
        <v>PT</v>
      </c>
      <c r="D160" s="388" t="str">
        <f>$D$7</f>
        <v>SE</v>
      </c>
      <c r="E160" s="388" t="str">
        <f>$E$7</f>
        <v>Total</v>
      </c>
      <c r="F160" s="388"/>
      <c r="G160" s="388" t="str">
        <f>$G$7</f>
        <v>FT</v>
      </c>
      <c r="H160" s="388" t="str">
        <f>$H$7</f>
        <v>PT</v>
      </c>
      <c r="I160" s="388" t="str">
        <f>$I$7</f>
        <v>SE</v>
      </c>
      <c r="J160" s="388" t="str">
        <f>$J$7</f>
        <v>Total</v>
      </c>
      <c r="K160" s="388"/>
      <c r="L160" s="388" t="str">
        <f>$L$7</f>
        <v>FT</v>
      </c>
      <c r="M160" s="388" t="str">
        <f>$M$7</f>
        <v>PT</v>
      </c>
      <c r="N160" s="388" t="str">
        <f>$N$7</f>
        <v>SE</v>
      </c>
      <c r="O160" s="388" t="str">
        <f>$O$7</f>
        <v>Total</v>
      </c>
    </row>
    <row r="161" spans="1:15" s="351" customFormat="1" x14ac:dyDescent="0.25">
      <c r="A161" s="374"/>
      <c r="B161" s="350"/>
      <c r="C161" s="350"/>
      <c r="D161" s="350"/>
      <c r="E161" s="350"/>
      <c r="F161" s="350"/>
      <c r="G161" s="350"/>
      <c r="H161" s="350"/>
      <c r="I161" s="350"/>
      <c r="J161" s="350"/>
      <c r="K161" s="350"/>
      <c r="L161" s="350"/>
      <c r="M161" s="350"/>
      <c r="N161" s="350"/>
      <c r="O161" s="350"/>
    </row>
    <row r="162" spans="1:15" s="351" customFormat="1" x14ac:dyDescent="0.25">
      <c r="A162" s="362" t="str">
        <f>name!E$4</f>
        <v>Managers, directors and senior officials</v>
      </c>
      <c r="B162" s="440">
        <v>17.949112680103504</v>
      </c>
      <c r="C162" s="440">
        <v>1.2429855522320681</v>
      </c>
      <c r="D162" s="440">
        <v>3.7258845786303691</v>
      </c>
      <c r="E162" s="440">
        <f>SUM(B162:D162)</f>
        <v>22.917982810965938</v>
      </c>
      <c r="F162" s="441"/>
      <c r="G162" s="440">
        <v>17.865092767521709</v>
      </c>
      <c r="H162" s="440">
        <v>0.66290290196137225</v>
      </c>
      <c r="I162" s="440">
        <v>2.532527782600154</v>
      </c>
      <c r="J162" s="440">
        <f>SUM(G162:I162)</f>
        <v>21.060523452083238</v>
      </c>
      <c r="K162" s="441"/>
      <c r="L162" s="440">
        <v>17.302300093331986</v>
      </c>
      <c r="M162" s="440">
        <v>0.85553976737312176</v>
      </c>
      <c r="N162" s="440">
        <v>2.3889140426535058</v>
      </c>
      <c r="O162" s="440">
        <f>SUM(L162:N162)</f>
        <v>20.546753903358617</v>
      </c>
    </row>
    <row r="163" spans="1:15" s="351" customFormat="1" x14ac:dyDescent="0.25">
      <c r="A163" s="362" t="str">
        <f>name!E$5</f>
        <v>Professional occupations</v>
      </c>
      <c r="B163" s="440">
        <v>16.679370036345819</v>
      </c>
      <c r="C163" s="440">
        <v>1.0123486693183246</v>
      </c>
      <c r="D163" s="440">
        <v>1.1729604985792512</v>
      </c>
      <c r="E163" s="440">
        <f t="shared" ref="E163:E170" si="84">SUM(B163:D163)</f>
        <v>18.864679204243394</v>
      </c>
      <c r="F163" s="441"/>
      <c r="G163" s="440">
        <v>12.278730018329924</v>
      </c>
      <c r="H163" s="440">
        <v>0.70044721402862098</v>
      </c>
      <c r="I163" s="440">
        <v>0.80528039917234562</v>
      </c>
      <c r="J163" s="440">
        <f t="shared" ref="J163:J165" si="85">SUM(G163:I163)</f>
        <v>13.784457631530891</v>
      </c>
      <c r="K163" s="441"/>
      <c r="L163" s="440">
        <v>11.731828716687559</v>
      </c>
      <c r="M163" s="440">
        <v>0.84437623551088792</v>
      </c>
      <c r="N163" s="440">
        <v>0.7392143757873052</v>
      </c>
      <c r="O163" s="440">
        <f t="shared" ref="O163:O170" si="86">SUM(L163:N163)</f>
        <v>13.315419327985753</v>
      </c>
    </row>
    <row r="164" spans="1:15" s="351" customFormat="1" x14ac:dyDescent="0.25">
      <c r="A164" s="362" t="str">
        <f>name!E$6</f>
        <v>Associate professional and technical</v>
      </c>
      <c r="B164" s="440">
        <v>35.674714725111095</v>
      </c>
      <c r="C164" s="440">
        <v>4.4408108014661787</v>
      </c>
      <c r="D164" s="440">
        <v>5.856583056188283</v>
      </c>
      <c r="E164" s="440">
        <f t="shared" si="84"/>
        <v>45.972108582765557</v>
      </c>
      <c r="F164" s="441"/>
      <c r="G164" s="440">
        <v>21.571696621396782</v>
      </c>
      <c r="H164" s="440">
        <v>2.5673331053329731</v>
      </c>
      <c r="I164" s="440">
        <v>3.1752656157034882</v>
      </c>
      <c r="J164" s="440">
        <f t="shared" si="85"/>
        <v>27.314295342433244</v>
      </c>
      <c r="K164" s="441"/>
      <c r="L164" s="440">
        <v>20.238437099240528</v>
      </c>
      <c r="M164" s="440">
        <v>2.9430422238585954</v>
      </c>
      <c r="N164" s="440">
        <v>2.8473708002339495</v>
      </c>
      <c r="O164" s="440">
        <f t="shared" si="86"/>
        <v>26.028850123333072</v>
      </c>
    </row>
    <row r="165" spans="1:15" s="351" customFormat="1" x14ac:dyDescent="0.25">
      <c r="A165" s="362" t="str">
        <f>name!E$7</f>
        <v>Administrative and secretarial</v>
      </c>
      <c r="B165" s="440">
        <v>13.935272762581407</v>
      </c>
      <c r="C165" s="440">
        <v>5.4286480874351142</v>
      </c>
      <c r="D165" s="440">
        <v>0.4752065854814651</v>
      </c>
      <c r="E165" s="440">
        <f t="shared" si="84"/>
        <v>19.839127435497986</v>
      </c>
      <c r="F165" s="441"/>
      <c r="G165" s="440">
        <v>7.0271898105601416</v>
      </c>
      <c r="H165" s="440">
        <v>3.0368121924166269</v>
      </c>
      <c r="I165" s="440">
        <v>0.22938005715252929</v>
      </c>
      <c r="J165" s="440">
        <f t="shared" si="85"/>
        <v>10.293382060129296</v>
      </c>
      <c r="K165" s="441"/>
      <c r="L165" s="440">
        <v>5.3195143600519152</v>
      </c>
      <c r="M165" s="440">
        <v>2.3667361600408001</v>
      </c>
      <c r="N165" s="440">
        <v>0.1522056119533314</v>
      </c>
      <c r="O165" s="440">
        <f t="shared" si="86"/>
        <v>7.838456132046046</v>
      </c>
    </row>
    <row r="166" spans="1:15" s="351" customFormat="1" x14ac:dyDescent="0.25">
      <c r="A166" s="362" t="str">
        <f>name!E$8</f>
        <v>Skilled trades occupations</v>
      </c>
      <c r="B166" s="440">
        <v>33.007522764168314</v>
      </c>
      <c r="C166" s="440">
        <v>1.8254829500879373</v>
      </c>
      <c r="D166" s="440">
        <v>2.086963147082149</v>
      </c>
      <c r="E166" s="440">
        <f t="shared" si="84"/>
        <v>36.919968861338404</v>
      </c>
      <c r="F166" s="441"/>
      <c r="G166" s="440">
        <v>18.479712064098226</v>
      </c>
      <c r="H166" s="440">
        <v>0.50383905608099722</v>
      </c>
      <c r="I166" s="440">
        <v>1.4608360427610336</v>
      </c>
      <c r="J166" s="440">
        <f>SUM(G166:I166)</f>
        <v>20.444387162940259</v>
      </c>
      <c r="K166" s="441"/>
      <c r="L166" s="440">
        <v>12.347424094419017</v>
      </c>
      <c r="M166" s="440">
        <v>0.44647546039981889</v>
      </c>
      <c r="N166" s="440">
        <v>1.0647342705219176</v>
      </c>
      <c r="O166" s="440">
        <f t="shared" si="86"/>
        <v>13.858633825340753</v>
      </c>
    </row>
    <row r="167" spans="1:15" s="351" customFormat="1" x14ac:dyDescent="0.25">
      <c r="A167" s="362" t="str">
        <f>name!E$9</f>
        <v>Caring, leisure and other service</v>
      </c>
      <c r="B167" s="440">
        <v>0.38173846004941331</v>
      </c>
      <c r="C167" s="440">
        <v>0.27083806838082453</v>
      </c>
      <c r="D167" s="440">
        <v>0.17961937908361608</v>
      </c>
      <c r="E167" s="440">
        <f t="shared" si="84"/>
        <v>0.83219590751385386</v>
      </c>
      <c r="F167" s="441"/>
      <c r="G167" s="440">
        <v>0.31166119280765264</v>
      </c>
      <c r="H167" s="440">
        <v>0.14266716113465969</v>
      </c>
      <c r="I167" s="440">
        <v>7.4675960463482086E-2</v>
      </c>
      <c r="J167" s="440">
        <f t="shared" ref="J167:J170" si="87">SUM(G167:I167)</f>
        <v>0.52900431440579443</v>
      </c>
      <c r="K167" s="441"/>
      <c r="L167" s="440">
        <v>0.31931192519114787</v>
      </c>
      <c r="M167" s="440">
        <v>0.15941440437010695</v>
      </c>
      <c r="N167" s="440">
        <v>7.3281109873896383E-2</v>
      </c>
      <c r="O167" s="440">
        <f t="shared" si="86"/>
        <v>0.55200743943515118</v>
      </c>
    </row>
    <row r="168" spans="1:15" s="351" customFormat="1" x14ac:dyDescent="0.25">
      <c r="A168" s="362" t="str">
        <f>name!E$10</f>
        <v>Sales and customer service</v>
      </c>
      <c r="B168" s="440">
        <v>5.0082844304403604</v>
      </c>
      <c r="C168" s="440">
        <v>1.8924461024221673</v>
      </c>
      <c r="D168" s="440">
        <v>0.3230487348957008</v>
      </c>
      <c r="E168" s="440">
        <f t="shared" si="84"/>
        <v>7.2237792677582284</v>
      </c>
      <c r="F168" s="441"/>
      <c r="G168" s="440">
        <v>4.7806984042971381</v>
      </c>
      <c r="H168" s="440">
        <v>1.0151745393379226</v>
      </c>
      <c r="I168" s="440">
        <v>0.1391560588434218</v>
      </c>
      <c r="J168" s="440">
        <f t="shared" si="87"/>
        <v>5.9350290024784824</v>
      </c>
      <c r="K168" s="441"/>
      <c r="L168" s="440">
        <v>4.047866256071571</v>
      </c>
      <c r="M168" s="440">
        <v>0.97587754302692575</v>
      </c>
      <c r="N168" s="440">
        <v>0.11139779262707805</v>
      </c>
      <c r="O168" s="440">
        <f t="shared" si="86"/>
        <v>5.1351415917255752</v>
      </c>
    </row>
    <row r="169" spans="1:15" s="351" customFormat="1" x14ac:dyDescent="0.25">
      <c r="A169" s="362" t="str">
        <f>name!E$11</f>
        <v>Process, plant and machine operatives</v>
      </c>
      <c r="B169" s="440">
        <v>9.6128729223686751</v>
      </c>
      <c r="C169" s="440">
        <v>1.1252358886998413</v>
      </c>
      <c r="D169" s="440">
        <v>0.24980425273459855</v>
      </c>
      <c r="E169" s="440">
        <f t="shared" si="84"/>
        <v>10.987913063803115</v>
      </c>
      <c r="F169" s="441"/>
      <c r="G169" s="440">
        <v>5.6586510708047681</v>
      </c>
      <c r="H169" s="440">
        <v>0.57321552573025014</v>
      </c>
      <c r="I169" s="440">
        <v>0.21922434590464973</v>
      </c>
      <c r="J169" s="440">
        <f t="shared" si="87"/>
        <v>6.4510909424396674</v>
      </c>
      <c r="K169" s="441"/>
      <c r="L169" s="440">
        <v>4.5278840740521629</v>
      </c>
      <c r="M169" s="440">
        <v>0.64695313587251535</v>
      </c>
      <c r="N169" s="440">
        <v>0.1836636941977382</v>
      </c>
      <c r="O169" s="440">
        <f t="shared" si="86"/>
        <v>5.3585009041224172</v>
      </c>
    </row>
    <row r="170" spans="1:15" s="351" customFormat="1" x14ac:dyDescent="0.25">
      <c r="A170" s="362" t="str">
        <f>name!E$12</f>
        <v>Elementary occupations</v>
      </c>
      <c r="B170" s="440">
        <v>10.426111218322378</v>
      </c>
      <c r="C170" s="440">
        <v>5.0272038799655894</v>
      </c>
      <c r="D170" s="440">
        <v>0.32192976727558154</v>
      </c>
      <c r="E170" s="440">
        <f t="shared" si="84"/>
        <v>15.775244865563547</v>
      </c>
      <c r="F170" s="441"/>
      <c r="G170" s="440">
        <v>8.071568049619458</v>
      </c>
      <c r="H170" s="440">
        <v>2.7596083040505617</v>
      </c>
      <c r="I170" s="440">
        <v>0.31865373731005076</v>
      </c>
      <c r="J170" s="440">
        <f t="shared" si="87"/>
        <v>11.149830090980071</v>
      </c>
      <c r="K170" s="441"/>
      <c r="L170" s="440">
        <v>6.5244333805639032</v>
      </c>
      <c r="M170" s="440">
        <v>2.9985850696009528</v>
      </c>
      <c r="N170" s="440">
        <v>0.3212183020543653</v>
      </c>
      <c r="O170" s="440">
        <f t="shared" si="86"/>
        <v>9.8442367522192207</v>
      </c>
    </row>
    <row r="171" spans="1:15" s="351" customFormat="1" x14ac:dyDescent="0.25">
      <c r="A171" s="362"/>
      <c r="B171" s="440"/>
      <c r="C171" s="440"/>
      <c r="D171" s="440"/>
      <c r="E171" s="440"/>
      <c r="F171" s="441"/>
      <c r="G171" s="440"/>
      <c r="H171" s="440"/>
      <c r="I171" s="440"/>
      <c r="J171" s="440"/>
      <c r="K171" s="441"/>
      <c r="L171" s="440"/>
      <c r="M171" s="440"/>
      <c r="N171" s="440"/>
      <c r="O171" s="440"/>
    </row>
    <row r="172" spans="1:15" s="351" customFormat="1" x14ac:dyDescent="0.25">
      <c r="A172" s="357" t="s">
        <v>32</v>
      </c>
      <c r="B172" s="450">
        <f>SUM(B162:B170)</f>
        <v>142.67499999949098</v>
      </c>
      <c r="C172" s="450">
        <f t="shared" ref="C172:E172" si="88">SUM(C162:C170)</f>
        <v>22.266000000008045</v>
      </c>
      <c r="D172" s="450">
        <f t="shared" si="88"/>
        <v>14.391999999951015</v>
      </c>
      <c r="E172" s="450">
        <f t="shared" si="88"/>
        <v>179.33299999945004</v>
      </c>
      <c r="F172" s="450"/>
      <c r="G172" s="450">
        <f t="shared" ref="G172:J172" si="89">SUM(G162:G170)</f>
        <v>96.044999999435788</v>
      </c>
      <c r="H172" s="450">
        <f t="shared" si="89"/>
        <v>11.962000000073985</v>
      </c>
      <c r="I172" s="450">
        <f t="shared" si="89"/>
        <v>8.9549999999111556</v>
      </c>
      <c r="J172" s="450">
        <f t="shared" si="89"/>
        <v>116.96199999942094</v>
      </c>
      <c r="K172" s="450"/>
      <c r="L172" s="450">
        <f t="shared" ref="L172:O172" si="90">SUM(L162:L170)</f>
        <v>82.358999999609793</v>
      </c>
      <c r="M172" s="450">
        <f t="shared" si="90"/>
        <v>12.237000000053724</v>
      </c>
      <c r="N172" s="450">
        <f t="shared" si="90"/>
        <v>7.8819999999030879</v>
      </c>
      <c r="O172" s="450">
        <f t="shared" si="90"/>
        <v>102.47799999956662</v>
      </c>
    </row>
    <row r="173" spans="1:15" s="351" customFormat="1" x14ac:dyDescent="0.25">
      <c r="A173" s="348"/>
      <c r="B173" s="348"/>
      <c r="C173" s="348"/>
      <c r="D173" s="348"/>
      <c r="E173" s="348"/>
      <c r="F173" s="348"/>
      <c r="G173" s="348"/>
      <c r="H173" s="348"/>
      <c r="I173" s="348"/>
      <c r="J173" s="348"/>
      <c r="K173" s="348"/>
      <c r="L173" s="348"/>
      <c r="M173" s="348"/>
      <c r="N173" s="353"/>
    </row>
    <row r="174" spans="1:15" s="351" customFormat="1" x14ac:dyDescent="0.25">
      <c r="A174" s="348"/>
      <c r="B174" s="348"/>
      <c r="C174" s="348"/>
      <c r="D174" s="348"/>
      <c r="E174" s="348"/>
      <c r="F174" s="348"/>
      <c r="G174" s="348"/>
      <c r="H174" s="348"/>
      <c r="I174" s="348"/>
      <c r="J174" s="348"/>
      <c r="K174" s="348"/>
      <c r="L174" s="348"/>
      <c r="M174" s="348"/>
      <c r="N174" s="353"/>
      <c r="O174" s="367" t="s">
        <v>35</v>
      </c>
    </row>
    <row r="175" spans="1:15" s="351" customFormat="1" x14ac:dyDescent="0.25">
      <c r="A175" s="355"/>
      <c r="B175" s="355"/>
      <c r="C175" s="355"/>
      <c r="D175" s="355"/>
      <c r="E175" s="355"/>
      <c r="F175" s="355"/>
      <c r="G175" s="355"/>
      <c r="H175" s="355"/>
      <c r="I175" s="355"/>
      <c r="J175" s="355"/>
      <c r="K175" s="355"/>
      <c r="L175" s="355"/>
      <c r="M175" s="355"/>
      <c r="N175" s="355"/>
      <c r="O175" s="355"/>
    </row>
    <row r="176" spans="1:15" s="351" customFormat="1" x14ac:dyDescent="0.25">
      <c r="A176" s="354" t="str">
        <f>name!A13</f>
        <v>Coke and petroleum; Chemicals, etc</v>
      </c>
      <c r="B176" s="517">
        <f>$B$6</f>
        <v>2007</v>
      </c>
      <c r="C176" s="517"/>
      <c r="D176" s="517"/>
      <c r="E176" s="517"/>
      <c r="F176" s="380"/>
      <c r="G176" s="517">
        <f>$G$6</f>
        <v>2017</v>
      </c>
      <c r="H176" s="517"/>
      <c r="I176" s="517"/>
      <c r="J176" s="517"/>
      <c r="K176" s="380"/>
      <c r="L176" s="517">
        <f>$L$6</f>
        <v>2027</v>
      </c>
      <c r="M176" s="517"/>
      <c r="N176" s="517"/>
      <c r="O176" s="517"/>
    </row>
    <row r="177" spans="1:15" s="351" customFormat="1" x14ac:dyDescent="0.25">
      <c r="A177" s="370"/>
      <c r="B177" s="388" t="str">
        <f>$B$7</f>
        <v>FT</v>
      </c>
      <c r="C177" s="388" t="str">
        <f>$C$7</f>
        <v>PT</v>
      </c>
      <c r="D177" s="388" t="str">
        <f>$D$7</f>
        <v>SE</v>
      </c>
      <c r="E177" s="388" t="str">
        <f>$E$7</f>
        <v>Total</v>
      </c>
      <c r="F177" s="388"/>
      <c r="G177" s="388" t="str">
        <f>$G$7</f>
        <v>FT</v>
      </c>
      <c r="H177" s="388" t="str">
        <f>$H$7</f>
        <v>PT</v>
      </c>
      <c r="I177" s="388" t="str">
        <f>$I$7</f>
        <v>SE</v>
      </c>
      <c r="J177" s="388" t="str">
        <f>$J$7</f>
        <v>Total</v>
      </c>
      <c r="K177" s="388"/>
      <c r="L177" s="388" t="str">
        <f>$L$7</f>
        <v>FT</v>
      </c>
      <c r="M177" s="388" t="str">
        <f>$M$7</f>
        <v>PT</v>
      </c>
      <c r="N177" s="388" t="str">
        <f>$N$7</f>
        <v>SE</v>
      </c>
      <c r="O177" s="388" t="str">
        <f>$O$7</f>
        <v>Total</v>
      </c>
    </row>
    <row r="178" spans="1:15" s="351" customFormat="1" x14ac:dyDescent="0.25">
      <c r="A178" s="374"/>
      <c r="B178" s="350"/>
      <c r="C178" s="350"/>
      <c r="D178" s="350"/>
      <c r="E178" s="350"/>
      <c r="F178" s="350"/>
      <c r="G178" s="350"/>
      <c r="H178" s="350"/>
      <c r="I178" s="350"/>
      <c r="J178" s="350"/>
      <c r="K178" s="350"/>
      <c r="L178" s="350"/>
      <c r="M178" s="350"/>
      <c r="N178" s="350"/>
      <c r="O178" s="350"/>
    </row>
    <row r="179" spans="1:15" s="351" customFormat="1" x14ac:dyDescent="0.25">
      <c r="A179" s="362" t="str">
        <f>name!E$4</f>
        <v>Managers, directors and senior officials</v>
      </c>
      <c r="B179" s="440">
        <v>14.922981844411339</v>
      </c>
      <c r="C179" s="440">
        <v>0.4494941606979676</v>
      </c>
      <c r="D179" s="440">
        <v>0.63686216636194604</v>
      </c>
      <c r="E179" s="440">
        <f>SUM(B179:D179)</f>
        <v>16.009338171471253</v>
      </c>
      <c r="F179" s="441"/>
      <c r="G179" s="440">
        <v>13.766264712580785</v>
      </c>
      <c r="H179" s="440">
        <v>0.45857262339107568</v>
      </c>
      <c r="I179" s="440">
        <v>0.45147003083989778</v>
      </c>
      <c r="J179" s="440">
        <f>SUM(G179:I179)</f>
        <v>14.676307366811759</v>
      </c>
      <c r="K179" s="441"/>
      <c r="L179" s="440">
        <v>13.362485120024045</v>
      </c>
      <c r="M179" s="440">
        <v>0.82016738883559948</v>
      </c>
      <c r="N179" s="440">
        <v>0.29032365521136833</v>
      </c>
      <c r="O179" s="440">
        <f>SUM(L179:N179)</f>
        <v>14.472976164071014</v>
      </c>
    </row>
    <row r="180" spans="1:15" s="351" customFormat="1" x14ac:dyDescent="0.25">
      <c r="A180" s="362" t="str">
        <f>name!E$5</f>
        <v>Professional occupations</v>
      </c>
      <c r="B180" s="440">
        <v>21.227749032990818</v>
      </c>
      <c r="C180" s="440">
        <v>0.44728635793922034</v>
      </c>
      <c r="D180" s="440">
        <v>0.64305096279216634</v>
      </c>
      <c r="E180" s="440">
        <f t="shared" ref="E180:E187" si="91">SUM(B180:D180)</f>
        <v>22.318086353722205</v>
      </c>
      <c r="F180" s="441"/>
      <c r="G180" s="440">
        <v>23.327506217040806</v>
      </c>
      <c r="H180" s="440">
        <v>0.58631907197159383</v>
      </c>
      <c r="I180" s="440">
        <v>0.63740683686824162</v>
      </c>
      <c r="J180" s="440">
        <f t="shared" ref="J180:J182" si="92">SUM(G180:I180)</f>
        <v>24.551232125880642</v>
      </c>
      <c r="K180" s="441"/>
      <c r="L180" s="440">
        <v>21.787926583446829</v>
      </c>
      <c r="M180" s="440">
        <v>1.0026744111696391</v>
      </c>
      <c r="N180" s="440">
        <v>0.28308722358400634</v>
      </c>
      <c r="O180" s="440">
        <f t="shared" ref="O180:O187" si="93">SUM(L180:N180)</f>
        <v>23.073688218200473</v>
      </c>
    </row>
    <row r="181" spans="1:15" s="351" customFormat="1" x14ac:dyDescent="0.25">
      <c r="A181" s="362" t="str">
        <f>name!E$6</f>
        <v>Associate professional and technical</v>
      </c>
      <c r="B181" s="440">
        <v>22.596911821714187</v>
      </c>
      <c r="C181" s="440">
        <v>0.73122073716113301</v>
      </c>
      <c r="D181" s="440">
        <v>0.55109511207067097</v>
      </c>
      <c r="E181" s="440">
        <f t="shared" si="91"/>
        <v>23.879227670945991</v>
      </c>
      <c r="F181" s="441"/>
      <c r="G181" s="440">
        <v>16.196171222261963</v>
      </c>
      <c r="H181" s="440">
        <v>0.75176412160575568</v>
      </c>
      <c r="I181" s="440">
        <v>0.48059799432969114</v>
      </c>
      <c r="J181" s="440">
        <f t="shared" si="92"/>
        <v>17.428533338197411</v>
      </c>
      <c r="K181" s="441"/>
      <c r="L181" s="440">
        <v>14.675532157555853</v>
      </c>
      <c r="M181" s="440">
        <v>1.2128028463169431</v>
      </c>
      <c r="N181" s="440">
        <v>0.25133846010472194</v>
      </c>
      <c r="O181" s="440">
        <f t="shared" si="93"/>
        <v>16.13967346397752</v>
      </c>
    </row>
    <row r="182" spans="1:15" s="351" customFormat="1" x14ac:dyDescent="0.25">
      <c r="A182" s="362" t="str">
        <f>name!E$7</f>
        <v>Administrative and secretarial</v>
      </c>
      <c r="B182" s="440">
        <v>9.5424402877370671</v>
      </c>
      <c r="C182" s="440">
        <v>1.7734720385624492</v>
      </c>
      <c r="D182" s="440">
        <v>0.51178592234536191</v>
      </c>
      <c r="E182" s="440">
        <f t="shared" si="91"/>
        <v>11.827698248644879</v>
      </c>
      <c r="F182" s="441"/>
      <c r="G182" s="440">
        <v>7.7415416401947335</v>
      </c>
      <c r="H182" s="440">
        <v>1.1927261156738278</v>
      </c>
      <c r="I182" s="440">
        <v>0.11580708085683193</v>
      </c>
      <c r="J182" s="440">
        <f t="shared" si="92"/>
        <v>9.0500748367253934</v>
      </c>
      <c r="K182" s="441"/>
      <c r="L182" s="440">
        <v>6.0416791357305657</v>
      </c>
      <c r="M182" s="440">
        <v>1.3964388839436939</v>
      </c>
      <c r="N182" s="440">
        <v>6.262737268430793E-2</v>
      </c>
      <c r="O182" s="440">
        <f t="shared" si="93"/>
        <v>7.5007453923585681</v>
      </c>
    </row>
    <row r="183" spans="1:15" s="351" customFormat="1" x14ac:dyDescent="0.25">
      <c r="A183" s="362" t="str">
        <f>name!E$8</f>
        <v>Skilled trades occupations</v>
      </c>
      <c r="B183" s="440">
        <v>14.27101698296218</v>
      </c>
      <c r="C183" s="440">
        <v>0.40530313018203196</v>
      </c>
      <c r="D183" s="440">
        <v>0.62252891586250425</v>
      </c>
      <c r="E183" s="440">
        <f t="shared" si="91"/>
        <v>15.298849029006718</v>
      </c>
      <c r="F183" s="441"/>
      <c r="G183" s="440">
        <v>5.6623595598570988</v>
      </c>
      <c r="H183" s="440">
        <v>0.42563026312250352</v>
      </c>
      <c r="I183" s="440">
        <v>0.39201005741978617</v>
      </c>
      <c r="J183" s="440">
        <f>SUM(G183:I183)</f>
        <v>6.4799998803993883</v>
      </c>
      <c r="K183" s="441"/>
      <c r="L183" s="440">
        <v>4.171554731716439</v>
      </c>
      <c r="M183" s="440">
        <v>0.5831662626832117</v>
      </c>
      <c r="N183" s="440">
        <v>0.1708383330510905</v>
      </c>
      <c r="O183" s="440">
        <f t="shared" si="93"/>
        <v>4.925559327450741</v>
      </c>
    </row>
    <row r="184" spans="1:15" s="351" customFormat="1" x14ac:dyDescent="0.25">
      <c r="A184" s="362" t="str">
        <f>name!E$9</f>
        <v>Caring, leisure and other service</v>
      </c>
      <c r="B184" s="440">
        <v>1.3493761998798914</v>
      </c>
      <c r="C184" s="440">
        <v>0.18602603881790322</v>
      </c>
      <c r="D184" s="440">
        <v>0.17233558823461567</v>
      </c>
      <c r="E184" s="440">
        <f t="shared" si="91"/>
        <v>1.7077378269324102</v>
      </c>
      <c r="F184" s="441"/>
      <c r="G184" s="440">
        <v>0.90896218179909183</v>
      </c>
      <c r="H184" s="440">
        <v>0.17862602396782132</v>
      </c>
      <c r="I184" s="440">
        <v>0.26622035813896266</v>
      </c>
      <c r="J184" s="440">
        <f t="shared" ref="J184:J187" si="94">SUM(G184:I184)</f>
        <v>1.3538085639058757</v>
      </c>
      <c r="K184" s="441"/>
      <c r="L184" s="440">
        <v>0.80153781127154977</v>
      </c>
      <c r="M184" s="440">
        <v>0.29316824654074974</v>
      </c>
      <c r="N184" s="440">
        <v>0.25939523347264354</v>
      </c>
      <c r="O184" s="440">
        <f t="shared" si="93"/>
        <v>1.3541012912849431</v>
      </c>
    </row>
    <row r="185" spans="1:15" s="351" customFormat="1" x14ac:dyDescent="0.25">
      <c r="A185" s="362" t="str">
        <f>name!E$10</f>
        <v>Sales and customer service</v>
      </c>
      <c r="B185" s="440">
        <v>3.7840560434821446</v>
      </c>
      <c r="C185" s="440">
        <v>0.94472649362131844</v>
      </c>
      <c r="D185" s="440">
        <v>0.21889626109912561</v>
      </c>
      <c r="E185" s="440">
        <f t="shared" si="91"/>
        <v>4.9476787982025883</v>
      </c>
      <c r="F185" s="441"/>
      <c r="G185" s="440">
        <v>3.1131452813383138</v>
      </c>
      <c r="H185" s="440">
        <v>0.78394800606391868</v>
      </c>
      <c r="I185" s="440">
        <v>8.5229044238434942E-2</v>
      </c>
      <c r="J185" s="440">
        <f t="shared" si="94"/>
        <v>3.9823223316406677</v>
      </c>
      <c r="K185" s="441"/>
      <c r="L185" s="440">
        <v>2.5571775986731784</v>
      </c>
      <c r="M185" s="440">
        <v>1.0841551021343119</v>
      </c>
      <c r="N185" s="440">
        <v>5.702686955673518E-2</v>
      </c>
      <c r="O185" s="440">
        <f t="shared" si="93"/>
        <v>3.6983595703642256</v>
      </c>
    </row>
    <row r="186" spans="1:15" s="351" customFormat="1" x14ac:dyDescent="0.25">
      <c r="A186" s="362" t="str">
        <f>name!E$11</f>
        <v>Process, plant and machine operatives</v>
      </c>
      <c r="B186" s="440">
        <v>32.127933252694248</v>
      </c>
      <c r="C186" s="440">
        <v>1.1637907354365</v>
      </c>
      <c r="D186" s="440">
        <v>0.25145983861377114</v>
      </c>
      <c r="E186" s="440">
        <f t="shared" si="91"/>
        <v>33.543183826744517</v>
      </c>
      <c r="F186" s="441"/>
      <c r="G186" s="440">
        <v>19.892843766495456</v>
      </c>
      <c r="H186" s="440">
        <v>1.1896495568334695</v>
      </c>
      <c r="I186" s="440">
        <v>0.22705235832345011</v>
      </c>
      <c r="J186" s="440">
        <f t="shared" si="94"/>
        <v>21.309545681652377</v>
      </c>
      <c r="K186" s="441"/>
      <c r="L186" s="440">
        <v>14.106517124638636</v>
      </c>
      <c r="M186" s="440">
        <v>1.3455491973197118</v>
      </c>
      <c r="N186" s="440">
        <v>0.1069502024098742</v>
      </c>
      <c r="O186" s="440">
        <f t="shared" si="93"/>
        <v>15.559016524368223</v>
      </c>
    </row>
    <row r="187" spans="1:15" s="351" customFormat="1" x14ac:dyDescent="0.25">
      <c r="A187" s="362" t="str">
        <f>name!E$12</f>
        <v>Elementary occupations</v>
      </c>
      <c r="B187" s="440">
        <v>7.3925345335994939</v>
      </c>
      <c r="C187" s="440">
        <v>1.6326803075962193</v>
      </c>
      <c r="D187" s="440">
        <v>0.22898523261568265</v>
      </c>
      <c r="E187" s="440">
        <f t="shared" si="91"/>
        <v>9.2542000738113952</v>
      </c>
      <c r="F187" s="441"/>
      <c r="G187" s="440">
        <v>5.6012054179712703</v>
      </c>
      <c r="H187" s="440">
        <v>1.2267642174329774</v>
      </c>
      <c r="I187" s="440">
        <v>0.32820623897126627</v>
      </c>
      <c r="J187" s="440">
        <f t="shared" si="94"/>
        <v>7.1561758743755144</v>
      </c>
      <c r="K187" s="441"/>
      <c r="L187" s="440">
        <v>4.2665897367698795</v>
      </c>
      <c r="M187" s="440">
        <v>1.8698776610976895</v>
      </c>
      <c r="N187" s="440">
        <v>0.25941264992656443</v>
      </c>
      <c r="O187" s="440">
        <f t="shared" si="93"/>
        <v>6.3958800477941331</v>
      </c>
    </row>
    <row r="188" spans="1:15" s="351" customFormat="1" x14ac:dyDescent="0.25">
      <c r="A188" s="362"/>
      <c r="B188" s="440"/>
      <c r="C188" s="440"/>
      <c r="D188" s="440"/>
      <c r="E188" s="440"/>
      <c r="F188" s="441"/>
      <c r="G188" s="440"/>
      <c r="H188" s="440"/>
      <c r="I188" s="440"/>
      <c r="J188" s="440"/>
      <c r="K188" s="441"/>
      <c r="L188" s="440"/>
      <c r="M188" s="440"/>
      <c r="N188" s="440"/>
      <c r="O188" s="440"/>
    </row>
    <row r="189" spans="1:15" s="351" customFormat="1" x14ac:dyDescent="0.25">
      <c r="A189" s="357" t="s">
        <v>32</v>
      </c>
      <c r="B189" s="450">
        <f>SUM(B179:B187)</f>
        <v>127.21499999947135</v>
      </c>
      <c r="C189" s="450">
        <f t="shared" ref="C189:E189" si="95">SUM(C179:C187)</f>
        <v>7.7340000000147429</v>
      </c>
      <c r="D189" s="450">
        <f t="shared" si="95"/>
        <v>3.836999999995844</v>
      </c>
      <c r="E189" s="450">
        <f t="shared" si="95"/>
        <v>138.78599999948196</v>
      </c>
      <c r="F189" s="450"/>
      <c r="G189" s="450">
        <f t="shared" ref="G189:J189" si="96">SUM(G179:G187)</f>
        <v>96.209999999539534</v>
      </c>
      <c r="H189" s="450">
        <f t="shared" si="96"/>
        <v>6.794000000062943</v>
      </c>
      <c r="I189" s="450">
        <f t="shared" si="96"/>
        <v>2.9839999999865627</v>
      </c>
      <c r="J189" s="450">
        <f t="shared" si="96"/>
        <v>105.98799999958904</v>
      </c>
      <c r="K189" s="450"/>
      <c r="L189" s="450">
        <f t="shared" ref="L189:O189" si="97">SUM(L179:L187)</f>
        <v>81.770999999826984</v>
      </c>
      <c r="M189" s="450">
        <f t="shared" si="97"/>
        <v>9.6080000000415495</v>
      </c>
      <c r="N189" s="450">
        <f t="shared" si="97"/>
        <v>1.7410000000013124</v>
      </c>
      <c r="O189" s="450">
        <f t="shared" si="97"/>
        <v>93.119999999869847</v>
      </c>
    </row>
    <row r="190" spans="1:15" s="351" customFormat="1" x14ac:dyDescent="0.25">
      <c r="A190" s="348"/>
      <c r="B190" s="348"/>
      <c r="C190" s="348"/>
      <c r="D190" s="348"/>
      <c r="E190" s="348"/>
      <c r="F190" s="348"/>
      <c r="G190" s="348"/>
      <c r="H190" s="348"/>
      <c r="I190" s="348"/>
      <c r="J190" s="348"/>
      <c r="K190" s="348"/>
      <c r="L190" s="348"/>
      <c r="M190" s="348"/>
      <c r="N190" s="353"/>
    </row>
    <row r="191" spans="1:15" s="351" customFormat="1" x14ac:dyDescent="0.25">
      <c r="A191" s="348"/>
      <c r="B191" s="348"/>
      <c r="C191" s="348"/>
      <c r="D191" s="348"/>
      <c r="E191" s="348"/>
      <c r="F191" s="348"/>
      <c r="G191" s="348"/>
      <c r="H191" s="348"/>
      <c r="I191" s="348"/>
      <c r="J191" s="348"/>
      <c r="K191" s="348"/>
      <c r="L191" s="348"/>
      <c r="M191" s="348"/>
      <c r="N191" s="353"/>
      <c r="O191" s="367" t="s">
        <v>35</v>
      </c>
    </row>
    <row r="192" spans="1:15" s="351" customFormat="1" x14ac:dyDescent="0.25">
      <c r="A192" s="355"/>
      <c r="B192" s="355"/>
      <c r="C192" s="355"/>
      <c r="D192" s="355"/>
      <c r="E192" s="355"/>
      <c r="F192" s="355"/>
      <c r="G192" s="355"/>
      <c r="H192" s="355"/>
      <c r="I192" s="355"/>
      <c r="J192" s="355"/>
      <c r="K192" s="355"/>
      <c r="L192" s="355"/>
      <c r="M192" s="355"/>
      <c r="N192" s="355"/>
      <c r="O192" s="355"/>
    </row>
    <row r="193" spans="1:15" s="351" customFormat="1" x14ac:dyDescent="0.25">
      <c r="A193" s="354" t="str">
        <f>name!A14</f>
        <v>Pharmaceuticals</v>
      </c>
      <c r="B193" s="517">
        <f>$B$6</f>
        <v>2007</v>
      </c>
      <c r="C193" s="517"/>
      <c r="D193" s="517"/>
      <c r="E193" s="517"/>
      <c r="F193" s="380"/>
      <c r="G193" s="517">
        <f>$G$6</f>
        <v>2017</v>
      </c>
      <c r="H193" s="517"/>
      <c r="I193" s="517"/>
      <c r="J193" s="517"/>
      <c r="K193" s="380"/>
      <c r="L193" s="517">
        <f>$L$6</f>
        <v>2027</v>
      </c>
      <c r="M193" s="517"/>
      <c r="N193" s="517"/>
      <c r="O193" s="517"/>
    </row>
    <row r="194" spans="1:15" s="351" customFormat="1" x14ac:dyDescent="0.25">
      <c r="A194" s="370"/>
      <c r="B194" s="388" t="str">
        <f>$B$7</f>
        <v>FT</v>
      </c>
      <c r="C194" s="388" t="str">
        <f>$C$7</f>
        <v>PT</v>
      </c>
      <c r="D194" s="388" t="str">
        <f>$D$7</f>
        <v>SE</v>
      </c>
      <c r="E194" s="388" t="str">
        <f>$E$7</f>
        <v>Total</v>
      </c>
      <c r="F194" s="388"/>
      <c r="G194" s="388" t="str">
        <f>$G$7</f>
        <v>FT</v>
      </c>
      <c r="H194" s="388" t="str">
        <f>$H$7</f>
        <v>PT</v>
      </c>
      <c r="I194" s="388" t="str">
        <f>$I$7</f>
        <v>SE</v>
      </c>
      <c r="J194" s="388" t="str">
        <f>$J$7</f>
        <v>Total</v>
      </c>
      <c r="K194" s="388"/>
      <c r="L194" s="388" t="str">
        <f>$L$7</f>
        <v>FT</v>
      </c>
      <c r="M194" s="388" t="str">
        <f>$M$7</f>
        <v>PT</v>
      </c>
      <c r="N194" s="388" t="str">
        <f>$N$7</f>
        <v>SE</v>
      </c>
      <c r="O194" s="388" t="str">
        <f>$O$7</f>
        <v>Total</v>
      </c>
    </row>
    <row r="195" spans="1:15" s="351" customFormat="1" x14ac:dyDescent="0.25">
      <c r="A195" s="374"/>
      <c r="B195" s="350"/>
      <c r="C195" s="350"/>
      <c r="D195" s="350"/>
      <c r="E195" s="350"/>
      <c r="F195" s="350"/>
      <c r="G195" s="350"/>
      <c r="H195" s="350"/>
      <c r="I195" s="350"/>
      <c r="J195" s="350"/>
      <c r="K195" s="350"/>
      <c r="L195" s="350"/>
      <c r="M195" s="350"/>
      <c r="N195" s="350"/>
      <c r="O195" s="350"/>
    </row>
    <row r="196" spans="1:15" s="351" customFormat="1" x14ac:dyDescent="0.25">
      <c r="A196" s="362" t="str">
        <f>name!E$4</f>
        <v>Managers, directors and senior officials</v>
      </c>
      <c r="B196" s="440">
        <v>5.077757082571881</v>
      </c>
      <c r="C196" s="440">
        <v>0.39273609451245761</v>
      </c>
      <c r="D196" s="440">
        <v>0.14035398420803361</v>
      </c>
      <c r="E196" s="440">
        <f>SUM(B196:D196)</f>
        <v>5.610847161292372</v>
      </c>
      <c r="F196" s="441"/>
      <c r="G196" s="440">
        <v>4.4540028359729105</v>
      </c>
      <c r="H196" s="440">
        <v>0.24982060558389299</v>
      </c>
      <c r="I196" s="440">
        <v>0.61865243114184942</v>
      </c>
      <c r="J196" s="440">
        <f>SUM(G196:I196)</f>
        <v>5.3224758726986527</v>
      </c>
      <c r="K196" s="441"/>
      <c r="L196" s="440">
        <v>3.8207875561825806</v>
      </c>
      <c r="M196" s="440">
        <v>0.53392486020948693</v>
      </c>
      <c r="N196" s="440">
        <v>0.81062487412370932</v>
      </c>
      <c r="O196" s="440">
        <f>SUM(L196:N196)</f>
        <v>5.1653372905157768</v>
      </c>
    </row>
    <row r="197" spans="1:15" s="351" customFormat="1" x14ac:dyDescent="0.25">
      <c r="A197" s="362" t="str">
        <f>name!E$5</f>
        <v>Professional occupations</v>
      </c>
      <c r="B197" s="440">
        <v>13.990979764852462</v>
      </c>
      <c r="C197" s="440">
        <v>0.75619732508995552</v>
      </c>
      <c r="D197" s="440">
        <v>0.22933554733837014</v>
      </c>
      <c r="E197" s="440">
        <f t="shared" ref="E197:E204" si="98">SUM(B197:D197)</f>
        <v>14.976512637280788</v>
      </c>
      <c r="F197" s="441"/>
      <c r="G197" s="440">
        <v>13.912013353777491</v>
      </c>
      <c r="H197" s="440">
        <v>0.44868403603961493</v>
      </c>
      <c r="I197" s="440">
        <v>0.97160113260216685</v>
      </c>
      <c r="J197" s="440">
        <f t="shared" ref="J197:J199" si="99">SUM(G197:I197)</f>
        <v>15.332298522419272</v>
      </c>
      <c r="K197" s="441"/>
      <c r="L197" s="440">
        <v>12.947284893537166</v>
      </c>
      <c r="M197" s="440">
        <v>0.90775933884506033</v>
      </c>
      <c r="N197" s="440">
        <v>1.257489519218892</v>
      </c>
      <c r="O197" s="440">
        <f t="shared" ref="O197:O204" si="100">SUM(L197:N197)</f>
        <v>15.112533751601118</v>
      </c>
    </row>
    <row r="198" spans="1:15" s="351" customFormat="1" x14ac:dyDescent="0.25">
      <c r="A198" s="362" t="str">
        <f>name!E$6</f>
        <v>Associate professional and technical</v>
      </c>
      <c r="B198" s="440">
        <v>9.3766217207723486</v>
      </c>
      <c r="C198" s="440">
        <v>0.92744375562362114</v>
      </c>
      <c r="D198" s="440">
        <v>0.1698795819799937</v>
      </c>
      <c r="E198" s="440">
        <f t="shared" si="98"/>
        <v>10.473945058375962</v>
      </c>
      <c r="F198" s="441"/>
      <c r="G198" s="440">
        <v>7.4491142583931245</v>
      </c>
      <c r="H198" s="440">
        <v>0.49351377065297264</v>
      </c>
      <c r="I198" s="440">
        <v>0.75019597676365657</v>
      </c>
      <c r="J198" s="440">
        <f t="shared" si="99"/>
        <v>8.6928240058097543</v>
      </c>
      <c r="K198" s="441"/>
      <c r="L198" s="440">
        <v>6.8662701373416493</v>
      </c>
      <c r="M198" s="440">
        <v>0.96635198419362967</v>
      </c>
      <c r="N198" s="440">
        <v>0.9250859814745156</v>
      </c>
      <c r="O198" s="440">
        <f t="shared" si="100"/>
        <v>8.7577081030097936</v>
      </c>
    </row>
    <row r="199" spans="1:15" s="351" customFormat="1" x14ac:dyDescent="0.25">
      <c r="A199" s="362" t="str">
        <f>name!E$7</f>
        <v>Administrative and secretarial</v>
      </c>
      <c r="B199" s="440">
        <v>3.5665420009101254</v>
      </c>
      <c r="C199" s="440">
        <v>0.74727106131433274</v>
      </c>
      <c r="D199" s="440">
        <v>3.7803526245151098E-2</v>
      </c>
      <c r="E199" s="440">
        <f t="shared" si="98"/>
        <v>4.351616588469609</v>
      </c>
      <c r="F199" s="441"/>
      <c r="G199" s="440">
        <v>2.4246878108100383</v>
      </c>
      <c r="H199" s="440">
        <v>0.30639171891188405</v>
      </c>
      <c r="I199" s="440">
        <v>0.18192541766298087</v>
      </c>
      <c r="J199" s="440">
        <f t="shared" si="99"/>
        <v>2.9130049473849029</v>
      </c>
      <c r="K199" s="441"/>
      <c r="L199" s="440">
        <v>1.9898150862154671</v>
      </c>
      <c r="M199" s="440">
        <v>0.42998273333318199</v>
      </c>
      <c r="N199" s="440">
        <v>0.17204018129492193</v>
      </c>
      <c r="O199" s="440">
        <f t="shared" si="100"/>
        <v>2.5918380008435706</v>
      </c>
    </row>
    <row r="200" spans="1:15" s="351" customFormat="1" x14ac:dyDescent="0.25">
      <c r="A200" s="362" t="str">
        <f>name!E$8</f>
        <v>Skilled trades occupations</v>
      </c>
      <c r="B200" s="440">
        <v>2.7826843393372895</v>
      </c>
      <c r="C200" s="440">
        <v>0.13270428091844463</v>
      </c>
      <c r="D200" s="440">
        <v>0.10151773672120203</v>
      </c>
      <c r="E200" s="440">
        <f t="shared" si="98"/>
        <v>3.0169063569769361</v>
      </c>
      <c r="F200" s="441"/>
      <c r="G200" s="440">
        <v>2.0840466783110743</v>
      </c>
      <c r="H200" s="440">
        <v>8.1777480792891821E-2</v>
      </c>
      <c r="I200" s="440">
        <v>0.59708254850294706</v>
      </c>
      <c r="J200" s="440">
        <f>SUM(G200:I200)</f>
        <v>2.7629067076069131</v>
      </c>
      <c r="K200" s="441"/>
      <c r="L200" s="440">
        <v>1.2362591374446747</v>
      </c>
      <c r="M200" s="440">
        <v>0.14173516283822213</v>
      </c>
      <c r="N200" s="440">
        <v>0.8764933260368416</v>
      </c>
      <c r="O200" s="440">
        <f t="shared" si="100"/>
        <v>2.2544876263197384</v>
      </c>
    </row>
    <row r="201" spans="1:15" s="351" customFormat="1" x14ac:dyDescent="0.25">
      <c r="A201" s="362" t="str">
        <f>name!E$9</f>
        <v>Caring, leisure and other service</v>
      </c>
      <c r="B201" s="440">
        <v>0.93415976703530623</v>
      </c>
      <c r="C201" s="440">
        <v>0.24191067282385531</v>
      </c>
      <c r="D201" s="440">
        <v>2.6524164936507343E-2</v>
      </c>
      <c r="E201" s="440">
        <f t="shared" si="98"/>
        <v>1.2025946047956688</v>
      </c>
      <c r="F201" s="441"/>
      <c r="G201" s="440">
        <v>0.73830612948629093</v>
      </c>
      <c r="H201" s="440">
        <v>0.10965833271480294</v>
      </c>
      <c r="I201" s="440">
        <v>0.16310236334766826</v>
      </c>
      <c r="J201" s="440">
        <f t="shared" ref="J201:J204" si="101">SUM(G201:I201)</f>
        <v>1.0110668255487623</v>
      </c>
      <c r="K201" s="441"/>
      <c r="L201" s="440">
        <v>0.6662414275444607</v>
      </c>
      <c r="M201" s="440">
        <v>0.2024396435793846</v>
      </c>
      <c r="N201" s="440">
        <v>0.21389463909239914</v>
      </c>
      <c r="O201" s="440">
        <f t="shared" si="100"/>
        <v>1.0825757102162443</v>
      </c>
    </row>
    <row r="202" spans="1:15" s="351" customFormat="1" x14ac:dyDescent="0.25">
      <c r="A202" s="362" t="str">
        <f>name!E$10</f>
        <v>Sales and customer service</v>
      </c>
      <c r="B202" s="440">
        <v>1.0364727592735246</v>
      </c>
      <c r="C202" s="440">
        <v>0.20488550981449943</v>
      </c>
      <c r="D202" s="440">
        <v>2.6302529321467288E-2</v>
      </c>
      <c r="E202" s="440">
        <f t="shared" si="98"/>
        <v>1.2676607984094914</v>
      </c>
      <c r="F202" s="441"/>
      <c r="G202" s="440">
        <v>0.97686340817836237</v>
      </c>
      <c r="H202" s="440">
        <v>0.13634756428141331</v>
      </c>
      <c r="I202" s="440">
        <v>0.15253285394814009</v>
      </c>
      <c r="J202" s="440">
        <f t="shared" si="101"/>
        <v>1.2657438264079157</v>
      </c>
      <c r="K202" s="441"/>
      <c r="L202" s="440">
        <v>0.90381516957056274</v>
      </c>
      <c r="M202" s="440">
        <v>0.25083218456592454</v>
      </c>
      <c r="N202" s="440">
        <v>0.18673104481739575</v>
      </c>
      <c r="O202" s="440">
        <f t="shared" si="100"/>
        <v>1.341378398953883</v>
      </c>
    </row>
    <row r="203" spans="1:15" s="351" customFormat="1" x14ac:dyDescent="0.25">
      <c r="A203" s="362" t="str">
        <f>name!E$11</f>
        <v>Process, plant and machine operatives</v>
      </c>
      <c r="B203" s="440">
        <v>6.1968321848649399</v>
      </c>
      <c r="C203" s="440">
        <v>0.41794394137099583</v>
      </c>
      <c r="D203" s="440">
        <v>0.15108856337251808</v>
      </c>
      <c r="E203" s="440">
        <f t="shared" si="98"/>
        <v>6.7658646896084536</v>
      </c>
      <c r="F203" s="441"/>
      <c r="G203" s="440">
        <v>4.1209966734694978</v>
      </c>
      <c r="H203" s="440">
        <v>0.22073469569775495</v>
      </c>
      <c r="I203" s="440">
        <v>0.51252340426526266</v>
      </c>
      <c r="J203" s="440">
        <f t="shared" si="101"/>
        <v>4.8542547734325154</v>
      </c>
      <c r="K203" s="441"/>
      <c r="L203" s="440">
        <v>2.2345287366315669</v>
      </c>
      <c r="M203" s="440">
        <v>0.35103117802152645</v>
      </c>
      <c r="N203" s="440">
        <v>0.54000787650552995</v>
      </c>
      <c r="O203" s="440">
        <f t="shared" si="100"/>
        <v>3.1255677911586233</v>
      </c>
    </row>
    <row r="204" spans="1:15" s="351" customFormat="1" x14ac:dyDescent="0.25">
      <c r="A204" s="362" t="str">
        <f>name!E$12</f>
        <v>Elementary occupations</v>
      </c>
      <c r="B204" s="440">
        <v>2.561950380282386</v>
      </c>
      <c r="C204" s="440">
        <v>0.63790735851831548</v>
      </c>
      <c r="D204" s="440">
        <v>7.819436587240941E-2</v>
      </c>
      <c r="E204" s="440">
        <f t="shared" si="98"/>
        <v>3.2780521046731108</v>
      </c>
      <c r="F204" s="441"/>
      <c r="G204" s="440">
        <v>1.4009688514562673</v>
      </c>
      <c r="H204" s="440">
        <v>0.39307179533397357</v>
      </c>
      <c r="I204" s="440">
        <v>1.0253838717952821</v>
      </c>
      <c r="J204" s="440">
        <f t="shared" si="101"/>
        <v>2.8194245185855227</v>
      </c>
      <c r="K204" s="441"/>
      <c r="L204" s="440">
        <v>1.1409978555502975</v>
      </c>
      <c r="M204" s="440">
        <v>0.74594291442702665</v>
      </c>
      <c r="N204" s="440">
        <v>1.2526325574125754</v>
      </c>
      <c r="O204" s="440">
        <f t="shared" si="100"/>
        <v>3.1395733273898996</v>
      </c>
    </row>
    <row r="205" spans="1:15" s="351" customFormat="1" x14ac:dyDescent="0.25">
      <c r="A205" s="362"/>
      <c r="B205" s="440"/>
      <c r="C205" s="440"/>
      <c r="D205" s="440"/>
      <c r="E205" s="440"/>
      <c r="F205" s="441"/>
      <c r="G205" s="440"/>
      <c r="H205" s="440"/>
      <c r="I205" s="440"/>
      <c r="J205" s="440"/>
      <c r="K205" s="441"/>
      <c r="L205" s="440"/>
      <c r="M205" s="440"/>
      <c r="N205" s="440"/>
      <c r="O205" s="440"/>
    </row>
    <row r="206" spans="1:15" s="351" customFormat="1" x14ac:dyDescent="0.25">
      <c r="A206" s="357" t="s">
        <v>32</v>
      </c>
      <c r="B206" s="450">
        <f>SUM(B196:B204)</f>
        <v>45.523999999900248</v>
      </c>
      <c r="C206" s="450">
        <f t="shared" ref="C206:E206" si="102">SUM(C196:C204)</f>
        <v>4.458999999986478</v>
      </c>
      <c r="D206" s="450">
        <f t="shared" si="102"/>
        <v>0.96099999999565244</v>
      </c>
      <c r="E206" s="450">
        <f t="shared" si="102"/>
        <v>50.943999999882401</v>
      </c>
      <c r="F206" s="450"/>
      <c r="G206" s="450">
        <f t="shared" ref="G206:J206" si="103">SUM(G196:G204)</f>
        <v>37.560999999855056</v>
      </c>
      <c r="H206" s="450">
        <f t="shared" si="103"/>
        <v>2.440000000009201</v>
      </c>
      <c r="I206" s="450">
        <f t="shared" si="103"/>
        <v>4.9730000000299537</v>
      </c>
      <c r="J206" s="450">
        <f t="shared" si="103"/>
        <v>44.973999999894211</v>
      </c>
      <c r="K206" s="450"/>
      <c r="L206" s="450">
        <f t="shared" ref="L206:O206" si="104">SUM(L196:L204)</f>
        <v>31.806000000018425</v>
      </c>
      <c r="M206" s="450">
        <f t="shared" si="104"/>
        <v>4.5300000000134428</v>
      </c>
      <c r="N206" s="450">
        <f t="shared" si="104"/>
        <v>6.2349999999767807</v>
      </c>
      <c r="O206" s="450">
        <f t="shared" si="104"/>
        <v>42.571000000008652</v>
      </c>
    </row>
    <row r="207" spans="1:15" s="351" customFormat="1" x14ac:dyDescent="0.25">
      <c r="A207" s="348"/>
      <c r="B207" s="348"/>
      <c r="C207" s="348"/>
      <c r="D207" s="348"/>
      <c r="E207" s="348"/>
      <c r="F207" s="348"/>
      <c r="G207" s="348"/>
      <c r="H207" s="348"/>
      <c r="I207" s="348"/>
      <c r="J207" s="348"/>
      <c r="K207" s="348"/>
      <c r="L207" s="348"/>
      <c r="M207" s="348"/>
      <c r="N207" s="353"/>
    </row>
    <row r="208" spans="1:15" s="351" customFormat="1" x14ac:dyDescent="0.25">
      <c r="A208" s="348"/>
      <c r="B208" s="348"/>
      <c r="C208" s="348"/>
      <c r="D208" s="348"/>
      <c r="E208" s="348"/>
      <c r="F208" s="348"/>
      <c r="G208" s="348"/>
      <c r="H208" s="348"/>
      <c r="I208" s="348"/>
      <c r="J208" s="348"/>
      <c r="K208" s="348"/>
      <c r="L208" s="348"/>
      <c r="M208" s="348"/>
      <c r="N208" s="353"/>
      <c r="O208" s="367" t="s">
        <v>35</v>
      </c>
    </row>
    <row r="209" spans="1:15" s="351" customFormat="1" x14ac:dyDescent="0.25">
      <c r="A209" s="355"/>
      <c r="B209" s="355"/>
      <c r="C209" s="355"/>
      <c r="D209" s="355"/>
      <c r="E209" s="355"/>
      <c r="F209" s="355"/>
      <c r="G209" s="355"/>
      <c r="H209" s="355"/>
      <c r="I209" s="355"/>
      <c r="J209" s="355"/>
      <c r="K209" s="355"/>
      <c r="L209" s="355"/>
      <c r="M209" s="355"/>
      <c r="N209" s="355"/>
      <c r="O209" s="355"/>
    </row>
    <row r="210" spans="1:15" s="351" customFormat="1" x14ac:dyDescent="0.25">
      <c r="A210" s="354" t="str">
        <f>name!A15</f>
        <v>Rubber and plastic</v>
      </c>
      <c r="B210" s="517">
        <f>$B$6</f>
        <v>2007</v>
      </c>
      <c r="C210" s="517"/>
      <c r="D210" s="517"/>
      <c r="E210" s="517"/>
      <c r="F210" s="380"/>
      <c r="G210" s="517">
        <f>$G$6</f>
        <v>2017</v>
      </c>
      <c r="H210" s="517"/>
      <c r="I210" s="517"/>
      <c r="J210" s="517"/>
      <c r="K210" s="380"/>
      <c r="L210" s="517">
        <f>$L$6</f>
        <v>2027</v>
      </c>
      <c r="M210" s="517"/>
      <c r="N210" s="517"/>
      <c r="O210" s="517"/>
    </row>
    <row r="211" spans="1:15" s="351" customFormat="1" x14ac:dyDescent="0.25">
      <c r="A211" s="370"/>
      <c r="B211" s="388" t="str">
        <f>$B$7</f>
        <v>FT</v>
      </c>
      <c r="C211" s="388" t="str">
        <f>$C$7</f>
        <v>PT</v>
      </c>
      <c r="D211" s="388" t="str">
        <f>$D$7</f>
        <v>SE</v>
      </c>
      <c r="E211" s="388" t="str">
        <f>$E$7</f>
        <v>Total</v>
      </c>
      <c r="F211" s="388"/>
      <c r="G211" s="388" t="str">
        <f>$G$7</f>
        <v>FT</v>
      </c>
      <c r="H211" s="388" t="str">
        <f>$H$7</f>
        <v>PT</v>
      </c>
      <c r="I211" s="388" t="str">
        <f>$I$7</f>
        <v>SE</v>
      </c>
      <c r="J211" s="388" t="str">
        <f>$J$7</f>
        <v>Total</v>
      </c>
      <c r="K211" s="388"/>
      <c r="L211" s="388" t="str">
        <f>$L$7</f>
        <v>FT</v>
      </c>
      <c r="M211" s="388" t="str">
        <f>$M$7</f>
        <v>PT</v>
      </c>
      <c r="N211" s="388" t="str">
        <f>$N$7</f>
        <v>SE</v>
      </c>
      <c r="O211" s="388" t="str">
        <f>$O$7</f>
        <v>Total</v>
      </c>
    </row>
    <row r="212" spans="1:15" s="351" customFormat="1" x14ac:dyDescent="0.25">
      <c r="A212" s="374"/>
      <c r="B212" s="350"/>
      <c r="C212" s="350"/>
      <c r="D212" s="350"/>
      <c r="E212" s="350"/>
      <c r="F212" s="350"/>
      <c r="G212" s="350"/>
      <c r="H212" s="350"/>
      <c r="I212" s="350"/>
      <c r="J212" s="350"/>
      <c r="K212" s="350"/>
      <c r="L212" s="350"/>
      <c r="M212" s="350"/>
      <c r="N212" s="350"/>
      <c r="O212" s="350"/>
    </row>
    <row r="213" spans="1:15" s="351" customFormat="1" x14ac:dyDescent="0.25">
      <c r="A213" s="362" t="str">
        <f>name!E$4</f>
        <v>Managers, directors and senior officials</v>
      </c>
      <c r="B213" s="440">
        <v>17.277562612694513</v>
      </c>
      <c r="C213" s="440">
        <v>0.88072075347688117</v>
      </c>
      <c r="D213" s="440">
        <v>2.3765217668992729</v>
      </c>
      <c r="E213" s="440">
        <f>SUM(B213:D213)</f>
        <v>20.53480513307067</v>
      </c>
      <c r="F213" s="441"/>
      <c r="G213" s="440">
        <v>16.498138932459245</v>
      </c>
      <c r="H213" s="440">
        <v>0.84351273734664678</v>
      </c>
      <c r="I213" s="440">
        <v>2.1731527670260498</v>
      </c>
      <c r="J213" s="440">
        <f>SUM(G213:I213)</f>
        <v>19.514804436831941</v>
      </c>
      <c r="K213" s="441"/>
      <c r="L213" s="440">
        <v>15.775434491408586</v>
      </c>
      <c r="M213" s="440">
        <v>0.82264410197473392</v>
      </c>
      <c r="N213" s="440">
        <v>1.6522025099012259</v>
      </c>
      <c r="O213" s="440">
        <f>SUM(L213:N213)</f>
        <v>18.250281103284546</v>
      </c>
    </row>
    <row r="214" spans="1:15" s="351" customFormat="1" x14ac:dyDescent="0.25">
      <c r="A214" s="362" t="str">
        <f>name!E$5</f>
        <v>Professional occupations</v>
      </c>
      <c r="B214" s="440">
        <v>13.141852432549921</v>
      </c>
      <c r="C214" s="440">
        <v>0.45103523737042051</v>
      </c>
      <c r="D214" s="440">
        <v>0.43287203621624432</v>
      </c>
      <c r="E214" s="440">
        <f t="shared" ref="E214:E221" si="105">SUM(B214:D214)</f>
        <v>14.025759706136586</v>
      </c>
      <c r="F214" s="441"/>
      <c r="G214" s="440">
        <v>13.198386614050055</v>
      </c>
      <c r="H214" s="440">
        <v>0.43948852017187373</v>
      </c>
      <c r="I214" s="440">
        <v>0.55680556359658684</v>
      </c>
      <c r="J214" s="440">
        <f t="shared" ref="J214:J216" si="106">SUM(G214:I214)</f>
        <v>14.194680697818516</v>
      </c>
      <c r="K214" s="441"/>
      <c r="L214" s="440">
        <v>12.414224379687539</v>
      </c>
      <c r="M214" s="440">
        <v>0.42206894587827398</v>
      </c>
      <c r="N214" s="440">
        <v>0.45473472702392143</v>
      </c>
      <c r="O214" s="440">
        <f t="shared" ref="O214:O221" si="107">SUM(L214:N214)</f>
        <v>13.291028052589736</v>
      </c>
    </row>
    <row r="215" spans="1:15" s="351" customFormat="1" x14ac:dyDescent="0.25">
      <c r="A215" s="362" t="str">
        <f>name!E$6</f>
        <v>Associate professional and technical</v>
      </c>
      <c r="B215" s="440">
        <v>16.854807076719116</v>
      </c>
      <c r="C215" s="440">
        <v>0.86044898193532093</v>
      </c>
      <c r="D215" s="440">
        <v>0.89574947162522311</v>
      </c>
      <c r="E215" s="440">
        <f t="shared" si="105"/>
        <v>18.611005530279659</v>
      </c>
      <c r="F215" s="441"/>
      <c r="G215" s="440">
        <v>17.037083947946279</v>
      </c>
      <c r="H215" s="440">
        <v>0.7595910317598874</v>
      </c>
      <c r="I215" s="440">
        <v>0.91741286233352848</v>
      </c>
      <c r="J215" s="440">
        <f t="shared" si="106"/>
        <v>18.714087842039692</v>
      </c>
      <c r="K215" s="441"/>
      <c r="L215" s="440">
        <v>15.487966131136844</v>
      </c>
      <c r="M215" s="440">
        <v>0.65677566610709348</v>
      </c>
      <c r="N215" s="440">
        <v>0.72227581503253158</v>
      </c>
      <c r="O215" s="440">
        <f t="shared" si="107"/>
        <v>16.86701761227647</v>
      </c>
    </row>
    <row r="216" spans="1:15" s="351" customFormat="1" x14ac:dyDescent="0.25">
      <c r="A216" s="362" t="str">
        <f>name!E$7</f>
        <v>Administrative and secretarial</v>
      </c>
      <c r="B216" s="440">
        <v>13.559184555821682</v>
      </c>
      <c r="C216" s="440">
        <v>4.0259816079558899</v>
      </c>
      <c r="D216" s="440">
        <v>0.41897921746665573</v>
      </c>
      <c r="E216" s="440">
        <f t="shared" si="105"/>
        <v>18.004145381244228</v>
      </c>
      <c r="F216" s="441"/>
      <c r="G216" s="440">
        <v>9.1254438007686609</v>
      </c>
      <c r="H216" s="440">
        <v>3.0253408504314634</v>
      </c>
      <c r="I216" s="440">
        <v>0.671400674426613</v>
      </c>
      <c r="J216" s="440">
        <f t="shared" si="106"/>
        <v>12.822185325626737</v>
      </c>
      <c r="K216" s="441"/>
      <c r="L216" s="440">
        <v>7.3500180941427775</v>
      </c>
      <c r="M216" s="440">
        <v>1.7765120810904302</v>
      </c>
      <c r="N216" s="440">
        <v>0.36042358119534562</v>
      </c>
      <c r="O216" s="440">
        <f t="shared" si="107"/>
        <v>9.4869537564285533</v>
      </c>
    </row>
    <row r="217" spans="1:15" s="351" customFormat="1" x14ac:dyDescent="0.25">
      <c r="A217" s="362" t="str">
        <f>name!E$8</f>
        <v>Skilled trades occupations</v>
      </c>
      <c r="B217" s="440">
        <v>34.339214819802862</v>
      </c>
      <c r="C217" s="440">
        <v>0.90794319457069494</v>
      </c>
      <c r="D217" s="440">
        <v>3.7914898957505114</v>
      </c>
      <c r="E217" s="440">
        <f t="shared" si="105"/>
        <v>39.038647910124062</v>
      </c>
      <c r="F217" s="441"/>
      <c r="G217" s="440">
        <v>24.487285614673279</v>
      </c>
      <c r="H217" s="440">
        <v>0.73378578751608781</v>
      </c>
      <c r="I217" s="440">
        <v>4.0333676598921269</v>
      </c>
      <c r="J217" s="440">
        <f>SUM(G217:I217)</f>
        <v>29.254439062081495</v>
      </c>
      <c r="K217" s="441"/>
      <c r="L217" s="440">
        <v>18.214106321106698</v>
      </c>
      <c r="M217" s="440">
        <v>0.70881402179528796</v>
      </c>
      <c r="N217" s="440">
        <v>3.0292628233627501</v>
      </c>
      <c r="O217" s="440">
        <f t="shared" si="107"/>
        <v>21.952183166264735</v>
      </c>
    </row>
    <row r="218" spans="1:15" s="351" customFormat="1" x14ac:dyDescent="0.25">
      <c r="A218" s="362" t="str">
        <f>name!E$9</f>
        <v>Caring, leisure and other service</v>
      </c>
      <c r="B218" s="440">
        <v>2.3662440505937954</v>
      </c>
      <c r="C218" s="440">
        <v>0.77811625645058935</v>
      </c>
      <c r="D218" s="440">
        <v>0.16400338820668872</v>
      </c>
      <c r="E218" s="440">
        <f t="shared" si="105"/>
        <v>3.3083636952510735</v>
      </c>
      <c r="F218" s="441"/>
      <c r="G218" s="440">
        <v>2.1095359506107427</v>
      </c>
      <c r="H218" s="440">
        <v>0.6282160594855547</v>
      </c>
      <c r="I218" s="440">
        <v>0.13406227026561887</v>
      </c>
      <c r="J218" s="440">
        <f t="shared" ref="J218:J221" si="108">SUM(G218:I218)</f>
        <v>2.8718142803619164</v>
      </c>
      <c r="K218" s="441"/>
      <c r="L218" s="440">
        <v>2.1694048595815549</v>
      </c>
      <c r="M218" s="440">
        <v>0.53918734457743933</v>
      </c>
      <c r="N218" s="440">
        <v>8.4081161701101637E-2</v>
      </c>
      <c r="O218" s="440">
        <f t="shared" si="107"/>
        <v>2.7926733658600957</v>
      </c>
    </row>
    <row r="219" spans="1:15" s="351" customFormat="1" x14ac:dyDescent="0.25">
      <c r="A219" s="362" t="str">
        <f>name!E$10</f>
        <v>Sales and customer service</v>
      </c>
      <c r="B219" s="440">
        <v>3.9400254982428011</v>
      </c>
      <c r="C219" s="440">
        <v>1.3112398097534292</v>
      </c>
      <c r="D219" s="440">
        <v>0.41490299788186591</v>
      </c>
      <c r="E219" s="440">
        <f t="shared" si="105"/>
        <v>5.6661683058780961</v>
      </c>
      <c r="F219" s="441"/>
      <c r="G219" s="440">
        <v>6.1500109194814669</v>
      </c>
      <c r="H219" s="440">
        <v>1.1748427282869147</v>
      </c>
      <c r="I219" s="440">
        <v>0.31586756573683039</v>
      </c>
      <c r="J219" s="440">
        <f t="shared" si="108"/>
        <v>7.6407212135052127</v>
      </c>
      <c r="K219" s="441"/>
      <c r="L219" s="440">
        <v>5.0339553041334248</v>
      </c>
      <c r="M219" s="440">
        <v>0.86559286626248022</v>
      </c>
      <c r="N219" s="440">
        <v>0.19569749128210001</v>
      </c>
      <c r="O219" s="440">
        <f t="shared" si="107"/>
        <v>6.0952456616780051</v>
      </c>
    </row>
    <row r="220" spans="1:15" s="351" customFormat="1" x14ac:dyDescent="0.25">
      <c r="A220" s="362" t="str">
        <f>name!E$11</f>
        <v>Process, plant and machine operatives</v>
      </c>
      <c r="B220" s="440">
        <v>61.376849032175983</v>
      </c>
      <c r="C220" s="440">
        <v>3.5100546994036139</v>
      </c>
      <c r="D220" s="440">
        <v>2.5851007687156713</v>
      </c>
      <c r="E220" s="440">
        <f t="shared" si="105"/>
        <v>67.47200450029527</v>
      </c>
      <c r="F220" s="441"/>
      <c r="G220" s="440">
        <v>44.396408626017021</v>
      </c>
      <c r="H220" s="440">
        <v>2.1285650638839506</v>
      </c>
      <c r="I220" s="440">
        <v>1.2228277969425081</v>
      </c>
      <c r="J220" s="440">
        <f t="shared" si="108"/>
        <v>47.747801486843485</v>
      </c>
      <c r="K220" s="441"/>
      <c r="L220" s="440">
        <v>31.148624382892304</v>
      </c>
      <c r="M220" s="440">
        <v>1.5818313554582057</v>
      </c>
      <c r="N220" s="440">
        <v>0.784659531283876</v>
      </c>
      <c r="O220" s="440">
        <f t="shared" si="107"/>
        <v>33.515115269634386</v>
      </c>
    </row>
    <row r="221" spans="1:15" s="351" customFormat="1" x14ac:dyDescent="0.25">
      <c r="A221" s="362" t="str">
        <f>name!E$12</f>
        <v>Elementary occupations</v>
      </c>
      <c r="B221" s="440">
        <v>11.095259920463539</v>
      </c>
      <c r="C221" s="440">
        <v>1.8334594590594941</v>
      </c>
      <c r="D221" s="440">
        <v>1.2963804572707864</v>
      </c>
      <c r="E221" s="440">
        <f t="shared" si="105"/>
        <v>14.225099836793818</v>
      </c>
      <c r="F221" s="441"/>
      <c r="G221" s="440">
        <v>11.813705593131653</v>
      </c>
      <c r="H221" s="440">
        <v>1.3606572212001429</v>
      </c>
      <c r="I221" s="440">
        <v>1.0291028398869853</v>
      </c>
      <c r="J221" s="440">
        <f t="shared" si="108"/>
        <v>14.20346565421878</v>
      </c>
      <c r="K221" s="441"/>
      <c r="L221" s="440">
        <v>8.8972660352402446</v>
      </c>
      <c r="M221" s="440">
        <v>1.0315736168778282</v>
      </c>
      <c r="N221" s="440">
        <v>0.63666235928020865</v>
      </c>
      <c r="O221" s="440">
        <f t="shared" si="107"/>
        <v>10.565502011398282</v>
      </c>
    </row>
    <row r="222" spans="1:15" s="351" customFormat="1" x14ac:dyDescent="0.25">
      <c r="A222" s="362"/>
      <c r="B222" s="440"/>
      <c r="C222" s="440"/>
      <c r="D222" s="440"/>
      <c r="E222" s="440"/>
      <c r="F222" s="441"/>
      <c r="G222" s="440"/>
      <c r="H222" s="440"/>
      <c r="I222" s="440"/>
      <c r="J222" s="440"/>
      <c r="K222" s="441"/>
      <c r="L222" s="440"/>
      <c r="M222" s="440"/>
      <c r="N222" s="440"/>
      <c r="O222" s="440"/>
    </row>
    <row r="223" spans="1:15" s="351" customFormat="1" x14ac:dyDescent="0.25">
      <c r="A223" s="357" t="s">
        <v>32</v>
      </c>
      <c r="B223" s="450">
        <f>SUM(B213:B221)</f>
        <v>173.95099999906421</v>
      </c>
      <c r="C223" s="450">
        <f t="shared" ref="C223:E223" si="109">SUM(C213:C221)</f>
        <v>14.558999999976335</v>
      </c>
      <c r="D223" s="450">
        <f t="shared" si="109"/>
        <v>12.376000000032919</v>
      </c>
      <c r="E223" s="450">
        <f t="shared" si="109"/>
        <v>200.88599999907348</v>
      </c>
      <c r="F223" s="450"/>
      <c r="G223" s="450">
        <f t="shared" ref="G223:J223" si="110">SUM(G213:G221)</f>
        <v>144.8159999991384</v>
      </c>
      <c r="H223" s="450">
        <f t="shared" si="110"/>
        <v>11.094000000082522</v>
      </c>
      <c r="I223" s="450">
        <f t="shared" si="110"/>
        <v>11.054000000106846</v>
      </c>
      <c r="J223" s="450">
        <f t="shared" si="110"/>
        <v>166.9639999993278</v>
      </c>
      <c r="K223" s="450"/>
      <c r="L223" s="450">
        <f t="shared" ref="L223:O223" si="111">SUM(L213:L221)</f>
        <v>116.49099999933</v>
      </c>
      <c r="M223" s="450">
        <f t="shared" si="111"/>
        <v>8.4050000000217739</v>
      </c>
      <c r="N223" s="450">
        <f t="shared" si="111"/>
        <v>7.9200000000630615</v>
      </c>
      <c r="O223" s="450">
        <f t="shared" si="111"/>
        <v>132.8159999994148</v>
      </c>
    </row>
    <row r="224" spans="1:15" s="351" customFormat="1" x14ac:dyDescent="0.25">
      <c r="A224" s="348"/>
      <c r="B224" s="348"/>
      <c r="C224" s="348"/>
      <c r="D224" s="348"/>
      <c r="E224" s="348"/>
      <c r="F224" s="348"/>
      <c r="G224" s="348"/>
      <c r="H224" s="348"/>
      <c r="I224" s="348"/>
      <c r="J224" s="348"/>
      <c r="K224" s="348"/>
      <c r="L224" s="348"/>
      <c r="M224" s="348"/>
      <c r="N224" s="353"/>
    </row>
    <row r="225" spans="1:15" s="351" customFormat="1" x14ac:dyDescent="0.25">
      <c r="A225" s="348"/>
      <c r="B225" s="348"/>
      <c r="C225" s="348"/>
      <c r="D225" s="348"/>
      <c r="E225" s="348"/>
      <c r="F225" s="348"/>
      <c r="G225" s="348"/>
      <c r="H225" s="348"/>
      <c r="I225" s="348"/>
      <c r="J225" s="348"/>
      <c r="K225" s="348"/>
      <c r="L225" s="348"/>
      <c r="M225" s="348"/>
      <c r="N225" s="353"/>
      <c r="O225" s="367" t="s">
        <v>35</v>
      </c>
    </row>
    <row r="226" spans="1:15" s="351" customFormat="1" x14ac:dyDescent="0.25">
      <c r="A226" s="355"/>
      <c r="B226" s="355"/>
      <c r="C226" s="355"/>
      <c r="D226" s="355"/>
      <c r="E226" s="355"/>
      <c r="F226" s="355"/>
      <c r="G226" s="355"/>
      <c r="H226" s="355"/>
      <c r="I226" s="355"/>
      <c r="J226" s="355"/>
      <c r="K226" s="355"/>
      <c r="L226" s="355"/>
      <c r="M226" s="355"/>
      <c r="N226" s="355"/>
      <c r="O226" s="355"/>
    </row>
    <row r="227" spans="1:15" s="351" customFormat="1" x14ac:dyDescent="0.25">
      <c r="A227" s="354" t="str">
        <f>name!A16</f>
        <v>Other non-metallic</v>
      </c>
      <c r="B227" s="517">
        <f>$B$6</f>
        <v>2007</v>
      </c>
      <c r="C227" s="517"/>
      <c r="D227" s="517"/>
      <c r="E227" s="517"/>
      <c r="F227" s="380"/>
      <c r="G227" s="517">
        <f>$G$6</f>
        <v>2017</v>
      </c>
      <c r="H227" s="517"/>
      <c r="I227" s="517"/>
      <c r="J227" s="517"/>
      <c r="K227" s="380"/>
      <c r="L227" s="517">
        <f>$L$6</f>
        <v>2027</v>
      </c>
      <c r="M227" s="517"/>
      <c r="N227" s="517"/>
      <c r="O227" s="517"/>
    </row>
    <row r="228" spans="1:15" s="351" customFormat="1" x14ac:dyDescent="0.25">
      <c r="A228" s="370"/>
      <c r="B228" s="388" t="str">
        <f>$B$7</f>
        <v>FT</v>
      </c>
      <c r="C228" s="388" t="str">
        <f>$C$7</f>
        <v>PT</v>
      </c>
      <c r="D228" s="388" t="str">
        <f>$D$7</f>
        <v>SE</v>
      </c>
      <c r="E228" s="388" t="str">
        <f>$E$7</f>
        <v>Total</v>
      </c>
      <c r="F228" s="388"/>
      <c r="G228" s="388" t="str">
        <f>$G$7</f>
        <v>FT</v>
      </c>
      <c r="H228" s="388" t="str">
        <f>$H$7</f>
        <v>PT</v>
      </c>
      <c r="I228" s="388" t="str">
        <f>$I$7</f>
        <v>SE</v>
      </c>
      <c r="J228" s="388" t="str">
        <f>$J$7</f>
        <v>Total</v>
      </c>
      <c r="K228" s="388"/>
      <c r="L228" s="388" t="str">
        <f>$L$7</f>
        <v>FT</v>
      </c>
      <c r="M228" s="388" t="str">
        <f>$M$7</f>
        <v>PT</v>
      </c>
      <c r="N228" s="388" t="str">
        <f>$N$7</f>
        <v>SE</v>
      </c>
      <c r="O228" s="388" t="str">
        <f>$O$7</f>
        <v>Total</v>
      </c>
    </row>
    <row r="229" spans="1:15" s="351" customFormat="1" x14ac:dyDescent="0.25">
      <c r="A229" s="374"/>
      <c r="B229" s="350"/>
      <c r="C229" s="350"/>
      <c r="D229" s="350"/>
      <c r="E229" s="350"/>
      <c r="F229" s="350"/>
      <c r="G229" s="350"/>
      <c r="H229" s="350"/>
      <c r="I229" s="350"/>
      <c r="J229" s="350"/>
      <c r="K229" s="350"/>
      <c r="L229" s="350"/>
      <c r="M229" s="350"/>
      <c r="N229" s="350"/>
      <c r="O229" s="350"/>
    </row>
    <row r="230" spans="1:15" s="351" customFormat="1" x14ac:dyDescent="0.25">
      <c r="A230" s="362" t="str">
        <f>name!E$4</f>
        <v>Managers, directors and senior officials</v>
      </c>
      <c r="B230" s="440">
        <v>9.1151728920862798</v>
      </c>
      <c r="C230" s="440">
        <v>0.32817200733368457</v>
      </c>
      <c r="D230" s="440">
        <v>1.0630662555881445</v>
      </c>
      <c r="E230" s="440">
        <f>SUM(B230:D230)</f>
        <v>10.506411155008109</v>
      </c>
      <c r="F230" s="441"/>
      <c r="G230" s="440">
        <v>9.2374925085093427</v>
      </c>
      <c r="H230" s="440">
        <v>0.24092063531716712</v>
      </c>
      <c r="I230" s="440">
        <v>0.76311995132205701</v>
      </c>
      <c r="J230" s="440">
        <f>SUM(G230:I230)</f>
        <v>10.241533095148567</v>
      </c>
      <c r="K230" s="441"/>
      <c r="L230" s="440">
        <v>8.5020439386473754</v>
      </c>
      <c r="M230" s="440">
        <v>0.22896650811153624</v>
      </c>
      <c r="N230" s="440">
        <v>0.57543451269451429</v>
      </c>
      <c r="O230" s="440">
        <f>SUM(L230:N230)</f>
        <v>9.306444959453426</v>
      </c>
    </row>
    <row r="231" spans="1:15" s="351" customFormat="1" x14ac:dyDescent="0.25">
      <c r="A231" s="362" t="str">
        <f>name!E$5</f>
        <v>Professional occupations</v>
      </c>
      <c r="B231" s="440">
        <v>7.7510816999892231</v>
      </c>
      <c r="C231" s="440">
        <v>0.27119970391085041</v>
      </c>
      <c r="D231" s="440">
        <v>0.16410289545454765</v>
      </c>
      <c r="E231" s="440">
        <f t="shared" ref="E231:E238" si="112">SUM(B231:D231)</f>
        <v>8.1863842993546214</v>
      </c>
      <c r="F231" s="441"/>
      <c r="G231" s="440">
        <v>5.8516481086466534</v>
      </c>
      <c r="H231" s="440">
        <v>0.32268328135562591</v>
      </c>
      <c r="I231" s="440">
        <v>0.17283769496869472</v>
      </c>
      <c r="J231" s="440">
        <f t="shared" ref="J231:J233" si="113">SUM(G231:I231)</f>
        <v>6.3471690849709734</v>
      </c>
      <c r="K231" s="441"/>
      <c r="L231" s="440">
        <v>5.3328311173949725</v>
      </c>
      <c r="M231" s="440">
        <v>0.3155175286531342</v>
      </c>
      <c r="N231" s="440">
        <v>0.13232987140177002</v>
      </c>
      <c r="O231" s="440">
        <f t="shared" ref="O231:O238" si="114">SUM(L231:N231)</f>
        <v>5.7806785174498767</v>
      </c>
    </row>
    <row r="232" spans="1:15" s="351" customFormat="1" x14ac:dyDescent="0.25">
      <c r="A232" s="362" t="str">
        <f>name!E$6</f>
        <v>Associate professional and technical</v>
      </c>
      <c r="B232" s="440">
        <v>9.4382399967220234</v>
      </c>
      <c r="C232" s="440">
        <v>0.65526495669637963</v>
      </c>
      <c r="D232" s="440">
        <v>0.25676153995979839</v>
      </c>
      <c r="E232" s="440">
        <f t="shared" si="112"/>
        <v>10.350266493378202</v>
      </c>
      <c r="F232" s="441"/>
      <c r="G232" s="440">
        <v>7.722515614989633</v>
      </c>
      <c r="H232" s="440">
        <v>0.52221199451293521</v>
      </c>
      <c r="I232" s="440">
        <v>0.23832306194629241</v>
      </c>
      <c r="J232" s="440">
        <f t="shared" si="113"/>
        <v>8.4830506714488614</v>
      </c>
      <c r="K232" s="441"/>
      <c r="L232" s="440">
        <v>6.8159768046221316</v>
      </c>
      <c r="M232" s="440">
        <v>0.46173481709846093</v>
      </c>
      <c r="N232" s="440">
        <v>0.17987372284315684</v>
      </c>
      <c r="O232" s="440">
        <f t="shared" si="114"/>
        <v>7.457585344563749</v>
      </c>
    </row>
    <row r="233" spans="1:15" s="351" customFormat="1" x14ac:dyDescent="0.25">
      <c r="A233" s="362" t="str">
        <f>name!E$7</f>
        <v>Administrative and secretarial</v>
      </c>
      <c r="B233" s="440">
        <v>8.0595628114487745</v>
      </c>
      <c r="C233" s="440">
        <v>1.793092250246302</v>
      </c>
      <c r="D233" s="440">
        <v>0.17840336327968337</v>
      </c>
      <c r="E233" s="440">
        <f t="shared" si="112"/>
        <v>10.031058424974759</v>
      </c>
      <c r="F233" s="441"/>
      <c r="G233" s="440">
        <v>4.2635213194886497</v>
      </c>
      <c r="H233" s="440">
        <v>1.2918415853911833</v>
      </c>
      <c r="I233" s="440">
        <v>0.23707549033631442</v>
      </c>
      <c r="J233" s="440">
        <f t="shared" si="113"/>
        <v>5.7924383952161476</v>
      </c>
      <c r="K233" s="441"/>
      <c r="L233" s="440">
        <v>3.306793762493192</v>
      </c>
      <c r="M233" s="440">
        <v>0.79506467482457133</v>
      </c>
      <c r="N233" s="440">
        <v>0.15737169613350122</v>
      </c>
      <c r="O233" s="440">
        <f t="shared" si="114"/>
        <v>4.2592301334512648</v>
      </c>
    </row>
    <row r="234" spans="1:15" s="351" customFormat="1" x14ac:dyDescent="0.25">
      <c r="A234" s="362" t="str">
        <f>name!E$8</f>
        <v>Skilled trades occupations</v>
      </c>
      <c r="B234" s="440">
        <v>26.229622841353763</v>
      </c>
      <c r="C234" s="440">
        <v>0.46177728804987866</v>
      </c>
      <c r="D234" s="440">
        <v>3.6892930345994173</v>
      </c>
      <c r="E234" s="440">
        <f t="shared" si="112"/>
        <v>30.380693164003056</v>
      </c>
      <c r="F234" s="441"/>
      <c r="G234" s="440">
        <v>11.494837611630727</v>
      </c>
      <c r="H234" s="440">
        <v>0.40083840321161313</v>
      </c>
      <c r="I234" s="440">
        <v>2.3158369801539282</v>
      </c>
      <c r="J234" s="440">
        <f>SUM(G234:I234)</f>
        <v>14.211512994996269</v>
      </c>
      <c r="K234" s="441"/>
      <c r="L234" s="440">
        <v>8.6525045492572961</v>
      </c>
      <c r="M234" s="440">
        <v>0.37694644250943454</v>
      </c>
      <c r="N234" s="440">
        <v>1.5892594999606375</v>
      </c>
      <c r="O234" s="440">
        <f t="shared" si="114"/>
        <v>10.618710491727366</v>
      </c>
    </row>
    <row r="235" spans="1:15" s="351" customFormat="1" x14ac:dyDescent="0.25">
      <c r="A235" s="362" t="str">
        <f>name!E$9</f>
        <v>Caring, leisure and other service</v>
      </c>
      <c r="B235" s="440">
        <v>1.0533205534883556</v>
      </c>
      <c r="C235" s="440">
        <v>0.2681924242676933</v>
      </c>
      <c r="D235" s="440">
        <v>0.12699463748024034</v>
      </c>
      <c r="E235" s="440">
        <f t="shared" si="112"/>
        <v>1.4485076152362892</v>
      </c>
      <c r="F235" s="441"/>
      <c r="G235" s="440">
        <v>0.8747695236469315</v>
      </c>
      <c r="H235" s="440">
        <v>0.151809651062975</v>
      </c>
      <c r="I235" s="440">
        <v>0.17055792014621765</v>
      </c>
      <c r="J235" s="440">
        <f t="shared" ref="J235:J238" si="115">SUM(G235:I235)</f>
        <v>1.1971370948561242</v>
      </c>
      <c r="K235" s="441"/>
      <c r="L235" s="440">
        <v>0.88921753749005872</v>
      </c>
      <c r="M235" s="440">
        <v>0.11507069168437448</v>
      </c>
      <c r="N235" s="440">
        <v>0.13604156617520743</v>
      </c>
      <c r="O235" s="440">
        <f t="shared" si="114"/>
        <v>1.1403297953496407</v>
      </c>
    </row>
    <row r="236" spans="1:15" s="351" customFormat="1" x14ac:dyDescent="0.25">
      <c r="A236" s="362" t="str">
        <f>name!E$10</f>
        <v>Sales and customer service</v>
      </c>
      <c r="B236" s="440">
        <v>2.7401373081446336</v>
      </c>
      <c r="C236" s="440">
        <v>0.76029126260023305</v>
      </c>
      <c r="D236" s="440">
        <v>0.15787789459700774</v>
      </c>
      <c r="E236" s="440">
        <f t="shared" si="112"/>
        <v>3.6583064653418744</v>
      </c>
      <c r="F236" s="441"/>
      <c r="G236" s="440">
        <v>2.1966122074960395</v>
      </c>
      <c r="H236" s="440">
        <v>0.46444997285055512</v>
      </c>
      <c r="I236" s="440">
        <v>0.15507215608846855</v>
      </c>
      <c r="J236" s="440">
        <f t="shared" si="115"/>
        <v>2.8161343364350633</v>
      </c>
      <c r="K236" s="441"/>
      <c r="L236" s="440">
        <v>1.848744141058652</v>
      </c>
      <c r="M236" s="440">
        <v>0.35836540724260268</v>
      </c>
      <c r="N236" s="440">
        <v>0.11735796810374742</v>
      </c>
      <c r="O236" s="440">
        <f t="shared" si="114"/>
        <v>2.3244675164050022</v>
      </c>
    </row>
    <row r="237" spans="1:15" s="351" customFormat="1" x14ac:dyDescent="0.25">
      <c r="A237" s="362" t="str">
        <f>name!E$11</f>
        <v>Process, plant and machine operatives</v>
      </c>
      <c r="B237" s="440">
        <v>30.183543222132037</v>
      </c>
      <c r="C237" s="440">
        <v>0.6548351625143759</v>
      </c>
      <c r="D237" s="440">
        <v>0.77045900971905412</v>
      </c>
      <c r="E237" s="440">
        <f t="shared" si="112"/>
        <v>31.608837394365469</v>
      </c>
      <c r="F237" s="441"/>
      <c r="G237" s="440">
        <v>19.71535621446089</v>
      </c>
      <c r="H237" s="440">
        <v>0.42792209469811221</v>
      </c>
      <c r="I237" s="440">
        <v>0.45879949428467232</v>
      </c>
      <c r="J237" s="440">
        <f t="shared" si="115"/>
        <v>20.602077803443674</v>
      </c>
      <c r="K237" s="441"/>
      <c r="L237" s="440">
        <v>14.044428082353734</v>
      </c>
      <c r="M237" s="440">
        <v>0.32106708394571032</v>
      </c>
      <c r="N237" s="440">
        <v>0.31509936376403253</v>
      </c>
      <c r="O237" s="440">
        <f t="shared" si="114"/>
        <v>14.680594530063477</v>
      </c>
    </row>
    <row r="238" spans="1:15" s="351" customFormat="1" x14ac:dyDescent="0.25">
      <c r="A238" s="362" t="str">
        <f>name!E$12</f>
        <v>Elementary occupations</v>
      </c>
      <c r="B238" s="440">
        <v>5.3623186741909317</v>
      </c>
      <c r="C238" s="440">
        <v>1.259174944411533</v>
      </c>
      <c r="D238" s="440">
        <v>0.40804136935744417</v>
      </c>
      <c r="E238" s="440">
        <f t="shared" si="112"/>
        <v>7.0295349879599085</v>
      </c>
      <c r="F238" s="441"/>
      <c r="G238" s="440">
        <v>4.983246890832195</v>
      </c>
      <c r="H238" s="440">
        <v>0.9343223816855929</v>
      </c>
      <c r="I238" s="440">
        <v>0.35237725079993298</v>
      </c>
      <c r="J238" s="440">
        <f t="shared" si="115"/>
        <v>6.2699465233177207</v>
      </c>
      <c r="K238" s="441"/>
      <c r="L238" s="440">
        <v>3.6744600664480642</v>
      </c>
      <c r="M238" s="440">
        <v>0.64926684596043949</v>
      </c>
      <c r="N238" s="440">
        <v>0.27923179896403111</v>
      </c>
      <c r="O238" s="440">
        <f t="shared" si="114"/>
        <v>4.6029587113725352</v>
      </c>
    </row>
    <row r="239" spans="1:15" s="351" customFormat="1" x14ac:dyDescent="0.25">
      <c r="A239" s="362"/>
      <c r="B239" s="440"/>
      <c r="C239" s="440"/>
      <c r="D239" s="440"/>
      <c r="E239" s="440"/>
      <c r="F239" s="441"/>
      <c r="G239" s="440"/>
      <c r="H239" s="440"/>
      <c r="I239" s="440"/>
      <c r="J239" s="440"/>
      <c r="K239" s="441"/>
      <c r="L239" s="440"/>
      <c r="M239" s="440"/>
      <c r="N239" s="440"/>
      <c r="O239" s="440"/>
    </row>
    <row r="240" spans="1:15" s="351" customFormat="1" x14ac:dyDescent="0.25">
      <c r="A240" s="357" t="s">
        <v>32</v>
      </c>
      <c r="B240" s="450">
        <f>SUM(B230:B238)</f>
        <v>99.932999999556017</v>
      </c>
      <c r="C240" s="450">
        <f t="shared" ref="C240:E240" si="116">SUM(C230:C238)</f>
        <v>6.4520000000309299</v>
      </c>
      <c r="D240" s="450">
        <f t="shared" si="116"/>
        <v>6.8150000000353366</v>
      </c>
      <c r="E240" s="450">
        <f t="shared" si="116"/>
        <v>113.19999999962229</v>
      </c>
      <c r="F240" s="450"/>
      <c r="G240" s="450">
        <f t="shared" ref="G240:J240" si="117">SUM(G230:G238)</f>
        <v>66.339999999701064</v>
      </c>
      <c r="H240" s="450">
        <f t="shared" si="117"/>
        <v>4.7570000000857604</v>
      </c>
      <c r="I240" s="450">
        <f t="shared" si="117"/>
        <v>4.8640000000465786</v>
      </c>
      <c r="J240" s="450">
        <f t="shared" si="117"/>
        <v>75.960999999833405</v>
      </c>
      <c r="K240" s="450"/>
      <c r="L240" s="450">
        <f t="shared" ref="L240:O240" si="118">SUM(L230:L238)</f>
        <v>53.066999999765478</v>
      </c>
      <c r="M240" s="450">
        <f t="shared" si="118"/>
        <v>3.6220000000302641</v>
      </c>
      <c r="N240" s="450">
        <f t="shared" si="118"/>
        <v>3.4820000000405984</v>
      </c>
      <c r="O240" s="450">
        <f t="shared" si="118"/>
        <v>60.17099999983634</v>
      </c>
    </row>
    <row r="241" spans="1:15" s="351" customFormat="1" x14ac:dyDescent="0.25">
      <c r="A241" s="348"/>
      <c r="B241" s="348"/>
      <c r="C241" s="348"/>
      <c r="D241" s="348"/>
      <c r="E241" s="348"/>
      <c r="F241" s="348"/>
      <c r="G241" s="348"/>
      <c r="H241" s="348"/>
      <c r="I241" s="348"/>
      <c r="J241" s="348"/>
      <c r="K241" s="348"/>
      <c r="L241" s="348"/>
      <c r="M241" s="348"/>
      <c r="N241" s="353"/>
    </row>
    <row r="242" spans="1:15" s="351" customFormat="1" x14ac:dyDescent="0.25">
      <c r="A242" s="348"/>
      <c r="B242" s="348"/>
      <c r="C242" s="348"/>
      <c r="D242" s="348"/>
      <c r="E242" s="348"/>
      <c r="F242" s="348"/>
      <c r="G242" s="348"/>
      <c r="H242" s="348"/>
      <c r="I242" s="348"/>
      <c r="J242" s="348"/>
      <c r="K242" s="348"/>
      <c r="L242" s="348"/>
      <c r="M242" s="348"/>
      <c r="N242" s="353"/>
      <c r="O242" s="367" t="s">
        <v>35</v>
      </c>
    </row>
    <row r="243" spans="1:15" s="351" customFormat="1" x14ac:dyDescent="0.25">
      <c r="A243" s="355"/>
      <c r="B243" s="355"/>
      <c r="C243" s="355"/>
      <c r="D243" s="355"/>
      <c r="E243" s="355"/>
      <c r="F243" s="355"/>
      <c r="G243" s="355"/>
      <c r="H243" s="355"/>
      <c r="I243" s="355"/>
      <c r="J243" s="355"/>
      <c r="K243" s="355"/>
      <c r="L243" s="355"/>
      <c r="M243" s="355"/>
      <c r="N243" s="355"/>
      <c r="O243" s="355"/>
    </row>
    <row r="244" spans="1:15" s="351" customFormat="1" x14ac:dyDescent="0.25">
      <c r="A244" s="354" t="str">
        <f>name!A17</f>
        <v>Basic metals</v>
      </c>
      <c r="B244" s="517">
        <f>$B$6</f>
        <v>2007</v>
      </c>
      <c r="C244" s="517"/>
      <c r="D244" s="517"/>
      <c r="E244" s="517"/>
      <c r="F244" s="380"/>
      <c r="G244" s="517">
        <f>$G$6</f>
        <v>2017</v>
      </c>
      <c r="H244" s="517"/>
      <c r="I244" s="517"/>
      <c r="J244" s="517"/>
      <c r="K244" s="380"/>
      <c r="L244" s="517">
        <f>$L$6</f>
        <v>2027</v>
      </c>
      <c r="M244" s="517"/>
      <c r="N244" s="517"/>
      <c r="O244" s="517"/>
    </row>
    <row r="245" spans="1:15" s="351" customFormat="1" x14ac:dyDescent="0.25">
      <c r="A245" s="370"/>
      <c r="B245" s="388" t="str">
        <f>$B$7</f>
        <v>FT</v>
      </c>
      <c r="C245" s="388" t="str">
        <f>$C$7</f>
        <v>PT</v>
      </c>
      <c r="D245" s="388" t="str">
        <f>$D$7</f>
        <v>SE</v>
      </c>
      <c r="E245" s="388" t="str">
        <f>$E$7</f>
        <v>Total</v>
      </c>
      <c r="F245" s="388"/>
      <c r="G245" s="388" t="str">
        <f>$G$7</f>
        <v>FT</v>
      </c>
      <c r="H245" s="388" t="str">
        <f>$H$7</f>
        <v>PT</v>
      </c>
      <c r="I245" s="388" t="str">
        <f>$I$7</f>
        <v>SE</v>
      </c>
      <c r="J245" s="388" t="str">
        <f>$J$7</f>
        <v>Total</v>
      </c>
      <c r="K245" s="388"/>
      <c r="L245" s="388" t="str">
        <f>$L$7</f>
        <v>FT</v>
      </c>
      <c r="M245" s="388" t="str">
        <f>$M$7</f>
        <v>PT</v>
      </c>
      <c r="N245" s="388" t="str">
        <f>$N$7</f>
        <v>SE</v>
      </c>
      <c r="O245" s="388" t="str">
        <f>$O$7</f>
        <v>Total</v>
      </c>
    </row>
    <row r="246" spans="1:15" s="351" customFormat="1" x14ac:dyDescent="0.25">
      <c r="A246" s="374"/>
      <c r="B246" s="350"/>
      <c r="C246" s="350"/>
      <c r="D246" s="350"/>
      <c r="E246" s="350"/>
      <c r="F246" s="350"/>
      <c r="G246" s="350"/>
      <c r="H246" s="350"/>
      <c r="I246" s="350"/>
      <c r="J246" s="350"/>
      <c r="K246" s="350"/>
      <c r="L246" s="350"/>
      <c r="M246" s="350"/>
      <c r="N246" s="350"/>
      <c r="O246" s="350"/>
    </row>
    <row r="247" spans="1:15" s="351" customFormat="1" x14ac:dyDescent="0.25">
      <c r="A247" s="362" t="str">
        <f>name!E$4</f>
        <v>Managers, directors and senior officials</v>
      </c>
      <c r="B247" s="440">
        <v>5.9021957555750673</v>
      </c>
      <c r="C247" s="440">
        <v>0.23824984676914876</v>
      </c>
      <c r="D247" s="440">
        <v>1.3628263367415849</v>
      </c>
      <c r="E247" s="440">
        <f>SUM(B247:D247)</f>
        <v>7.5032719390858009</v>
      </c>
      <c r="F247" s="441"/>
      <c r="G247" s="440">
        <v>4.588327195801571</v>
      </c>
      <c r="H247" s="440">
        <v>0.36239169923615855</v>
      </c>
      <c r="I247" s="440">
        <v>0.56400668316951907</v>
      </c>
      <c r="J247" s="440">
        <f>SUM(G247:I247)</f>
        <v>5.5147255782072486</v>
      </c>
      <c r="K247" s="441"/>
      <c r="L247" s="440">
        <v>4.3531504101002749</v>
      </c>
      <c r="M247" s="440">
        <v>0.39938628645328594</v>
      </c>
      <c r="N247" s="440">
        <v>0.68760151148829529</v>
      </c>
      <c r="O247" s="440">
        <f>SUM(L247:N247)</f>
        <v>5.4401382080418559</v>
      </c>
    </row>
    <row r="248" spans="1:15" s="351" customFormat="1" x14ac:dyDescent="0.25">
      <c r="A248" s="362" t="str">
        <f>name!E$5</f>
        <v>Professional occupations</v>
      </c>
      <c r="B248" s="440">
        <v>7.9575552871691464</v>
      </c>
      <c r="C248" s="440">
        <v>0.13368335816564503</v>
      </c>
      <c r="D248" s="440">
        <v>0.83057176670121791</v>
      </c>
      <c r="E248" s="440">
        <f t="shared" ref="E248:E255" si="119">SUM(B248:D248)</f>
        <v>8.9218104120360078</v>
      </c>
      <c r="F248" s="441"/>
      <c r="G248" s="440">
        <v>7.6091474149664116</v>
      </c>
      <c r="H248" s="440">
        <v>0.20022602472382392</v>
      </c>
      <c r="I248" s="440">
        <v>0.33233714902928774</v>
      </c>
      <c r="J248" s="440">
        <f t="shared" ref="J248:J250" si="120">SUM(G248:I248)</f>
        <v>8.1417105887195227</v>
      </c>
      <c r="K248" s="441"/>
      <c r="L248" s="440">
        <v>7.0447100463989898</v>
      </c>
      <c r="M248" s="440">
        <v>0.21456893571263788</v>
      </c>
      <c r="N248" s="440">
        <v>0.36824494599429203</v>
      </c>
      <c r="O248" s="440">
        <f t="shared" ref="O248:O255" si="121">SUM(L248:N248)</f>
        <v>7.6275239281059193</v>
      </c>
    </row>
    <row r="249" spans="1:15" s="351" customFormat="1" x14ac:dyDescent="0.25">
      <c r="A249" s="362" t="str">
        <f>name!E$6</f>
        <v>Associate professional and technical</v>
      </c>
      <c r="B249" s="440">
        <v>7.6528944364936331</v>
      </c>
      <c r="C249" s="440">
        <v>0.20719089891002562</v>
      </c>
      <c r="D249" s="440">
        <v>0.57524543527173788</v>
      </c>
      <c r="E249" s="440">
        <f t="shared" si="119"/>
        <v>8.4353307706753959</v>
      </c>
      <c r="F249" s="441"/>
      <c r="G249" s="440">
        <v>6.6248854295937827</v>
      </c>
      <c r="H249" s="440">
        <v>0.27585546762992497</v>
      </c>
      <c r="I249" s="440">
        <v>0.25117397223011134</v>
      </c>
      <c r="J249" s="440">
        <f t="shared" si="120"/>
        <v>7.1519148694538188</v>
      </c>
      <c r="K249" s="441"/>
      <c r="L249" s="440">
        <v>5.9242479734739035</v>
      </c>
      <c r="M249" s="440">
        <v>0.31246536312709106</v>
      </c>
      <c r="N249" s="440">
        <v>0.29441962639032537</v>
      </c>
      <c r="O249" s="440">
        <f t="shared" si="121"/>
        <v>6.53113296299132</v>
      </c>
    </row>
    <row r="250" spans="1:15" s="351" customFormat="1" x14ac:dyDescent="0.25">
      <c r="A250" s="362" t="str">
        <f>name!E$7</f>
        <v>Administrative and secretarial</v>
      </c>
      <c r="B250" s="440">
        <v>4.6514617675729992</v>
      </c>
      <c r="C250" s="440">
        <v>0.704774258721375</v>
      </c>
      <c r="D250" s="440">
        <v>0.10314598662159515</v>
      </c>
      <c r="E250" s="440">
        <f t="shared" si="119"/>
        <v>5.4593820129159694</v>
      </c>
      <c r="F250" s="441"/>
      <c r="G250" s="440">
        <v>4.4507800944964107</v>
      </c>
      <c r="H250" s="440">
        <v>0.78064859636510131</v>
      </c>
      <c r="I250" s="440">
        <v>5.0832879903245948E-2</v>
      </c>
      <c r="J250" s="440">
        <f t="shared" si="120"/>
        <v>5.2822615707647582</v>
      </c>
      <c r="K250" s="441"/>
      <c r="L250" s="440">
        <v>3.6333301816998071</v>
      </c>
      <c r="M250" s="440">
        <v>0.73643166019700812</v>
      </c>
      <c r="N250" s="440">
        <v>4.8582319449622893E-2</v>
      </c>
      <c r="O250" s="440">
        <f t="shared" si="121"/>
        <v>4.4183441613464378</v>
      </c>
    </row>
    <row r="251" spans="1:15" s="351" customFormat="1" x14ac:dyDescent="0.25">
      <c r="A251" s="362" t="str">
        <f>name!E$8</f>
        <v>Skilled trades occupations</v>
      </c>
      <c r="B251" s="440">
        <v>25.287725114469016</v>
      </c>
      <c r="C251" s="440">
        <v>0.39717667305457316</v>
      </c>
      <c r="D251" s="440">
        <v>2.380542988717766</v>
      </c>
      <c r="E251" s="440">
        <f t="shared" si="119"/>
        <v>28.065444776241357</v>
      </c>
      <c r="F251" s="441"/>
      <c r="G251" s="440">
        <v>21.022673919408053</v>
      </c>
      <c r="H251" s="440">
        <v>0.48689128348993027</v>
      </c>
      <c r="I251" s="440">
        <v>0.51953578334145178</v>
      </c>
      <c r="J251" s="440">
        <f>SUM(G251:I251)</f>
        <v>22.029100986239438</v>
      </c>
      <c r="K251" s="441"/>
      <c r="L251" s="440">
        <v>15.401764068029651</v>
      </c>
      <c r="M251" s="440">
        <v>0.44340427796764553</v>
      </c>
      <c r="N251" s="440">
        <v>0.5898471559195746</v>
      </c>
      <c r="O251" s="440">
        <f t="shared" si="121"/>
        <v>16.435015501916872</v>
      </c>
    </row>
    <row r="252" spans="1:15" s="351" customFormat="1" x14ac:dyDescent="0.25">
      <c r="A252" s="362" t="str">
        <f>name!E$9</f>
        <v>Caring, leisure and other service</v>
      </c>
      <c r="B252" s="440">
        <v>1.0294701704596829</v>
      </c>
      <c r="C252" s="440">
        <v>7.3996788083394105E-2</v>
      </c>
      <c r="D252" s="440">
        <v>0.12071938377372383</v>
      </c>
      <c r="E252" s="440">
        <f t="shared" si="119"/>
        <v>1.2241863423168009</v>
      </c>
      <c r="F252" s="441"/>
      <c r="G252" s="440">
        <v>1.0656666151987919</v>
      </c>
      <c r="H252" s="440">
        <v>9.5657576841290726E-2</v>
      </c>
      <c r="I252" s="440">
        <v>3.6553129966942828E-2</v>
      </c>
      <c r="J252" s="440">
        <f t="shared" ref="J252:J255" si="122">SUM(G252:I252)</f>
        <v>1.1978773220070253</v>
      </c>
      <c r="K252" s="441"/>
      <c r="L252" s="440">
        <v>1.0460210510701868</v>
      </c>
      <c r="M252" s="440">
        <v>0.1099930730089143</v>
      </c>
      <c r="N252" s="440">
        <v>3.4558263203432159E-2</v>
      </c>
      <c r="O252" s="440">
        <f t="shared" si="121"/>
        <v>1.1905723872825333</v>
      </c>
    </row>
    <row r="253" spans="1:15" s="351" customFormat="1" x14ac:dyDescent="0.25">
      <c r="A253" s="362" t="str">
        <f>name!E$10</f>
        <v>Sales and customer service</v>
      </c>
      <c r="B253" s="440">
        <v>0.80663043694216119</v>
      </c>
      <c r="C253" s="440">
        <v>0.1034890408949363</v>
      </c>
      <c r="D253" s="440">
        <v>6.5223237749170812E-2</v>
      </c>
      <c r="E253" s="440">
        <f t="shared" si="119"/>
        <v>0.97534271558626828</v>
      </c>
      <c r="F253" s="441"/>
      <c r="G253" s="440">
        <v>0.76076324153161434</v>
      </c>
      <c r="H253" s="440">
        <v>0.13595226377869785</v>
      </c>
      <c r="I253" s="440">
        <v>2.9255503587670185E-2</v>
      </c>
      <c r="J253" s="440">
        <f t="shared" si="122"/>
        <v>0.92597100889798234</v>
      </c>
      <c r="K253" s="441"/>
      <c r="L253" s="440">
        <v>0.68028522860013318</v>
      </c>
      <c r="M253" s="440">
        <v>0.14327796835786855</v>
      </c>
      <c r="N253" s="440">
        <v>3.1706594746769109E-2</v>
      </c>
      <c r="O253" s="440">
        <f t="shared" si="121"/>
        <v>0.8552697917047708</v>
      </c>
    </row>
    <row r="254" spans="1:15" s="351" customFormat="1" x14ac:dyDescent="0.25">
      <c r="A254" s="362" t="str">
        <f>name!E$11</f>
        <v>Process, plant and machine operatives</v>
      </c>
      <c r="B254" s="440">
        <v>20.106004414575516</v>
      </c>
      <c r="C254" s="440">
        <v>0.46008618305816468</v>
      </c>
      <c r="D254" s="440">
        <v>1.5223448062391958</v>
      </c>
      <c r="E254" s="440">
        <f t="shared" si="119"/>
        <v>22.088435403872879</v>
      </c>
      <c r="F254" s="441"/>
      <c r="G254" s="440">
        <v>13.798626150639969</v>
      </c>
      <c r="H254" s="440">
        <v>0.50457573643950926</v>
      </c>
      <c r="I254" s="440">
        <v>0.44035276999896833</v>
      </c>
      <c r="J254" s="440">
        <f t="shared" si="122"/>
        <v>14.743554657078446</v>
      </c>
      <c r="K254" s="441"/>
      <c r="L254" s="440">
        <v>10.229485679523656</v>
      </c>
      <c r="M254" s="440">
        <v>0.39406660309992753</v>
      </c>
      <c r="N254" s="440">
        <v>0.48623904973810778</v>
      </c>
      <c r="O254" s="440">
        <f t="shared" si="121"/>
        <v>11.109791332361691</v>
      </c>
    </row>
    <row r="255" spans="1:15" s="351" customFormat="1" x14ac:dyDescent="0.25">
      <c r="A255" s="362" t="str">
        <f>name!E$12</f>
        <v>Elementary occupations</v>
      </c>
      <c r="B255" s="440">
        <v>4.5290626164651435</v>
      </c>
      <c r="C255" s="440">
        <v>0.47935295233848635</v>
      </c>
      <c r="D255" s="440">
        <v>0.87638005820868303</v>
      </c>
      <c r="E255" s="440">
        <f t="shared" si="119"/>
        <v>5.8847956270123136</v>
      </c>
      <c r="F255" s="441"/>
      <c r="G255" s="440">
        <v>2.9011299381485083</v>
      </c>
      <c r="H255" s="440">
        <v>0.3858013515052065</v>
      </c>
      <c r="I255" s="440">
        <v>0.35695212878546295</v>
      </c>
      <c r="J255" s="440">
        <f t="shared" si="122"/>
        <v>3.6438834184391777</v>
      </c>
      <c r="K255" s="441"/>
      <c r="L255" s="440">
        <v>2.1870053608035898</v>
      </c>
      <c r="M255" s="440">
        <v>0.38740583207144369</v>
      </c>
      <c r="N255" s="440">
        <v>0.44980053307202311</v>
      </c>
      <c r="O255" s="440">
        <f t="shared" si="121"/>
        <v>3.0242117259470565</v>
      </c>
    </row>
    <row r="256" spans="1:15" s="351" customFormat="1" x14ac:dyDescent="0.25">
      <c r="A256" s="362"/>
      <c r="B256" s="440"/>
      <c r="C256" s="440"/>
      <c r="D256" s="440"/>
      <c r="E256" s="440"/>
      <c r="F256" s="441"/>
      <c r="G256" s="440"/>
      <c r="H256" s="440"/>
      <c r="I256" s="440"/>
      <c r="J256" s="440"/>
      <c r="K256" s="441"/>
      <c r="L256" s="440"/>
      <c r="M256" s="440"/>
      <c r="N256" s="440"/>
      <c r="O256" s="440"/>
    </row>
    <row r="257" spans="1:15" s="351" customFormat="1" x14ac:dyDescent="0.25">
      <c r="A257" s="357" t="s">
        <v>32</v>
      </c>
      <c r="B257" s="450">
        <f>SUM(B247:B255)</f>
        <v>77.922999999722364</v>
      </c>
      <c r="C257" s="450">
        <f t="shared" ref="C257:E257" si="123">SUM(C247:C255)</f>
        <v>2.7979999999957488</v>
      </c>
      <c r="D257" s="450">
        <f t="shared" si="123"/>
        <v>7.8370000000246769</v>
      </c>
      <c r="E257" s="450">
        <f t="shared" si="123"/>
        <v>88.55799999974279</v>
      </c>
      <c r="F257" s="450"/>
      <c r="G257" s="450">
        <f t="shared" ref="G257:J257" si="124">SUM(G247:G255)</f>
        <v>62.821999999785113</v>
      </c>
      <c r="H257" s="450">
        <f t="shared" si="124"/>
        <v>3.2280000000096432</v>
      </c>
      <c r="I257" s="450">
        <f t="shared" si="124"/>
        <v>2.5810000000126605</v>
      </c>
      <c r="J257" s="450">
        <f t="shared" si="124"/>
        <v>68.630999999807415</v>
      </c>
      <c r="K257" s="450"/>
      <c r="L257" s="450">
        <f t="shared" ref="L257:O257" si="125">SUM(L247:L255)</f>
        <v>50.499999999700194</v>
      </c>
      <c r="M257" s="450">
        <f t="shared" si="125"/>
        <v>3.140999999995822</v>
      </c>
      <c r="N257" s="450">
        <f t="shared" si="125"/>
        <v>2.9910000000024421</v>
      </c>
      <c r="O257" s="450">
        <f t="shared" si="125"/>
        <v>56.631999999698465</v>
      </c>
    </row>
    <row r="258" spans="1:15" s="351" customFormat="1" x14ac:dyDescent="0.25">
      <c r="A258" s="348"/>
      <c r="B258" s="348"/>
      <c r="C258" s="348"/>
      <c r="D258" s="348"/>
      <c r="E258" s="348"/>
      <c r="F258" s="348"/>
      <c r="G258" s="348"/>
      <c r="H258" s="348"/>
      <c r="I258" s="348"/>
      <c r="J258" s="348"/>
      <c r="K258" s="348"/>
      <c r="L258" s="348"/>
      <c r="M258" s="348"/>
      <c r="N258" s="353"/>
    </row>
    <row r="259" spans="1:15" s="351" customFormat="1" x14ac:dyDescent="0.25">
      <c r="A259" s="348"/>
      <c r="B259" s="348"/>
      <c r="C259" s="348"/>
      <c r="D259" s="348"/>
      <c r="E259" s="348"/>
      <c r="F259" s="348"/>
      <c r="G259" s="348"/>
      <c r="H259" s="348"/>
      <c r="I259" s="348"/>
      <c r="J259" s="348"/>
      <c r="K259" s="348"/>
      <c r="L259" s="348"/>
      <c r="M259" s="348"/>
      <c r="N259" s="353"/>
      <c r="O259" s="367" t="s">
        <v>35</v>
      </c>
    </row>
    <row r="260" spans="1:15" s="351" customFormat="1" x14ac:dyDescent="0.25">
      <c r="A260" s="355"/>
      <c r="B260" s="355"/>
      <c r="C260" s="355"/>
      <c r="D260" s="355"/>
      <c r="E260" s="355"/>
      <c r="F260" s="355"/>
      <c r="G260" s="355"/>
      <c r="H260" s="355"/>
      <c r="I260" s="355"/>
      <c r="J260" s="355"/>
      <c r="K260" s="355"/>
      <c r="L260" s="355"/>
      <c r="M260" s="355"/>
      <c r="N260" s="355"/>
      <c r="O260" s="355"/>
    </row>
    <row r="261" spans="1:15" s="351" customFormat="1" x14ac:dyDescent="0.25">
      <c r="A261" s="354" t="str">
        <f>name!A18</f>
        <v>Metal products</v>
      </c>
      <c r="B261" s="517">
        <f>$B$6</f>
        <v>2007</v>
      </c>
      <c r="C261" s="517"/>
      <c r="D261" s="517"/>
      <c r="E261" s="517"/>
      <c r="F261" s="380"/>
      <c r="G261" s="517">
        <f>$G$6</f>
        <v>2017</v>
      </c>
      <c r="H261" s="517"/>
      <c r="I261" s="517"/>
      <c r="J261" s="517"/>
      <c r="K261" s="380"/>
      <c r="L261" s="517">
        <f>$L$6</f>
        <v>2027</v>
      </c>
      <c r="M261" s="517"/>
      <c r="N261" s="517"/>
      <c r="O261" s="517"/>
    </row>
    <row r="262" spans="1:15" s="351" customFormat="1" x14ac:dyDescent="0.25">
      <c r="A262" s="370"/>
      <c r="B262" s="388" t="str">
        <f>$B$7</f>
        <v>FT</v>
      </c>
      <c r="C262" s="388" t="str">
        <f>$C$7</f>
        <v>PT</v>
      </c>
      <c r="D262" s="388" t="str">
        <f>$D$7</f>
        <v>SE</v>
      </c>
      <c r="E262" s="388" t="str">
        <f>$E$7</f>
        <v>Total</v>
      </c>
      <c r="F262" s="388"/>
      <c r="G262" s="388" t="str">
        <f>$G$7</f>
        <v>FT</v>
      </c>
      <c r="H262" s="388" t="str">
        <f>$H$7</f>
        <v>PT</v>
      </c>
      <c r="I262" s="388" t="str">
        <f>$I$7</f>
        <v>SE</v>
      </c>
      <c r="J262" s="388" t="str">
        <f>$J$7</f>
        <v>Total</v>
      </c>
      <c r="K262" s="388"/>
      <c r="L262" s="388" t="str">
        <f>$L$7</f>
        <v>FT</v>
      </c>
      <c r="M262" s="388" t="str">
        <f>$M$7</f>
        <v>PT</v>
      </c>
      <c r="N262" s="388" t="str">
        <f>$N$7</f>
        <v>SE</v>
      </c>
      <c r="O262" s="388" t="str">
        <f>$O$7</f>
        <v>Total</v>
      </c>
    </row>
    <row r="263" spans="1:15" s="351" customFormat="1" x14ac:dyDescent="0.25">
      <c r="A263" s="374"/>
      <c r="B263" s="350"/>
      <c r="C263" s="350"/>
      <c r="D263" s="350"/>
      <c r="E263" s="350"/>
      <c r="F263" s="350"/>
      <c r="G263" s="350"/>
      <c r="H263" s="350"/>
      <c r="I263" s="350"/>
      <c r="J263" s="350"/>
      <c r="K263" s="350"/>
      <c r="L263" s="350"/>
      <c r="M263" s="350"/>
      <c r="N263" s="350"/>
      <c r="O263" s="350"/>
    </row>
    <row r="264" spans="1:15" s="351" customFormat="1" x14ac:dyDescent="0.25">
      <c r="A264" s="362" t="str">
        <f>name!E$4</f>
        <v>Managers, directors and senior officials</v>
      </c>
      <c r="B264" s="440">
        <v>24.521268766704459</v>
      </c>
      <c r="C264" s="440">
        <v>1.926541062723538</v>
      </c>
      <c r="D264" s="440">
        <v>6.244923090565619</v>
      </c>
      <c r="E264" s="440">
        <f>SUM(B264:D264)</f>
        <v>32.692732919993617</v>
      </c>
      <c r="F264" s="441"/>
      <c r="G264" s="440">
        <v>28.947552975982884</v>
      </c>
      <c r="H264" s="440">
        <v>2.7801559876966526</v>
      </c>
      <c r="I264" s="440">
        <v>4.1014537885376434</v>
      </c>
      <c r="J264" s="440">
        <f>SUM(G264:I264)</f>
        <v>35.829162752217179</v>
      </c>
      <c r="K264" s="441"/>
      <c r="L264" s="440">
        <v>27.748428175776631</v>
      </c>
      <c r="M264" s="440">
        <v>3.624235210053238</v>
      </c>
      <c r="N264" s="440">
        <v>5.0527866550773046</v>
      </c>
      <c r="O264" s="440">
        <f>SUM(L264:N264)</f>
        <v>36.425450040907172</v>
      </c>
    </row>
    <row r="265" spans="1:15" s="351" customFormat="1" x14ac:dyDescent="0.25">
      <c r="A265" s="362" t="str">
        <f>name!E$5</f>
        <v>Professional occupations</v>
      </c>
      <c r="B265" s="440">
        <v>33.222704381555019</v>
      </c>
      <c r="C265" s="440">
        <v>1.2728848567629187</v>
      </c>
      <c r="D265" s="440">
        <v>2.5458308482369549</v>
      </c>
      <c r="E265" s="440">
        <f t="shared" ref="E265:E272" si="126">SUM(B265:D265)</f>
        <v>37.041420086554893</v>
      </c>
      <c r="F265" s="441"/>
      <c r="G265" s="440">
        <v>34.089955145490997</v>
      </c>
      <c r="H265" s="440">
        <v>1.8605325757316293</v>
      </c>
      <c r="I265" s="440">
        <v>1.7984572416080786</v>
      </c>
      <c r="J265" s="440">
        <f t="shared" ref="J265:J267" si="127">SUM(G265:I265)</f>
        <v>37.748944962830706</v>
      </c>
      <c r="K265" s="441"/>
      <c r="L265" s="440">
        <v>31.87324687223089</v>
      </c>
      <c r="M265" s="440">
        <v>2.1492282224708354</v>
      </c>
      <c r="N265" s="440">
        <v>2.1240413600561308</v>
      </c>
      <c r="O265" s="440">
        <f t="shared" ref="O265:O272" si="128">SUM(L265:N265)</f>
        <v>36.146516454757858</v>
      </c>
    </row>
    <row r="266" spans="1:15" s="351" customFormat="1" x14ac:dyDescent="0.25">
      <c r="A266" s="362" t="str">
        <f>name!E$6</f>
        <v>Associate professional and technical</v>
      </c>
      <c r="B266" s="440">
        <v>32.232193591709844</v>
      </c>
      <c r="C266" s="440">
        <v>1.7943954888381082</v>
      </c>
      <c r="D266" s="440">
        <v>1.7678069174294269</v>
      </c>
      <c r="E266" s="440">
        <f t="shared" si="126"/>
        <v>35.794395997977375</v>
      </c>
      <c r="F266" s="441"/>
      <c r="G266" s="440">
        <v>41.402153769515117</v>
      </c>
      <c r="H266" s="440">
        <v>2.2932300411220625</v>
      </c>
      <c r="I266" s="440">
        <v>1.0576477698937288</v>
      </c>
      <c r="J266" s="440">
        <f t="shared" si="127"/>
        <v>44.753031580530909</v>
      </c>
      <c r="K266" s="441"/>
      <c r="L266" s="440">
        <v>37.205526521799968</v>
      </c>
      <c r="M266" s="440">
        <v>2.6119650824935503</v>
      </c>
      <c r="N266" s="440">
        <v>1.2700035290066485</v>
      </c>
      <c r="O266" s="440">
        <f t="shared" si="128"/>
        <v>41.087495133300166</v>
      </c>
    </row>
    <row r="267" spans="1:15" s="351" customFormat="1" x14ac:dyDescent="0.25">
      <c r="A267" s="362" t="str">
        <f>name!E$7</f>
        <v>Administrative and secretarial</v>
      </c>
      <c r="B267" s="440">
        <v>19.933652793098723</v>
      </c>
      <c r="C267" s="440">
        <v>10.53250571322317</v>
      </c>
      <c r="D267" s="440">
        <v>1.1217476218644631</v>
      </c>
      <c r="E267" s="440">
        <f t="shared" si="126"/>
        <v>31.587906128186354</v>
      </c>
      <c r="F267" s="441"/>
      <c r="G267" s="440">
        <v>15.304265428274201</v>
      </c>
      <c r="H267" s="440">
        <v>8.7286023251902858</v>
      </c>
      <c r="I267" s="440">
        <v>0.56945150516845999</v>
      </c>
      <c r="J267" s="440">
        <f t="shared" si="127"/>
        <v>24.602319258632946</v>
      </c>
      <c r="K267" s="441"/>
      <c r="L267" s="440">
        <v>12.059260827903753</v>
      </c>
      <c r="M267" s="440">
        <v>7.9728003295037011</v>
      </c>
      <c r="N267" s="440">
        <v>0.44927209440870208</v>
      </c>
      <c r="O267" s="440">
        <f t="shared" si="128"/>
        <v>20.481333251816157</v>
      </c>
    </row>
    <row r="268" spans="1:15" s="351" customFormat="1" x14ac:dyDescent="0.25">
      <c r="A268" s="362" t="str">
        <f>name!E$8</f>
        <v>Skilled trades occupations</v>
      </c>
      <c r="B268" s="440">
        <v>111.3683487242438</v>
      </c>
      <c r="C268" s="440">
        <v>3.2119885794908964</v>
      </c>
      <c r="D268" s="440">
        <v>15.015704455198163</v>
      </c>
      <c r="E268" s="440">
        <f t="shared" si="126"/>
        <v>129.59604175893287</v>
      </c>
      <c r="F268" s="441"/>
      <c r="G268" s="440">
        <v>111.24408609538006</v>
      </c>
      <c r="H268" s="440">
        <v>3.8956866794245832</v>
      </c>
      <c r="I268" s="440">
        <v>5.0430519905792046</v>
      </c>
      <c r="J268" s="440">
        <f>SUM(G268:I268)</f>
        <v>120.18282476538384</v>
      </c>
      <c r="K268" s="441"/>
      <c r="L268" s="440">
        <v>80.878797035908178</v>
      </c>
      <c r="M268" s="440">
        <v>3.3538950674817944</v>
      </c>
      <c r="N268" s="440">
        <v>5.7173963017091465</v>
      </c>
      <c r="O268" s="440">
        <f t="shared" si="128"/>
        <v>89.950088405099123</v>
      </c>
    </row>
    <row r="269" spans="1:15" s="351" customFormat="1" x14ac:dyDescent="0.25">
      <c r="A269" s="362" t="str">
        <f>name!E$9</f>
        <v>Caring, leisure and other service</v>
      </c>
      <c r="B269" s="440">
        <v>1.6282057655175621</v>
      </c>
      <c r="C269" s="440">
        <v>0.28651165219644492</v>
      </c>
      <c r="D269" s="440">
        <v>0.25030405263908939</v>
      </c>
      <c r="E269" s="440">
        <f t="shared" si="126"/>
        <v>2.1650214703530963</v>
      </c>
      <c r="F269" s="441"/>
      <c r="G269" s="440">
        <v>2.2918706199351178</v>
      </c>
      <c r="H269" s="440">
        <v>0.37379531956145551</v>
      </c>
      <c r="I269" s="440">
        <v>0.21526808687741256</v>
      </c>
      <c r="J269" s="440">
        <f t="shared" ref="J269:J272" si="129">SUM(G269:I269)</f>
        <v>2.8809340263739855</v>
      </c>
      <c r="K269" s="441"/>
      <c r="L269" s="440">
        <v>2.3337009097940342</v>
      </c>
      <c r="M269" s="440">
        <v>0.42133698708841288</v>
      </c>
      <c r="N269" s="440">
        <v>0.21645989660021359</v>
      </c>
      <c r="O269" s="440">
        <f t="shared" si="128"/>
        <v>2.9714977934826607</v>
      </c>
    </row>
    <row r="270" spans="1:15" s="351" customFormat="1" x14ac:dyDescent="0.25">
      <c r="A270" s="362" t="str">
        <f>name!E$10</f>
        <v>Sales and customer service</v>
      </c>
      <c r="B270" s="440">
        <v>3.8972931898302861</v>
      </c>
      <c r="C270" s="440">
        <v>0.87489013752423561</v>
      </c>
      <c r="D270" s="440">
        <v>0.40375639799173907</v>
      </c>
      <c r="E270" s="440">
        <f t="shared" si="126"/>
        <v>5.17593972534626</v>
      </c>
      <c r="F270" s="441"/>
      <c r="G270" s="440">
        <v>4.263684428805294</v>
      </c>
      <c r="H270" s="440">
        <v>1.0407674538591507</v>
      </c>
      <c r="I270" s="440">
        <v>0.22387489525910911</v>
      </c>
      <c r="J270" s="440">
        <f t="shared" si="129"/>
        <v>5.5283267779235539</v>
      </c>
      <c r="K270" s="441"/>
      <c r="L270" s="440">
        <v>3.863368823619953</v>
      </c>
      <c r="M270" s="440">
        <v>1.1808692840214525</v>
      </c>
      <c r="N270" s="440">
        <v>0.2512977013137831</v>
      </c>
      <c r="O270" s="440">
        <f t="shared" si="128"/>
        <v>5.2955358089551883</v>
      </c>
    </row>
    <row r="271" spans="1:15" s="351" customFormat="1" x14ac:dyDescent="0.25">
      <c r="A271" s="362" t="str">
        <f>name!E$11</f>
        <v>Process, plant and machine operatives</v>
      </c>
      <c r="B271" s="440">
        <v>55.393810230400177</v>
      </c>
      <c r="C271" s="440">
        <v>4.2364774036702988</v>
      </c>
      <c r="D271" s="440">
        <v>2.0522697773064054</v>
      </c>
      <c r="E271" s="440">
        <f t="shared" si="126"/>
        <v>61.682557411376884</v>
      </c>
      <c r="F271" s="441"/>
      <c r="G271" s="440">
        <v>42.657957598791207</v>
      </c>
      <c r="H271" s="440">
        <v>3.9482598270276585</v>
      </c>
      <c r="I271" s="440">
        <v>0.76076676806659704</v>
      </c>
      <c r="J271" s="440">
        <f t="shared" si="129"/>
        <v>47.366984193885457</v>
      </c>
      <c r="K271" s="441"/>
      <c r="L271" s="440">
        <v>30.560629733492132</v>
      </c>
      <c r="M271" s="440">
        <v>3.3928820887151279</v>
      </c>
      <c r="N271" s="440">
        <v>0.80725760063362484</v>
      </c>
      <c r="O271" s="440">
        <f t="shared" si="128"/>
        <v>34.760769422840887</v>
      </c>
    </row>
    <row r="272" spans="1:15" s="351" customFormat="1" x14ac:dyDescent="0.25">
      <c r="A272" s="362" t="str">
        <f>name!E$12</f>
        <v>Elementary occupations</v>
      </c>
      <c r="B272" s="440">
        <v>12.999522555576704</v>
      </c>
      <c r="C272" s="440">
        <v>3.8028051055137784</v>
      </c>
      <c r="D272" s="440">
        <v>1.1366568389232168</v>
      </c>
      <c r="E272" s="440">
        <f t="shared" si="126"/>
        <v>17.938984500013696</v>
      </c>
      <c r="F272" s="441"/>
      <c r="G272" s="440">
        <v>11.312473936532504</v>
      </c>
      <c r="H272" s="440">
        <v>2.5269697904670485</v>
      </c>
      <c r="I272" s="440">
        <v>0.56802795395924255</v>
      </c>
      <c r="J272" s="440">
        <f t="shared" si="129"/>
        <v>14.407471680958794</v>
      </c>
      <c r="K272" s="441"/>
      <c r="L272" s="440">
        <v>8.4720410982905676</v>
      </c>
      <c r="M272" s="440">
        <v>2.6577877282164617</v>
      </c>
      <c r="N272" s="440">
        <v>0.56148486123915109</v>
      </c>
      <c r="O272" s="440">
        <f t="shared" si="128"/>
        <v>11.691313687746181</v>
      </c>
    </row>
    <row r="273" spans="1:15" s="351" customFormat="1" x14ac:dyDescent="0.25">
      <c r="A273" s="362"/>
      <c r="B273" s="440"/>
      <c r="C273" s="440"/>
      <c r="D273" s="440"/>
      <c r="E273" s="440"/>
      <c r="F273" s="441"/>
      <c r="G273" s="440"/>
      <c r="H273" s="440"/>
      <c r="I273" s="440"/>
      <c r="J273" s="440"/>
      <c r="K273" s="441"/>
      <c r="L273" s="440"/>
      <c r="M273" s="440"/>
      <c r="N273" s="440"/>
      <c r="O273" s="440"/>
    </row>
    <row r="274" spans="1:15" s="351" customFormat="1" x14ac:dyDescent="0.25">
      <c r="A274" s="357" t="s">
        <v>32</v>
      </c>
      <c r="B274" s="450">
        <f>SUM(B264:B272)</f>
        <v>295.19699999863656</v>
      </c>
      <c r="C274" s="450">
        <f t="shared" ref="C274:E274" si="130">SUM(C264:C272)</f>
        <v>27.938999999943391</v>
      </c>
      <c r="D274" s="450">
        <f t="shared" si="130"/>
        <v>30.539000000155074</v>
      </c>
      <c r="E274" s="450">
        <f t="shared" si="130"/>
        <v>353.67499999873507</v>
      </c>
      <c r="F274" s="450"/>
      <c r="G274" s="450">
        <f t="shared" ref="G274:J274" si="131">SUM(G264:G272)</f>
        <v>291.51399999870739</v>
      </c>
      <c r="H274" s="450">
        <f t="shared" si="131"/>
        <v>27.448000000080526</v>
      </c>
      <c r="I274" s="450">
        <f t="shared" si="131"/>
        <v>14.337999999949476</v>
      </c>
      <c r="J274" s="450">
        <f t="shared" si="131"/>
        <v>333.29999999873741</v>
      </c>
      <c r="K274" s="450"/>
      <c r="L274" s="450">
        <f t="shared" ref="L274:O274" si="132">SUM(L264:L272)</f>
        <v>234.9949999988161</v>
      </c>
      <c r="M274" s="450">
        <f t="shared" si="132"/>
        <v>27.365000000044574</v>
      </c>
      <c r="N274" s="450">
        <f t="shared" si="132"/>
        <v>16.450000000044703</v>
      </c>
      <c r="O274" s="450">
        <f t="shared" si="132"/>
        <v>278.80999999890537</v>
      </c>
    </row>
    <row r="275" spans="1:15" s="351" customFormat="1" x14ac:dyDescent="0.25">
      <c r="A275" s="348"/>
      <c r="B275" s="348"/>
      <c r="C275" s="348"/>
      <c r="D275" s="348"/>
      <c r="E275" s="348"/>
      <c r="F275" s="348"/>
      <c r="G275" s="348"/>
      <c r="H275" s="348"/>
      <c r="I275" s="348"/>
      <c r="J275" s="348"/>
      <c r="K275" s="348"/>
      <c r="L275" s="348"/>
      <c r="M275" s="348"/>
      <c r="N275" s="353"/>
    </row>
    <row r="276" spans="1:15" s="351" customFormat="1" x14ac:dyDescent="0.25">
      <c r="A276" s="348"/>
      <c r="B276" s="348"/>
      <c r="C276" s="348"/>
      <c r="D276" s="348"/>
      <c r="E276" s="348"/>
      <c r="F276" s="348"/>
      <c r="G276" s="348"/>
      <c r="H276" s="348"/>
      <c r="I276" s="348"/>
      <c r="J276" s="348"/>
      <c r="K276" s="348"/>
      <c r="L276" s="348"/>
      <c r="M276" s="348"/>
      <c r="N276" s="353"/>
      <c r="O276" s="367" t="s">
        <v>35</v>
      </c>
    </row>
    <row r="277" spans="1:15" s="351" customFormat="1" x14ac:dyDescent="0.25">
      <c r="A277" s="355"/>
      <c r="B277" s="355"/>
      <c r="C277" s="355"/>
      <c r="D277" s="355"/>
      <c r="E277" s="355"/>
      <c r="F277" s="355"/>
      <c r="G277" s="355"/>
      <c r="H277" s="355"/>
      <c r="I277" s="355"/>
      <c r="J277" s="355"/>
      <c r="K277" s="355"/>
      <c r="L277" s="355"/>
      <c r="M277" s="355"/>
      <c r="N277" s="355"/>
      <c r="O277" s="355"/>
    </row>
    <row r="278" spans="1:15" s="351" customFormat="1" x14ac:dyDescent="0.25">
      <c r="A278" s="354" t="str">
        <f>name!A19</f>
        <v>Computer, etc</v>
      </c>
      <c r="B278" s="517">
        <f>$B$6</f>
        <v>2007</v>
      </c>
      <c r="C278" s="517"/>
      <c r="D278" s="517"/>
      <c r="E278" s="517"/>
      <c r="F278" s="380"/>
      <c r="G278" s="517">
        <f>$G$6</f>
        <v>2017</v>
      </c>
      <c r="H278" s="517"/>
      <c r="I278" s="517"/>
      <c r="J278" s="517"/>
      <c r="K278" s="380"/>
      <c r="L278" s="517">
        <f>$L$6</f>
        <v>2027</v>
      </c>
      <c r="M278" s="517"/>
      <c r="N278" s="517"/>
      <c r="O278" s="517"/>
    </row>
    <row r="279" spans="1:15" s="351" customFormat="1" x14ac:dyDescent="0.25">
      <c r="A279" s="370"/>
      <c r="B279" s="388" t="str">
        <f>$B$7</f>
        <v>FT</v>
      </c>
      <c r="C279" s="388" t="str">
        <f>$C$7</f>
        <v>PT</v>
      </c>
      <c r="D279" s="388" t="str">
        <f>$D$7</f>
        <v>SE</v>
      </c>
      <c r="E279" s="388" t="str">
        <f>$E$7</f>
        <v>Total</v>
      </c>
      <c r="F279" s="388"/>
      <c r="G279" s="388" t="str">
        <f>$G$7</f>
        <v>FT</v>
      </c>
      <c r="H279" s="388" t="str">
        <f>$H$7</f>
        <v>PT</v>
      </c>
      <c r="I279" s="388" t="str">
        <f>$I$7</f>
        <v>SE</v>
      </c>
      <c r="J279" s="388" t="str">
        <f>$J$7</f>
        <v>Total</v>
      </c>
      <c r="K279" s="388"/>
      <c r="L279" s="388" t="str">
        <f>$L$7</f>
        <v>FT</v>
      </c>
      <c r="M279" s="388" t="str">
        <f>$M$7</f>
        <v>PT</v>
      </c>
      <c r="N279" s="388" t="str">
        <f>$N$7</f>
        <v>SE</v>
      </c>
      <c r="O279" s="388" t="str">
        <f>$O$7</f>
        <v>Total</v>
      </c>
    </row>
    <row r="280" spans="1:15" s="351" customFormat="1" x14ac:dyDescent="0.25">
      <c r="A280" s="374"/>
      <c r="B280" s="350"/>
      <c r="C280" s="350"/>
      <c r="D280" s="350"/>
      <c r="E280" s="350"/>
      <c r="F280" s="350"/>
      <c r="G280" s="350"/>
      <c r="H280" s="350"/>
      <c r="I280" s="350"/>
      <c r="J280" s="350"/>
      <c r="K280" s="350"/>
      <c r="L280" s="350"/>
      <c r="M280" s="350"/>
      <c r="N280" s="350"/>
      <c r="O280" s="350"/>
    </row>
    <row r="281" spans="1:15" s="351" customFormat="1" x14ac:dyDescent="0.25">
      <c r="A281" s="362" t="str">
        <f>name!E$4</f>
        <v>Managers, directors and senior officials</v>
      </c>
      <c r="B281" s="440">
        <v>17.502584121004478</v>
      </c>
      <c r="C281" s="440">
        <v>0.8242588629871157</v>
      </c>
      <c r="D281" s="440">
        <v>2.6808942597440235</v>
      </c>
      <c r="E281" s="440">
        <f>SUM(B281:D281)</f>
        <v>21.007737243735615</v>
      </c>
      <c r="F281" s="441"/>
      <c r="G281" s="440">
        <v>16.602028559066447</v>
      </c>
      <c r="H281" s="440">
        <v>0.79790962475695382</v>
      </c>
      <c r="I281" s="440">
        <v>1.4427352181122541</v>
      </c>
      <c r="J281" s="440">
        <f>SUM(G281:I281)</f>
        <v>18.842673401935656</v>
      </c>
      <c r="K281" s="441"/>
      <c r="L281" s="440">
        <v>17.075034939276993</v>
      </c>
      <c r="M281" s="440">
        <v>0.95852202955910581</v>
      </c>
      <c r="N281" s="440">
        <v>1.4331134129914818</v>
      </c>
      <c r="O281" s="440">
        <f>SUM(L281:N281)</f>
        <v>19.46667038182758</v>
      </c>
    </row>
    <row r="282" spans="1:15" s="351" customFormat="1" x14ac:dyDescent="0.25">
      <c r="A282" s="362" t="str">
        <f>name!E$5</f>
        <v>Professional occupations</v>
      </c>
      <c r="B282" s="440">
        <v>36.138886950615806</v>
      </c>
      <c r="C282" s="440">
        <v>0.78862023525463132</v>
      </c>
      <c r="D282" s="440">
        <v>2.1958837681731529</v>
      </c>
      <c r="E282" s="440">
        <f t="shared" ref="E282:E289" si="133">SUM(B282:D282)</f>
        <v>39.123390954043593</v>
      </c>
      <c r="F282" s="441"/>
      <c r="G282" s="440">
        <v>31.884384267875351</v>
      </c>
      <c r="H282" s="440">
        <v>0.71567322012572077</v>
      </c>
      <c r="I282" s="440">
        <v>1.4659399109179461</v>
      </c>
      <c r="J282" s="440">
        <f t="shared" ref="J282:J284" si="134">SUM(G282:I282)</f>
        <v>34.065997398919016</v>
      </c>
      <c r="K282" s="441"/>
      <c r="L282" s="440">
        <v>32.742587454753121</v>
      </c>
      <c r="M282" s="440">
        <v>0.82377003513363967</v>
      </c>
      <c r="N282" s="440">
        <v>1.5330595757541146</v>
      </c>
      <c r="O282" s="440">
        <f t="shared" ref="O282:O289" si="135">SUM(L282:N282)</f>
        <v>35.099417065640878</v>
      </c>
    </row>
    <row r="283" spans="1:15" s="351" customFormat="1" x14ac:dyDescent="0.25">
      <c r="A283" s="362" t="str">
        <f>name!E$6</f>
        <v>Associate professional and technical</v>
      </c>
      <c r="B283" s="440">
        <v>26.608259041569625</v>
      </c>
      <c r="C283" s="440">
        <v>1.0836503645703697</v>
      </c>
      <c r="D283" s="440">
        <v>2.2964713849736396</v>
      </c>
      <c r="E283" s="440">
        <f t="shared" si="133"/>
        <v>29.988380791113634</v>
      </c>
      <c r="F283" s="441"/>
      <c r="G283" s="440">
        <v>21.105156423225477</v>
      </c>
      <c r="H283" s="440">
        <v>1.0774822201249881</v>
      </c>
      <c r="I283" s="440">
        <v>1.320475702665372</v>
      </c>
      <c r="J283" s="440">
        <f t="shared" si="134"/>
        <v>23.503114346015838</v>
      </c>
      <c r="K283" s="441"/>
      <c r="L283" s="440">
        <v>21.334001463113847</v>
      </c>
      <c r="M283" s="440">
        <v>1.3479986641718764</v>
      </c>
      <c r="N283" s="440">
        <v>1.0998710584428013</v>
      </c>
      <c r="O283" s="440">
        <f t="shared" si="135"/>
        <v>23.781871185728523</v>
      </c>
    </row>
    <row r="284" spans="1:15" s="351" customFormat="1" x14ac:dyDescent="0.25">
      <c r="A284" s="362" t="str">
        <f>name!E$7</f>
        <v>Administrative and secretarial</v>
      </c>
      <c r="B284" s="440">
        <v>10.566010390355581</v>
      </c>
      <c r="C284" s="440">
        <v>2.7338469544698873</v>
      </c>
      <c r="D284" s="440">
        <v>0.34805069053375792</v>
      </c>
      <c r="E284" s="440">
        <f t="shared" si="133"/>
        <v>13.647908035359226</v>
      </c>
      <c r="F284" s="441"/>
      <c r="G284" s="440">
        <v>6.4638630298921811</v>
      </c>
      <c r="H284" s="440">
        <v>2.0556463298050476</v>
      </c>
      <c r="I284" s="440">
        <v>0.19433862137300287</v>
      </c>
      <c r="J284" s="440">
        <f t="shared" si="134"/>
        <v>8.7138479810702307</v>
      </c>
      <c r="K284" s="441"/>
      <c r="L284" s="440">
        <v>5.5353488898130596</v>
      </c>
      <c r="M284" s="440">
        <v>1.6886639241773009</v>
      </c>
      <c r="N284" s="440">
        <v>0.18211039504282567</v>
      </c>
      <c r="O284" s="440">
        <f t="shared" si="135"/>
        <v>7.4061232090331863</v>
      </c>
    </row>
    <row r="285" spans="1:15" s="351" customFormat="1" x14ac:dyDescent="0.25">
      <c r="A285" s="362" t="str">
        <f>name!E$8</f>
        <v>Skilled trades occupations</v>
      </c>
      <c r="B285" s="440">
        <v>25.648209590351936</v>
      </c>
      <c r="C285" s="440">
        <v>0.80963222169981863</v>
      </c>
      <c r="D285" s="440">
        <v>3.5335058179579972</v>
      </c>
      <c r="E285" s="440">
        <f t="shared" si="133"/>
        <v>29.991347630009752</v>
      </c>
      <c r="F285" s="441"/>
      <c r="G285" s="440">
        <v>16.636337092441895</v>
      </c>
      <c r="H285" s="440">
        <v>0.69271987067707252</v>
      </c>
      <c r="I285" s="440">
        <v>1.260559357605135</v>
      </c>
      <c r="J285" s="440">
        <f>SUM(G285:I285)</f>
        <v>18.589616320724105</v>
      </c>
      <c r="K285" s="441"/>
      <c r="L285" s="440">
        <v>13.376216288511182</v>
      </c>
      <c r="M285" s="440">
        <v>0.70805920382272913</v>
      </c>
      <c r="N285" s="440">
        <v>1.3033934159504743</v>
      </c>
      <c r="O285" s="440">
        <f t="shared" si="135"/>
        <v>15.387668908284386</v>
      </c>
    </row>
    <row r="286" spans="1:15" s="351" customFormat="1" x14ac:dyDescent="0.25">
      <c r="A286" s="362" t="str">
        <f>name!E$9</f>
        <v>Caring, leisure and other service</v>
      </c>
      <c r="B286" s="440">
        <v>0.86813614862301547</v>
      </c>
      <c r="C286" s="440">
        <v>0.402056852489662</v>
      </c>
      <c r="D286" s="440">
        <v>0.14201400815573725</v>
      </c>
      <c r="E286" s="440">
        <f t="shared" si="133"/>
        <v>1.4122070092684147</v>
      </c>
      <c r="F286" s="441"/>
      <c r="G286" s="440">
        <v>0.68392715809794324</v>
      </c>
      <c r="H286" s="440">
        <v>0.25418842474704673</v>
      </c>
      <c r="I286" s="440">
        <v>9.490439241772998E-2</v>
      </c>
      <c r="J286" s="440">
        <f t="shared" ref="J286:J289" si="136">SUM(G286:I286)</f>
        <v>1.03301997526272</v>
      </c>
      <c r="K286" s="441"/>
      <c r="L286" s="440">
        <v>0.71462195077311064</v>
      </c>
      <c r="M286" s="440">
        <v>0.26270134832715358</v>
      </c>
      <c r="N286" s="440">
        <v>0.12752735646913313</v>
      </c>
      <c r="O286" s="440">
        <f t="shared" si="135"/>
        <v>1.1048506555693973</v>
      </c>
    </row>
    <row r="287" spans="1:15" s="351" customFormat="1" x14ac:dyDescent="0.25">
      <c r="A287" s="362" t="str">
        <f>name!E$10</f>
        <v>Sales and customer service</v>
      </c>
      <c r="B287" s="440">
        <v>3.4229599410454066</v>
      </c>
      <c r="C287" s="440">
        <v>0.77734405829552755</v>
      </c>
      <c r="D287" s="440">
        <v>0.27193577608445274</v>
      </c>
      <c r="E287" s="440">
        <f t="shared" si="133"/>
        <v>4.4722397754253871</v>
      </c>
      <c r="F287" s="441"/>
      <c r="G287" s="440">
        <v>3.0435187167719415</v>
      </c>
      <c r="H287" s="440">
        <v>1.0530236617677735</v>
      </c>
      <c r="I287" s="440">
        <v>0.13121563342874862</v>
      </c>
      <c r="J287" s="440">
        <f t="shared" si="136"/>
        <v>4.2277580119684632</v>
      </c>
      <c r="K287" s="441"/>
      <c r="L287" s="440">
        <v>2.9869090950759154</v>
      </c>
      <c r="M287" s="440">
        <v>1.3660539577416106</v>
      </c>
      <c r="N287" s="440">
        <v>0.1375292785089747</v>
      </c>
      <c r="O287" s="440">
        <f t="shared" si="135"/>
        <v>4.4904923313265011</v>
      </c>
    </row>
    <row r="288" spans="1:15" s="351" customFormat="1" x14ac:dyDescent="0.25">
      <c r="A288" s="362" t="str">
        <f>name!E$11</f>
        <v>Process, plant and machine operatives</v>
      </c>
      <c r="B288" s="440">
        <v>21.4609318762644</v>
      </c>
      <c r="C288" s="440">
        <v>2.6811949421268206</v>
      </c>
      <c r="D288" s="440">
        <v>1.7773635072227556</v>
      </c>
      <c r="E288" s="440">
        <f t="shared" si="133"/>
        <v>25.919490325613975</v>
      </c>
      <c r="F288" s="441"/>
      <c r="G288" s="440">
        <v>10.497776931884221</v>
      </c>
      <c r="H288" s="440">
        <v>1.8696029352867762</v>
      </c>
      <c r="I288" s="440">
        <v>0.60984689942281034</v>
      </c>
      <c r="J288" s="440">
        <f t="shared" si="136"/>
        <v>12.977226766593809</v>
      </c>
      <c r="K288" s="441"/>
      <c r="L288" s="440">
        <v>7.5135800472959389</v>
      </c>
      <c r="M288" s="440">
        <v>1.3886116296322124</v>
      </c>
      <c r="N288" s="440">
        <v>0.54044500652531213</v>
      </c>
      <c r="O288" s="440">
        <f t="shared" si="135"/>
        <v>9.442636683453463</v>
      </c>
    </row>
    <row r="289" spans="1:15" s="351" customFormat="1" x14ac:dyDescent="0.25">
      <c r="A289" s="362" t="str">
        <f>name!E$12</f>
        <v>Elementary occupations</v>
      </c>
      <c r="B289" s="440">
        <v>3.7330219396739404</v>
      </c>
      <c r="C289" s="440">
        <v>0.89439550811266122</v>
      </c>
      <c r="D289" s="440">
        <v>1.1448807871378142</v>
      </c>
      <c r="E289" s="440">
        <f t="shared" si="133"/>
        <v>5.7722982349244161</v>
      </c>
      <c r="F289" s="441"/>
      <c r="G289" s="440">
        <v>2.970007820402754</v>
      </c>
      <c r="H289" s="440">
        <v>0.60075371277651468</v>
      </c>
      <c r="I289" s="440">
        <v>0.44698426404847524</v>
      </c>
      <c r="J289" s="440">
        <f t="shared" si="136"/>
        <v>4.0177457972277439</v>
      </c>
      <c r="K289" s="441"/>
      <c r="L289" s="440">
        <v>2.6836998711983244</v>
      </c>
      <c r="M289" s="440">
        <v>0.56761920747176753</v>
      </c>
      <c r="N289" s="440">
        <v>0.47095050023104729</v>
      </c>
      <c r="O289" s="440">
        <f t="shared" si="135"/>
        <v>3.7222695789011393</v>
      </c>
    </row>
    <row r="290" spans="1:15" s="351" customFormat="1" x14ac:dyDescent="0.25">
      <c r="A290" s="362"/>
      <c r="B290" s="440"/>
      <c r="C290" s="440"/>
      <c r="D290" s="440"/>
      <c r="E290" s="440"/>
      <c r="F290" s="441"/>
      <c r="G290" s="440"/>
      <c r="H290" s="440"/>
      <c r="I290" s="440"/>
      <c r="J290" s="440"/>
      <c r="K290" s="441"/>
      <c r="L290" s="440"/>
      <c r="M290" s="440"/>
      <c r="N290" s="440"/>
      <c r="O290" s="440"/>
    </row>
    <row r="291" spans="1:15" s="351" customFormat="1" x14ac:dyDescent="0.25">
      <c r="A291" s="357" t="s">
        <v>32</v>
      </c>
      <c r="B291" s="450">
        <f>SUM(B281:B289)</f>
        <v>145.9489999995042</v>
      </c>
      <c r="C291" s="450">
        <f t="shared" ref="C291:E291" si="137">SUM(C281:C289)</f>
        <v>10.995000000006494</v>
      </c>
      <c r="D291" s="450">
        <f t="shared" si="137"/>
        <v>14.390999999983329</v>
      </c>
      <c r="E291" s="450">
        <f t="shared" si="137"/>
        <v>171.33499999949402</v>
      </c>
      <c r="F291" s="450"/>
      <c r="G291" s="450">
        <f t="shared" ref="G291:J291" si="138">SUM(G281:G289)</f>
        <v>109.88699999965822</v>
      </c>
      <c r="H291" s="450">
        <f t="shared" si="138"/>
        <v>9.1170000000678932</v>
      </c>
      <c r="I291" s="450">
        <f t="shared" si="138"/>
        <v>6.966999999991474</v>
      </c>
      <c r="J291" s="450">
        <f t="shared" si="138"/>
        <v>125.97099999971758</v>
      </c>
      <c r="K291" s="450"/>
      <c r="L291" s="450">
        <f t="shared" ref="L291:O291" si="139">SUM(L281:L289)</f>
        <v>103.96199999981151</v>
      </c>
      <c r="M291" s="450">
        <f t="shared" si="139"/>
        <v>9.112000000037396</v>
      </c>
      <c r="N291" s="450">
        <f t="shared" si="139"/>
        <v>6.8279999999161642</v>
      </c>
      <c r="O291" s="450">
        <f t="shared" si="139"/>
        <v>119.90199999976504</v>
      </c>
    </row>
    <row r="292" spans="1:15" s="351" customFormat="1" x14ac:dyDescent="0.25">
      <c r="A292" s="348"/>
      <c r="B292" s="348"/>
      <c r="C292" s="348"/>
      <c r="D292" s="348"/>
      <c r="E292" s="348"/>
      <c r="F292" s="348"/>
      <c r="G292" s="348"/>
      <c r="H292" s="348"/>
      <c r="I292" s="348"/>
      <c r="J292" s="348"/>
      <c r="K292" s="348"/>
      <c r="L292" s="348"/>
      <c r="M292" s="348"/>
      <c r="N292" s="353"/>
    </row>
    <row r="293" spans="1:15" s="351" customFormat="1" x14ac:dyDescent="0.25">
      <c r="A293" s="348"/>
      <c r="B293" s="348"/>
      <c r="C293" s="348"/>
      <c r="D293" s="348"/>
      <c r="E293" s="348"/>
      <c r="F293" s="348"/>
      <c r="G293" s="348"/>
      <c r="H293" s="348"/>
      <c r="I293" s="348"/>
      <c r="J293" s="348"/>
      <c r="K293" s="348"/>
      <c r="L293" s="348"/>
      <c r="M293" s="348"/>
      <c r="N293" s="353"/>
      <c r="O293" s="367" t="s">
        <v>35</v>
      </c>
    </row>
    <row r="294" spans="1:15" s="351" customFormat="1" x14ac:dyDescent="0.25">
      <c r="A294" s="355"/>
      <c r="B294" s="355"/>
      <c r="C294" s="355"/>
      <c r="D294" s="355"/>
      <c r="E294" s="355"/>
      <c r="F294" s="355"/>
      <c r="G294" s="355"/>
      <c r="H294" s="355"/>
      <c r="I294" s="355"/>
      <c r="J294" s="355"/>
      <c r="K294" s="355"/>
      <c r="L294" s="355"/>
      <c r="M294" s="355"/>
      <c r="N294" s="355"/>
      <c r="O294" s="355"/>
    </row>
    <row r="295" spans="1:15" s="351" customFormat="1" x14ac:dyDescent="0.25">
      <c r="A295" s="354" t="str">
        <f>name!A20</f>
        <v>Electrical equipment</v>
      </c>
      <c r="B295" s="517">
        <f>$B$6</f>
        <v>2007</v>
      </c>
      <c r="C295" s="517"/>
      <c r="D295" s="517"/>
      <c r="E295" s="517"/>
      <c r="F295" s="380"/>
      <c r="G295" s="517">
        <f>$G$6</f>
        <v>2017</v>
      </c>
      <c r="H295" s="517"/>
      <c r="I295" s="517"/>
      <c r="J295" s="517"/>
      <c r="K295" s="380"/>
      <c r="L295" s="517">
        <f>$L$6</f>
        <v>2027</v>
      </c>
      <c r="M295" s="517"/>
      <c r="N295" s="517"/>
      <c r="O295" s="517"/>
    </row>
    <row r="296" spans="1:15" s="351" customFormat="1" x14ac:dyDescent="0.25">
      <c r="A296" s="370"/>
      <c r="B296" s="388" t="str">
        <f>$B$7</f>
        <v>FT</v>
      </c>
      <c r="C296" s="388" t="str">
        <f>$C$7</f>
        <v>PT</v>
      </c>
      <c r="D296" s="388" t="str">
        <f>$D$7</f>
        <v>SE</v>
      </c>
      <c r="E296" s="388" t="str">
        <f>$E$7</f>
        <v>Total</v>
      </c>
      <c r="F296" s="388"/>
      <c r="G296" s="388" t="str">
        <f>$G$7</f>
        <v>FT</v>
      </c>
      <c r="H296" s="388" t="str">
        <f>$H$7</f>
        <v>PT</v>
      </c>
      <c r="I296" s="388" t="str">
        <f>$I$7</f>
        <v>SE</v>
      </c>
      <c r="J296" s="388" t="str">
        <f>$J$7</f>
        <v>Total</v>
      </c>
      <c r="K296" s="388"/>
      <c r="L296" s="388" t="str">
        <f>$L$7</f>
        <v>FT</v>
      </c>
      <c r="M296" s="388" t="str">
        <f>$M$7</f>
        <v>PT</v>
      </c>
      <c r="N296" s="388" t="str">
        <f>$N$7</f>
        <v>SE</v>
      </c>
      <c r="O296" s="388" t="str">
        <f>$O$7</f>
        <v>Total</v>
      </c>
    </row>
    <row r="297" spans="1:15" s="351" customFormat="1" x14ac:dyDescent="0.25">
      <c r="A297" s="374"/>
      <c r="B297" s="350"/>
      <c r="C297" s="350"/>
      <c r="D297" s="350"/>
      <c r="E297" s="350"/>
      <c r="F297" s="350"/>
      <c r="G297" s="350"/>
      <c r="H297" s="350"/>
      <c r="I297" s="350"/>
      <c r="J297" s="350"/>
      <c r="K297" s="350"/>
      <c r="L297" s="350"/>
      <c r="M297" s="350"/>
      <c r="N297" s="350"/>
      <c r="O297" s="350"/>
    </row>
    <row r="298" spans="1:15" s="351" customFormat="1" x14ac:dyDescent="0.25">
      <c r="A298" s="362" t="str">
        <f>name!E$4</f>
        <v>Managers, directors and senior officials</v>
      </c>
      <c r="B298" s="440">
        <v>8.3491101467038895</v>
      </c>
      <c r="C298" s="440">
        <v>0.42830593709140896</v>
      </c>
      <c r="D298" s="440">
        <v>0.5949844484208493</v>
      </c>
      <c r="E298" s="440">
        <f>SUM(B298:D298)</f>
        <v>9.3724005322161474</v>
      </c>
      <c r="F298" s="441"/>
      <c r="G298" s="440">
        <v>9.7410503348197945</v>
      </c>
      <c r="H298" s="440">
        <v>0.73912107372824143</v>
      </c>
      <c r="I298" s="440">
        <v>1.2346120691935702</v>
      </c>
      <c r="J298" s="440">
        <f>SUM(G298:I298)</f>
        <v>11.714783477741607</v>
      </c>
      <c r="K298" s="441"/>
      <c r="L298" s="440">
        <v>10.724055243018226</v>
      </c>
      <c r="M298" s="440">
        <v>0.94833395548753774</v>
      </c>
      <c r="N298" s="440">
        <v>1.2752526527342187</v>
      </c>
      <c r="O298" s="440">
        <f>SUM(L298:N298)</f>
        <v>12.947641851239982</v>
      </c>
    </row>
    <row r="299" spans="1:15" s="351" customFormat="1" x14ac:dyDescent="0.25">
      <c r="A299" s="362" t="str">
        <f>name!E$5</f>
        <v>Professional occupations</v>
      </c>
      <c r="B299" s="440">
        <v>13.337343756347334</v>
      </c>
      <c r="C299" s="440">
        <v>0.38674156667788706</v>
      </c>
      <c r="D299" s="440">
        <v>0.23843158054676683</v>
      </c>
      <c r="E299" s="440">
        <f t="shared" ref="E299:E306" si="140">SUM(B299:D299)</f>
        <v>13.962516903571988</v>
      </c>
      <c r="F299" s="441"/>
      <c r="G299" s="440">
        <v>11.763877768602876</v>
      </c>
      <c r="H299" s="440">
        <v>0.63326346444069825</v>
      </c>
      <c r="I299" s="440">
        <v>0.40324160105797641</v>
      </c>
      <c r="J299" s="440">
        <f t="shared" ref="J299:J301" si="141">SUM(G299:I299)</f>
        <v>12.800382834101551</v>
      </c>
      <c r="K299" s="441"/>
      <c r="L299" s="440">
        <v>12.543607126717003</v>
      </c>
      <c r="M299" s="440">
        <v>0.77009517153943596</v>
      </c>
      <c r="N299" s="440">
        <v>0.41386881280091437</v>
      </c>
      <c r="O299" s="440">
        <f t="shared" ref="O299:O306" si="142">SUM(L299:N299)</f>
        <v>13.727571111057353</v>
      </c>
    </row>
    <row r="300" spans="1:15" s="351" customFormat="1" x14ac:dyDescent="0.25">
      <c r="A300" s="362" t="str">
        <f>name!E$6</f>
        <v>Associate professional and technical</v>
      </c>
      <c r="B300" s="440">
        <v>13.200354895958625</v>
      </c>
      <c r="C300" s="440">
        <v>0.57307477565252773</v>
      </c>
      <c r="D300" s="440">
        <v>0.19846171872473439</v>
      </c>
      <c r="E300" s="440">
        <f t="shared" si="140"/>
        <v>13.971891390335887</v>
      </c>
      <c r="F300" s="441"/>
      <c r="G300" s="440">
        <v>11.170212688447423</v>
      </c>
      <c r="H300" s="440">
        <v>0.79909219916032947</v>
      </c>
      <c r="I300" s="440">
        <v>0.39266810732566521</v>
      </c>
      <c r="J300" s="440">
        <f t="shared" si="141"/>
        <v>12.361972994933417</v>
      </c>
      <c r="K300" s="441"/>
      <c r="L300" s="440">
        <v>11.841799144939328</v>
      </c>
      <c r="M300" s="440">
        <v>0.93457817050254899</v>
      </c>
      <c r="N300" s="440">
        <v>0.36462002572999597</v>
      </c>
      <c r="O300" s="440">
        <f t="shared" si="142"/>
        <v>13.140997341171873</v>
      </c>
    </row>
    <row r="301" spans="1:15" s="351" customFormat="1" x14ac:dyDescent="0.25">
      <c r="A301" s="362" t="str">
        <f>name!E$7</f>
        <v>Administrative and secretarial</v>
      </c>
      <c r="B301" s="440">
        <v>7.2349213496197029</v>
      </c>
      <c r="C301" s="440">
        <v>1.908613100371827</v>
      </c>
      <c r="D301" s="440">
        <v>7.3466088184875142E-2</v>
      </c>
      <c r="E301" s="440">
        <f t="shared" si="140"/>
        <v>9.2170005381764035</v>
      </c>
      <c r="F301" s="441"/>
      <c r="G301" s="440">
        <v>4.9502438685186734</v>
      </c>
      <c r="H301" s="440">
        <v>2.1120950139143</v>
      </c>
      <c r="I301" s="440">
        <v>0.28105363213356976</v>
      </c>
      <c r="J301" s="440">
        <f t="shared" si="141"/>
        <v>7.3433925145665429</v>
      </c>
      <c r="K301" s="441"/>
      <c r="L301" s="440">
        <v>4.4565222517961427</v>
      </c>
      <c r="M301" s="440">
        <v>1.8080200251628407</v>
      </c>
      <c r="N301" s="440">
        <v>0.18925847291625361</v>
      </c>
      <c r="O301" s="440">
        <f t="shared" si="142"/>
        <v>6.4538007498752368</v>
      </c>
    </row>
    <row r="302" spans="1:15" s="351" customFormat="1" x14ac:dyDescent="0.25">
      <c r="A302" s="362" t="str">
        <f>name!E$8</f>
        <v>Skilled trades occupations</v>
      </c>
      <c r="B302" s="440">
        <v>22.306151266248733</v>
      </c>
      <c r="C302" s="440">
        <v>0.40112179176255713</v>
      </c>
      <c r="D302" s="440">
        <v>1.141245817230915</v>
      </c>
      <c r="E302" s="440">
        <f t="shared" si="140"/>
        <v>23.848518875242203</v>
      </c>
      <c r="F302" s="441"/>
      <c r="G302" s="440">
        <v>15.133052553067492</v>
      </c>
      <c r="H302" s="440">
        <v>0.48283636034442345</v>
      </c>
      <c r="I302" s="440">
        <v>0.74660272811374639</v>
      </c>
      <c r="J302" s="440">
        <f>SUM(G302:I302)</f>
        <v>16.362491641525661</v>
      </c>
      <c r="K302" s="441"/>
      <c r="L302" s="440">
        <v>13.051148395135398</v>
      </c>
      <c r="M302" s="440">
        <v>0.43693682005367634</v>
      </c>
      <c r="N302" s="440">
        <v>0.68529356596583479</v>
      </c>
      <c r="O302" s="440">
        <f t="shared" si="142"/>
        <v>14.173378781154909</v>
      </c>
    </row>
    <row r="303" spans="1:15" s="351" customFormat="1" x14ac:dyDescent="0.25">
      <c r="A303" s="362" t="str">
        <f>name!E$9</f>
        <v>Caring, leisure and other service</v>
      </c>
      <c r="B303" s="440">
        <v>1.5135680373026816</v>
      </c>
      <c r="C303" s="440">
        <v>0.28535212209296401</v>
      </c>
      <c r="D303" s="440">
        <v>4.3433248786759235E-2</v>
      </c>
      <c r="E303" s="440">
        <f t="shared" si="140"/>
        <v>1.8423534081824049</v>
      </c>
      <c r="F303" s="441"/>
      <c r="G303" s="440">
        <v>1.2149203293135966</v>
      </c>
      <c r="H303" s="440">
        <v>0.26878607843142072</v>
      </c>
      <c r="I303" s="440">
        <v>0.2281518746482992</v>
      </c>
      <c r="J303" s="440">
        <f t="shared" ref="J303:J306" si="143">SUM(G303:I303)</f>
        <v>1.7118582823933164</v>
      </c>
      <c r="K303" s="441"/>
      <c r="L303" s="440">
        <v>1.352952678650116</v>
      </c>
      <c r="M303" s="440">
        <v>0.2746960960916941</v>
      </c>
      <c r="N303" s="440">
        <v>0.1971592946784837</v>
      </c>
      <c r="O303" s="440">
        <f t="shared" si="142"/>
        <v>1.8248080694202937</v>
      </c>
    </row>
    <row r="304" spans="1:15" s="351" customFormat="1" x14ac:dyDescent="0.25">
      <c r="A304" s="362" t="str">
        <f>name!E$10</f>
        <v>Sales and customer service</v>
      </c>
      <c r="B304" s="440">
        <v>1.9679569314002132</v>
      </c>
      <c r="C304" s="440">
        <v>0.3348765855175167</v>
      </c>
      <c r="D304" s="440">
        <v>3.7866433604129918E-2</v>
      </c>
      <c r="E304" s="440">
        <f t="shared" si="140"/>
        <v>2.3406999505218602</v>
      </c>
      <c r="F304" s="441"/>
      <c r="G304" s="440">
        <v>2.185627794442047</v>
      </c>
      <c r="H304" s="440">
        <v>0.59802105146590701</v>
      </c>
      <c r="I304" s="440">
        <v>0.1122201439932578</v>
      </c>
      <c r="J304" s="440">
        <f t="shared" si="143"/>
        <v>2.8958689899012118</v>
      </c>
      <c r="K304" s="441"/>
      <c r="L304" s="440">
        <v>2.2874837571836406</v>
      </c>
      <c r="M304" s="440">
        <v>0.63751389022591065</v>
      </c>
      <c r="N304" s="440">
        <v>0.10134551194175463</v>
      </c>
      <c r="O304" s="440">
        <f t="shared" si="142"/>
        <v>3.0263431593513057</v>
      </c>
    </row>
    <row r="305" spans="1:15" s="351" customFormat="1" x14ac:dyDescent="0.25">
      <c r="A305" s="362" t="str">
        <f>name!E$11</f>
        <v>Process, plant and machine operatives</v>
      </c>
      <c r="B305" s="440">
        <v>18.149777100094173</v>
      </c>
      <c r="C305" s="440">
        <v>1.0758320440604998</v>
      </c>
      <c r="D305" s="440">
        <v>0.47304623617127833</v>
      </c>
      <c r="E305" s="440">
        <f t="shared" si="140"/>
        <v>19.698655380325953</v>
      </c>
      <c r="F305" s="441"/>
      <c r="G305" s="440">
        <v>11.612320559129026</v>
      </c>
      <c r="H305" s="440">
        <v>0.70629874666729753</v>
      </c>
      <c r="I305" s="440">
        <v>0.31590730963714875</v>
      </c>
      <c r="J305" s="440">
        <f t="shared" si="143"/>
        <v>12.634526615433472</v>
      </c>
      <c r="K305" s="441"/>
      <c r="L305" s="440">
        <v>9.0586616917082221</v>
      </c>
      <c r="M305" s="440">
        <v>0.58851294598873427</v>
      </c>
      <c r="N305" s="440">
        <v>0.22103451344115974</v>
      </c>
      <c r="O305" s="440">
        <f t="shared" si="142"/>
        <v>9.8682091511381156</v>
      </c>
    </row>
    <row r="306" spans="1:15" s="351" customFormat="1" x14ac:dyDescent="0.25">
      <c r="A306" s="362" t="str">
        <f>name!E$12</f>
        <v>Elementary occupations</v>
      </c>
      <c r="B306" s="440">
        <v>3.955816515880799</v>
      </c>
      <c r="C306" s="440">
        <v>0.55608207677003374</v>
      </c>
      <c r="D306" s="440">
        <v>7.8064428339200062E-2</v>
      </c>
      <c r="E306" s="440">
        <f t="shared" si="140"/>
        <v>4.5899630209900328</v>
      </c>
      <c r="F306" s="441"/>
      <c r="G306" s="440">
        <v>3.4566941033814675</v>
      </c>
      <c r="H306" s="440">
        <v>0.43448601185387986</v>
      </c>
      <c r="I306" s="440">
        <v>0.26654253391074784</v>
      </c>
      <c r="J306" s="440">
        <f t="shared" si="143"/>
        <v>4.1577226491460948</v>
      </c>
      <c r="K306" s="441"/>
      <c r="L306" s="440">
        <v>3.1177697105723463</v>
      </c>
      <c r="M306" s="440">
        <v>0.44831292495377489</v>
      </c>
      <c r="N306" s="440">
        <v>0.2551671498077408</v>
      </c>
      <c r="O306" s="440">
        <f t="shared" si="142"/>
        <v>3.8212497853338618</v>
      </c>
    </row>
    <row r="307" spans="1:15" s="351" customFormat="1" x14ac:dyDescent="0.25">
      <c r="A307" s="362"/>
      <c r="B307" s="440"/>
      <c r="C307" s="440"/>
      <c r="D307" s="440"/>
      <c r="E307" s="440"/>
      <c r="F307" s="441"/>
      <c r="G307" s="440"/>
      <c r="H307" s="440"/>
      <c r="I307" s="440"/>
      <c r="J307" s="440"/>
      <c r="K307" s="441"/>
      <c r="L307" s="440"/>
      <c r="M307" s="440"/>
      <c r="N307" s="440"/>
      <c r="O307" s="440"/>
    </row>
    <row r="308" spans="1:15" s="351" customFormat="1" x14ac:dyDescent="0.25">
      <c r="A308" s="357" t="s">
        <v>32</v>
      </c>
      <c r="B308" s="450">
        <f>SUM(B298:B306)</f>
        <v>90.014999999556139</v>
      </c>
      <c r="C308" s="450">
        <f t="shared" ref="C308:E308" si="144">SUM(C298:C306)</f>
        <v>5.9499999999972228</v>
      </c>
      <c r="D308" s="450">
        <f t="shared" si="144"/>
        <v>2.879000000009508</v>
      </c>
      <c r="E308" s="450">
        <f t="shared" si="144"/>
        <v>98.843999999562882</v>
      </c>
      <c r="F308" s="450"/>
      <c r="G308" s="450">
        <f t="shared" ref="G308:J308" si="145">SUM(G298:G306)</f>
        <v>71.2279999997224</v>
      </c>
      <c r="H308" s="450">
        <f t="shared" si="145"/>
        <v>6.7740000000064979</v>
      </c>
      <c r="I308" s="450">
        <f t="shared" si="145"/>
        <v>3.9810000000139816</v>
      </c>
      <c r="J308" s="450">
        <f t="shared" si="145"/>
        <v>81.982999999742873</v>
      </c>
      <c r="K308" s="450"/>
      <c r="L308" s="450">
        <f t="shared" ref="L308:O308" si="146">SUM(L298:L306)</f>
        <v>68.433999999720427</v>
      </c>
      <c r="M308" s="450">
        <f t="shared" si="146"/>
        <v>6.8470000000061537</v>
      </c>
      <c r="N308" s="450">
        <f t="shared" si="146"/>
        <v>3.7030000000163561</v>
      </c>
      <c r="O308" s="450">
        <f t="shared" si="146"/>
        <v>78.983999999742935</v>
      </c>
    </row>
    <row r="309" spans="1:15" s="351" customFormat="1" x14ac:dyDescent="0.25">
      <c r="A309" s="348"/>
      <c r="B309" s="348"/>
      <c r="C309" s="348"/>
      <c r="D309" s="348"/>
      <c r="E309" s="348"/>
      <c r="F309" s="348"/>
      <c r="G309" s="348"/>
      <c r="H309" s="348"/>
      <c r="I309" s="348"/>
      <c r="J309" s="348"/>
      <c r="K309" s="348"/>
      <c r="L309" s="348"/>
      <c r="M309" s="348"/>
      <c r="N309" s="353"/>
    </row>
    <row r="310" spans="1:15" s="351" customFormat="1" x14ac:dyDescent="0.25">
      <c r="A310" s="348"/>
      <c r="B310" s="348"/>
      <c r="C310" s="348"/>
      <c r="D310" s="348"/>
      <c r="E310" s="348"/>
      <c r="F310" s="348"/>
      <c r="G310" s="348"/>
      <c r="H310" s="348"/>
      <c r="I310" s="348"/>
      <c r="J310" s="348"/>
      <c r="K310" s="348"/>
      <c r="L310" s="348"/>
      <c r="M310" s="348"/>
      <c r="N310" s="353"/>
      <c r="O310" s="367" t="s">
        <v>35</v>
      </c>
    </row>
    <row r="311" spans="1:15" s="351" customFormat="1" x14ac:dyDescent="0.25">
      <c r="A311" s="355"/>
      <c r="B311" s="355"/>
      <c r="C311" s="355"/>
      <c r="D311" s="355"/>
      <c r="E311" s="355"/>
      <c r="F311" s="355"/>
      <c r="G311" s="355"/>
      <c r="H311" s="355"/>
      <c r="I311" s="355"/>
      <c r="J311" s="355"/>
      <c r="K311" s="355"/>
      <c r="L311" s="355"/>
      <c r="M311" s="355"/>
      <c r="N311" s="355"/>
      <c r="O311" s="355"/>
    </row>
    <row r="312" spans="1:15" s="351" customFormat="1" x14ac:dyDescent="0.25">
      <c r="A312" s="354" t="str">
        <f>name!A21</f>
        <v>Machinery n.e.c.</v>
      </c>
      <c r="B312" s="517">
        <f>$B$6</f>
        <v>2007</v>
      </c>
      <c r="C312" s="517"/>
      <c r="D312" s="517"/>
      <c r="E312" s="517"/>
      <c r="F312" s="380"/>
      <c r="G312" s="517">
        <f>$G$6</f>
        <v>2017</v>
      </c>
      <c r="H312" s="517"/>
      <c r="I312" s="517"/>
      <c r="J312" s="517"/>
      <c r="K312" s="380"/>
      <c r="L312" s="517">
        <f>$L$6</f>
        <v>2027</v>
      </c>
      <c r="M312" s="517"/>
      <c r="N312" s="517"/>
      <c r="O312" s="517"/>
    </row>
    <row r="313" spans="1:15" s="351" customFormat="1" x14ac:dyDescent="0.25">
      <c r="A313" s="370"/>
      <c r="B313" s="388" t="str">
        <f>$B$7</f>
        <v>FT</v>
      </c>
      <c r="C313" s="388" t="str">
        <f>$C$7</f>
        <v>PT</v>
      </c>
      <c r="D313" s="388" t="str">
        <f>$D$7</f>
        <v>SE</v>
      </c>
      <c r="E313" s="388" t="str">
        <f>$E$7</f>
        <v>Total</v>
      </c>
      <c r="F313" s="388"/>
      <c r="G313" s="388" t="str">
        <f>$G$7</f>
        <v>FT</v>
      </c>
      <c r="H313" s="388" t="str">
        <f>$H$7</f>
        <v>PT</v>
      </c>
      <c r="I313" s="388" t="str">
        <f>$I$7</f>
        <v>SE</v>
      </c>
      <c r="J313" s="388" t="str">
        <f>$J$7</f>
        <v>Total</v>
      </c>
      <c r="K313" s="388"/>
      <c r="L313" s="388" t="str">
        <f>$L$7</f>
        <v>FT</v>
      </c>
      <c r="M313" s="388" t="str">
        <f>$M$7</f>
        <v>PT</v>
      </c>
      <c r="N313" s="388" t="str">
        <f>$N$7</f>
        <v>SE</v>
      </c>
      <c r="O313" s="388" t="str">
        <f>$O$7</f>
        <v>Total</v>
      </c>
    </row>
    <row r="314" spans="1:15" s="351" customFormat="1" x14ac:dyDescent="0.25">
      <c r="A314" s="374"/>
      <c r="B314" s="350"/>
      <c r="C314" s="350"/>
      <c r="D314" s="350"/>
      <c r="E314" s="350"/>
      <c r="F314" s="350"/>
      <c r="G314" s="350"/>
      <c r="H314" s="350"/>
      <c r="I314" s="350"/>
      <c r="J314" s="350"/>
      <c r="K314" s="350"/>
      <c r="L314" s="350"/>
      <c r="M314" s="350"/>
      <c r="N314" s="350"/>
      <c r="O314" s="350"/>
    </row>
    <row r="315" spans="1:15" s="351" customFormat="1" x14ac:dyDescent="0.25">
      <c r="A315" s="362" t="str">
        <f>name!E$4</f>
        <v>Managers, directors and senior officials</v>
      </c>
      <c r="B315" s="440">
        <v>20.830514390010222</v>
      </c>
      <c r="C315" s="440">
        <v>1.1340050015862273</v>
      </c>
      <c r="D315" s="440">
        <v>1.6277881473500346</v>
      </c>
      <c r="E315" s="440">
        <f>SUM(B315:D315)</f>
        <v>23.592307538946486</v>
      </c>
      <c r="F315" s="441"/>
      <c r="G315" s="440">
        <v>22.531207057407212</v>
      </c>
      <c r="H315" s="440">
        <v>1.3345011872110648</v>
      </c>
      <c r="I315" s="440">
        <v>1.2960770986871342</v>
      </c>
      <c r="J315" s="440">
        <f>SUM(G315:I315)</f>
        <v>25.161785343305411</v>
      </c>
      <c r="K315" s="441"/>
      <c r="L315" s="440">
        <v>22.544539828760286</v>
      </c>
      <c r="M315" s="440">
        <v>3.0389293612188162</v>
      </c>
      <c r="N315" s="440">
        <v>1.9671966442881224</v>
      </c>
      <c r="O315" s="440">
        <f>SUM(L315:N315)</f>
        <v>27.550665834267225</v>
      </c>
    </row>
    <row r="316" spans="1:15" s="351" customFormat="1" x14ac:dyDescent="0.25">
      <c r="A316" s="362" t="str">
        <f>name!E$5</f>
        <v>Professional occupations</v>
      </c>
      <c r="B316" s="440">
        <v>28.332169173406541</v>
      </c>
      <c r="C316" s="440">
        <v>0.97116602220306991</v>
      </c>
      <c r="D316" s="440">
        <v>0.85126646583609089</v>
      </c>
      <c r="E316" s="440">
        <f t="shared" ref="E316:E323" si="147">SUM(B316:D316)</f>
        <v>30.154601661445703</v>
      </c>
      <c r="F316" s="441"/>
      <c r="G316" s="440">
        <v>31.101242851538235</v>
      </c>
      <c r="H316" s="440">
        <v>0.97462313319156324</v>
      </c>
      <c r="I316" s="440">
        <v>0.69306722596364922</v>
      </c>
      <c r="J316" s="440">
        <f t="shared" ref="J316:J318" si="148">SUM(G316:I316)</f>
        <v>32.768933210693447</v>
      </c>
      <c r="K316" s="441"/>
      <c r="L316" s="440">
        <v>30.023708257231899</v>
      </c>
      <c r="M316" s="440">
        <v>2.169549762088852</v>
      </c>
      <c r="N316" s="440">
        <v>0.94477161500040985</v>
      </c>
      <c r="O316" s="440">
        <f t="shared" ref="O316:O323" si="149">SUM(L316:N316)</f>
        <v>33.138029634321164</v>
      </c>
    </row>
    <row r="317" spans="1:15" s="351" customFormat="1" x14ac:dyDescent="0.25">
      <c r="A317" s="362" t="str">
        <f>name!E$6</f>
        <v>Associate professional and technical</v>
      </c>
      <c r="B317" s="440">
        <v>29.476012643087859</v>
      </c>
      <c r="C317" s="440">
        <v>0.97135596625112997</v>
      </c>
      <c r="D317" s="440">
        <v>0.49167570111118625</v>
      </c>
      <c r="E317" s="440">
        <f t="shared" si="147"/>
        <v>30.939044310450178</v>
      </c>
      <c r="F317" s="441"/>
      <c r="G317" s="440">
        <v>25.112445943060383</v>
      </c>
      <c r="H317" s="440">
        <v>0.89445836463333916</v>
      </c>
      <c r="I317" s="440">
        <v>0.43214132232632047</v>
      </c>
      <c r="J317" s="440">
        <f t="shared" si="148"/>
        <v>26.439045630020043</v>
      </c>
      <c r="K317" s="441"/>
      <c r="L317" s="440">
        <v>23.861889925335191</v>
      </c>
      <c r="M317" s="440">
        <v>1.9088220697993896</v>
      </c>
      <c r="N317" s="440">
        <v>0.57213764986716453</v>
      </c>
      <c r="O317" s="440">
        <f t="shared" si="149"/>
        <v>26.342849645001746</v>
      </c>
    </row>
    <row r="318" spans="1:15" s="351" customFormat="1" x14ac:dyDescent="0.25">
      <c r="A318" s="362" t="str">
        <f>name!E$7</f>
        <v>Administrative and secretarial</v>
      </c>
      <c r="B318" s="440">
        <v>13.293447901354805</v>
      </c>
      <c r="C318" s="440">
        <v>4.8006979095332829</v>
      </c>
      <c r="D318" s="440">
        <v>0.2898614366971542</v>
      </c>
      <c r="E318" s="440">
        <f t="shared" si="147"/>
        <v>18.384007247585242</v>
      </c>
      <c r="F318" s="441"/>
      <c r="G318" s="440">
        <v>9.7630038430876898</v>
      </c>
      <c r="H318" s="440">
        <v>3.4641379115414246</v>
      </c>
      <c r="I318" s="440">
        <v>0.12414373906608797</v>
      </c>
      <c r="J318" s="440">
        <f t="shared" si="148"/>
        <v>13.351285493695203</v>
      </c>
      <c r="K318" s="441"/>
      <c r="L318" s="440">
        <v>7.9147792645464312</v>
      </c>
      <c r="M318" s="440">
        <v>5.0937629631326029</v>
      </c>
      <c r="N318" s="440">
        <v>0.15071264928992212</v>
      </c>
      <c r="O318" s="440">
        <f t="shared" si="149"/>
        <v>13.159254876968955</v>
      </c>
    </row>
    <row r="319" spans="1:15" s="351" customFormat="1" x14ac:dyDescent="0.25">
      <c r="A319" s="362" t="str">
        <f>name!E$8</f>
        <v>Skilled trades occupations</v>
      </c>
      <c r="B319" s="440">
        <v>55.794314826172936</v>
      </c>
      <c r="C319" s="440">
        <v>0.81202894082200594</v>
      </c>
      <c r="D319" s="440">
        <v>2.433149147095647</v>
      </c>
      <c r="E319" s="440">
        <f t="shared" si="147"/>
        <v>59.039492914090587</v>
      </c>
      <c r="F319" s="441"/>
      <c r="G319" s="440">
        <v>46.480808368500306</v>
      </c>
      <c r="H319" s="440">
        <v>0.66110680244287912</v>
      </c>
      <c r="I319" s="440">
        <v>1.737815821845264</v>
      </c>
      <c r="J319" s="440">
        <f>SUM(G319:I319)</f>
        <v>48.879730992788453</v>
      </c>
      <c r="K319" s="441"/>
      <c r="L319" s="440">
        <v>37.262127664994402</v>
      </c>
      <c r="M319" s="440">
        <v>1.2574443864248963</v>
      </c>
      <c r="N319" s="440">
        <v>2.2986075270366606</v>
      </c>
      <c r="O319" s="440">
        <f t="shared" si="149"/>
        <v>40.818179578455954</v>
      </c>
    </row>
    <row r="320" spans="1:15" s="351" customFormat="1" x14ac:dyDescent="0.25">
      <c r="A320" s="362" t="str">
        <f>name!E$9</f>
        <v>Caring, leisure and other service</v>
      </c>
      <c r="B320" s="440">
        <v>1.9944723610140387</v>
      </c>
      <c r="C320" s="440">
        <v>0.62736219778211488</v>
      </c>
      <c r="D320" s="440">
        <v>0.17090008483127134</v>
      </c>
      <c r="E320" s="440">
        <f t="shared" si="147"/>
        <v>2.792734643627425</v>
      </c>
      <c r="F320" s="441"/>
      <c r="G320" s="440">
        <v>1.3158794855652296</v>
      </c>
      <c r="H320" s="440">
        <v>0.43498324158255025</v>
      </c>
      <c r="I320" s="440">
        <v>7.3799709950268008E-2</v>
      </c>
      <c r="J320" s="440">
        <f t="shared" ref="J320:J323" si="150">SUM(G320:I320)</f>
        <v>1.824662437098048</v>
      </c>
      <c r="K320" s="441"/>
      <c r="L320" s="440">
        <v>1.1936159157088868</v>
      </c>
      <c r="M320" s="440">
        <v>0.75050007749081371</v>
      </c>
      <c r="N320" s="440">
        <v>0.11110279138490191</v>
      </c>
      <c r="O320" s="440">
        <f t="shared" si="149"/>
        <v>2.0552187845846026</v>
      </c>
    </row>
    <row r="321" spans="1:15" s="351" customFormat="1" x14ac:dyDescent="0.25">
      <c r="A321" s="362" t="str">
        <f>name!E$10</f>
        <v>Sales and customer service</v>
      </c>
      <c r="B321" s="440">
        <v>4.3445585386769672</v>
      </c>
      <c r="C321" s="440">
        <v>0.71338016959088724</v>
      </c>
      <c r="D321" s="440">
        <v>9.4466240104416177E-2</v>
      </c>
      <c r="E321" s="440">
        <f t="shared" si="147"/>
        <v>5.1524049483722703</v>
      </c>
      <c r="F321" s="441"/>
      <c r="G321" s="440">
        <v>5.6538904410142221</v>
      </c>
      <c r="H321" s="440">
        <v>0.68932886788403958</v>
      </c>
      <c r="I321" s="440">
        <v>5.6262327461973467E-2</v>
      </c>
      <c r="J321" s="440">
        <f t="shared" si="150"/>
        <v>6.3994816363602354</v>
      </c>
      <c r="K321" s="441"/>
      <c r="L321" s="440">
        <v>5.0168279391062418</v>
      </c>
      <c r="M321" s="440">
        <v>1.3767908799378274</v>
      </c>
      <c r="N321" s="440">
        <v>8.1556114059644677E-2</v>
      </c>
      <c r="O321" s="440">
        <f t="shared" si="149"/>
        <v>6.4751749331037134</v>
      </c>
    </row>
    <row r="322" spans="1:15" s="351" customFormat="1" x14ac:dyDescent="0.25">
      <c r="A322" s="362" t="str">
        <f>name!E$11</f>
        <v>Process, plant and machine operatives</v>
      </c>
      <c r="B322" s="440">
        <v>40.513741038084873</v>
      </c>
      <c r="C322" s="440">
        <v>1.5552590386191114</v>
      </c>
      <c r="D322" s="440">
        <v>0.41099358034743161</v>
      </c>
      <c r="E322" s="440">
        <f t="shared" si="147"/>
        <v>42.479993657051416</v>
      </c>
      <c r="F322" s="441"/>
      <c r="G322" s="440">
        <v>24.41442958062316</v>
      </c>
      <c r="H322" s="440">
        <v>0.85500277529587543</v>
      </c>
      <c r="I322" s="440">
        <v>0.34087577629977506</v>
      </c>
      <c r="J322" s="440">
        <f t="shared" si="150"/>
        <v>25.610308132218812</v>
      </c>
      <c r="K322" s="441"/>
      <c r="L322" s="440">
        <v>18.593032321431743</v>
      </c>
      <c r="M322" s="440">
        <v>1.4003269824886366</v>
      </c>
      <c r="N322" s="440">
        <v>0.43586859781467491</v>
      </c>
      <c r="O322" s="440">
        <f t="shared" si="149"/>
        <v>20.429227901735054</v>
      </c>
    </row>
    <row r="323" spans="1:15" s="351" customFormat="1" x14ac:dyDescent="0.25">
      <c r="A323" s="362" t="str">
        <f>name!E$12</f>
        <v>Elementary occupations</v>
      </c>
      <c r="B323" s="440">
        <v>11.087769127385727</v>
      </c>
      <c r="C323" s="440">
        <v>1.6677447536088135</v>
      </c>
      <c r="D323" s="440">
        <v>0.3468991966512816</v>
      </c>
      <c r="E323" s="440">
        <f t="shared" si="147"/>
        <v>13.102413077645823</v>
      </c>
      <c r="F323" s="441"/>
      <c r="G323" s="440">
        <v>7.5980924284747413</v>
      </c>
      <c r="H323" s="440">
        <v>0.72685771624503492</v>
      </c>
      <c r="I323" s="440">
        <v>0.21981697837678355</v>
      </c>
      <c r="J323" s="440">
        <f t="shared" si="150"/>
        <v>8.5447671230965607</v>
      </c>
      <c r="K323" s="441"/>
      <c r="L323" s="440">
        <v>6.3384788823308869</v>
      </c>
      <c r="M323" s="440">
        <v>1.3918735174402537</v>
      </c>
      <c r="N323" s="440">
        <v>0.32704641125615852</v>
      </c>
      <c r="O323" s="440">
        <f t="shared" si="149"/>
        <v>8.0573988110272996</v>
      </c>
    </row>
    <row r="324" spans="1:15" s="351" customFormat="1" x14ac:dyDescent="0.25">
      <c r="A324" s="362"/>
      <c r="B324" s="440"/>
      <c r="C324" s="440"/>
      <c r="D324" s="440"/>
      <c r="E324" s="440"/>
      <c r="F324" s="441"/>
      <c r="G324" s="440"/>
      <c r="H324" s="440"/>
      <c r="I324" s="440"/>
      <c r="J324" s="440"/>
      <c r="K324" s="441"/>
      <c r="L324" s="440"/>
      <c r="M324" s="440"/>
      <c r="N324" s="440"/>
      <c r="O324" s="440"/>
    </row>
    <row r="325" spans="1:15" s="351" customFormat="1" x14ac:dyDescent="0.25">
      <c r="A325" s="357" t="s">
        <v>32</v>
      </c>
      <c r="B325" s="450">
        <f>SUM(B315:B323)</f>
        <v>205.66699999919399</v>
      </c>
      <c r="C325" s="450">
        <f t="shared" ref="C325:E325" si="151">SUM(C315:C323)</f>
        <v>13.252999999996643</v>
      </c>
      <c r="D325" s="450">
        <f t="shared" si="151"/>
        <v>6.7170000000245134</v>
      </c>
      <c r="E325" s="450">
        <f t="shared" si="151"/>
        <v>225.63699999921513</v>
      </c>
      <c r="F325" s="450"/>
      <c r="G325" s="450">
        <f t="shared" ref="G325:J325" si="152">SUM(G315:G323)</f>
        <v>173.97099999927119</v>
      </c>
      <c r="H325" s="450">
        <f t="shared" si="152"/>
        <v>10.035000000027773</v>
      </c>
      <c r="I325" s="450">
        <f t="shared" si="152"/>
        <v>4.9739999999772557</v>
      </c>
      <c r="J325" s="450">
        <f t="shared" si="152"/>
        <v>188.97999999927623</v>
      </c>
      <c r="K325" s="450"/>
      <c r="L325" s="450">
        <f t="shared" ref="L325:O325" si="153">SUM(L315:L323)</f>
        <v>152.74899999944597</v>
      </c>
      <c r="M325" s="450">
        <f t="shared" si="153"/>
        <v>18.388000000022089</v>
      </c>
      <c r="N325" s="450">
        <f t="shared" si="153"/>
        <v>6.8889999999976599</v>
      </c>
      <c r="O325" s="450">
        <f t="shared" si="153"/>
        <v>178.02599999946574</v>
      </c>
    </row>
    <row r="326" spans="1:15" s="351" customFormat="1" x14ac:dyDescent="0.25">
      <c r="A326" s="348"/>
      <c r="B326" s="348"/>
      <c r="C326" s="348"/>
      <c r="D326" s="348"/>
      <c r="E326" s="348"/>
      <c r="F326" s="348"/>
      <c r="G326" s="348"/>
      <c r="H326" s="348"/>
      <c r="I326" s="348"/>
      <c r="J326" s="348"/>
      <c r="K326" s="348"/>
      <c r="L326" s="348"/>
      <c r="M326" s="348"/>
      <c r="N326" s="353"/>
    </row>
    <row r="327" spans="1:15" s="351" customFormat="1" x14ac:dyDescent="0.25">
      <c r="A327" s="348"/>
      <c r="B327" s="348"/>
      <c r="C327" s="348"/>
      <c r="D327" s="348"/>
      <c r="E327" s="348"/>
      <c r="F327" s="348"/>
      <c r="G327" s="348"/>
      <c r="H327" s="348"/>
      <c r="I327" s="348"/>
      <c r="J327" s="348"/>
      <c r="K327" s="348"/>
      <c r="L327" s="348"/>
      <c r="M327" s="348"/>
      <c r="N327" s="353"/>
      <c r="O327" s="367" t="s">
        <v>35</v>
      </c>
    </row>
    <row r="328" spans="1:15" s="351" customFormat="1" x14ac:dyDescent="0.25">
      <c r="A328" s="355"/>
      <c r="B328" s="355"/>
      <c r="C328" s="355"/>
      <c r="D328" s="355"/>
      <c r="E328" s="355"/>
      <c r="F328" s="355"/>
      <c r="G328" s="355"/>
      <c r="H328" s="355"/>
      <c r="I328" s="355"/>
      <c r="J328" s="355"/>
      <c r="K328" s="355"/>
      <c r="L328" s="355"/>
      <c r="M328" s="355"/>
      <c r="N328" s="355"/>
      <c r="O328" s="355"/>
    </row>
    <row r="329" spans="1:15" s="351" customFormat="1" x14ac:dyDescent="0.25">
      <c r="A329" s="354" t="str">
        <f>name!A22</f>
        <v>Motor vehicles, etc</v>
      </c>
      <c r="B329" s="517">
        <f>$B$6</f>
        <v>2007</v>
      </c>
      <c r="C329" s="517"/>
      <c r="D329" s="517"/>
      <c r="E329" s="517"/>
      <c r="F329" s="380"/>
      <c r="G329" s="517">
        <f>$G$6</f>
        <v>2017</v>
      </c>
      <c r="H329" s="517"/>
      <c r="I329" s="517"/>
      <c r="J329" s="517"/>
      <c r="K329" s="380"/>
      <c r="L329" s="517">
        <f>$L$6</f>
        <v>2027</v>
      </c>
      <c r="M329" s="517"/>
      <c r="N329" s="517"/>
      <c r="O329" s="517"/>
    </row>
    <row r="330" spans="1:15" s="351" customFormat="1" x14ac:dyDescent="0.25">
      <c r="A330" s="370"/>
      <c r="B330" s="388" t="str">
        <f>$B$7</f>
        <v>FT</v>
      </c>
      <c r="C330" s="388" t="str">
        <f>$C$7</f>
        <v>PT</v>
      </c>
      <c r="D330" s="388" t="str">
        <f>$D$7</f>
        <v>SE</v>
      </c>
      <c r="E330" s="388" t="str">
        <f>$E$7</f>
        <v>Total</v>
      </c>
      <c r="F330" s="388"/>
      <c r="G330" s="388" t="str">
        <f>$G$7</f>
        <v>FT</v>
      </c>
      <c r="H330" s="388" t="str">
        <f>$H$7</f>
        <v>PT</v>
      </c>
      <c r="I330" s="388" t="str">
        <f>$I$7</f>
        <v>SE</v>
      </c>
      <c r="J330" s="388" t="str">
        <f>$J$7</f>
        <v>Total</v>
      </c>
      <c r="K330" s="388"/>
      <c r="L330" s="388" t="str">
        <f>$L$7</f>
        <v>FT</v>
      </c>
      <c r="M330" s="388" t="str">
        <f>$M$7</f>
        <v>PT</v>
      </c>
      <c r="N330" s="388" t="str">
        <f>$N$7</f>
        <v>SE</v>
      </c>
      <c r="O330" s="388" t="str">
        <f>$O$7</f>
        <v>Total</v>
      </c>
    </row>
    <row r="331" spans="1:15" s="351" customFormat="1" x14ac:dyDescent="0.25">
      <c r="A331" s="374"/>
      <c r="B331" s="350"/>
      <c r="C331" s="350"/>
      <c r="D331" s="350"/>
      <c r="E331" s="350"/>
      <c r="F331" s="350"/>
      <c r="G331" s="350"/>
      <c r="H331" s="350"/>
      <c r="I331" s="350"/>
      <c r="J331" s="350"/>
      <c r="K331" s="350"/>
      <c r="L331" s="350"/>
      <c r="M331" s="350"/>
      <c r="N331" s="350"/>
      <c r="O331" s="350"/>
    </row>
    <row r="332" spans="1:15" s="351" customFormat="1" x14ac:dyDescent="0.25">
      <c r="A332" s="362" t="str">
        <f>name!E$4</f>
        <v>Managers, directors and senior officials</v>
      </c>
      <c r="B332" s="440">
        <v>11.091261886004675</v>
      </c>
      <c r="C332" s="440">
        <v>0.25824715136435139</v>
      </c>
      <c r="D332" s="440">
        <v>1.2885203459963372</v>
      </c>
      <c r="E332" s="440">
        <f>SUM(B332:D332)</f>
        <v>12.638029383365364</v>
      </c>
      <c r="F332" s="441"/>
      <c r="G332" s="440">
        <v>11.703903752482367</v>
      </c>
      <c r="H332" s="440">
        <v>0.26227365539867026</v>
      </c>
      <c r="I332" s="440">
        <v>1.505845568717822</v>
      </c>
      <c r="J332" s="440">
        <f>SUM(G332:I332)</f>
        <v>13.47202297659886</v>
      </c>
      <c r="K332" s="441"/>
      <c r="L332" s="440">
        <v>11.814196179739808</v>
      </c>
      <c r="M332" s="440">
        <v>0.74533043300302571</v>
      </c>
      <c r="N332" s="440">
        <v>1.7447777140371992</v>
      </c>
      <c r="O332" s="440">
        <f>SUM(L332:N332)</f>
        <v>14.304304326780034</v>
      </c>
    </row>
    <row r="333" spans="1:15" s="351" customFormat="1" x14ac:dyDescent="0.25">
      <c r="A333" s="362" t="str">
        <f>name!E$5</f>
        <v>Professional occupations</v>
      </c>
      <c r="B333" s="440">
        <v>24.093765380603745</v>
      </c>
      <c r="C333" s="440">
        <v>0.44642530269319142</v>
      </c>
      <c r="D333" s="440">
        <v>0.57391548142396487</v>
      </c>
      <c r="E333" s="440">
        <f t="shared" ref="E333:E340" si="154">SUM(B333:D333)</f>
        <v>25.114106164720901</v>
      </c>
      <c r="F333" s="441"/>
      <c r="G333" s="440">
        <v>30.149606699281328</v>
      </c>
      <c r="H333" s="440">
        <v>0.48668049322746482</v>
      </c>
      <c r="I333" s="440">
        <v>0.7001362205437266</v>
      </c>
      <c r="J333" s="440">
        <f t="shared" ref="J333:J335" si="155">SUM(G333:I333)</f>
        <v>31.336423413052518</v>
      </c>
      <c r="K333" s="441"/>
      <c r="L333" s="440">
        <v>29.866504166009982</v>
      </c>
      <c r="M333" s="440">
        <v>1.2091617360449705</v>
      </c>
      <c r="N333" s="440">
        <v>0.81121687979077028</v>
      </c>
      <c r="O333" s="440">
        <f t="shared" ref="O333:O340" si="156">SUM(L333:N333)</f>
        <v>31.886882781845721</v>
      </c>
    </row>
    <row r="334" spans="1:15" s="351" customFormat="1" x14ac:dyDescent="0.25">
      <c r="A334" s="362" t="str">
        <f>name!E$6</f>
        <v>Associate professional and technical</v>
      </c>
      <c r="B334" s="440">
        <v>14.84915258395948</v>
      </c>
      <c r="C334" s="440">
        <v>0.67557059605203817</v>
      </c>
      <c r="D334" s="440">
        <v>0.61931415277579072</v>
      </c>
      <c r="E334" s="440">
        <f t="shared" si="154"/>
        <v>16.14403733278731</v>
      </c>
      <c r="F334" s="441"/>
      <c r="G334" s="440">
        <v>15.868984881562897</v>
      </c>
      <c r="H334" s="440">
        <v>0.48375701948671251</v>
      </c>
      <c r="I334" s="440">
        <v>0.64226896358300201</v>
      </c>
      <c r="J334" s="440">
        <f t="shared" si="155"/>
        <v>16.995010864632611</v>
      </c>
      <c r="K334" s="441"/>
      <c r="L334" s="440">
        <v>16.372794869940424</v>
      </c>
      <c r="M334" s="440">
        <v>1.2287373568875655</v>
      </c>
      <c r="N334" s="440">
        <v>0.72585443771677904</v>
      </c>
      <c r="O334" s="440">
        <f t="shared" si="156"/>
        <v>18.327386664544772</v>
      </c>
    </row>
    <row r="335" spans="1:15" s="351" customFormat="1" x14ac:dyDescent="0.25">
      <c r="A335" s="362" t="str">
        <f>name!E$7</f>
        <v>Administrative and secretarial</v>
      </c>
      <c r="B335" s="440">
        <v>10.042671761214764</v>
      </c>
      <c r="C335" s="440">
        <v>1.7205402471256384</v>
      </c>
      <c r="D335" s="440">
        <v>9.4245490938242096E-2</v>
      </c>
      <c r="E335" s="440">
        <f t="shared" si="154"/>
        <v>11.857457499278645</v>
      </c>
      <c r="F335" s="441"/>
      <c r="G335" s="440">
        <v>13.028768602631034</v>
      </c>
      <c r="H335" s="440">
        <v>0.91856224788826579</v>
      </c>
      <c r="I335" s="440">
        <v>0.10181844926007225</v>
      </c>
      <c r="J335" s="440">
        <f t="shared" si="155"/>
        <v>14.049149299779373</v>
      </c>
      <c r="K335" s="441"/>
      <c r="L335" s="440">
        <v>12.89360019975442</v>
      </c>
      <c r="M335" s="440">
        <v>1.8552321319431528</v>
      </c>
      <c r="N335" s="440">
        <v>7.8540165288548736E-2</v>
      </c>
      <c r="O335" s="440">
        <f t="shared" si="156"/>
        <v>14.827372496986122</v>
      </c>
    </row>
    <row r="336" spans="1:15" s="351" customFormat="1" x14ac:dyDescent="0.25">
      <c r="A336" s="362" t="str">
        <f>name!E$8</f>
        <v>Skilled trades occupations</v>
      </c>
      <c r="B336" s="440">
        <v>47.234538838492604</v>
      </c>
      <c r="C336" s="440">
        <v>0.45560036636504569</v>
      </c>
      <c r="D336" s="440">
        <v>2.3478880277718668</v>
      </c>
      <c r="E336" s="440">
        <f t="shared" si="154"/>
        <v>50.038027232629517</v>
      </c>
      <c r="F336" s="441"/>
      <c r="G336" s="440">
        <v>43.798690872097694</v>
      </c>
      <c r="H336" s="440">
        <v>0.28087501640368151</v>
      </c>
      <c r="I336" s="440">
        <v>1.377653748397992</v>
      </c>
      <c r="J336" s="440">
        <f>SUM(G336:I336)</f>
        <v>45.457219636899367</v>
      </c>
      <c r="K336" s="441"/>
      <c r="L336" s="440">
        <v>34.026306685117994</v>
      </c>
      <c r="M336" s="440">
        <v>0.48477024943138031</v>
      </c>
      <c r="N336" s="440">
        <v>1.6650905701537868</v>
      </c>
      <c r="O336" s="440">
        <f t="shared" si="156"/>
        <v>36.176167504703159</v>
      </c>
    </row>
    <row r="337" spans="1:15" s="351" customFormat="1" x14ac:dyDescent="0.25">
      <c r="A337" s="362" t="str">
        <f>name!E$9</f>
        <v>Caring, leisure and other service</v>
      </c>
      <c r="B337" s="440">
        <v>1.7390760388816731</v>
      </c>
      <c r="C337" s="440">
        <v>0.30627029041626924</v>
      </c>
      <c r="D337" s="440">
        <v>8.6488475317349878E-2</v>
      </c>
      <c r="E337" s="440">
        <f t="shared" si="154"/>
        <v>2.1318348046152922</v>
      </c>
      <c r="F337" s="441"/>
      <c r="G337" s="440">
        <v>2.1303566256276718</v>
      </c>
      <c r="H337" s="440">
        <v>0.25046914006405685</v>
      </c>
      <c r="I337" s="440">
        <v>0.14772887920771838</v>
      </c>
      <c r="J337" s="440">
        <f t="shared" ref="J337:J340" si="157">SUM(G337:I337)</f>
        <v>2.5285546448994469</v>
      </c>
      <c r="K337" s="441"/>
      <c r="L337" s="440">
        <v>2.632035418522868</v>
      </c>
      <c r="M337" s="440">
        <v>0.56178506339870704</v>
      </c>
      <c r="N337" s="440">
        <v>0.11138563572731028</v>
      </c>
      <c r="O337" s="440">
        <f t="shared" si="156"/>
        <v>3.3052061176488854</v>
      </c>
    </row>
    <row r="338" spans="1:15" s="351" customFormat="1" x14ac:dyDescent="0.25">
      <c r="A338" s="362" t="str">
        <f>name!E$10</f>
        <v>Sales and customer service</v>
      </c>
      <c r="B338" s="440">
        <v>2.8216073444839136</v>
      </c>
      <c r="C338" s="440">
        <v>0.37234783096960589</v>
      </c>
      <c r="D338" s="440">
        <v>6.5619670807721117E-2</v>
      </c>
      <c r="E338" s="440">
        <f t="shared" si="154"/>
        <v>3.2595748462612408</v>
      </c>
      <c r="F338" s="441"/>
      <c r="G338" s="440">
        <v>4.4489727552806162</v>
      </c>
      <c r="H338" s="440">
        <v>0.287533227388657</v>
      </c>
      <c r="I338" s="440">
        <v>6.5202415734576219E-2</v>
      </c>
      <c r="J338" s="440">
        <f t="shared" si="157"/>
        <v>4.8017083984038491</v>
      </c>
      <c r="K338" s="441"/>
      <c r="L338" s="440">
        <v>4.2024245119586112</v>
      </c>
      <c r="M338" s="440">
        <v>0.65155303735926684</v>
      </c>
      <c r="N338" s="440">
        <v>6.9873309404360442E-2</v>
      </c>
      <c r="O338" s="440">
        <f t="shared" si="156"/>
        <v>4.923850858722238</v>
      </c>
    </row>
    <row r="339" spans="1:15" s="351" customFormat="1" x14ac:dyDescent="0.25">
      <c r="A339" s="362" t="str">
        <f>name!E$11</f>
        <v>Process, plant and machine operatives</v>
      </c>
      <c r="B339" s="440">
        <v>43.64113609046435</v>
      </c>
      <c r="C339" s="440">
        <v>1.0232018608491065</v>
      </c>
      <c r="D339" s="440">
        <v>0.5445598431655736</v>
      </c>
      <c r="E339" s="440">
        <f t="shared" si="154"/>
        <v>45.208897794479029</v>
      </c>
      <c r="F339" s="441"/>
      <c r="G339" s="440">
        <v>42.866101114995871</v>
      </c>
      <c r="H339" s="440">
        <v>0.57260521852697388</v>
      </c>
      <c r="I339" s="440">
        <v>0.29221531840141529</v>
      </c>
      <c r="J339" s="440">
        <f t="shared" si="157"/>
        <v>43.730921651924263</v>
      </c>
      <c r="K339" s="441"/>
      <c r="L339" s="440">
        <v>34.563732579549836</v>
      </c>
      <c r="M339" s="440">
        <v>1.1096149605680596</v>
      </c>
      <c r="N339" s="440">
        <v>0.30454862347439221</v>
      </c>
      <c r="O339" s="440">
        <f t="shared" si="156"/>
        <v>35.977896163592284</v>
      </c>
    </row>
    <row r="340" spans="1:15" s="351" customFormat="1" x14ac:dyDescent="0.25">
      <c r="A340" s="362" t="str">
        <f>name!E$12</f>
        <v>Elementary occupations</v>
      </c>
      <c r="B340" s="440">
        <v>7.4287900752319382</v>
      </c>
      <c r="C340" s="440">
        <v>0.74079635415990619</v>
      </c>
      <c r="D340" s="440">
        <v>0.13344851180539996</v>
      </c>
      <c r="E340" s="440">
        <f t="shared" si="154"/>
        <v>8.3030349411972431</v>
      </c>
      <c r="F340" s="441"/>
      <c r="G340" s="440">
        <v>8.0126146951078994</v>
      </c>
      <c r="H340" s="440">
        <v>0.45524398164027041</v>
      </c>
      <c r="I340" s="440">
        <v>0.1401304361287157</v>
      </c>
      <c r="J340" s="440">
        <f t="shared" si="157"/>
        <v>8.6079891128768864</v>
      </c>
      <c r="K340" s="441"/>
      <c r="L340" s="440">
        <v>6.4384053886182695</v>
      </c>
      <c r="M340" s="440">
        <v>0.87281503138440608</v>
      </c>
      <c r="N340" s="440">
        <v>0.12371266437394232</v>
      </c>
      <c r="O340" s="440">
        <f t="shared" si="156"/>
        <v>7.4349330843766177</v>
      </c>
    </row>
    <row r="341" spans="1:15" s="351" customFormat="1" x14ac:dyDescent="0.25">
      <c r="A341" s="362"/>
      <c r="B341" s="440"/>
      <c r="C341" s="440"/>
      <c r="D341" s="440"/>
      <c r="E341" s="440"/>
      <c r="F341" s="441"/>
      <c r="G341" s="440"/>
      <c r="H341" s="440"/>
      <c r="I341" s="440"/>
      <c r="J341" s="440"/>
      <c r="K341" s="441"/>
      <c r="L341" s="440"/>
      <c r="M341" s="440"/>
      <c r="N341" s="440"/>
      <c r="O341" s="440"/>
    </row>
    <row r="342" spans="1:15" s="351" customFormat="1" x14ac:dyDescent="0.25">
      <c r="A342" s="357" t="s">
        <v>32</v>
      </c>
      <c r="B342" s="450">
        <f>SUM(B332:B340)</f>
        <v>162.94199999933716</v>
      </c>
      <c r="C342" s="450">
        <f t="shared" ref="C342:E342" si="158">SUM(C332:C340)</f>
        <v>5.9989999999951529</v>
      </c>
      <c r="D342" s="450">
        <f t="shared" si="158"/>
        <v>5.7540000000022467</v>
      </c>
      <c r="E342" s="450">
        <f t="shared" si="158"/>
        <v>174.69499999933456</v>
      </c>
      <c r="F342" s="450"/>
      <c r="G342" s="450">
        <f t="shared" ref="G342:J342" si="159">SUM(G332:G340)</f>
        <v>172.00799999906741</v>
      </c>
      <c r="H342" s="450">
        <f t="shared" si="159"/>
        <v>3.9980000000247524</v>
      </c>
      <c r="I342" s="450">
        <f t="shared" si="159"/>
        <v>4.9729999999750394</v>
      </c>
      <c r="J342" s="450">
        <f t="shared" si="159"/>
        <v>180.97899999906716</v>
      </c>
      <c r="K342" s="450"/>
      <c r="L342" s="450">
        <f t="shared" ref="L342:O342" si="160">SUM(L332:L340)</f>
        <v>152.80999999921221</v>
      </c>
      <c r="M342" s="450">
        <f t="shared" si="160"/>
        <v>8.7190000000205341</v>
      </c>
      <c r="N342" s="450">
        <f t="shared" si="160"/>
        <v>5.6349999999670892</v>
      </c>
      <c r="O342" s="450">
        <f t="shared" si="160"/>
        <v>167.1639999991998</v>
      </c>
    </row>
    <row r="343" spans="1:15" s="351" customFormat="1" x14ac:dyDescent="0.25">
      <c r="A343" s="348"/>
      <c r="B343" s="348"/>
      <c r="C343" s="348"/>
      <c r="D343" s="348"/>
      <c r="E343" s="348"/>
      <c r="F343" s="348"/>
      <c r="G343" s="348"/>
      <c r="H343" s="348"/>
      <c r="I343" s="348"/>
      <c r="J343" s="348"/>
      <c r="K343" s="348"/>
      <c r="L343" s="348"/>
      <c r="M343" s="348"/>
      <c r="N343" s="353"/>
    </row>
    <row r="344" spans="1:15" s="351" customFormat="1" x14ac:dyDescent="0.25">
      <c r="A344" s="348"/>
      <c r="B344" s="348"/>
      <c r="C344" s="348"/>
      <c r="D344" s="348"/>
      <c r="E344" s="348"/>
      <c r="F344" s="348"/>
      <c r="G344" s="348"/>
      <c r="H344" s="348"/>
      <c r="I344" s="348"/>
      <c r="J344" s="348"/>
      <c r="K344" s="348"/>
      <c r="L344" s="348"/>
      <c r="M344" s="348"/>
      <c r="N344" s="353"/>
      <c r="O344" s="367" t="s">
        <v>35</v>
      </c>
    </row>
    <row r="345" spans="1:15" s="351" customFormat="1" x14ac:dyDescent="0.25">
      <c r="A345" s="355"/>
      <c r="B345" s="355"/>
      <c r="C345" s="355"/>
      <c r="D345" s="355"/>
      <c r="E345" s="355"/>
      <c r="F345" s="355"/>
      <c r="G345" s="355"/>
      <c r="H345" s="355"/>
      <c r="I345" s="355"/>
      <c r="J345" s="355"/>
      <c r="K345" s="355"/>
      <c r="L345" s="355"/>
      <c r="M345" s="355"/>
      <c r="N345" s="355"/>
      <c r="O345" s="355"/>
    </row>
    <row r="346" spans="1:15" s="351" customFormat="1" x14ac:dyDescent="0.25">
      <c r="A346" s="354" t="str">
        <f>name!A23</f>
        <v>Other transport equipment</v>
      </c>
      <c r="B346" s="517">
        <f>$B$6</f>
        <v>2007</v>
      </c>
      <c r="C346" s="517"/>
      <c r="D346" s="517"/>
      <c r="E346" s="517"/>
      <c r="F346" s="380"/>
      <c r="G346" s="517">
        <f>$G$6</f>
        <v>2017</v>
      </c>
      <c r="H346" s="517"/>
      <c r="I346" s="517"/>
      <c r="J346" s="517"/>
      <c r="K346" s="380"/>
      <c r="L346" s="517">
        <f>$L$6</f>
        <v>2027</v>
      </c>
      <c r="M346" s="517"/>
      <c r="N346" s="517"/>
      <c r="O346" s="517"/>
    </row>
    <row r="347" spans="1:15" s="351" customFormat="1" x14ac:dyDescent="0.25">
      <c r="A347" s="370"/>
      <c r="B347" s="388" t="str">
        <f>$B$7</f>
        <v>FT</v>
      </c>
      <c r="C347" s="388" t="str">
        <f>$C$7</f>
        <v>PT</v>
      </c>
      <c r="D347" s="388" t="str">
        <f>$D$7</f>
        <v>SE</v>
      </c>
      <c r="E347" s="388" t="str">
        <f>$E$7</f>
        <v>Total</v>
      </c>
      <c r="F347" s="388"/>
      <c r="G347" s="388" t="str">
        <f>$G$7</f>
        <v>FT</v>
      </c>
      <c r="H347" s="388" t="str">
        <f>$H$7</f>
        <v>PT</v>
      </c>
      <c r="I347" s="388" t="str">
        <f>$I$7</f>
        <v>SE</v>
      </c>
      <c r="J347" s="388" t="str">
        <f>$J$7</f>
        <v>Total</v>
      </c>
      <c r="K347" s="388"/>
      <c r="L347" s="388" t="str">
        <f>$L$7</f>
        <v>FT</v>
      </c>
      <c r="M347" s="388" t="str">
        <f>$M$7</f>
        <v>PT</v>
      </c>
      <c r="N347" s="388" t="str">
        <f>$N$7</f>
        <v>SE</v>
      </c>
      <c r="O347" s="388" t="str">
        <f>$O$7</f>
        <v>Total</v>
      </c>
    </row>
    <row r="348" spans="1:15" s="351" customFormat="1" x14ac:dyDescent="0.25">
      <c r="A348" s="374"/>
      <c r="B348" s="350"/>
      <c r="C348" s="350"/>
      <c r="D348" s="350"/>
      <c r="E348" s="350"/>
      <c r="F348" s="350"/>
      <c r="G348" s="350"/>
      <c r="H348" s="350"/>
      <c r="I348" s="350"/>
      <c r="J348" s="350"/>
      <c r="K348" s="350"/>
      <c r="L348" s="350"/>
      <c r="M348" s="350"/>
      <c r="N348" s="350"/>
      <c r="O348" s="350"/>
    </row>
    <row r="349" spans="1:15" s="351" customFormat="1" x14ac:dyDescent="0.25">
      <c r="A349" s="362" t="str">
        <f>name!E$4</f>
        <v>Managers, directors and senior officials</v>
      </c>
      <c r="B349" s="440">
        <v>8.1111335995742628</v>
      </c>
      <c r="C349" s="440">
        <v>0.38039415771171275</v>
      </c>
      <c r="D349" s="440">
        <v>0.87948147239079733</v>
      </c>
      <c r="E349" s="440">
        <f>SUM(B349:D349)</f>
        <v>9.3710092296767726</v>
      </c>
      <c r="F349" s="441"/>
      <c r="G349" s="440">
        <v>11.350360942317081</v>
      </c>
      <c r="H349" s="440">
        <v>0.69450414612966394</v>
      </c>
      <c r="I349" s="440">
        <v>0.92489210982312564</v>
      </c>
      <c r="J349" s="440">
        <f>SUM(G349:I349)</f>
        <v>12.969757198269871</v>
      </c>
      <c r="K349" s="441"/>
      <c r="L349" s="440">
        <v>13.692434409644255</v>
      </c>
      <c r="M349" s="440">
        <v>0.87303159131320784</v>
      </c>
      <c r="N349" s="440">
        <v>1.0824651257932822</v>
      </c>
      <c r="O349" s="440">
        <f>SUM(L349:N349)</f>
        <v>15.647931126750745</v>
      </c>
    </row>
    <row r="350" spans="1:15" s="351" customFormat="1" x14ac:dyDescent="0.25">
      <c r="A350" s="362" t="str">
        <f>name!E$5</f>
        <v>Professional occupations</v>
      </c>
      <c r="B350" s="440">
        <v>23.548594238838817</v>
      </c>
      <c r="C350" s="440">
        <v>0.51294003040836478</v>
      </c>
      <c r="D350" s="440">
        <v>0.75101056427476753</v>
      </c>
      <c r="E350" s="440">
        <f t="shared" ref="E350:E357" si="161">SUM(B350:D350)</f>
        <v>24.812544833521951</v>
      </c>
      <c r="F350" s="441"/>
      <c r="G350" s="440">
        <v>34.250211906123518</v>
      </c>
      <c r="H350" s="440">
        <v>0.99290968085594244</v>
      </c>
      <c r="I350" s="440">
        <v>0.85908589275979541</v>
      </c>
      <c r="J350" s="440">
        <f t="shared" ref="J350:J352" si="162">SUM(G350:I350)</f>
        <v>36.102207479739256</v>
      </c>
      <c r="K350" s="441"/>
      <c r="L350" s="440">
        <v>41.635045262501734</v>
      </c>
      <c r="M350" s="440">
        <v>1.1766807384621267</v>
      </c>
      <c r="N350" s="440">
        <v>0.94638752857574349</v>
      </c>
      <c r="O350" s="440">
        <f t="shared" ref="O350:O357" si="163">SUM(L350:N350)</f>
        <v>43.7581135295396</v>
      </c>
    </row>
    <row r="351" spans="1:15" s="351" customFormat="1" x14ac:dyDescent="0.25">
      <c r="A351" s="362" t="str">
        <f>name!E$6</f>
        <v>Associate professional and technical</v>
      </c>
      <c r="B351" s="440">
        <v>16.439863430592684</v>
      </c>
      <c r="C351" s="440">
        <v>0.3422582974346276</v>
      </c>
      <c r="D351" s="440">
        <v>0.62053371973280103</v>
      </c>
      <c r="E351" s="440">
        <f t="shared" si="161"/>
        <v>17.402655447760115</v>
      </c>
      <c r="F351" s="441"/>
      <c r="G351" s="440">
        <v>17.229627653454664</v>
      </c>
      <c r="H351" s="440">
        <v>0.45433236952218353</v>
      </c>
      <c r="I351" s="440">
        <v>0.64783678089671326</v>
      </c>
      <c r="J351" s="440">
        <f t="shared" si="162"/>
        <v>18.331796803873562</v>
      </c>
      <c r="K351" s="441"/>
      <c r="L351" s="440">
        <v>20.101009975196856</v>
      </c>
      <c r="M351" s="440">
        <v>0.54295513583656796</v>
      </c>
      <c r="N351" s="440">
        <v>0.68560535213263707</v>
      </c>
      <c r="O351" s="440">
        <f t="shared" si="163"/>
        <v>21.329570463166061</v>
      </c>
    </row>
    <row r="352" spans="1:15" s="351" customFormat="1" x14ac:dyDescent="0.25">
      <c r="A352" s="362" t="str">
        <f>name!E$7</f>
        <v>Administrative and secretarial</v>
      </c>
      <c r="B352" s="440">
        <v>7.3351400080221856</v>
      </c>
      <c r="C352" s="440">
        <v>1.2017238909775112</v>
      </c>
      <c r="D352" s="440">
        <v>0.22883895820763819</v>
      </c>
      <c r="E352" s="440">
        <f t="shared" si="161"/>
        <v>8.7657028572073337</v>
      </c>
      <c r="F352" s="441"/>
      <c r="G352" s="440">
        <v>9.3785832680291499</v>
      </c>
      <c r="H352" s="440">
        <v>1.0826600870403595</v>
      </c>
      <c r="I352" s="440">
        <v>0.12867443750317073</v>
      </c>
      <c r="J352" s="440">
        <f t="shared" si="162"/>
        <v>10.589917792572679</v>
      </c>
      <c r="K352" s="441"/>
      <c r="L352" s="440">
        <v>10.034132931384345</v>
      </c>
      <c r="M352" s="440">
        <v>0.99950666411196087</v>
      </c>
      <c r="N352" s="440">
        <v>0.11354523858385325</v>
      </c>
      <c r="O352" s="440">
        <f t="shared" si="163"/>
        <v>11.147184834080159</v>
      </c>
    </row>
    <row r="353" spans="1:15" s="351" customFormat="1" x14ac:dyDescent="0.25">
      <c r="A353" s="362" t="str">
        <f>name!E$8</f>
        <v>Skilled trades occupations</v>
      </c>
      <c r="B353" s="440">
        <v>38.838157572778051</v>
      </c>
      <c r="C353" s="440">
        <v>0.27874231337457489</v>
      </c>
      <c r="D353" s="440">
        <v>5.5174659813868105</v>
      </c>
      <c r="E353" s="440">
        <f t="shared" si="161"/>
        <v>44.634365867539437</v>
      </c>
      <c r="F353" s="441"/>
      <c r="G353" s="440">
        <v>43.212328516373802</v>
      </c>
      <c r="H353" s="440">
        <v>0.38977928010866819</v>
      </c>
      <c r="I353" s="440">
        <v>3.746549301428229</v>
      </c>
      <c r="J353" s="440">
        <f>SUM(G353:I353)</f>
        <v>47.348657097910703</v>
      </c>
      <c r="K353" s="441"/>
      <c r="L353" s="440">
        <v>40.529313024448761</v>
      </c>
      <c r="M353" s="440">
        <v>0.35679741753500732</v>
      </c>
      <c r="N353" s="440">
        <v>4.1399615494142212</v>
      </c>
      <c r="O353" s="440">
        <f t="shared" si="163"/>
        <v>45.026071991397991</v>
      </c>
    </row>
    <row r="354" spans="1:15" s="351" customFormat="1" x14ac:dyDescent="0.25">
      <c r="A354" s="362" t="str">
        <f>name!E$9</f>
        <v>Caring, leisure and other service</v>
      </c>
      <c r="B354" s="440">
        <v>0.29239628360561748</v>
      </c>
      <c r="C354" s="440">
        <v>6.2331543363613538E-2</v>
      </c>
      <c r="D354" s="440">
        <v>0.17437306930847193</v>
      </c>
      <c r="E354" s="440">
        <f t="shared" si="161"/>
        <v>0.52910089627770296</v>
      </c>
      <c r="F354" s="441"/>
      <c r="G354" s="440">
        <v>0.39624150979072853</v>
      </c>
      <c r="H354" s="440">
        <v>9.1919942308391511E-2</v>
      </c>
      <c r="I354" s="440">
        <v>0.17865969772799348</v>
      </c>
      <c r="J354" s="440">
        <f t="shared" ref="J354:J357" si="164">SUM(G354:I354)</f>
        <v>0.66682114982711349</v>
      </c>
      <c r="K354" s="441"/>
      <c r="L354" s="440">
        <v>0.52944898433682186</v>
      </c>
      <c r="M354" s="440">
        <v>0.11690302835678995</v>
      </c>
      <c r="N354" s="440">
        <v>0.15891357890759872</v>
      </c>
      <c r="O354" s="440">
        <f t="shared" si="163"/>
        <v>0.80526559160121047</v>
      </c>
    </row>
    <row r="355" spans="1:15" s="351" customFormat="1" x14ac:dyDescent="0.25">
      <c r="A355" s="362" t="str">
        <f>name!E$10</f>
        <v>Sales and customer service</v>
      </c>
      <c r="B355" s="440">
        <v>1.3542809540331642</v>
      </c>
      <c r="C355" s="440">
        <v>0.36998558127400055</v>
      </c>
      <c r="D355" s="440">
        <v>0.10823278133990535</v>
      </c>
      <c r="E355" s="440">
        <f t="shared" si="161"/>
        <v>1.83249931664707</v>
      </c>
      <c r="F355" s="441"/>
      <c r="G355" s="440">
        <v>1.9103035132504702</v>
      </c>
      <c r="H355" s="440">
        <v>0.66274672038694649</v>
      </c>
      <c r="I355" s="440">
        <v>0.13849625714618979</v>
      </c>
      <c r="J355" s="440">
        <f t="shared" si="164"/>
        <v>2.7115464907836064</v>
      </c>
      <c r="K355" s="441"/>
      <c r="L355" s="440">
        <v>2.1701620971831668</v>
      </c>
      <c r="M355" s="440">
        <v>0.74920753128640194</v>
      </c>
      <c r="N355" s="440">
        <v>0.15676683466366081</v>
      </c>
      <c r="O355" s="440">
        <f t="shared" si="163"/>
        <v>3.0761364631332295</v>
      </c>
    </row>
    <row r="356" spans="1:15" s="351" customFormat="1" x14ac:dyDescent="0.25">
      <c r="A356" s="362" t="str">
        <f>name!E$11</f>
        <v>Process, plant and machine operatives</v>
      </c>
      <c r="B356" s="440">
        <v>16.077248070288729</v>
      </c>
      <c r="C356" s="440">
        <v>0.36144345249769366</v>
      </c>
      <c r="D356" s="440">
        <v>0.94896655902498672</v>
      </c>
      <c r="E356" s="440">
        <f t="shared" si="161"/>
        <v>17.387658081811409</v>
      </c>
      <c r="F356" s="441"/>
      <c r="G356" s="440">
        <v>16.647853404995377</v>
      </c>
      <c r="H356" s="440">
        <v>0.78930151267226123</v>
      </c>
      <c r="I356" s="440">
        <v>0.92398234928880851</v>
      </c>
      <c r="J356" s="440">
        <f t="shared" si="164"/>
        <v>18.361137266956447</v>
      </c>
      <c r="K356" s="441"/>
      <c r="L356" s="440">
        <v>15.981067359817679</v>
      </c>
      <c r="M356" s="440">
        <v>0.84575504121735345</v>
      </c>
      <c r="N356" s="440">
        <v>1.004266766309972</v>
      </c>
      <c r="O356" s="440">
        <f t="shared" si="163"/>
        <v>17.831089167345002</v>
      </c>
    </row>
    <row r="357" spans="1:15" s="351" customFormat="1" x14ac:dyDescent="0.25">
      <c r="A357" s="362" t="str">
        <f>name!E$12</f>
        <v>Elementary occupations</v>
      </c>
      <c r="B357" s="440">
        <v>2.9601858419901617</v>
      </c>
      <c r="C357" s="440">
        <v>0.4911807329499035</v>
      </c>
      <c r="D357" s="440">
        <v>0.36409689444537141</v>
      </c>
      <c r="E357" s="440">
        <f t="shared" si="161"/>
        <v>3.8154634693854366</v>
      </c>
      <c r="F357" s="441"/>
      <c r="G357" s="440">
        <v>2.7944892851800263</v>
      </c>
      <c r="H357" s="440">
        <v>0.67384626101618916</v>
      </c>
      <c r="I357" s="440">
        <v>0.41282317341833347</v>
      </c>
      <c r="J357" s="440">
        <f t="shared" si="164"/>
        <v>3.8811587196145489</v>
      </c>
      <c r="K357" s="441"/>
      <c r="L357" s="440">
        <v>2.5833859549180413</v>
      </c>
      <c r="M357" s="440">
        <v>0.81216285191646131</v>
      </c>
      <c r="N357" s="440">
        <v>0.51508802570240975</v>
      </c>
      <c r="O357" s="440">
        <f t="shared" si="163"/>
        <v>3.9106368325369125</v>
      </c>
    </row>
    <row r="358" spans="1:15" s="351" customFormat="1" x14ac:dyDescent="0.25">
      <c r="A358" s="362"/>
      <c r="B358" s="440"/>
      <c r="C358" s="440"/>
      <c r="D358" s="440"/>
      <c r="E358" s="440"/>
      <c r="F358" s="441"/>
      <c r="G358" s="440"/>
      <c r="H358" s="440"/>
      <c r="I358" s="440"/>
      <c r="J358" s="440"/>
      <c r="K358" s="441"/>
      <c r="L358" s="440"/>
      <c r="M358" s="440"/>
      <c r="N358" s="440"/>
      <c r="O358" s="440"/>
    </row>
    <row r="359" spans="1:15" s="351" customFormat="1" x14ac:dyDescent="0.25">
      <c r="A359" s="357" t="s">
        <v>32</v>
      </c>
      <c r="B359" s="450">
        <f>SUM(B349:B357)</f>
        <v>114.95699999972368</v>
      </c>
      <c r="C359" s="450">
        <f t="shared" ref="C359:E359" si="165">SUM(C349:C357)</f>
        <v>4.0009999999920023</v>
      </c>
      <c r="D359" s="450">
        <f t="shared" si="165"/>
        <v>9.5930000001115499</v>
      </c>
      <c r="E359" s="450">
        <f t="shared" si="165"/>
        <v>128.55099999982724</v>
      </c>
      <c r="F359" s="450"/>
      <c r="G359" s="450">
        <f t="shared" ref="G359:J359" si="166">SUM(G349:G357)</f>
        <v>137.1699999995148</v>
      </c>
      <c r="H359" s="450">
        <f t="shared" si="166"/>
        <v>5.8320000000406065</v>
      </c>
      <c r="I359" s="450">
        <f t="shared" si="166"/>
        <v>7.9609999999923584</v>
      </c>
      <c r="J359" s="450">
        <f t="shared" si="166"/>
        <v>150.9629999995478</v>
      </c>
      <c r="K359" s="450"/>
      <c r="L359" s="450">
        <f t="shared" ref="L359:O359" si="167">SUM(L349:L357)</f>
        <v>147.25599999943168</v>
      </c>
      <c r="M359" s="450">
        <f t="shared" si="167"/>
        <v>6.4730000000358769</v>
      </c>
      <c r="N359" s="450">
        <f t="shared" si="167"/>
        <v>8.8030000000833777</v>
      </c>
      <c r="O359" s="450">
        <f t="shared" si="167"/>
        <v>162.53199999955089</v>
      </c>
    </row>
    <row r="360" spans="1:15" s="351" customFormat="1" x14ac:dyDescent="0.25">
      <c r="A360" s="348"/>
      <c r="B360" s="348"/>
      <c r="C360" s="348"/>
      <c r="D360" s="348"/>
      <c r="E360" s="348"/>
      <c r="F360" s="348"/>
      <c r="G360" s="348"/>
      <c r="H360" s="348"/>
      <c r="I360" s="348"/>
      <c r="J360" s="348"/>
      <c r="K360" s="348"/>
      <c r="L360" s="348"/>
      <c r="M360" s="348"/>
      <c r="N360" s="353"/>
    </row>
    <row r="361" spans="1:15" s="351" customFormat="1" x14ac:dyDescent="0.25">
      <c r="A361" s="348"/>
      <c r="B361" s="348"/>
      <c r="C361" s="348"/>
      <c r="D361" s="348"/>
      <c r="E361" s="348"/>
      <c r="F361" s="348"/>
      <c r="G361" s="348"/>
      <c r="H361" s="348"/>
      <c r="I361" s="348"/>
      <c r="J361" s="348"/>
      <c r="K361" s="348"/>
      <c r="L361" s="348"/>
      <c r="M361" s="348"/>
      <c r="N361" s="353"/>
      <c r="O361" s="367" t="s">
        <v>35</v>
      </c>
    </row>
    <row r="362" spans="1:15" s="351" customFormat="1" x14ac:dyDescent="0.25">
      <c r="A362" s="355"/>
      <c r="B362" s="355"/>
      <c r="C362" s="355"/>
      <c r="D362" s="355"/>
      <c r="E362" s="355"/>
      <c r="F362" s="355"/>
      <c r="G362" s="355"/>
      <c r="H362" s="355"/>
      <c r="I362" s="355"/>
      <c r="J362" s="355"/>
      <c r="K362" s="355"/>
      <c r="L362" s="355"/>
      <c r="M362" s="355"/>
      <c r="N362" s="355"/>
      <c r="O362" s="355"/>
    </row>
    <row r="363" spans="1:15" s="351" customFormat="1" x14ac:dyDescent="0.25">
      <c r="A363" s="354" t="str">
        <f>name!A24</f>
        <v>Furniture</v>
      </c>
      <c r="B363" s="517">
        <f>$B$6</f>
        <v>2007</v>
      </c>
      <c r="C363" s="517"/>
      <c r="D363" s="517"/>
      <c r="E363" s="517"/>
      <c r="F363" s="380"/>
      <c r="G363" s="517">
        <f>$G$6</f>
        <v>2017</v>
      </c>
      <c r="H363" s="517"/>
      <c r="I363" s="517"/>
      <c r="J363" s="517"/>
      <c r="K363" s="380"/>
      <c r="L363" s="517">
        <f>$L$6</f>
        <v>2027</v>
      </c>
      <c r="M363" s="517"/>
      <c r="N363" s="517"/>
      <c r="O363" s="517"/>
    </row>
    <row r="364" spans="1:15" s="351" customFormat="1" x14ac:dyDescent="0.25">
      <c r="A364" s="370"/>
      <c r="B364" s="388" t="str">
        <f>$B$7</f>
        <v>FT</v>
      </c>
      <c r="C364" s="388" t="str">
        <f>$C$7</f>
        <v>PT</v>
      </c>
      <c r="D364" s="388" t="str">
        <f>$D$7</f>
        <v>SE</v>
      </c>
      <c r="E364" s="388" t="str">
        <f>$E$7</f>
        <v>Total</v>
      </c>
      <c r="F364" s="388"/>
      <c r="G364" s="388" t="str">
        <f>$G$7</f>
        <v>FT</v>
      </c>
      <c r="H364" s="388" t="str">
        <f>$H$7</f>
        <v>PT</v>
      </c>
      <c r="I364" s="388" t="str">
        <f>$I$7</f>
        <v>SE</v>
      </c>
      <c r="J364" s="388" t="str">
        <f>$J$7</f>
        <v>Total</v>
      </c>
      <c r="K364" s="388"/>
      <c r="L364" s="388" t="str">
        <f>$L$7</f>
        <v>FT</v>
      </c>
      <c r="M364" s="388" t="str">
        <f>$M$7</f>
        <v>PT</v>
      </c>
      <c r="N364" s="388" t="str">
        <f>$N$7</f>
        <v>SE</v>
      </c>
      <c r="O364" s="388" t="str">
        <f>$O$7</f>
        <v>Total</v>
      </c>
    </row>
    <row r="365" spans="1:15" s="351" customFormat="1" x14ac:dyDescent="0.25">
      <c r="A365" s="374"/>
      <c r="B365" s="350"/>
      <c r="C365" s="350"/>
      <c r="D365" s="350"/>
      <c r="E365" s="350"/>
      <c r="F365" s="350"/>
      <c r="G365" s="350"/>
      <c r="H365" s="350"/>
      <c r="I365" s="350"/>
      <c r="J365" s="350"/>
      <c r="K365" s="350"/>
      <c r="L365" s="350"/>
      <c r="M365" s="350"/>
      <c r="N365" s="350"/>
      <c r="O365" s="350"/>
    </row>
    <row r="366" spans="1:15" s="351" customFormat="1" x14ac:dyDescent="0.25">
      <c r="A366" s="362" t="str">
        <f>name!E$4</f>
        <v>Managers, directors and senior officials</v>
      </c>
      <c r="B366" s="440">
        <v>7.0520486718269675</v>
      </c>
      <c r="C366" s="440">
        <v>0.3814804336191121</v>
      </c>
      <c r="D366" s="440">
        <v>1.0693478633921067</v>
      </c>
      <c r="E366" s="440">
        <f>SUM(B366:D366)</f>
        <v>8.5028769688381871</v>
      </c>
      <c r="F366" s="441"/>
      <c r="G366" s="440">
        <v>6.1607597382295172</v>
      </c>
      <c r="H366" s="440">
        <v>0.51383472106715722</v>
      </c>
      <c r="I366" s="440">
        <v>1.6506224099708648</v>
      </c>
      <c r="J366" s="440">
        <f>SUM(G366:I366)</f>
        <v>8.325216869267539</v>
      </c>
      <c r="K366" s="441"/>
      <c r="L366" s="440">
        <v>7.1261295293642988</v>
      </c>
      <c r="M366" s="440">
        <v>0.61952403928877875</v>
      </c>
      <c r="N366" s="440">
        <v>1.781695365626591</v>
      </c>
      <c r="O366" s="440">
        <f>SUM(L366:N366)</f>
        <v>9.5273489342796687</v>
      </c>
    </row>
    <row r="367" spans="1:15" s="351" customFormat="1" x14ac:dyDescent="0.25">
      <c r="A367" s="362" t="str">
        <f>name!E$5</f>
        <v>Professional occupations</v>
      </c>
      <c r="B367" s="440">
        <v>5.7783339360691919</v>
      </c>
      <c r="C367" s="440">
        <v>0.21184976345793699</v>
      </c>
      <c r="D367" s="440">
        <v>0.2383764617795624</v>
      </c>
      <c r="E367" s="440">
        <f t="shared" ref="E367:E374" si="168">SUM(B367:D367)</f>
        <v>6.2285601613066914</v>
      </c>
      <c r="F367" s="441"/>
      <c r="G367" s="440">
        <v>5.0375205723834391</v>
      </c>
      <c r="H367" s="440">
        <v>0.3003768933567712</v>
      </c>
      <c r="I367" s="440">
        <v>0.39676883780210698</v>
      </c>
      <c r="J367" s="440">
        <f t="shared" ref="J367:J369" si="169">SUM(G367:I367)</f>
        <v>5.7346663035423173</v>
      </c>
      <c r="K367" s="441"/>
      <c r="L367" s="440">
        <v>5.7301546897721991</v>
      </c>
      <c r="M367" s="440">
        <v>0.47431047499894052</v>
      </c>
      <c r="N367" s="440">
        <v>0.43569950325111056</v>
      </c>
      <c r="O367" s="440">
        <f t="shared" ref="O367:O374" si="170">SUM(L367:N367)</f>
        <v>6.6401646680222504</v>
      </c>
    </row>
    <row r="368" spans="1:15" s="351" customFormat="1" x14ac:dyDescent="0.25">
      <c r="A368" s="362" t="str">
        <f>name!E$6</f>
        <v>Associate professional and technical</v>
      </c>
      <c r="B368" s="440">
        <v>8.5486642900141661</v>
      </c>
      <c r="C368" s="440">
        <v>0.44786783474710795</v>
      </c>
      <c r="D368" s="440">
        <v>0.50444629755218806</v>
      </c>
      <c r="E368" s="440">
        <f t="shared" si="168"/>
        <v>9.5009784223134623</v>
      </c>
      <c r="F368" s="441"/>
      <c r="G368" s="440">
        <v>6.0593135594284666</v>
      </c>
      <c r="H368" s="440">
        <v>0.55853522191280947</v>
      </c>
      <c r="I368" s="440">
        <v>0.84630656684782779</v>
      </c>
      <c r="J368" s="440">
        <f t="shared" si="169"/>
        <v>7.4641553481891041</v>
      </c>
      <c r="K368" s="441"/>
      <c r="L368" s="440">
        <v>6.6225211257110317</v>
      </c>
      <c r="M368" s="440">
        <v>0.6702166909834093</v>
      </c>
      <c r="N368" s="440">
        <v>0.88627114543687113</v>
      </c>
      <c r="O368" s="440">
        <f t="shared" si="170"/>
        <v>8.1790089621313111</v>
      </c>
    </row>
    <row r="369" spans="1:15" s="351" customFormat="1" x14ac:dyDescent="0.25">
      <c r="A369" s="362" t="str">
        <f>name!E$7</f>
        <v>Administrative and secretarial</v>
      </c>
      <c r="B369" s="440">
        <v>4.2910006675917378</v>
      </c>
      <c r="C369" s="440">
        <v>1.9567358213397206</v>
      </c>
      <c r="D369" s="440">
        <v>0.22102214323453825</v>
      </c>
      <c r="E369" s="440">
        <f t="shared" si="168"/>
        <v>6.4687586321659971</v>
      </c>
      <c r="F369" s="441"/>
      <c r="G369" s="440">
        <v>5.8505903240256707</v>
      </c>
      <c r="H369" s="440">
        <v>1.7504901524526459</v>
      </c>
      <c r="I369" s="440">
        <v>0.22268466951844348</v>
      </c>
      <c r="J369" s="440">
        <f t="shared" si="169"/>
        <v>7.8237651459967603</v>
      </c>
      <c r="K369" s="441"/>
      <c r="L369" s="440">
        <v>5.7049665228529598</v>
      </c>
      <c r="M369" s="440">
        <v>1.5108037421294429</v>
      </c>
      <c r="N369" s="440">
        <v>0.19233738014265711</v>
      </c>
      <c r="O369" s="440">
        <f t="shared" si="170"/>
        <v>7.4081076451250603</v>
      </c>
    </row>
    <row r="370" spans="1:15" s="351" customFormat="1" x14ac:dyDescent="0.25">
      <c r="A370" s="362" t="str">
        <f>name!E$8</f>
        <v>Skilled trades occupations</v>
      </c>
      <c r="B370" s="440">
        <v>24.84113639899584</v>
      </c>
      <c r="C370" s="440">
        <v>0.79602767314626144</v>
      </c>
      <c r="D370" s="440">
        <v>8.9916425756373375</v>
      </c>
      <c r="E370" s="440">
        <f t="shared" si="168"/>
        <v>34.628806647779442</v>
      </c>
      <c r="F370" s="441"/>
      <c r="G370" s="440">
        <v>26.783190227785322</v>
      </c>
      <c r="H370" s="440">
        <v>1.0067944760225096</v>
      </c>
      <c r="I370" s="440">
        <v>11.808336320044695</v>
      </c>
      <c r="J370" s="440">
        <f>SUM(G370:I370)</f>
        <v>39.598321023852527</v>
      </c>
      <c r="K370" s="441"/>
      <c r="L370" s="440">
        <v>23.32851118751547</v>
      </c>
      <c r="M370" s="440">
        <v>0.92133650313072679</v>
      </c>
      <c r="N370" s="440">
        <v>10.655504924784335</v>
      </c>
      <c r="O370" s="440">
        <f t="shared" si="170"/>
        <v>34.90535261543053</v>
      </c>
    </row>
    <row r="371" spans="1:15" s="351" customFormat="1" x14ac:dyDescent="0.25">
      <c r="A371" s="362" t="str">
        <f>name!E$9</f>
        <v>Caring, leisure and other service</v>
      </c>
      <c r="B371" s="440">
        <v>0.28437481718684787</v>
      </c>
      <c r="C371" s="440">
        <v>0.14303472947588536</v>
      </c>
      <c r="D371" s="440">
        <v>6.4613947357898813E-2</v>
      </c>
      <c r="E371" s="440">
        <f t="shared" si="168"/>
        <v>0.49202349402063206</v>
      </c>
      <c r="F371" s="441"/>
      <c r="G371" s="440">
        <v>0.2544590317773634</v>
      </c>
      <c r="H371" s="440">
        <v>0.13673606664032836</v>
      </c>
      <c r="I371" s="440">
        <v>0.15767298971868809</v>
      </c>
      <c r="J371" s="440">
        <f t="shared" ref="J371:J374" si="171">SUM(G371:I371)</f>
        <v>0.54886808813637988</v>
      </c>
      <c r="K371" s="441"/>
      <c r="L371" s="440">
        <v>0.28871257701221531</v>
      </c>
      <c r="M371" s="440">
        <v>0.24659264628562794</v>
      </c>
      <c r="N371" s="440">
        <v>0.17339982636230541</v>
      </c>
      <c r="O371" s="440">
        <f t="shared" si="170"/>
        <v>0.70870504966014869</v>
      </c>
    </row>
    <row r="372" spans="1:15" s="351" customFormat="1" x14ac:dyDescent="0.25">
      <c r="A372" s="362" t="str">
        <f>name!E$10</f>
        <v>Sales and customer service</v>
      </c>
      <c r="B372" s="440">
        <v>1.6751340901411276</v>
      </c>
      <c r="C372" s="440">
        <v>0.67732882113993564</v>
      </c>
      <c r="D372" s="440">
        <v>0.10147815237696108</v>
      </c>
      <c r="E372" s="440">
        <f t="shared" si="168"/>
        <v>2.4539410636580241</v>
      </c>
      <c r="F372" s="441"/>
      <c r="G372" s="440">
        <v>3.3860259501653465</v>
      </c>
      <c r="H372" s="440">
        <v>0.8213093011287167</v>
      </c>
      <c r="I372" s="440">
        <v>0.14510046756022832</v>
      </c>
      <c r="J372" s="440">
        <f t="shared" si="171"/>
        <v>4.3524357188542915</v>
      </c>
      <c r="K372" s="441"/>
      <c r="L372" s="440">
        <v>3.3115859616471686</v>
      </c>
      <c r="M372" s="440">
        <v>0.95401605879455897</v>
      </c>
      <c r="N372" s="440">
        <v>0.1485210506689783</v>
      </c>
      <c r="O372" s="440">
        <f t="shared" si="170"/>
        <v>4.4141230711107058</v>
      </c>
    </row>
    <row r="373" spans="1:15" s="351" customFormat="1" x14ac:dyDescent="0.25">
      <c r="A373" s="362" t="str">
        <f>name!E$11</f>
        <v>Process, plant and machine operatives</v>
      </c>
      <c r="B373" s="440">
        <v>15.604509323958526</v>
      </c>
      <c r="C373" s="440">
        <v>1.2580765086212338</v>
      </c>
      <c r="D373" s="440">
        <v>1.2346308382958229</v>
      </c>
      <c r="E373" s="440">
        <f t="shared" si="168"/>
        <v>18.097216670875582</v>
      </c>
      <c r="F373" s="441"/>
      <c r="G373" s="440">
        <v>12.203161969868647</v>
      </c>
      <c r="H373" s="440">
        <v>1.2166334479289767</v>
      </c>
      <c r="I373" s="440">
        <v>2.021259352678654</v>
      </c>
      <c r="J373" s="440">
        <f t="shared" si="171"/>
        <v>15.441054770476278</v>
      </c>
      <c r="K373" s="441"/>
      <c r="L373" s="440">
        <v>10.968802082984695</v>
      </c>
      <c r="M373" s="440">
        <v>1.0673104823109614</v>
      </c>
      <c r="N373" s="440">
        <v>2.0549350148228513</v>
      </c>
      <c r="O373" s="440">
        <f t="shared" si="170"/>
        <v>14.091047580118508</v>
      </c>
    </row>
    <row r="374" spans="1:15" s="351" customFormat="1" x14ac:dyDescent="0.25">
      <c r="A374" s="362" t="str">
        <f>name!E$12</f>
        <v>Elementary occupations</v>
      </c>
      <c r="B374" s="440">
        <v>4.7477978039307356</v>
      </c>
      <c r="C374" s="440">
        <v>0.72259841445969097</v>
      </c>
      <c r="D374" s="440">
        <v>0.18644172043058074</v>
      </c>
      <c r="E374" s="440">
        <f t="shared" si="168"/>
        <v>5.6568379388210071</v>
      </c>
      <c r="F374" s="441"/>
      <c r="G374" s="440">
        <v>4.7129786259101714</v>
      </c>
      <c r="H374" s="440">
        <v>0.69728971952347885</v>
      </c>
      <c r="I374" s="440">
        <v>0.4762483859804893</v>
      </c>
      <c r="J374" s="440">
        <f t="shared" si="171"/>
        <v>5.8865167314141393</v>
      </c>
      <c r="K374" s="441"/>
      <c r="L374" s="440">
        <v>4.3626163226814603</v>
      </c>
      <c r="M374" s="440">
        <v>0.95888936210369202</v>
      </c>
      <c r="N374" s="440">
        <v>0.51863578902011975</v>
      </c>
      <c r="O374" s="440">
        <f t="shared" si="170"/>
        <v>5.8401414738052724</v>
      </c>
    </row>
    <row r="375" spans="1:15" s="351" customFormat="1" x14ac:dyDescent="0.25">
      <c r="A375" s="362"/>
      <c r="B375" s="440"/>
      <c r="C375" s="440"/>
      <c r="D375" s="440"/>
      <c r="E375" s="440"/>
      <c r="F375" s="441"/>
      <c r="G375" s="440"/>
      <c r="H375" s="440"/>
      <c r="I375" s="440"/>
      <c r="J375" s="440"/>
      <c r="K375" s="441"/>
      <c r="L375" s="440"/>
      <c r="M375" s="440"/>
      <c r="N375" s="440"/>
      <c r="O375" s="440"/>
    </row>
    <row r="376" spans="1:15" s="351" customFormat="1" x14ac:dyDescent="0.25">
      <c r="A376" s="357" t="s">
        <v>32</v>
      </c>
      <c r="B376" s="450">
        <f>SUM(B366:B374)</f>
        <v>72.822999999715151</v>
      </c>
      <c r="C376" s="450">
        <f t="shared" ref="C376:E376" si="172">SUM(C366:C374)</f>
        <v>6.5950000000068849</v>
      </c>
      <c r="D376" s="450">
        <f t="shared" si="172"/>
        <v>12.612000000056996</v>
      </c>
      <c r="E376" s="450">
        <f t="shared" si="172"/>
        <v>92.029999999779022</v>
      </c>
      <c r="F376" s="450"/>
      <c r="G376" s="450">
        <f t="shared" ref="G376:J376" si="173">SUM(G366:G374)</f>
        <v>70.447999999573952</v>
      </c>
      <c r="H376" s="450">
        <f t="shared" si="173"/>
        <v>7.0020000000333944</v>
      </c>
      <c r="I376" s="450">
        <f t="shared" si="173"/>
        <v>17.725000000121998</v>
      </c>
      <c r="J376" s="450">
        <f t="shared" si="173"/>
        <v>95.174999999729323</v>
      </c>
      <c r="K376" s="450"/>
      <c r="L376" s="450">
        <f t="shared" ref="L376:O376" si="174">SUM(L366:L374)</f>
        <v>67.443999999541489</v>
      </c>
      <c r="M376" s="450">
        <f t="shared" si="174"/>
        <v>7.4230000000261391</v>
      </c>
      <c r="N376" s="450">
        <f t="shared" si="174"/>
        <v>16.84700000011582</v>
      </c>
      <c r="O376" s="450">
        <f t="shared" si="174"/>
        <v>91.713999999683466</v>
      </c>
    </row>
    <row r="377" spans="1:15" s="351" customFormat="1" x14ac:dyDescent="0.25">
      <c r="A377" s="348"/>
      <c r="B377" s="348"/>
      <c r="C377" s="348"/>
      <c r="D377" s="348"/>
      <c r="E377" s="348"/>
      <c r="F377" s="348"/>
      <c r="G377" s="348"/>
      <c r="H377" s="348"/>
      <c r="I377" s="348"/>
      <c r="J377" s="348"/>
      <c r="K377" s="348"/>
      <c r="L377" s="348"/>
      <c r="M377" s="348"/>
      <c r="N377" s="353"/>
    </row>
    <row r="378" spans="1:15" s="351" customFormat="1" x14ac:dyDescent="0.25">
      <c r="A378" s="348"/>
      <c r="B378" s="348"/>
      <c r="C378" s="348"/>
      <c r="D378" s="348"/>
      <c r="E378" s="348"/>
      <c r="F378" s="348"/>
      <c r="G378" s="348"/>
      <c r="H378" s="348"/>
      <c r="I378" s="348"/>
      <c r="J378" s="348"/>
      <c r="K378" s="348"/>
      <c r="L378" s="348"/>
      <c r="M378" s="348"/>
      <c r="N378" s="353"/>
      <c r="O378" s="367" t="s">
        <v>35</v>
      </c>
    </row>
    <row r="379" spans="1:15" s="351" customFormat="1" x14ac:dyDescent="0.25">
      <c r="A379" s="355"/>
      <c r="B379" s="355"/>
      <c r="C379" s="355"/>
      <c r="D379" s="355"/>
      <c r="E379" s="355"/>
      <c r="F379" s="355"/>
      <c r="G379" s="355"/>
      <c r="H379" s="355"/>
      <c r="I379" s="355"/>
      <c r="J379" s="355"/>
      <c r="K379" s="355"/>
      <c r="L379" s="355"/>
      <c r="M379" s="355"/>
      <c r="N379" s="355"/>
      <c r="O379" s="355"/>
    </row>
    <row r="380" spans="1:15" s="351" customFormat="1" x14ac:dyDescent="0.25">
      <c r="A380" s="354" t="str">
        <f>name!A25</f>
        <v>Other manufacturing</v>
      </c>
      <c r="B380" s="517">
        <f>$B$6</f>
        <v>2007</v>
      </c>
      <c r="C380" s="517"/>
      <c r="D380" s="517"/>
      <c r="E380" s="517"/>
      <c r="F380" s="380"/>
      <c r="G380" s="517">
        <f>$G$6</f>
        <v>2017</v>
      </c>
      <c r="H380" s="517"/>
      <c r="I380" s="517"/>
      <c r="J380" s="517"/>
      <c r="K380" s="380"/>
      <c r="L380" s="517">
        <f>$L$6</f>
        <v>2027</v>
      </c>
      <c r="M380" s="517"/>
      <c r="N380" s="517"/>
      <c r="O380" s="517"/>
    </row>
    <row r="381" spans="1:15" s="351" customFormat="1" x14ac:dyDescent="0.25">
      <c r="A381" s="370"/>
      <c r="B381" s="388" t="str">
        <f>$B$7</f>
        <v>FT</v>
      </c>
      <c r="C381" s="388" t="str">
        <f>$C$7</f>
        <v>PT</v>
      </c>
      <c r="D381" s="388" t="str">
        <f>$D$7</f>
        <v>SE</v>
      </c>
      <c r="E381" s="388" t="str">
        <f>$E$7</f>
        <v>Total</v>
      </c>
      <c r="F381" s="388"/>
      <c r="G381" s="388" t="str">
        <f>$G$7</f>
        <v>FT</v>
      </c>
      <c r="H381" s="388" t="str">
        <f>$H$7</f>
        <v>PT</v>
      </c>
      <c r="I381" s="388" t="str">
        <f>$I$7</f>
        <v>SE</v>
      </c>
      <c r="J381" s="388" t="str">
        <f>$J$7</f>
        <v>Total</v>
      </c>
      <c r="K381" s="388"/>
      <c r="L381" s="388" t="str">
        <f>$L$7</f>
        <v>FT</v>
      </c>
      <c r="M381" s="388" t="str">
        <f>$M$7</f>
        <v>PT</v>
      </c>
      <c r="N381" s="388" t="str">
        <f>$N$7</f>
        <v>SE</v>
      </c>
      <c r="O381" s="388" t="str">
        <f>$O$7</f>
        <v>Total</v>
      </c>
    </row>
    <row r="382" spans="1:15" s="351" customFormat="1" x14ac:dyDescent="0.25">
      <c r="A382" s="374"/>
      <c r="B382" s="350"/>
      <c r="C382" s="350"/>
      <c r="D382" s="350"/>
      <c r="E382" s="350"/>
      <c r="F382" s="350"/>
      <c r="G382" s="350"/>
      <c r="H382" s="350"/>
      <c r="I382" s="350"/>
      <c r="J382" s="350"/>
      <c r="K382" s="350"/>
      <c r="L382" s="350"/>
      <c r="M382" s="350"/>
      <c r="N382" s="350"/>
      <c r="O382" s="350"/>
    </row>
    <row r="383" spans="1:15" s="351" customFormat="1" x14ac:dyDescent="0.25">
      <c r="A383" s="362" t="str">
        <f>name!E$4</f>
        <v>Managers, directors and senior officials</v>
      </c>
      <c r="B383" s="440">
        <v>8.4453144337100703</v>
      </c>
      <c r="C383" s="440">
        <v>0.8269075861428733</v>
      </c>
      <c r="D383" s="440">
        <v>1.2431275268719533</v>
      </c>
      <c r="E383" s="440">
        <f>SUM(B383:D383)</f>
        <v>10.515349546724897</v>
      </c>
      <c r="F383" s="441"/>
      <c r="G383" s="440">
        <v>8.8724172868049038</v>
      </c>
      <c r="H383" s="440">
        <v>0.81845358155998649</v>
      </c>
      <c r="I383" s="440">
        <v>1.8814996740622025</v>
      </c>
      <c r="J383" s="440">
        <f>SUM(G383:I383)</f>
        <v>11.572370542427093</v>
      </c>
      <c r="K383" s="441"/>
      <c r="L383" s="440">
        <v>10.174838712792548</v>
      </c>
      <c r="M383" s="440">
        <v>1.0769648842454072</v>
      </c>
      <c r="N383" s="440">
        <v>2.0376831646613569</v>
      </c>
      <c r="O383" s="440">
        <f>SUM(L383:N383)</f>
        <v>13.289486761699312</v>
      </c>
    </row>
    <row r="384" spans="1:15" s="351" customFormat="1" x14ac:dyDescent="0.25">
      <c r="A384" s="362" t="str">
        <f>name!E$5</f>
        <v>Professional occupations</v>
      </c>
      <c r="B384" s="440">
        <v>9.0197661486443224</v>
      </c>
      <c r="C384" s="440">
        <v>0.4891194012701543</v>
      </c>
      <c r="D384" s="440">
        <v>0.38800638099598656</v>
      </c>
      <c r="E384" s="440">
        <f t="shared" ref="E384:E391" si="175">SUM(B384:D384)</f>
        <v>9.8968919309104617</v>
      </c>
      <c r="F384" s="441"/>
      <c r="G384" s="440">
        <v>9.45852196933083</v>
      </c>
      <c r="H384" s="440">
        <v>0.56907417833646645</v>
      </c>
      <c r="I384" s="440">
        <v>0.7975065245902202</v>
      </c>
      <c r="J384" s="440">
        <f t="shared" ref="J384:J386" si="176">SUM(G384:I384)</f>
        <v>10.825102672257517</v>
      </c>
      <c r="K384" s="441"/>
      <c r="L384" s="440">
        <v>10.769590244397705</v>
      </c>
      <c r="M384" s="440">
        <v>0.89307520393943218</v>
      </c>
      <c r="N384" s="440">
        <v>0.97208923127621116</v>
      </c>
      <c r="O384" s="440">
        <f t="shared" ref="O384:O391" si="177">SUM(L384:N384)</f>
        <v>12.634754679613348</v>
      </c>
    </row>
    <row r="385" spans="1:15" s="351" customFormat="1" x14ac:dyDescent="0.25">
      <c r="A385" s="362" t="str">
        <f>name!E$6</f>
        <v>Associate professional and technical</v>
      </c>
      <c r="B385" s="440">
        <v>11.878652210385997</v>
      </c>
      <c r="C385" s="440">
        <v>0.99108082818044663</v>
      </c>
      <c r="D385" s="440">
        <v>0.80558172844575959</v>
      </c>
      <c r="E385" s="440">
        <f t="shared" si="175"/>
        <v>13.675314767012203</v>
      </c>
      <c r="F385" s="441"/>
      <c r="G385" s="440">
        <v>10.147076912310531</v>
      </c>
      <c r="H385" s="440">
        <v>0.87399279982843436</v>
      </c>
      <c r="I385" s="440">
        <v>1.603885544845169</v>
      </c>
      <c r="J385" s="440">
        <f t="shared" si="176"/>
        <v>12.624955256984133</v>
      </c>
      <c r="K385" s="441"/>
      <c r="L385" s="440">
        <v>10.88025893985356</v>
      </c>
      <c r="M385" s="440">
        <v>0.99404368564245693</v>
      </c>
      <c r="N385" s="440">
        <v>1.7344473018181006</v>
      </c>
      <c r="O385" s="440">
        <f t="shared" si="177"/>
        <v>13.608749927314117</v>
      </c>
    </row>
    <row r="386" spans="1:15" s="351" customFormat="1" x14ac:dyDescent="0.25">
      <c r="A386" s="362" t="str">
        <f>name!E$7</f>
        <v>Administrative and secretarial</v>
      </c>
      <c r="B386" s="440">
        <v>9.1546777137538502</v>
      </c>
      <c r="C386" s="440">
        <v>4.0431862012990596</v>
      </c>
      <c r="D386" s="440">
        <v>0.41043917239803601</v>
      </c>
      <c r="E386" s="440">
        <f t="shared" si="175"/>
        <v>13.608303087450945</v>
      </c>
      <c r="F386" s="441"/>
      <c r="G386" s="440">
        <v>8.1178942678442958</v>
      </c>
      <c r="H386" s="440">
        <v>2.2891780926693892</v>
      </c>
      <c r="I386" s="440">
        <v>0.40684161816665898</v>
      </c>
      <c r="J386" s="440">
        <f t="shared" si="176"/>
        <v>10.813913978680343</v>
      </c>
      <c r="K386" s="441"/>
      <c r="L386" s="440">
        <v>7.0554085211232014</v>
      </c>
      <c r="M386" s="440">
        <v>1.9264736358924788</v>
      </c>
      <c r="N386" s="440">
        <v>0.33547128534948678</v>
      </c>
      <c r="O386" s="440">
        <f t="shared" si="177"/>
        <v>9.3173534423651656</v>
      </c>
    </row>
    <row r="387" spans="1:15" s="351" customFormat="1" x14ac:dyDescent="0.25">
      <c r="A387" s="362" t="str">
        <f>name!E$8</f>
        <v>Skilled trades occupations</v>
      </c>
      <c r="B387" s="440">
        <v>23.372436417123499</v>
      </c>
      <c r="C387" s="440">
        <v>1.6106620517886381</v>
      </c>
      <c r="D387" s="440">
        <v>9.0462150217501041</v>
      </c>
      <c r="E387" s="440">
        <f t="shared" si="175"/>
        <v>34.02931349066224</v>
      </c>
      <c r="F387" s="441"/>
      <c r="G387" s="440">
        <v>21.60968614581779</v>
      </c>
      <c r="H387" s="440">
        <v>1.1854526163545687</v>
      </c>
      <c r="I387" s="440">
        <v>9.0475658546096813</v>
      </c>
      <c r="J387" s="440">
        <f>SUM(G387:I387)</f>
        <v>31.842704616782036</v>
      </c>
      <c r="K387" s="441"/>
      <c r="L387" s="440">
        <v>17.812642280190911</v>
      </c>
      <c r="M387" s="440">
        <v>1.1973245184527554</v>
      </c>
      <c r="N387" s="440">
        <v>7.4123534334276595</v>
      </c>
      <c r="O387" s="440">
        <f t="shared" si="177"/>
        <v>26.422320232071328</v>
      </c>
    </row>
    <row r="388" spans="1:15" s="351" customFormat="1" x14ac:dyDescent="0.25">
      <c r="A388" s="362" t="str">
        <f>name!E$9</f>
        <v>Caring, leisure and other service</v>
      </c>
      <c r="B388" s="440">
        <v>0.56400034653917941</v>
      </c>
      <c r="C388" s="440">
        <v>0.36850355052403722</v>
      </c>
      <c r="D388" s="440">
        <v>0.10166895786898865</v>
      </c>
      <c r="E388" s="440">
        <f t="shared" si="175"/>
        <v>1.0341728549322053</v>
      </c>
      <c r="F388" s="441"/>
      <c r="G388" s="440">
        <v>0.4719182189868143</v>
      </c>
      <c r="H388" s="440">
        <v>0.23113604584249167</v>
      </c>
      <c r="I388" s="440">
        <v>0.23401597388674747</v>
      </c>
      <c r="J388" s="440">
        <f t="shared" ref="J388:J391" si="178">SUM(G388:I388)</f>
        <v>0.93707023871605344</v>
      </c>
      <c r="K388" s="441"/>
      <c r="L388" s="440">
        <v>0.51934204308175902</v>
      </c>
      <c r="M388" s="440">
        <v>0.29524444100103864</v>
      </c>
      <c r="N388" s="440">
        <v>0.26048733537364138</v>
      </c>
      <c r="O388" s="440">
        <f t="shared" si="177"/>
        <v>1.0750738194564391</v>
      </c>
    </row>
    <row r="389" spans="1:15" s="351" customFormat="1" x14ac:dyDescent="0.25">
      <c r="A389" s="362" t="str">
        <f>name!E$10</f>
        <v>Sales and customer service</v>
      </c>
      <c r="B389" s="440">
        <v>2.7900953988125257</v>
      </c>
      <c r="C389" s="440">
        <v>1.456861379503162</v>
      </c>
      <c r="D389" s="440">
        <v>0.14475891108097083</v>
      </c>
      <c r="E389" s="440">
        <f t="shared" si="175"/>
        <v>4.3917156893966585</v>
      </c>
      <c r="F389" s="441"/>
      <c r="G389" s="440">
        <v>3.929996594839785</v>
      </c>
      <c r="H389" s="440">
        <v>0.93314515719621227</v>
      </c>
      <c r="I389" s="440">
        <v>0.22217779021598794</v>
      </c>
      <c r="J389" s="440">
        <f t="shared" si="178"/>
        <v>5.0853195422519857</v>
      </c>
      <c r="K389" s="441"/>
      <c r="L389" s="440">
        <v>3.6953418597657675</v>
      </c>
      <c r="M389" s="440">
        <v>0.90358343870778746</v>
      </c>
      <c r="N389" s="440">
        <v>0.23194282010463926</v>
      </c>
      <c r="O389" s="440">
        <f t="shared" si="177"/>
        <v>4.8308681185781941</v>
      </c>
    </row>
    <row r="390" spans="1:15" s="351" customFormat="1" x14ac:dyDescent="0.25">
      <c r="A390" s="362" t="str">
        <f>name!E$11</f>
        <v>Process, plant and machine operatives</v>
      </c>
      <c r="B390" s="440">
        <v>17.567463182527455</v>
      </c>
      <c r="C390" s="440">
        <v>2.722036092695614</v>
      </c>
      <c r="D390" s="440">
        <v>1.2255489315773724</v>
      </c>
      <c r="E390" s="440">
        <f t="shared" si="175"/>
        <v>21.51504820680044</v>
      </c>
      <c r="F390" s="441"/>
      <c r="G390" s="440">
        <v>10.844041163125677</v>
      </c>
      <c r="H390" s="440">
        <v>1.6012361895815501</v>
      </c>
      <c r="I390" s="440">
        <v>1.781366059880098</v>
      </c>
      <c r="J390" s="440">
        <f t="shared" si="178"/>
        <v>14.226643412587325</v>
      </c>
      <c r="K390" s="441"/>
      <c r="L390" s="440">
        <v>8.6322897861039802</v>
      </c>
      <c r="M390" s="440">
        <v>1.6903827067974202</v>
      </c>
      <c r="N390" s="440">
        <v>1.8128957014374965</v>
      </c>
      <c r="O390" s="440">
        <f t="shared" si="177"/>
        <v>12.135568194338896</v>
      </c>
    </row>
    <row r="391" spans="1:15" s="351" customFormat="1" x14ac:dyDescent="0.25">
      <c r="A391" s="362" t="str">
        <f>name!E$12</f>
        <v>Elementary occupations</v>
      </c>
      <c r="B391" s="440">
        <v>4.6795941479761982</v>
      </c>
      <c r="C391" s="440">
        <v>1.5356429086011962</v>
      </c>
      <c r="D391" s="440">
        <v>0.27665336908148469</v>
      </c>
      <c r="E391" s="440">
        <f t="shared" si="175"/>
        <v>6.4918904256588794</v>
      </c>
      <c r="F391" s="441"/>
      <c r="G391" s="440">
        <v>4.1554474405533544</v>
      </c>
      <c r="H391" s="440">
        <v>0.73833133870591861</v>
      </c>
      <c r="I391" s="440">
        <v>0.64314095987120623</v>
      </c>
      <c r="J391" s="440">
        <f t="shared" si="178"/>
        <v>5.5369197391304796</v>
      </c>
      <c r="K391" s="441"/>
      <c r="L391" s="440">
        <v>3.6272876122669699</v>
      </c>
      <c r="M391" s="440">
        <v>0.66890748535742772</v>
      </c>
      <c r="N391" s="440">
        <v>0.74262972664399518</v>
      </c>
      <c r="O391" s="440">
        <f t="shared" si="177"/>
        <v>5.0388248242683922</v>
      </c>
    </row>
    <row r="392" spans="1:15" s="351" customFormat="1" x14ac:dyDescent="0.25">
      <c r="A392" s="362"/>
      <c r="B392" s="440"/>
      <c r="C392" s="440"/>
      <c r="D392" s="440"/>
      <c r="E392" s="440"/>
      <c r="F392" s="441"/>
      <c r="G392" s="440"/>
      <c r="H392" s="440"/>
      <c r="I392" s="440"/>
      <c r="J392" s="440"/>
      <c r="K392" s="441"/>
      <c r="L392" s="440"/>
      <c r="M392" s="440"/>
      <c r="N392" s="440"/>
      <c r="O392" s="440"/>
    </row>
    <row r="393" spans="1:15" s="351" customFormat="1" x14ac:dyDescent="0.25">
      <c r="A393" s="357" t="s">
        <v>32</v>
      </c>
      <c r="B393" s="450">
        <f>SUM(B383:B391)</f>
        <v>87.471999999473113</v>
      </c>
      <c r="C393" s="450">
        <f t="shared" ref="C393:E393" si="179">SUM(C383:C391)</f>
        <v>14.04400000000518</v>
      </c>
      <c r="D393" s="450">
        <f t="shared" si="179"/>
        <v>13.642000000070654</v>
      </c>
      <c r="E393" s="450">
        <f t="shared" si="179"/>
        <v>115.15799999954895</v>
      </c>
      <c r="F393" s="450"/>
      <c r="G393" s="450">
        <f t="shared" ref="G393:J393" si="180">SUM(G383:G391)</f>
        <v>77.60699999961399</v>
      </c>
      <c r="H393" s="450">
        <f t="shared" si="180"/>
        <v>9.2400000000750175</v>
      </c>
      <c r="I393" s="450">
        <f t="shared" si="180"/>
        <v>16.618000000127971</v>
      </c>
      <c r="J393" s="450">
        <f t="shared" si="180"/>
        <v>103.46499999981697</v>
      </c>
      <c r="K393" s="450"/>
      <c r="L393" s="450">
        <f t="shared" ref="L393:O393" si="181">SUM(L383:L391)</f>
        <v>73.166999999576404</v>
      </c>
      <c r="M393" s="450">
        <f t="shared" si="181"/>
        <v>9.6460000000362047</v>
      </c>
      <c r="N393" s="450">
        <f t="shared" si="181"/>
        <v>15.540000000092586</v>
      </c>
      <c r="O393" s="450">
        <f t="shared" si="181"/>
        <v>98.35299999970519</v>
      </c>
    </row>
    <row r="394" spans="1:15" s="351" customFormat="1" x14ac:dyDescent="0.25">
      <c r="A394" s="348"/>
      <c r="B394" s="348"/>
      <c r="C394" s="348"/>
      <c r="D394" s="348"/>
      <c r="E394" s="348"/>
      <c r="F394" s="348"/>
      <c r="G394" s="348"/>
      <c r="H394" s="348"/>
      <c r="I394" s="348"/>
      <c r="J394" s="348"/>
      <c r="K394" s="348"/>
      <c r="L394" s="348"/>
      <c r="M394" s="348"/>
      <c r="N394" s="353"/>
    </row>
    <row r="395" spans="1:15" s="351" customFormat="1" x14ac:dyDescent="0.25">
      <c r="A395" s="348"/>
      <c r="B395" s="348"/>
      <c r="C395" s="348"/>
      <c r="D395" s="348"/>
      <c r="E395" s="348"/>
      <c r="F395" s="348"/>
      <c r="G395" s="348"/>
      <c r="H395" s="348"/>
      <c r="I395" s="348"/>
      <c r="J395" s="348"/>
      <c r="K395" s="348"/>
      <c r="L395" s="348"/>
      <c r="M395" s="348"/>
      <c r="N395" s="353"/>
      <c r="O395" s="367" t="s">
        <v>35</v>
      </c>
    </row>
    <row r="396" spans="1:15" s="351" customFormat="1" x14ac:dyDescent="0.25">
      <c r="A396" s="355"/>
      <c r="B396" s="355"/>
      <c r="C396" s="355"/>
      <c r="D396" s="355"/>
      <c r="E396" s="355"/>
      <c r="F396" s="355"/>
      <c r="G396" s="355"/>
      <c r="H396" s="355"/>
      <c r="I396" s="355"/>
      <c r="J396" s="355"/>
      <c r="K396" s="355"/>
      <c r="L396" s="355"/>
      <c r="M396" s="355"/>
      <c r="N396" s="355"/>
      <c r="O396" s="355"/>
    </row>
    <row r="397" spans="1:15" s="351" customFormat="1" x14ac:dyDescent="0.25">
      <c r="A397" s="354" t="str">
        <f>name!A26</f>
        <v>Repair and installation</v>
      </c>
      <c r="B397" s="517">
        <f>$B$6</f>
        <v>2007</v>
      </c>
      <c r="C397" s="517"/>
      <c r="D397" s="517"/>
      <c r="E397" s="517"/>
      <c r="F397" s="380"/>
      <c r="G397" s="517">
        <f>$G$6</f>
        <v>2017</v>
      </c>
      <c r="H397" s="517"/>
      <c r="I397" s="517"/>
      <c r="J397" s="517"/>
      <c r="K397" s="380"/>
      <c r="L397" s="517">
        <f>$L$6</f>
        <v>2027</v>
      </c>
      <c r="M397" s="517"/>
      <c r="N397" s="517"/>
      <c r="O397" s="517"/>
    </row>
    <row r="398" spans="1:15" s="351" customFormat="1" x14ac:dyDescent="0.25">
      <c r="A398" s="370"/>
      <c r="B398" s="388" t="str">
        <f>$B$7</f>
        <v>FT</v>
      </c>
      <c r="C398" s="388" t="str">
        <f>$C$7</f>
        <v>PT</v>
      </c>
      <c r="D398" s="388" t="str">
        <f>$D$7</f>
        <v>SE</v>
      </c>
      <c r="E398" s="388" t="str">
        <f>$E$7</f>
        <v>Total</v>
      </c>
      <c r="F398" s="388"/>
      <c r="G398" s="388" t="str">
        <f>$G$7</f>
        <v>FT</v>
      </c>
      <c r="H398" s="388" t="str">
        <f>$H$7</f>
        <v>PT</v>
      </c>
      <c r="I398" s="388" t="str">
        <f>$I$7</f>
        <v>SE</v>
      </c>
      <c r="J398" s="388" t="str">
        <f>$J$7</f>
        <v>Total</v>
      </c>
      <c r="K398" s="388"/>
      <c r="L398" s="388" t="str">
        <f>$L$7</f>
        <v>FT</v>
      </c>
      <c r="M398" s="388" t="str">
        <f>$M$7</f>
        <v>PT</v>
      </c>
      <c r="N398" s="388" t="str">
        <f>$N$7</f>
        <v>SE</v>
      </c>
      <c r="O398" s="388" t="str">
        <f>$O$7</f>
        <v>Total</v>
      </c>
    </row>
    <row r="399" spans="1:15" s="351" customFormat="1" x14ac:dyDescent="0.25">
      <c r="A399" s="374"/>
      <c r="B399" s="350"/>
      <c r="C399" s="350"/>
      <c r="D399" s="350"/>
      <c r="E399" s="350"/>
      <c r="F399" s="350"/>
      <c r="G399" s="350"/>
      <c r="H399" s="350"/>
      <c r="I399" s="350"/>
      <c r="J399" s="350"/>
      <c r="K399" s="350"/>
      <c r="L399" s="350"/>
      <c r="M399" s="350"/>
      <c r="N399" s="350"/>
      <c r="O399" s="350"/>
    </row>
    <row r="400" spans="1:15" s="351" customFormat="1" x14ac:dyDescent="0.25">
      <c r="A400" s="362" t="str">
        <f>name!E$4</f>
        <v>Managers, directors and senior officials</v>
      </c>
      <c r="B400" s="440">
        <v>9.2556092528498848</v>
      </c>
      <c r="C400" s="440">
        <v>0.53269689299038103</v>
      </c>
      <c r="D400" s="440">
        <v>4.106368411230819</v>
      </c>
      <c r="E400" s="440">
        <f>SUM(B400:D400)</f>
        <v>13.894674557071085</v>
      </c>
      <c r="F400" s="441"/>
      <c r="G400" s="440">
        <v>11.404854914956839</v>
      </c>
      <c r="H400" s="440">
        <v>1.1495233779363108</v>
      </c>
      <c r="I400" s="440">
        <v>7.4104848379900039</v>
      </c>
      <c r="J400" s="440">
        <f>SUM(G400:I400)</f>
        <v>19.964863130883153</v>
      </c>
      <c r="K400" s="441"/>
      <c r="L400" s="440">
        <v>11.468734946000266</v>
      </c>
      <c r="M400" s="440">
        <v>1.4913258532069336</v>
      </c>
      <c r="N400" s="440">
        <v>7.145109977252595</v>
      </c>
      <c r="O400" s="440">
        <f>SUM(L400:N400)</f>
        <v>20.105170776459794</v>
      </c>
    </row>
    <row r="401" spans="1:15" s="351" customFormat="1" x14ac:dyDescent="0.25">
      <c r="A401" s="362" t="str">
        <f>name!E$5</f>
        <v>Professional occupations</v>
      </c>
      <c r="B401" s="440">
        <v>18.805876776395078</v>
      </c>
      <c r="C401" s="440">
        <v>0.60316389576649554</v>
      </c>
      <c r="D401" s="440">
        <v>2.2892566463320398</v>
      </c>
      <c r="E401" s="440">
        <f t="shared" ref="E401:E408" si="182">SUM(B401:D401)</f>
        <v>21.698297318493612</v>
      </c>
      <c r="F401" s="441"/>
      <c r="G401" s="440">
        <v>23.522182072259625</v>
      </c>
      <c r="H401" s="440">
        <v>1.279444703331996</v>
      </c>
      <c r="I401" s="440">
        <v>3.9624889313104394</v>
      </c>
      <c r="J401" s="440">
        <f t="shared" ref="J401:J403" si="183">SUM(G401:I401)</f>
        <v>28.764115706902061</v>
      </c>
      <c r="K401" s="441"/>
      <c r="L401" s="440">
        <v>23.929406276927924</v>
      </c>
      <c r="M401" s="440">
        <v>1.5643303821459926</v>
      </c>
      <c r="N401" s="440">
        <v>3.7107641087387546</v>
      </c>
      <c r="O401" s="440">
        <f t="shared" ref="O401:O408" si="184">SUM(L401:N401)</f>
        <v>29.204500767812672</v>
      </c>
    </row>
    <row r="402" spans="1:15" s="351" customFormat="1" x14ac:dyDescent="0.25">
      <c r="A402" s="362" t="str">
        <f>name!E$6</f>
        <v>Associate professional and technical</v>
      </c>
      <c r="B402" s="440">
        <v>13.869095970866027</v>
      </c>
      <c r="C402" s="440">
        <v>0.5973297024516685</v>
      </c>
      <c r="D402" s="440">
        <v>1.812938386281888</v>
      </c>
      <c r="E402" s="440">
        <f t="shared" si="182"/>
        <v>16.279364059599583</v>
      </c>
      <c r="F402" s="441"/>
      <c r="G402" s="440">
        <v>14.649599882983388</v>
      </c>
      <c r="H402" s="440">
        <v>1.0541762346626433</v>
      </c>
      <c r="I402" s="440">
        <v>3.1025313116763651</v>
      </c>
      <c r="J402" s="440">
        <f t="shared" si="183"/>
        <v>18.806307429322395</v>
      </c>
      <c r="K402" s="441"/>
      <c r="L402" s="440">
        <v>14.227265159865746</v>
      </c>
      <c r="M402" s="440">
        <v>1.2502177177601683</v>
      </c>
      <c r="N402" s="440">
        <v>2.8307280998204312</v>
      </c>
      <c r="O402" s="440">
        <f t="shared" si="184"/>
        <v>18.308210977446347</v>
      </c>
    </row>
    <row r="403" spans="1:15" s="351" customFormat="1" x14ac:dyDescent="0.25">
      <c r="A403" s="362" t="str">
        <f>name!E$7</f>
        <v>Administrative and secretarial</v>
      </c>
      <c r="B403" s="440">
        <v>5.7998291372923667</v>
      </c>
      <c r="C403" s="440">
        <v>1.8649364075266472</v>
      </c>
      <c r="D403" s="440">
        <v>0.46746510914001488</v>
      </c>
      <c r="E403" s="440">
        <f t="shared" si="182"/>
        <v>8.132230653959029</v>
      </c>
      <c r="F403" s="441"/>
      <c r="G403" s="440">
        <v>5.1287368490630474</v>
      </c>
      <c r="H403" s="440">
        <v>2.5169694541774352</v>
      </c>
      <c r="I403" s="440">
        <v>0.79255466524984941</v>
      </c>
      <c r="J403" s="440">
        <f t="shared" si="183"/>
        <v>8.4382609684903311</v>
      </c>
      <c r="K403" s="441"/>
      <c r="L403" s="440">
        <v>4.5570473771888871</v>
      </c>
      <c r="M403" s="440">
        <v>2.1223275136918236</v>
      </c>
      <c r="N403" s="440">
        <v>0.63634237008541839</v>
      </c>
      <c r="O403" s="440">
        <f t="shared" si="184"/>
        <v>7.315717260966129</v>
      </c>
    </row>
    <row r="404" spans="1:15" s="351" customFormat="1" x14ac:dyDescent="0.25">
      <c r="A404" s="362" t="str">
        <f>name!E$8</f>
        <v>Skilled trades occupations</v>
      </c>
      <c r="B404" s="440">
        <v>26.695618088931397</v>
      </c>
      <c r="C404" s="440">
        <v>0.60895926014883561</v>
      </c>
      <c r="D404" s="440">
        <v>6.4311560965921286</v>
      </c>
      <c r="E404" s="440">
        <f t="shared" si="182"/>
        <v>33.735733445672359</v>
      </c>
      <c r="F404" s="441"/>
      <c r="G404" s="440">
        <v>26.175678668847734</v>
      </c>
      <c r="H404" s="440">
        <v>0.93277408105580295</v>
      </c>
      <c r="I404" s="440">
        <v>7.8157615137906991</v>
      </c>
      <c r="J404" s="440">
        <f>SUM(G404:I404)</f>
        <v>34.924214263694239</v>
      </c>
      <c r="K404" s="441"/>
      <c r="L404" s="440">
        <v>21.544778923165641</v>
      </c>
      <c r="M404" s="440">
        <v>0.95328583443520742</v>
      </c>
      <c r="N404" s="440">
        <v>7.1133579145215737</v>
      </c>
      <c r="O404" s="440">
        <f t="shared" si="184"/>
        <v>29.611422672122423</v>
      </c>
    </row>
    <row r="405" spans="1:15" s="351" customFormat="1" x14ac:dyDescent="0.25">
      <c r="A405" s="362" t="str">
        <f>name!E$9</f>
        <v>Caring, leisure and other service</v>
      </c>
      <c r="B405" s="440">
        <v>0.72036860710548367</v>
      </c>
      <c r="C405" s="440">
        <v>0.24175635506340615</v>
      </c>
      <c r="D405" s="440">
        <v>0.30845267872739535</v>
      </c>
      <c r="E405" s="440">
        <f t="shared" si="182"/>
        <v>1.2705776408962852</v>
      </c>
      <c r="F405" s="441"/>
      <c r="G405" s="440">
        <v>0.91260337943789105</v>
      </c>
      <c r="H405" s="440">
        <v>0.38320910799100882</v>
      </c>
      <c r="I405" s="440">
        <v>0.63693357116427041</v>
      </c>
      <c r="J405" s="440">
        <f t="shared" ref="J405:J408" si="185">SUM(G405:I405)</f>
        <v>1.9327460585931702</v>
      </c>
      <c r="K405" s="441"/>
      <c r="L405" s="440">
        <v>1.0234640999370099</v>
      </c>
      <c r="M405" s="440">
        <v>0.40344214601148726</v>
      </c>
      <c r="N405" s="440">
        <v>0.60323261817331408</v>
      </c>
      <c r="O405" s="440">
        <f t="shared" si="184"/>
        <v>2.0301388641218114</v>
      </c>
    </row>
    <row r="406" spans="1:15" s="351" customFormat="1" x14ac:dyDescent="0.25">
      <c r="A406" s="362" t="str">
        <f>name!E$10</f>
        <v>Sales and customer service</v>
      </c>
      <c r="B406" s="440">
        <v>1.6907851627185104</v>
      </c>
      <c r="C406" s="440">
        <v>0.40964364039998513</v>
      </c>
      <c r="D406" s="440">
        <v>0.24330594017620766</v>
      </c>
      <c r="E406" s="440">
        <f t="shared" si="182"/>
        <v>2.3437347432947035</v>
      </c>
      <c r="F406" s="441"/>
      <c r="G406" s="440">
        <v>2.4575949047757928</v>
      </c>
      <c r="H406" s="440">
        <v>0.85690969379114035</v>
      </c>
      <c r="I406" s="440">
        <v>0.39076625144219984</v>
      </c>
      <c r="J406" s="440">
        <f t="shared" si="185"/>
        <v>3.7052708500091329</v>
      </c>
      <c r="K406" s="441"/>
      <c r="L406" s="440">
        <v>2.2769622547831796</v>
      </c>
      <c r="M406" s="440">
        <v>0.93966384445497408</v>
      </c>
      <c r="N406" s="440">
        <v>0.36798307745480063</v>
      </c>
      <c r="O406" s="440">
        <f t="shared" si="184"/>
        <v>3.584609176692954</v>
      </c>
    </row>
    <row r="407" spans="1:15" s="351" customFormat="1" x14ac:dyDescent="0.25">
      <c r="A407" s="362" t="str">
        <f>name!E$11</f>
        <v>Process, plant and machine operatives</v>
      </c>
      <c r="B407" s="440">
        <v>17.804114031895651</v>
      </c>
      <c r="C407" s="440">
        <v>0.99969211771842581</v>
      </c>
      <c r="D407" s="440">
        <v>1.5121945885612031</v>
      </c>
      <c r="E407" s="440">
        <f t="shared" si="182"/>
        <v>20.31600073817528</v>
      </c>
      <c r="F407" s="441"/>
      <c r="G407" s="440">
        <v>15.373702625418943</v>
      </c>
      <c r="H407" s="440">
        <v>1.4525540051371542</v>
      </c>
      <c r="I407" s="440">
        <v>2.0446008443625714</v>
      </c>
      <c r="J407" s="440">
        <f t="shared" si="185"/>
        <v>18.870857474918669</v>
      </c>
      <c r="K407" s="441"/>
      <c r="L407" s="440">
        <v>12.841462465213173</v>
      </c>
      <c r="M407" s="440">
        <v>1.3911579692476717</v>
      </c>
      <c r="N407" s="440">
        <v>1.7677446929928635</v>
      </c>
      <c r="O407" s="440">
        <f t="shared" si="184"/>
        <v>16.000365127453708</v>
      </c>
    </row>
    <row r="408" spans="1:15" s="351" customFormat="1" x14ac:dyDescent="0.25">
      <c r="A408" s="362" t="str">
        <f>name!E$12</f>
        <v>Elementary occupations</v>
      </c>
      <c r="B408" s="440">
        <v>3.6937029716134386</v>
      </c>
      <c r="C408" s="440">
        <v>0.77682172792464321</v>
      </c>
      <c r="D408" s="440">
        <v>0.88486214296495902</v>
      </c>
      <c r="E408" s="440">
        <f t="shared" si="182"/>
        <v>5.3553868425030409</v>
      </c>
      <c r="F408" s="441"/>
      <c r="G408" s="440">
        <v>3.6110467018884536</v>
      </c>
      <c r="H408" s="440">
        <v>0.84743934202428139</v>
      </c>
      <c r="I408" s="440">
        <v>1.1878780729420293</v>
      </c>
      <c r="J408" s="440">
        <f t="shared" si="185"/>
        <v>5.6463641168547642</v>
      </c>
      <c r="K408" s="441"/>
      <c r="L408" s="440">
        <v>2.9928784966430104</v>
      </c>
      <c r="M408" s="440">
        <v>0.83324873908858765</v>
      </c>
      <c r="N408" s="440">
        <v>1.151737140929727</v>
      </c>
      <c r="O408" s="440">
        <f t="shared" si="184"/>
        <v>4.9778643766613255</v>
      </c>
    </row>
    <row r="409" spans="1:15" s="351" customFormat="1" x14ac:dyDescent="0.25">
      <c r="A409" s="362"/>
      <c r="B409" s="440"/>
      <c r="C409" s="440"/>
      <c r="D409" s="440"/>
      <c r="E409" s="440"/>
      <c r="F409" s="441"/>
      <c r="G409" s="440"/>
      <c r="H409" s="440"/>
      <c r="I409" s="440"/>
      <c r="J409" s="440"/>
      <c r="K409" s="441"/>
      <c r="L409" s="440"/>
      <c r="M409" s="440"/>
      <c r="N409" s="440"/>
      <c r="O409" s="440"/>
    </row>
    <row r="410" spans="1:15" s="351" customFormat="1" x14ac:dyDescent="0.25">
      <c r="A410" s="357" t="s">
        <v>32</v>
      </c>
      <c r="B410" s="450">
        <f>SUM(B400:B408)</f>
        <v>98.334999999667829</v>
      </c>
      <c r="C410" s="450">
        <f t="shared" ref="C410:E410" si="186">SUM(C400:C408)</f>
        <v>6.6349999999904883</v>
      </c>
      <c r="D410" s="450">
        <f t="shared" si="186"/>
        <v>18.056000000006655</v>
      </c>
      <c r="E410" s="450">
        <f t="shared" si="186"/>
        <v>123.02599999966498</v>
      </c>
      <c r="F410" s="450"/>
      <c r="G410" s="450">
        <f t="shared" ref="G410:J410" si="187">SUM(G400:G408)</f>
        <v>103.23599999963172</v>
      </c>
      <c r="H410" s="450">
        <f t="shared" si="187"/>
        <v>10.473000000107774</v>
      </c>
      <c r="I410" s="450">
        <f t="shared" si="187"/>
        <v>27.343999999928432</v>
      </c>
      <c r="J410" s="450">
        <f t="shared" si="187"/>
        <v>141.05299999966789</v>
      </c>
      <c r="K410" s="450"/>
      <c r="L410" s="450">
        <f t="shared" ref="L410:O410" si="188">SUM(L400:L408)</f>
        <v>94.861999999724844</v>
      </c>
      <c r="M410" s="450">
        <f t="shared" si="188"/>
        <v>10.949000000042846</v>
      </c>
      <c r="N410" s="450">
        <f t="shared" si="188"/>
        <v>25.32699999996948</v>
      </c>
      <c r="O410" s="450">
        <f t="shared" si="188"/>
        <v>131.13799999973716</v>
      </c>
    </row>
    <row r="411" spans="1:15" s="351" customFormat="1" x14ac:dyDescent="0.25">
      <c r="A411" s="348"/>
      <c r="B411" s="348"/>
      <c r="C411" s="348"/>
      <c r="D411" s="348"/>
      <c r="E411" s="348"/>
      <c r="F411" s="348"/>
      <c r="G411" s="348"/>
      <c r="H411" s="348"/>
      <c r="I411" s="348"/>
      <c r="J411" s="348"/>
      <c r="K411" s="348"/>
      <c r="L411" s="348"/>
      <c r="M411" s="348"/>
      <c r="N411" s="353"/>
    </row>
    <row r="412" spans="1:15" s="351" customFormat="1" x14ac:dyDescent="0.25">
      <c r="A412" s="348"/>
      <c r="B412" s="348"/>
      <c r="C412" s="348"/>
      <c r="D412" s="348"/>
      <c r="E412" s="348"/>
      <c r="F412" s="348"/>
      <c r="G412" s="348"/>
      <c r="H412" s="348"/>
      <c r="I412" s="348"/>
      <c r="J412" s="348"/>
      <c r="K412" s="348"/>
      <c r="L412" s="348"/>
      <c r="M412" s="348"/>
      <c r="N412" s="353"/>
      <c r="O412" s="367" t="s">
        <v>35</v>
      </c>
    </row>
    <row r="413" spans="1:15" s="351" customFormat="1" x14ac:dyDescent="0.25">
      <c r="A413" s="355"/>
      <c r="B413" s="355"/>
      <c r="C413" s="355"/>
      <c r="D413" s="355"/>
      <c r="E413" s="355"/>
      <c r="F413" s="355"/>
      <c r="G413" s="355"/>
      <c r="H413" s="355"/>
      <c r="I413" s="355"/>
      <c r="J413" s="355"/>
      <c r="K413" s="355"/>
      <c r="L413" s="355"/>
      <c r="M413" s="355"/>
      <c r="N413" s="355"/>
      <c r="O413" s="355"/>
    </row>
    <row r="414" spans="1:15" s="351" customFormat="1" x14ac:dyDescent="0.25">
      <c r="A414" s="354" t="str">
        <f>name!A27</f>
        <v>Electricity, gas, etc</v>
      </c>
      <c r="B414" s="517">
        <f>$B$6</f>
        <v>2007</v>
      </c>
      <c r="C414" s="517"/>
      <c r="D414" s="517"/>
      <c r="E414" s="517"/>
      <c r="F414" s="380"/>
      <c r="G414" s="517">
        <f>$G$6</f>
        <v>2017</v>
      </c>
      <c r="H414" s="517"/>
      <c r="I414" s="517"/>
      <c r="J414" s="517"/>
      <c r="K414" s="380"/>
      <c r="L414" s="517">
        <f>$L$6</f>
        <v>2027</v>
      </c>
      <c r="M414" s="517"/>
      <c r="N414" s="517"/>
      <c r="O414" s="517"/>
    </row>
    <row r="415" spans="1:15" s="351" customFormat="1" x14ac:dyDescent="0.25">
      <c r="A415" s="370"/>
      <c r="B415" s="388" t="str">
        <f>$B$7</f>
        <v>FT</v>
      </c>
      <c r="C415" s="388" t="str">
        <f>$C$7</f>
        <v>PT</v>
      </c>
      <c r="D415" s="388" t="str">
        <f>$D$7</f>
        <v>SE</v>
      </c>
      <c r="E415" s="388" t="str">
        <f>$E$7</f>
        <v>Total</v>
      </c>
      <c r="F415" s="388"/>
      <c r="G415" s="388" t="str">
        <f>$G$7</f>
        <v>FT</v>
      </c>
      <c r="H415" s="388" t="str">
        <f>$H$7</f>
        <v>PT</v>
      </c>
      <c r="I415" s="388" t="str">
        <f>$I$7</f>
        <v>SE</v>
      </c>
      <c r="J415" s="388" t="str">
        <f>$J$7</f>
        <v>Total</v>
      </c>
      <c r="K415" s="388"/>
      <c r="L415" s="388" t="str">
        <f>$L$7</f>
        <v>FT</v>
      </c>
      <c r="M415" s="388" t="str">
        <f>$M$7</f>
        <v>PT</v>
      </c>
      <c r="N415" s="388" t="str">
        <f>$N$7</f>
        <v>SE</v>
      </c>
      <c r="O415" s="388" t="str">
        <f>$O$7</f>
        <v>Total</v>
      </c>
    </row>
    <row r="416" spans="1:15" s="351" customFormat="1" x14ac:dyDescent="0.25">
      <c r="A416" s="374"/>
      <c r="B416" s="350"/>
      <c r="C416" s="350"/>
      <c r="D416" s="350"/>
      <c r="E416" s="350"/>
      <c r="F416" s="350"/>
      <c r="G416" s="350"/>
      <c r="H416" s="350"/>
      <c r="I416" s="350"/>
      <c r="J416" s="350"/>
      <c r="K416" s="350"/>
      <c r="L416" s="350"/>
      <c r="M416" s="350"/>
      <c r="N416" s="350"/>
      <c r="O416" s="350"/>
    </row>
    <row r="417" spans="1:15" s="351" customFormat="1" x14ac:dyDescent="0.25">
      <c r="A417" s="362" t="str">
        <f>name!E$4</f>
        <v>Managers, directors and senior officials</v>
      </c>
      <c r="B417" s="440">
        <v>7.1844197977098379</v>
      </c>
      <c r="C417" s="440">
        <v>0.1917713905051443</v>
      </c>
      <c r="D417" s="440">
        <v>0.38402488752233171</v>
      </c>
      <c r="E417" s="440">
        <f>SUM(B417:D417)</f>
        <v>7.7602160757373131</v>
      </c>
      <c r="F417" s="441"/>
      <c r="G417" s="440">
        <v>13.611443283917678</v>
      </c>
      <c r="H417" s="440">
        <v>0.51610675693858232</v>
      </c>
      <c r="I417" s="440">
        <v>1.8623941352191273</v>
      </c>
      <c r="J417" s="440">
        <f>SUM(G417:I417)</f>
        <v>15.989944176075387</v>
      </c>
      <c r="K417" s="441"/>
      <c r="L417" s="440">
        <v>15.830931567164562</v>
      </c>
      <c r="M417" s="440">
        <v>0.57956008541048576</v>
      </c>
      <c r="N417" s="440">
        <v>2.3233536397733214</v>
      </c>
      <c r="O417" s="440">
        <f>SUM(L417:N417)</f>
        <v>18.73384529234837</v>
      </c>
    </row>
    <row r="418" spans="1:15" s="351" customFormat="1" x14ac:dyDescent="0.25">
      <c r="A418" s="362" t="str">
        <f>name!E$5</f>
        <v>Professional occupations</v>
      </c>
      <c r="B418" s="440">
        <v>16.900079092683548</v>
      </c>
      <c r="C418" s="440">
        <v>0.26143506769396446</v>
      </c>
      <c r="D418" s="440">
        <v>0.35853281070963405</v>
      </c>
      <c r="E418" s="440">
        <f t="shared" ref="E418:E425" si="189">SUM(B418:D418)</f>
        <v>17.520046971087144</v>
      </c>
      <c r="F418" s="441"/>
      <c r="G418" s="440">
        <v>27.43252638667072</v>
      </c>
      <c r="H418" s="440">
        <v>0.63314684023880352</v>
      </c>
      <c r="I418" s="440">
        <v>2.010411622220456</v>
      </c>
      <c r="J418" s="440">
        <f t="shared" ref="J418:J420" si="190">SUM(G418:I418)</f>
        <v>30.07608484912998</v>
      </c>
      <c r="K418" s="441"/>
      <c r="L418" s="440">
        <v>30.771384177483515</v>
      </c>
      <c r="M418" s="440">
        <v>0.6329597226703656</v>
      </c>
      <c r="N418" s="440">
        <v>2.0636592284432593</v>
      </c>
      <c r="O418" s="440">
        <f t="shared" ref="O418:O425" si="191">SUM(L418:N418)</f>
        <v>33.46800312859714</v>
      </c>
    </row>
    <row r="419" spans="1:15" s="351" customFormat="1" x14ac:dyDescent="0.25">
      <c r="A419" s="362" t="str">
        <f>name!E$6</f>
        <v>Associate professional and technical</v>
      </c>
      <c r="B419" s="440">
        <v>11.392841174924827</v>
      </c>
      <c r="C419" s="440">
        <v>0.3995961761789622</v>
      </c>
      <c r="D419" s="440">
        <v>0.24116711234519903</v>
      </c>
      <c r="E419" s="440">
        <f t="shared" si="189"/>
        <v>12.033604463448988</v>
      </c>
      <c r="F419" s="441"/>
      <c r="G419" s="440">
        <v>20.949960780596921</v>
      </c>
      <c r="H419" s="440">
        <v>0.85963552286168954</v>
      </c>
      <c r="I419" s="440">
        <v>1.1928633661127881</v>
      </c>
      <c r="J419" s="440">
        <f t="shared" si="190"/>
        <v>23.002459669571401</v>
      </c>
      <c r="K419" s="441"/>
      <c r="L419" s="440">
        <v>22.413046285850491</v>
      </c>
      <c r="M419" s="440">
        <v>0.87219892231244667</v>
      </c>
      <c r="N419" s="440">
        <v>1.2861316537236966</v>
      </c>
      <c r="O419" s="440">
        <f t="shared" si="191"/>
        <v>24.571376861886634</v>
      </c>
    </row>
    <row r="420" spans="1:15" s="351" customFormat="1" x14ac:dyDescent="0.25">
      <c r="A420" s="362" t="str">
        <f>name!E$7</f>
        <v>Administrative and secretarial</v>
      </c>
      <c r="B420" s="440">
        <v>8.9879461823273772</v>
      </c>
      <c r="C420" s="440">
        <v>1.4060883861405891</v>
      </c>
      <c r="D420" s="440">
        <v>5.6916373410045067E-2</v>
      </c>
      <c r="E420" s="440">
        <f t="shared" si="189"/>
        <v>10.450950941878011</v>
      </c>
      <c r="F420" s="441"/>
      <c r="G420" s="440">
        <v>12.996689309856054</v>
      </c>
      <c r="H420" s="440">
        <v>1.9817420063813627</v>
      </c>
      <c r="I420" s="440">
        <v>0.37397436821359936</v>
      </c>
      <c r="J420" s="440">
        <f t="shared" si="190"/>
        <v>15.352405684451014</v>
      </c>
      <c r="K420" s="441"/>
      <c r="L420" s="440">
        <v>9.5105671366002902</v>
      </c>
      <c r="M420" s="440">
        <v>1.5914675023210243</v>
      </c>
      <c r="N420" s="440">
        <v>0.35951963887730665</v>
      </c>
      <c r="O420" s="440">
        <f t="shared" si="191"/>
        <v>11.461554277798621</v>
      </c>
    </row>
    <row r="421" spans="1:15" s="351" customFormat="1" x14ac:dyDescent="0.25">
      <c r="A421" s="362" t="str">
        <f>name!E$8</f>
        <v>Skilled trades occupations</v>
      </c>
      <c r="B421" s="440">
        <v>16.563203556000364</v>
      </c>
      <c r="C421" s="440">
        <v>0.25150425431745649</v>
      </c>
      <c r="D421" s="440">
        <v>0.39511494501660804</v>
      </c>
      <c r="E421" s="440">
        <f t="shared" si="189"/>
        <v>17.209822755334429</v>
      </c>
      <c r="F421" s="441"/>
      <c r="G421" s="440">
        <v>23.952771817286017</v>
      </c>
      <c r="H421" s="440">
        <v>0.45556505458840424</v>
      </c>
      <c r="I421" s="440">
        <v>2.0487088616555948</v>
      </c>
      <c r="J421" s="440">
        <f>SUM(G421:I421)</f>
        <v>26.457045733530016</v>
      </c>
      <c r="K421" s="441"/>
      <c r="L421" s="440">
        <v>22.754135817015971</v>
      </c>
      <c r="M421" s="440">
        <v>0.29931528306495886</v>
      </c>
      <c r="N421" s="440">
        <v>2.0886393716218095</v>
      </c>
      <c r="O421" s="440">
        <f t="shared" si="191"/>
        <v>25.14209047170274</v>
      </c>
    </row>
    <row r="422" spans="1:15" s="351" customFormat="1" x14ac:dyDescent="0.25">
      <c r="A422" s="362" t="str">
        <f>name!E$9</f>
        <v>Caring, leisure and other service</v>
      </c>
      <c r="B422" s="440">
        <v>2.1908290914243125</v>
      </c>
      <c r="C422" s="440">
        <v>0.15999381450821717</v>
      </c>
      <c r="D422" s="440">
        <v>6.4250282701651604E-2</v>
      </c>
      <c r="E422" s="440">
        <f t="shared" si="189"/>
        <v>2.4150731886341816</v>
      </c>
      <c r="F422" s="441"/>
      <c r="G422" s="440">
        <v>2.8737860523205696</v>
      </c>
      <c r="H422" s="440">
        <v>0.3740552792297136</v>
      </c>
      <c r="I422" s="440">
        <v>0.22855091355199325</v>
      </c>
      <c r="J422" s="440">
        <f t="shared" ref="J422:J425" si="192">SUM(G422:I422)</f>
        <v>3.4763922451022768</v>
      </c>
      <c r="K422" s="441"/>
      <c r="L422" s="440">
        <v>2.7330055109172031</v>
      </c>
      <c r="M422" s="440">
        <v>0.33443249525945395</v>
      </c>
      <c r="N422" s="440">
        <v>0.23312603212189448</v>
      </c>
      <c r="O422" s="440">
        <f t="shared" si="191"/>
        <v>3.3005640382985515</v>
      </c>
    </row>
    <row r="423" spans="1:15" s="351" customFormat="1" x14ac:dyDescent="0.25">
      <c r="A423" s="362" t="str">
        <f>name!E$10</f>
        <v>Sales and customer service</v>
      </c>
      <c r="B423" s="440">
        <v>9.8508478925948477</v>
      </c>
      <c r="C423" s="440">
        <v>2.0026324952507157</v>
      </c>
      <c r="D423" s="440">
        <v>0.16729489993174665</v>
      </c>
      <c r="E423" s="440">
        <f t="shared" si="189"/>
        <v>12.02077528777731</v>
      </c>
      <c r="F423" s="441"/>
      <c r="G423" s="440">
        <v>14.509274303039751</v>
      </c>
      <c r="H423" s="440">
        <v>4.3928143168354872</v>
      </c>
      <c r="I423" s="440">
        <v>0.49579174417801786</v>
      </c>
      <c r="J423" s="440">
        <f t="shared" si="192"/>
        <v>19.397880364053254</v>
      </c>
      <c r="K423" s="441"/>
      <c r="L423" s="440">
        <v>13.786359394167846</v>
      </c>
      <c r="M423" s="440">
        <v>4.2529161400485851</v>
      </c>
      <c r="N423" s="440">
        <v>0.53931329539886119</v>
      </c>
      <c r="O423" s="440">
        <f t="shared" si="191"/>
        <v>18.578588829615292</v>
      </c>
    </row>
    <row r="424" spans="1:15" s="351" customFormat="1" x14ac:dyDescent="0.25">
      <c r="A424" s="362" t="str">
        <f>name!E$11</f>
        <v>Process, plant and machine operatives</v>
      </c>
      <c r="B424" s="440">
        <v>3.3875096923012524</v>
      </c>
      <c r="C424" s="440">
        <v>0.10919612333556747</v>
      </c>
      <c r="D424" s="440">
        <v>0.18867344842547124</v>
      </c>
      <c r="E424" s="440">
        <f t="shared" si="189"/>
        <v>3.6853792640622909</v>
      </c>
      <c r="F424" s="441"/>
      <c r="G424" s="440">
        <v>5.9883206514227174</v>
      </c>
      <c r="H424" s="440">
        <v>0.22064666998328061</v>
      </c>
      <c r="I424" s="440">
        <v>1.1740665207159986</v>
      </c>
      <c r="J424" s="440">
        <f t="shared" si="192"/>
        <v>7.3830338421219963</v>
      </c>
      <c r="K424" s="441"/>
      <c r="L424" s="440">
        <v>6.1644547435888786</v>
      </c>
      <c r="M424" s="440">
        <v>0.16482590608159403</v>
      </c>
      <c r="N424" s="440">
        <v>1.075758196119434</v>
      </c>
      <c r="O424" s="440">
        <f t="shared" si="191"/>
        <v>7.4050388457899068</v>
      </c>
    </row>
    <row r="425" spans="1:15" s="351" customFormat="1" x14ac:dyDescent="0.25">
      <c r="A425" s="362" t="str">
        <f>name!E$12</f>
        <v>Elementary occupations</v>
      </c>
      <c r="B425" s="440">
        <v>1.4393235197491325</v>
      </c>
      <c r="C425" s="440">
        <v>0.34278229208566657</v>
      </c>
      <c r="D425" s="440">
        <v>0.11502523991473203</v>
      </c>
      <c r="E425" s="440">
        <f t="shared" si="189"/>
        <v>1.897131051749531</v>
      </c>
      <c r="F425" s="441"/>
      <c r="G425" s="440">
        <v>1.73122741432969</v>
      </c>
      <c r="H425" s="440">
        <v>0.64128755305166851</v>
      </c>
      <c r="I425" s="440">
        <v>0.49123846808076382</v>
      </c>
      <c r="J425" s="440">
        <f t="shared" si="192"/>
        <v>2.8637534354621224</v>
      </c>
      <c r="K425" s="441"/>
      <c r="L425" s="440">
        <v>1.5691153667341877</v>
      </c>
      <c r="M425" s="440">
        <v>0.49332394288086856</v>
      </c>
      <c r="N425" s="440">
        <v>0.44949894389794032</v>
      </c>
      <c r="O425" s="440">
        <f t="shared" si="191"/>
        <v>2.5119382535129966</v>
      </c>
    </row>
    <row r="426" spans="1:15" s="351" customFormat="1" x14ac:dyDescent="0.25">
      <c r="A426" s="362"/>
      <c r="B426" s="440"/>
      <c r="C426" s="440"/>
      <c r="D426" s="440"/>
      <c r="E426" s="440"/>
      <c r="F426" s="441"/>
      <c r="G426" s="440"/>
      <c r="H426" s="440"/>
      <c r="I426" s="440"/>
      <c r="J426" s="440"/>
      <c r="K426" s="441"/>
      <c r="L426" s="440"/>
      <c r="M426" s="440"/>
      <c r="N426" s="440"/>
      <c r="O426" s="440"/>
    </row>
    <row r="427" spans="1:15" s="351" customFormat="1" x14ac:dyDescent="0.25">
      <c r="A427" s="357" t="s">
        <v>32</v>
      </c>
      <c r="B427" s="450">
        <f>SUM(B417:B425)</f>
        <v>77.896999999715504</v>
      </c>
      <c r="C427" s="450">
        <f t="shared" ref="C427:E427" si="193">SUM(C417:C425)</f>
        <v>5.1250000000162839</v>
      </c>
      <c r="D427" s="450">
        <f t="shared" si="193"/>
        <v>1.9709999999774195</v>
      </c>
      <c r="E427" s="450">
        <f t="shared" si="193"/>
        <v>84.992999999709198</v>
      </c>
      <c r="F427" s="450"/>
      <c r="G427" s="450">
        <f t="shared" ref="G427:J427" si="194">SUM(G417:G425)</f>
        <v>124.04599999944011</v>
      </c>
      <c r="H427" s="450">
        <f t="shared" si="194"/>
        <v>10.075000000108991</v>
      </c>
      <c r="I427" s="450">
        <f t="shared" si="194"/>
        <v>9.8779999999483401</v>
      </c>
      <c r="J427" s="450">
        <f t="shared" si="194"/>
        <v>143.99899999949741</v>
      </c>
      <c r="K427" s="450"/>
      <c r="L427" s="450">
        <f t="shared" ref="L427:O427" si="195">SUM(L417:L425)</f>
        <v>125.53299999952294</v>
      </c>
      <c r="M427" s="450">
        <f t="shared" si="195"/>
        <v>9.2210000000497843</v>
      </c>
      <c r="N427" s="450">
        <f t="shared" si="195"/>
        <v>10.418999999977522</v>
      </c>
      <c r="O427" s="450">
        <f t="shared" si="195"/>
        <v>145.17299999955026</v>
      </c>
    </row>
    <row r="428" spans="1:15" s="351" customFormat="1" x14ac:dyDescent="0.25">
      <c r="A428" s="348"/>
      <c r="B428" s="348"/>
      <c r="C428" s="348"/>
      <c r="D428" s="348"/>
      <c r="E428" s="348"/>
      <c r="F428" s="348"/>
      <c r="G428" s="348"/>
      <c r="H428" s="348"/>
      <c r="I428" s="348"/>
      <c r="J428" s="348"/>
      <c r="K428" s="348"/>
      <c r="L428" s="348"/>
      <c r="M428" s="348"/>
      <c r="N428" s="353"/>
    </row>
    <row r="429" spans="1:15" s="351" customFormat="1" x14ac:dyDescent="0.25">
      <c r="A429" s="348"/>
      <c r="B429" s="348"/>
      <c r="C429" s="348"/>
      <c r="D429" s="348"/>
      <c r="E429" s="348"/>
      <c r="F429" s="348"/>
      <c r="G429" s="348"/>
      <c r="H429" s="348"/>
      <c r="I429" s="348"/>
      <c r="J429" s="348"/>
      <c r="K429" s="348"/>
      <c r="L429" s="348"/>
      <c r="M429" s="348"/>
      <c r="N429" s="353"/>
      <c r="O429" s="367" t="s">
        <v>35</v>
      </c>
    </row>
    <row r="430" spans="1:15" s="351" customFormat="1" x14ac:dyDescent="0.25">
      <c r="A430" s="355"/>
      <c r="B430" s="355"/>
      <c r="C430" s="355"/>
      <c r="D430" s="355"/>
      <c r="E430" s="355"/>
      <c r="F430" s="355"/>
      <c r="G430" s="355"/>
      <c r="H430" s="355"/>
      <c r="I430" s="355"/>
      <c r="J430" s="355"/>
      <c r="K430" s="355"/>
      <c r="L430" s="355"/>
      <c r="M430" s="355"/>
      <c r="N430" s="355"/>
      <c r="O430" s="355"/>
    </row>
    <row r="431" spans="1:15" s="351" customFormat="1" x14ac:dyDescent="0.25">
      <c r="A431" s="354" t="str">
        <f>name!A28</f>
        <v>Water</v>
      </c>
      <c r="B431" s="517">
        <f>$B$6</f>
        <v>2007</v>
      </c>
      <c r="C431" s="517"/>
      <c r="D431" s="517"/>
      <c r="E431" s="517"/>
      <c r="F431" s="380"/>
      <c r="G431" s="517">
        <f>$G$6</f>
        <v>2017</v>
      </c>
      <c r="H431" s="517"/>
      <c r="I431" s="517"/>
      <c r="J431" s="517"/>
      <c r="K431" s="380"/>
      <c r="L431" s="517">
        <f>$L$6</f>
        <v>2027</v>
      </c>
      <c r="M431" s="517"/>
      <c r="N431" s="517"/>
      <c r="O431" s="517"/>
    </row>
    <row r="432" spans="1:15" s="351" customFormat="1" x14ac:dyDescent="0.25">
      <c r="A432" s="370"/>
      <c r="B432" s="388" t="str">
        <f>$B$7</f>
        <v>FT</v>
      </c>
      <c r="C432" s="388" t="str">
        <f>$C$7</f>
        <v>PT</v>
      </c>
      <c r="D432" s="388" t="str">
        <f>$D$7</f>
        <v>SE</v>
      </c>
      <c r="E432" s="388" t="str">
        <f>$E$7</f>
        <v>Total</v>
      </c>
      <c r="F432" s="388"/>
      <c r="G432" s="388" t="str">
        <f>$G$7</f>
        <v>FT</v>
      </c>
      <c r="H432" s="388" t="str">
        <f>$H$7</f>
        <v>PT</v>
      </c>
      <c r="I432" s="388" t="str">
        <f>$I$7</f>
        <v>SE</v>
      </c>
      <c r="J432" s="388" t="str">
        <f>$J$7</f>
        <v>Total</v>
      </c>
      <c r="K432" s="388"/>
      <c r="L432" s="388" t="str">
        <f>$L$7</f>
        <v>FT</v>
      </c>
      <c r="M432" s="388" t="str">
        <f>$M$7</f>
        <v>PT</v>
      </c>
      <c r="N432" s="388" t="str">
        <f>$N$7</f>
        <v>SE</v>
      </c>
      <c r="O432" s="388" t="str">
        <f>$O$7</f>
        <v>Total</v>
      </c>
    </row>
    <row r="433" spans="1:15" s="351" customFormat="1" x14ac:dyDescent="0.25">
      <c r="A433" s="374"/>
      <c r="B433" s="350"/>
      <c r="C433" s="350"/>
      <c r="D433" s="350"/>
      <c r="E433" s="350"/>
      <c r="F433" s="350"/>
      <c r="G433" s="350"/>
      <c r="H433" s="350"/>
      <c r="I433" s="350"/>
      <c r="J433" s="350"/>
      <c r="K433" s="350"/>
      <c r="L433" s="350"/>
      <c r="M433" s="350"/>
      <c r="N433" s="350"/>
      <c r="O433" s="350"/>
    </row>
    <row r="434" spans="1:15" s="351" customFormat="1" x14ac:dyDescent="0.25">
      <c r="A434" s="362" t="str">
        <f>name!E$4</f>
        <v>Managers, directors and senior officials</v>
      </c>
      <c r="B434" s="440">
        <v>2.7069445900341398</v>
      </c>
      <c r="C434" s="440">
        <v>0.18204232246459723</v>
      </c>
      <c r="D434" s="440">
        <v>0.1350797239019178</v>
      </c>
      <c r="E434" s="440">
        <f>SUM(B434:D434)</f>
        <v>3.0240666364006548</v>
      </c>
      <c r="F434" s="441"/>
      <c r="G434" s="440">
        <v>4.1769308831000425</v>
      </c>
      <c r="H434" s="440">
        <v>0.35918719657840931</v>
      </c>
      <c r="I434" s="440">
        <v>0.13553772349980678</v>
      </c>
      <c r="J434" s="440">
        <f>SUM(G434:I434)</f>
        <v>4.6716558031782585</v>
      </c>
      <c r="K434" s="441"/>
      <c r="L434" s="440">
        <v>5.2179582320474367</v>
      </c>
      <c r="M434" s="440">
        <v>0.49270275125975893</v>
      </c>
      <c r="N434" s="440">
        <v>0.15922696084885865</v>
      </c>
      <c r="O434" s="440">
        <f>SUM(L434:N434)</f>
        <v>5.8698879441560541</v>
      </c>
    </row>
    <row r="435" spans="1:15" s="351" customFormat="1" x14ac:dyDescent="0.25">
      <c r="A435" s="362" t="str">
        <f>name!E$5</f>
        <v>Professional occupations</v>
      </c>
      <c r="B435" s="440">
        <v>4.896416226880647</v>
      </c>
      <c r="C435" s="440">
        <v>0.23301677808990251</v>
      </c>
      <c r="D435" s="440">
        <v>0.13566431803923984</v>
      </c>
      <c r="E435" s="440">
        <f t="shared" ref="E435:E442" si="196">SUM(B435:D435)</f>
        <v>5.2650973230097895</v>
      </c>
      <c r="F435" s="441"/>
      <c r="G435" s="440">
        <v>5.981652921106245</v>
      </c>
      <c r="H435" s="440">
        <v>0.46556346408838806</v>
      </c>
      <c r="I435" s="440">
        <v>0.19885498241317692</v>
      </c>
      <c r="J435" s="440">
        <f t="shared" ref="J435:J437" si="197">SUM(G435:I435)</f>
        <v>6.64607136760781</v>
      </c>
      <c r="K435" s="441"/>
      <c r="L435" s="440">
        <v>7.5181969948026488</v>
      </c>
      <c r="M435" s="440">
        <v>0.64445197697481715</v>
      </c>
      <c r="N435" s="440">
        <v>0.23987759834831149</v>
      </c>
      <c r="O435" s="440">
        <f t="shared" ref="O435:O442" si="198">SUM(L435:N435)</f>
        <v>8.4025265701257776</v>
      </c>
    </row>
    <row r="436" spans="1:15" s="351" customFormat="1" x14ac:dyDescent="0.25">
      <c r="A436" s="362" t="str">
        <f>name!E$6</f>
        <v>Associate professional and technical</v>
      </c>
      <c r="B436" s="440">
        <v>4.8403845969953156</v>
      </c>
      <c r="C436" s="440">
        <v>0.45688157077689939</v>
      </c>
      <c r="D436" s="440">
        <v>0.10490499852388982</v>
      </c>
      <c r="E436" s="440">
        <f t="shared" si="196"/>
        <v>5.4021711662961049</v>
      </c>
      <c r="F436" s="441"/>
      <c r="G436" s="440">
        <v>5.8355952621420393</v>
      </c>
      <c r="H436" s="440">
        <v>0.83353786405941843</v>
      </c>
      <c r="I436" s="440">
        <v>0.10171308542929407</v>
      </c>
      <c r="J436" s="440">
        <f t="shared" si="197"/>
        <v>6.7708462116307517</v>
      </c>
      <c r="K436" s="441"/>
      <c r="L436" s="440">
        <v>7.1997498136251679</v>
      </c>
      <c r="M436" s="440">
        <v>1.0922969141559116</v>
      </c>
      <c r="N436" s="440">
        <v>0.11857841470364704</v>
      </c>
      <c r="O436" s="440">
        <f t="shared" si="198"/>
        <v>8.4106251424847258</v>
      </c>
    </row>
    <row r="437" spans="1:15" s="351" customFormat="1" x14ac:dyDescent="0.25">
      <c r="A437" s="362" t="str">
        <f>name!E$7</f>
        <v>Administrative and secretarial</v>
      </c>
      <c r="B437" s="440">
        <v>2.3946202992783165</v>
      </c>
      <c r="C437" s="440">
        <v>0.41495709774665163</v>
      </c>
      <c r="D437" s="440">
        <v>2.8225682635125194E-2</v>
      </c>
      <c r="E437" s="440">
        <f t="shared" si="196"/>
        <v>2.8378030796600933</v>
      </c>
      <c r="F437" s="441"/>
      <c r="G437" s="440">
        <v>2.6976040599274005</v>
      </c>
      <c r="H437" s="440">
        <v>0.7742593811308921</v>
      </c>
      <c r="I437" s="440">
        <v>2.8259659776586923E-2</v>
      </c>
      <c r="J437" s="440">
        <f t="shared" si="197"/>
        <v>3.5001231008348794</v>
      </c>
      <c r="K437" s="441"/>
      <c r="L437" s="440">
        <v>2.9412178121615833</v>
      </c>
      <c r="M437" s="440">
        <v>0.76877572456791865</v>
      </c>
      <c r="N437" s="440">
        <v>2.8556001202514694E-2</v>
      </c>
      <c r="O437" s="440">
        <f t="shared" si="198"/>
        <v>3.7385495379320166</v>
      </c>
    </row>
    <row r="438" spans="1:15" s="351" customFormat="1" x14ac:dyDescent="0.25">
      <c r="A438" s="362" t="str">
        <f>name!E$8</f>
        <v>Skilled trades occupations</v>
      </c>
      <c r="B438" s="440">
        <v>4.239798640240652</v>
      </c>
      <c r="C438" s="440">
        <v>9.2257393576339164E-2</v>
      </c>
      <c r="D438" s="440">
        <v>0.18758232775457703</v>
      </c>
      <c r="E438" s="440">
        <f t="shared" si="196"/>
        <v>4.5196383615715687</v>
      </c>
      <c r="F438" s="441"/>
      <c r="G438" s="440">
        <v>5.0810357786285731</v>
      </c>
      <c r="H438" s="440">
        <v>0.12992222263460224</v>
      </c>
      <c r="I438" s="440">
        <v>0.14730178050849371</v>
      </c>
      <c r="J438" s="440">
        <f>SUM(G438:I438)</f>
        <v>5.3582597817716691</v>
      </c>
      <c r="K438" s="441"/>
      <c r="L438" s="440">
        <v>4.7871633146155848</v>
      </c>
      <c r="M438" s="440">
        <v>0.15527238968089288</v>
      </c>
      <c r="N438" s="440">
        <v>0.15996625137353362</v>
      </c>
      <c r="O438" s="440">
        <f t="shared" si="198"/>
        <v>5.1024019556700111</v>
      </c>
    </row>
    <row r="439" spans="1:15" s="351" customFormat="1" x14ac:dyDescent="0.25">
      <c r="A439" s="362" t="str">
        <f>name!E$9</f>
        <v>Caring, leisure and other service</v>
      </c>
      <c r="B439" s="440">
        <v>0.26009273930110544</v>
      </c>
      <c r="C439" s="440">
        <v>0.20305919297600589</v>
      </c>
      <c r="D439" s="440">
        <v>5.1077277410517499E-2</v>
      </c>
      <c r="E439" s="440">
        <f t="shared" si="196"/>
        <v>0.51422920968762886</v>
      </c>
      <c r="F439" s="441"/>
      <c r="G439" s="440">
        <v>0.31407737182569367</v>
      </c>
      <c r="H439" s="440">
        <v>0.16719685867732881</v>
      </c>
      <c r="I439" s="440">
        <v>4.621927629675926E-2</v>
      </c>
      <c r="J439" s="440">
        <f t="shared" ref="J439:J442" si="199">SUM(G439:I439)</f>
        <v>0.52749350679978169</v>
      </c>
      <c r="K439" s="441"/>
      <c r="L439" s="440">
        <v>0.50651893011222182</v>
      </c>
      <c r="M439" s="440">
        <v>0.19361038443192161</v>
      </c>
      <c r="N439" s="440">
        <v>4.997369653059066E-2</v>
      </c>
      <c r="O439" s="440">
        <f t="shared" si="198"/>
        <v>0.75010301107473409</v>
      </c>
    </row>
    <row r="440" spans="1:15" s="351" customFormat="1" x14ac:dyDescent="0.25">
      <c r="A440" s="362" t="str">
        <f>name!E$10</f>
        <v>Sales and customer service</v>
      </c>
      <c r="B440" s="440">
        <v>1.6721737780740349</v>
      </c>
      <c r="C440" s="440">
        <v>0.42257137848158577</v>
      </c>
      <c r="D440" s="440">
        <v>2.4067414876592887E-2</v>
      </c>
      <c r="E440" s="440">
        <f t="shared" si="196"/>
        <v>2.1188125714322132</v>
      </c>
      <c r="F440" s="441"/>
      <c r="G440" s="440">
        <v>1.9111134062494957</v>
      </c>
      <c r="H440" s="440">
        <v>0.99587967813570299</v>
      </c>
      <c r="I440" s="440">
        <v>2.2440264856964882E-2</v>
      </c>
      <c r="J440" s="440">
        <f t="shared" si="199"/>
        <v>2.9294333492421636</v>
      </c>
      <c r="K440" s="441"/>
      <c r="L440" s="440">
        <v>2.3922603763355914</v>
      </c>
      <c r="M440" s="440">
        <v>1.1737031322909663</v>
      </c>
      <c r="N440" s="440">
        <v>2.4071236268148912E-2</v>
      </c>
      <c r="O440" s="440">
        <f t="shared" si="198"/>
        <v>3.5900347448947065</v>
      </c>
    </row>
    <row r="441" spans="1:15" s="351" customFormat="1" x14ac:dyDescent="0.25">
      <c r="A441" s="362" t="str">
        <f>name!E$11</f>
        <v>Process, plant and machine operatives</v>
      </c>
      <c r="B441" s="440">
        <v>5.1541816475106543</v>
      </c>
      <c r="C441" s="440">
        <v>0.30383245572651219</v>
      </c>
      <c r="D441" s="440">
        <v>0.18584079434694811</v>
      </c>
      <c r="E441" s="440">
        <f t="shared" si="196"/>
        <v>5.6438548975841147</v>
      </c>
      <c r="F441" s="441"/>
      <c r="G441" s="440">
        <v>4.679719149231472</v>
      </c>
      <c r="H441" s="440">
        <v>0.46851277886973591</v>
      </c>
      <c r="I441" s="440">
        <v>0.11745882854836363</v>
      </c>
      <c r="J441" s="440">
        <f t="shared" si="199"/>
        <v>5.2656907566495716</v>
      </c>
      <c r="K441" s="441"/>
      <c r="L441" s="440">
        <v>4.2827674112721601</v>
      </c>
      <c r="M441" s="440">
        <v>0.61632265366724115</v>
      </c>
      <c r="N441" s="440">
        <v>0.11078347721494347</v>
      </c>
      <c r="O441" s="440">
        <f t="shared" si="198"/>
        <v>5.0098735421543452</v>
      </c>
    </row>
    <row r="442" spans="1:15" s="351" customFormat="1" x14ac:dyDescent="0.25">
      <c r="A442" s="362" t="str">
        <f>name!E$12</f>
        <v>Elementary occupations</v>
      </c>
      <c r="B442" s="440">
        <v>0.70138748160450615</v>
      </c>
      <c r="C442" s="440">
        <v>0.42638181016405541</v>
      </c>
      <c r="D442" s="440">
        <v>0.23455746251425932</v>
      </c>
      <c r="E442" s="440">
        <f t="shared" si="196"/>
        <v>1.3623267542828208</v>
      </c>
      <c r="F442" s="441"/>
      <c r="G442" s="440">
        <v>0.88327116763155999</v>
      </c>
      <c r="H442" s="440">
        <v>0.3929405558505677</v>
      </c>
      <c r="I442" s="440">
        <v>0.14721439867315933</v>
      </c>
      <c r="J442" s="440">
        <f t="shared" si="199"/>
        <v>1.4234261221552871</v>
      </c>
      <c r="K442" s="441"/>
      <c r="L442" s="440">
        <v>0.86916711490782927</v>
      </c>
      <c r="M442" s="440">
        <v>0.42186407298074841</v>
      </c>
      <c r="N442" s="440">
        <v>0.14496636351329745</v>
      </c>
      <c r="O442" s="440">
        <f t="shared" si="198"/>
        <v>1.435997551401875</v>
      </c>
    </row>
    <row r="443" spans="1:15" s="351" customFormat="1" x14ac:dyDescent="0.25">
      <c r="A443" s="362"/>
      <c r="B443" s="440"/>
      <c r="C443" s="440"/>
      <c r="D443" s="440"/>
      <c r="E443" s="440"/>
      <c r="F443" s="441"/>
      <c r="G443" s="440"/>
      <c r="H443" s="440"/>
      <c r="I443" s="440"/>
      <c r="J443" s="440"/>
      <c r="K443" s="441"/>
      <c r="L443" s="440"/>
      <c r="M443" s="440"/>
      <c r="N443" s="440"/>
      <c r="O443" s="440"/>
    </row>
    <row r="444" spans="1:15" s="351" customFormat="1" x14ac:dyDescent="0.25">
      <c r="A444" s="357" t="s">
        <v>32</v>
      </c>
      <c r="B444" s="450">
        <f>SUM(B434:B442)</f>
        <v>26.865999999919374</v>
      </c>
      <c r="C444" s="450">
        <f t="shared" ref="C444:E444" si="200">SUM(C434:C442)</f>
        <v>2.7350000000025489</v>
      </c>
      <c r="D444" s="450">
        <f t="shared" si="200"/>
        <v>1.0870000000030675</v>
      </c>
      <c r="E444" s="450">
        <f t="shared" si="200"/>
        <v>30.687999999924987</v>
      </c>
      <c r="F444" s="450"/>
      <c r="G444" s="450">
        <f t="shared" ref="G444:J444" si="201">SUM(G434:G442)</f>
        <v>31.560999999842519</v>
      </c>
      <c r="H444" s="450">
        <f t="shared" si="201"/>
        <v>4.5870000000250464</v>
      </c>
      <c r="I444" s="450">
        <f t="shared" si="201"/>
        <v>0.94500000000260553</v>
      </c>
      <c r="J444" s="450">
        <f t="shared" si="201"/>
        <v>37.092999999870166</v>
      </c>
      <c r="K444" s="450"/>
      <c r="L444" s="450">
        <f t="shared" ref="L444:O444" si="202">SUM(L434:L442)</f>
        <v>35.714999999880227</v>
      </c>
      <c r="M444" s="450">
        <f t="shared" si="202"/>
        <v>5.5590000000101769</v>
      </c>
      <c r="N444" s="450">
        <f t="shared" si="202"/>
        <v>1.0360000000038458</v>
      </c>
      <c r="O444" s="450">
        <f t="shared" si="202"/>
        <v>42.309999999894245</v>
      </c>
    </row>
    <row r="445" spans="1:15" s="351" customFormat="1" x14ac:dyDescent="0.25">
      <c r="A445" s="348"/>
      <c r="B445" s="348"/>
      <c r="C445" s="348"/>
      <c r="D445" s="348"/>
      <c r="E445" s="348"/>
      <c r="F445" s="348"/>
      <c r="G445" s="348"/>
      <c r="H445" s="348"/>
      <c r="I445" s="348"/>
      <c r="J445" s="348"/>
      <c r="K445" s="348"/>
      <c r="L445" s="348"/>
      <c r="M445" s="348"/>
      <c r="N445" s="353"/>
    </row>
    <row r="446" spans="1:15" s="351" customFormat="1" x14ac:dyDescent="0.25">
      <c r="A446" s="348"/>
      <c r="B446" s="348"/>
      <c r="C446" s="348"/>
      <c r="D446" s="348"/>
      <c r="E446" s="348"/>
      <c r="F446" s="348"/>
      <c r="G446" s="348"/>
      <c r="H446" s="348"/>
      <c r="I446" s="348"/>
      <c r="J446" s="348"/>
      <c r="K446" s="348"/>
      <c r="L446" s="348"/>
      <c r="M446" s="348"/>
      <c r="N446" s="353"/>
      <c r="O446" s="367" t="s">
        <v>35</v>
      </c>
    </row>
    <row r="447" spans="1:15" s="351" customFormat="1" x14ac:dyDescent="0.25">
      <c r="A447" s="355"/>
      <c r="B447" s="355"/>
      <c r="C447" s="355"/>
      <c r="D447" s="355"/>
      <c r="E447" s="355"/>
      <c r="F447" s="355"/>
      <c r="G447" s="355"/>
      <c r="H447" s="355"/>
      <c r="I447" s="355"/>
      <c r="J447" s="355"/>
      <c r="K447" s="355"/>
      <c r="L447" s="355"/>
      <c r="M447" s="355"/>
      <c r="N447" s="355"/>
      <c r="O447" s="355"/>
    </row>
    <row r="448" spans="1:15" s="351" customFormat="1" x14ac:dyDescent="0.25">
      <c r="A448" s="354" t="str">
        <f>name!A29</f>
        <v>Sewerage</v>
      </c>
      <c r="B448" s="517">
        <f>$B$6</f>
        <v>2007</v>
      </c>
      <c r="C448" s="517"/>
      <c r="D448" s="517"/>
      <c r="E448" s="517"/>
      <c r="F448" s="380"/>
      <c r="G448" s="517">
        <f>$G$6</f>
        <v>2017</v>
      </c>
      <c r="H448" s="517"/>
      <c r="I448" s="517"/>
      <c r="J448" s="517"/>
      <c r="K448" s="380"/>
      <c r="L448" s="517">
        <f>$L$6</f>
        <v>2027</v>
      </c>
      <c r="M448" s="517"/>
      <c r="N448" s="517"/>
      <c r="O448" s="517"/>
    </row>
    <row r="449" spans="1:15" s="351" customFormat="1" x14ac:dyDescent="0.25">
      <c r="A449" s="370"/>
      <c r="B449" s="388" t="str">
        <f>$B$7</f>
        <v>FT</v>
      </c>
      <c r="C449" s="388" t="str">
        <f>$C$7</f>
        <v>PT</v>
      </c>
      <c r="D449" s="388" t="str">
        <f>$D$7</f>
        <v>SE</v>
      </c>
      <c r="E449" s="388" t="str">
        <f>$E$7</f>
        <v>Total</v>
      </c>
      <c r="F449" s="388"/>
      <c r="G449" s="388" t="str">
        <f>$G$7</f>
        <v>FT</v>
      </c>
      <c r="H449" s="388" t="str">
        <f>$H$7</f>
        <v>PT</v>
      </c>
      <c r="I449" s="388" t="str">
        <f>$I$7</f>
        <v>SE</v>
      </c>
      <c r="J449" s="388" t="str">
        <f>$J$7</f>
        <v>Total</v>
      </c>
      <c r="K449" s="388"/>
      <c r="L449" s="388" t="str">
        <f>$L$7</f>
        <v>FT</v>
      </c>
      <c r="M449" s="388" t="str">
        <f>$M$7</f>
        <v>PT</v>
      </c>
      <c r="N449" s="388" t="str">
        <f>$N$7</f>
        <v>SE</v>
      </c>
      <c r="O449" s="388" t="str">
        <f>$O$7</f>
        <v>Total</v>
      </c>
    </row>
    <row r="450" spans="1:15" s="351" customFormat="1" x14ac:dyDescent="0.25">
      <c r="A450" s="374"/>
      <c r="B450" s="350"/>
      <c r="C450" s="350"/>
      <c r="D450" s="350"/>
      <c r="E450" s="350"/>
      <c r="F450" s="350"/>
      <c r="G450" s="350"/>
      <c r="H450" s="350"/>
      <c r="I450" s="350"/>
      <c r="J450" s="350"/>
      <c r="K450" s="350"/>
      <c r="L450" s="350"/>
      <c r="M450" s="350"/>
      <c r="N450" s="350"/>
      <c r="O450" s="350"/>
    </row>
    <row r="451" spans="1:15" s="351" customFormat="1" x14ac:dyDescent="0.25">
      <c r="A451" s="362" t="str">
        <f>name!E$4</f>
        <v>Managers, directors and senior officials</v>
      </c>
      <c r="B451" s="440">
        <v>0.80218496655198568</v>
      </c>
      <c r="C451" s="440">
        <v>2.7082300654922335E-2</v>
      </c>
      <c r="D451" s="440">
        <v>9.4837986687775863E-2</v>
      </c>
      <c r="E451" s="440">
        <f>SUM(B451:D451)</f>
        <v>0.9241052538946839</v>
      </c>
      <c r="F451" s="441"/>
      <c r="G451" s="440">
        <v>1.8713667072659517</v>
      </c>
      <c r="H451" s="440">
        <v>5.7568004065907744E-2</v>
      </c>
      <c r="I451" s="440">
        <v>8.0376986682862639E-2</v>
      </c>
      <c r="J451" s="440">
        <f>SUM(G451:I451)</f>
        <v>2.0093116980147219</v>
      </c>
      <c r="K451" s="441"/>
      <c r="L451" s="440">
        <v>1.9021303958731235</v>
      </c>
      <c r="M451" s="440">
        <v>7.2182072153879645E-2</v>
      </c>
      <c r="N451" s="440">
        <v>8.9106334065144899E-2</v>
      </c>
      <c r="O451" s="440">
        <f>SUM(L451:N451)</f>
        <v>2.0634188020921482</v>
      </c>
    </row>
    <row r="452" spans="1:15" s="351" customFormat="1" x14ac:dyDescent="0.25">
      <c r="A452" s="362" t="str">
        <f>name!E$5</f>
        <v>Professional occupations</v>
      </c>
      <c r="B452" s="440">
        <v>1.093643040551908</v>
      </c>
      <c r="C452" s="440">
        <v>7.1623077489108428E-2</v>
      </c>
      <c r="D452" s="440">
        <v>5.2521337392668288E-2</v>
      </c>
      <c r="E452" s="440">
        <f t="shared" ref="E452:E459" si="203">SUM(B452:D452)</f>
        <v>1.2177874554336847</v>
      </c>
      <c r="F452" s="441"/>
      <c r="G452" s="440">
        <v>1.5629318528488092</v>
      </c>
      <c r="H452" s="440">
        <v>0.18186565729055246</v>
      </c>
      <c r="I452" s="440">
        <v>5.3884839032855271E-2</v>
      </c>
      <c r="J452" s="440">
        <f t="shared" ref="J452:J454" si="204">SUM(G452:I452)</f>
        <v>1.7986823491722168</v>
      </c>
      <c r="K452" s="441"/>
      <c r="L452" s="440">
        <v>1.5772763843277049</v>
      </c>
      <c r="M452" s="440">
        <v>0.26354471712638089</v>
      </c>
      <c r="N452" s="440">
        <v>6.3057015792330445E-2</v>
      </c>
      <c r="O452" s="440">
        <f t="shared" ref="O452:O459" si="205">SUM(L452:N452)</f>
        <v>1.9038781172464163</v>
      </c>
    </row>
    <row r="453" spans="1:15" s="351" customFormat="1" x14ac:dyDescent="0.25">
      <c r="A453" s="362" t="str">
        <f>name!E$6</f>
        <v>Associate professional and technical</v>
      </c>
      <c r="B453" s="440">
        <v>1.3382190836922909</v>
      </c>
      <c r="C453" s="440">
        <v>0.14946770996465608</v>
      </c>
      <c r="D453" s="440">
        <v>6.8941543761039323E-2</v>
      </c>
      <c r="E453" s="440">
        <f t="shared" si="203"/>
        <v>1.5566283374179861</v>
      </c>
      <c r="F453" s="441"/>
      <c r="G453" s="440">
        <v>3.0647728477884968</v>
      </c>
      <c r="H453" s="440">
        <v>0.38474512075476131</v>
      </c>
      <c r="I453" s="440">
        <v>5.95638046853086E-2</v>
      </c>
      <c r="J453" s="440">
        <f t="shared" si="204"/>
        <v>3.5090817732285666</v>
      </c>
      <c r="K453" s="441"/>
      <c r="L453" s="440">
        <v>2.9002857021992403</v>
      </c>
      <c r="M453" s="440">
        <v>0.49265806850457544</v>
      </c>
      <c r="N453" s="440">
        <v>6.230606558261978E-2</v>
      </c>
      <c r="O453" s="440">
        <f t="shared" si="205"/>
        <v>3.4552498362864354</v>
      </c>
    </row>
    <row r="454" spans="1:15" s="351" customFormat="1" x14ac:dyDescent="0.25">
      <c r="A454" s="362" t="str">
        <f>name!E$7</f>
        <v>Administrative and secretarial</v>
      </c>
      <c r="B454" s="440">
        <v>0.90907090249242595</v>
      </c>
      <c r="C454" s="440">
        <v>0.17173695212059359</v>
      </c>
      <c r="D454" s="440">
        <v>1.5935002500078035E-2</v>
      </c>
      <c r="E454" s="440">
        <f t="shared" si="203"/>
        <v>1.0967428571130975</v>
      </c>
      <c r="F454" s="441"/>
      <c r="G454" s="440">
        <v>1.9019414126025531</v>
      </c>
      <c r="H454" s="440">
        <v>0.46429292159022389</v>
      </c>
      <c r="I454" s="440">
        <v>1.2747984589628548E-2</v>
      </c>
      <c r="J454" s="440">
        <f t="shared" si="204"/>
        <v>2.3789823187824055</v>
      </c>
      <c r="K454" s="441"/>
      <c r="L454" s="440">
        <v>1.0857748327749177</v>
      </c>
      <c r="M454" s="440">
        <v>0.40414645730338222</v>
      </c>
      <c r="N454" s="440">
        <v>1.1158459024124739E-2</v>
      </c>
      <c r="O454" s="440">
        <f t="shared" si="205"/>
        <v>1.5010797491024246</v>
      </c>
    </row>
    <row r="455" spans="1:15" s="351" customFormat="1" x14ac:dyDescent="0.25">
      <c r="A455" s="362" t="str">
        <f>name!E$8</f>
        <v>Skilled trades occupations</v>
      </c>
      <c r="B455" s="440">
        <v>0.72604541744366335</v>
      </c>
      <c r="C455" s="440">
        <v>8.5808985873412028E-2</v>
      </c>
      <c r="D455" s="440">
        <v>0.14391380009406907</v>
      </c>
      <c r="E455" s="440">
        <f t="shared" si="203"/>
        <v>0.95576820341114443</v>
      </c>
      <c r="F455" s="441"/>
      <c r="G455" s="440">
        <v>0.83230588075565848</v>
      </c>
      <c r="H455" s="440">
        <v>4.8985443017980787E-2</v>
      </c>
      <c r="I455" s="440">
        <v>0.11294993211670545</v>
      </c>
      <c r="J455" s="440">
        <f>SUM(G455:I455)</f>
        <v>0.99424125589034473</v>
      </c>
      <c r="K455" s="441"/>
      <c r="L455" s="440">
        <v>0.68074466705194137</v>
      </c>
      <c r="M455" s="440">
        <v>6.7277312991199406E-2</v>
      </c>
      <c r="N455" s="440">
        <v>0.12375302518299203</v>
      </c>
      <c r="O455" s="440">
        <f t="shared" si="205"/>
        <v>0.87177500522613283</v>
      </c>
    </row>
    <row r="456" spans="1:15" s="351" customFormat="1" x14ac:dyDescent="0.25">
      <c r="A456" s="362" t="str">
        <f>name!E$9</f>
        <v>Caring, leisure and other service</v>
      </c>
      <c r="B456" s="440">
        <v>0.23652232364662376</v>
      </c>
      <c r="C456" s="440">
        <v>0.14504986868937572</v>
      </c>
      <c r="D456" s="440">
        <v>3.9205328374529232E-2</v>
      </c>
      <c r="E456" s="440">
        <f t="shared" si="203"/>
        <v>0.42077752071052871</v>
      </c>
      <c r="F456" s="441"/>
      <c r="G456" s="440">
        <v>0.58183203724349342</v>
      </c>
      <c r="H456" s="440">
        <v>0.1165822645289756</v>
      </c>
      <c r="I456" s="440">
        <v>3.4704837834917159E-2</v>
      </c>
      <c r="J456" s="440">
        <f t="shared" ref="J456:J459" si="206">SUM(G456:I456)</f>
        <v>0.73311913960738617</v>
      </c>
      <c r="K456" s="441"/>
      <c r="L456" s="440">
        <v>0.5437204516837848</v>
      </c>
      <c r="M456" s="440">
        <v>0.21437252253442968</v>
      </c>
      <c r="N456" s="440">
        <v>3.5746824731794302E-2</v>
      </c>
      <c r="O456" s="440">
        <f t="shared" si="205"/>
        <v>0.79383979895000878</v>
      </c>
    </row>
    <row r="457" spans="1:15" s="351" customFormat="1" x14ac:dyDescent="0.25">
      <c r="A457" s="362" t="str">
        <f>name!E$10</f>
        <v>Sales and customer service</v>
      </c>
      <c r="B457" s="440">
        <v>0.17727122727467348</v>
      </c>
      <c r="C457" s="440">
        <v>0.13419474902075884</v>
      </c>
      <c r="D457" s="440">
        <v>1.3655161079491251E-2</v>
      </c>
      <c r="E457" s="440">
        <f t="shared" si="203"/>
        <v>0.3251211373749236</v>
      </c>
      <c r="F457" s="441"/>
      <c r="G457" s="440">
        <v>0.43878834019514945</v>
      </c>
      <c r="H457" s="440">
        <v>0.18543328729704833</v>
      </c>
      <c r="I457" s="440">
        <v>9.8491087291156867E-3</v>
      </c>
      <c r="J457" s="440">
        <f t="shared" si="206"/>
        <v>0.63407073622131349</v>
      </c>
      <c r="K457" s="441"/>
      <c r="L457" s="440">
        <v>0.34261172235366127</v>
      </c>
      <c r="M457" s="440">
        <v>0.28257472784955495</v>
      </c>
      <c r="N457" s="440">
        <v>9.3054061793712214E-3</v>
      </c>
      <c r="O457" s="440">
        <f t="shared" si="205"/>
        <v>0.63449185638258754</v>
      </c>
    </row>
    <row r="458" spans="1:15" s="351" customFormat="1" x14ac:dyDescent="0.25">
      <c r="A458" s="362" t="str">
        <f>name!E$11</f>
        <v>Process, plant and machine operatives</v>
      </c>
      <c r="B458" s="440">
        <v>4.353543022566587</v>
      </c>
      <c r="C458" s="440">
        <v>8.1846281685002048E-2</v>
      </c>
      <c r="D458" s="440">
        <v>3.6091298490940213E-2</v>
      </c>
      <c r="E458" s="440">
        <f t="shared" si="203"/>
        <v>4.4714806027425293</v>
      </c>
      <c r="F458" s="441"/>
      <c r="G458" s="440">
        <v>4.3655301177569195</v>
      </c>
      <c r="H458" s="440">
        <v>4.9602791544732724E-2</v>
      </c>
      <c r="I458" s="440">
        <v>2.7393925116195685E-2</v>
      </c>
      <c r="J458" s="440">
        <f t="shared" si="206"/>
        <v>4.4425268344178486</v>
      </c>
      <c r="K458" s="441"/>
      <c r="L458" s="440">
        <v>4.5820712515033319</v>
      </c>
      <c r="M458" s="440">
        <v>6.4491813683123386E-2</v>
      </c>
      <c r="N458" s="440">
        <v>2.6068719461506486E-2</v>
      </c>
      <c r="O458" s="440">
        <f t="shared" si="205"/>
        <v>4.6726317846479617</v>
      </c>
    </row>
    <row r="459" spans="1:15" s="351" customFormat="1" x14ac:dyDescent="0.25">
      <c r="A459" s="362" t="str">
        <f>name!E$12</f>
        <v>Elementary occupations</v>
      </c>
      <c r="B459" s="440">
        <v>3.7975000157369836</v>
      </c>
      <c r="C459" s="440">
        <v>0.51319007449992049</v>
      </c>
      <c r="D459" s="440">
        <v>3.3898541616650631E-2</v>
      </c>
      <c r="E459" s="440">
        <f t="shared" si="203"/>
        <v>4.3445886318535551</v>
      </c>
      <c r="F459" s="441"/>
      <c r="G459" s="440">
        <v>4.7285308034814202</v>
      </c>
      <c r="H459" s="440">
        <v>0.52392450991992368</v>
      </c>
      <c r="I459" s="440">
        <v>3.152858121608703E-2</v>
      </c>
      <c r="J459" s="440">
        <f t="shared" si="206"/>
        <v>5.28398389461743</v>
      </c>
      <c r="K459" s="441"/>
      <c r="L459" s="440">
        <v>4.8353845921394569</v>
      </c>
      <c r="M459" s="440">
        <v>0.63875230787601989</v>
      </c>
      <c r="N459" s="440">
        <v>3.2498149983044192E-2</v>
      </c>
      <c r="O459" s="440">
        <f t="shared" si="205"/>
        <v>5.506635049998521</v>
      </c>
    </row>
    <row r="460" spans="1:15" s="351" customFormat="1" x14ac:dyDescent="0.25">
      <c r="A460" s="362"/>
      <c r="B460" s="440"/>
      <c r="C460" s="440"/>
      <c r="D460" s="440"/>
      <c r="E460" s="440"/>
      <c r="F460" s="441"/>
      <c r="G460" s="440"/>
      <c r="H460" s="440"/>
      <c r="I460" s="440"/>
      <c r="J460" s="440"/>
      <c r="K460" s="441"/>
      <c r="L460" s="440"/>
      <c r="M460" s="440"/>
      <c r="N460" s="440"/>
      <c r="O460" s="440"/>
    </row>
    <row r="461" spans="1:15" s="351" customFormat="1" x14ac:dyDescent="0.25">
      <c r="A461" s="357" t="s">
        <v>32</v>
      </c>
      <c r="B461" s="450">
        <f>SUM(B451:B459)</f>
        <v>13.433999999957141</v>
      </c>
      <c r="C461" s="450">
        <f t="shared" ref="C461:E461" si="207">SUM(C451:C459)</f>
        <v>1.3799999999977497</v>
      </c>
      <c r="D461" s="450">
        <f t="shared" si="207"/>
        <v>0.49899999999724198</v>
      </c>
      <c r="E461" s="450">
        <f t="shared" si="207"/>
        <v>15.312999999952133</v>
      </c>
      <c r="F461" s="450"/>
      <c r="G461" s="450">
        <f t="shared" ref="G461:J461" si="208">SUM(G451:G459)</f>
        <v>19.347999999938452</v>
      </c>
      <c r="H461" s="450">
        <f t="shared" si="208"/>
        <v>2.0130000000101065</v>
      </c>
      <c r="I461" s="450">
        <f t="shared" si="208"/>
        <v>0.42300000000367616</v>
      </c>
      <c r="J461" s="450">
        <f t="shared" si="208"/>
        <v>21.783999999952229</v>
      </c>
      <c r="K461" s="450"/>
      <c r="L461" s="450">
        <f t="shared" ref="L461:O461" si="209">SUM(L451:L459)</f>
        <v>18.449999999907163</v>
      </c>
      <c r="M461" s="450">
        <f t="shared" si="209"/>
        <v>2.5000000000225455</v>
      </c>
      <c r="N461" s="450">
        <f t="shared" si="209"/>
        <v>0.453000000002928</v>
      </c>
      <c r="O461" s="450">
        <f t="shared" si="209"/>
        <v>21.402999999932636</v>
      </c>
    </row>
    <row r="462" spans="1:15" s="351" customFormat="1" x14ac:dyDescent="0.25">
      <c r="A462" s="348"/>
      <c r="B462" s="348"/>
      <c r="C462" s="348"/>
      <c r="D462" s="348"/>
      <c r="E462" s="348"/>
      <c r="F462" s="348"/>
      <c r="G462" s="348"/>
      <c r="H462" s="348"/>
      <c r="I462" s="348"/>
      <c r="J462" s="348"/>
      <c r="K462" s="348"/>
      <c r="L462" s="348"/>
      <c r="M462" s="348"/>
      <c r="N462" s="353"/>
    </row>
    <row r="463" spans="1:15" s="351" customFormat="1" x14ac:dyDescent="0.25">
      <c r="A463" s="348"/>
      <c r="B463" s="348"/>
      <c r="C463" s="348"/>
      <c r="D463" s="348"/>
      <c r="E463" s="348"/>
      <c r="F463" s="348"/>
      <c r="G463" s="348"/>
      <c r="H463" s="348"/>
      <c r="I463" s="348"/>
      <c r="J463" s="348"/>
      <c r="K463" s="348"/>
      <c r="L463" s="348"/>
      <c r="M463" s="348"/>
      <c r="N463" s="353"/>
      <c r="O463" s="367" t="s">
        <v>35</v>
      </c>
    </row>
    <row r="464" spans="1:15" s="351" customFormat="1" x14ac:dyDescent="0.25">
      <c r="A464" s="355"/>
      <c r="B464" s="355"/>
      <c r="C464" s="355"/>
      <c r="D464" s="355"/>
      <c r="E464" s="355"/>
      <c r="F464" s="355"/>
      <c r="G464" s="355"/>
      <c r="H464" s="355"/>
      <c r="I464" s="355"/>
      <c r="J464" s="355"/>
      <c r="K464" s="355"/>
      <c r="L464" s="355"/>
      <c r="M464" s="355"/>
      <c r="N464" s="355"/>
      <c r="O464" s="355"/>
    </row>
    <row r="465" spans="1:15" s="351" customFormat="1" x14ac:dyDescent="0.25">
      <c r="A465" s="354" t="str">
        <f>name!A30</f>
        <v>Waste management</v>
      </c>
      <c r="B465" s="517">
        <f>$B$6</f>
        <v>2007</v>
      </c>
      <c r="C465" s="517"/>
      <c r="D465" s="517"/>
      <c r="E465" s="517"/>
      <c r="F465" s="380"/>
      <c r="G465" s="517">
        <f>$G$6</f>
        <v>2017</v>
      </c>
      <c r="H465" s="517"/>
      <c r="I465" s="517"/>
      <c r="J465" s="517"/>
      <c r="K465" s="380"/>
      <c r="L465" s="517">
        <f>$L$6</f>
        <v>2027</v>
      </c>
      <c r="M465" s="517"/>
      <c r="N465" s="517"/>
      <c r="O465" s="517"/>
    </row>
    <row r="466" spans="1:15" s="351" customFormat="1" x14ac:dyDescent="0.25">
      <c r="A466" s="370"/>
      <c r="B466" s="388" t="str">
        <f>$B$7</f>
        <v>FT</v>
      </c>
      <c r="C466" s="388" t="str">
        <f>$C$7</f>
        <v>PT</v>
      </c>
      <c r="D466" s="388" t="str">
        <f>$D$7</f>
        <v>SE</v>
      </c>
      <c r="E466" s="388" t="str">
        <f>$E$7</f>
        <v>Total</v>
      </c>
      <c r="F466" s="388"/>
      <c r="G466" s="388" t="str">
        <f>$G$7</f>
        <v>FT</v>
      </c>
      <c r="H466" s="388" t="str">
        <f>$H$7</f>
        <v>PT</v>
      </c>
      <c r="I466" s="388" t="str">
        <f>$I$7</f>
        <v>SE</v>
      </c>
      <c r="J466" s="388" t="str">
        <f>$J$7</f>
        <v>Total</v>
      </c>
      <c r="K466" s="388"/>
      <c r="L466" s="388" t="str">
        <f>$L$7</f>
        <v>FT</v>
      </c>
      <c r="M466" s="388" t="str">
        <f>$M$7</f>
        <v>PT</v>
      </c>
      <c r="N466" s="388" t="str">
        <f>$N$7</f>
        <v>SE</v>
      </c>
      <c r="O466" s="388" t="str">
        <f>$O$7</f>
        <v>Total</v>
      </c>
    </row>
    <row r="467" spans="1:15" s="351" customFormat="1" x14ac:dyDescent="0.25">
      <c r="A467" s="374"/>
      <c r="B467" s="350"/>
      <c r="C467" s="350"/>
      <c r="D467" s="350"/>
      <c r="E467" s="350"/>
      <c r="F467" s="350"/>
      <c r="G467" s="350"/>
      <c r="H467" s="350"/>
      <c r="I467" s="350"/>
      <c r="J467" s="350"/>
      <c r="K467" s="350"/>
      <c r="L467" s="350"/>
      <c r="M467" s="350"/>
      <c r="N467" s="350"/>
      <c r="O467" s="350"/>
    </row>
    <row r="468" spans="1:15" s="351" customFormat="1" x14ac:dyDescent="0.25">
      <c r="A468" s="362" t="str">
        <f>name!E$4</f>
        <v>Managers, directors and senior officials</v>
      </c>
      <c r="B468" s="440">
        <v>6.6803361833822308</v>
      </c>
      <c r="C468" s="440">
        <v>0.30203024021989472</v>
      </c>
      <c r="D468" s="440">
        <v>1.0106445135430462</v>
      </c>
      <c r="E468" s="440">
        <f>SUM(B468:D468)</f>
        <v>7.9930109371451721</v>
      </c>
      <c r="F468" s="441"/>
      <c r="G468" s="440">
        <v>13.346794870164256</v>
      </c>
      <c r="H468" s="440">
        <v>1.1931288231245358</v>
      </c>
      <c r="I468" s="440">
        <v>1.422551677450588</v>
      </c>
      <c r="J468" s="440">
        <f>SUM(G468:I468)</f>
        <v>15.96247537073938</v>
      </c>
      <c r="K468" s="441"/>
      <c r="L468" s="440">
        <v>15.030250548786039</v>
      </c>
      <c r="M468" s="440">
        <v>1.6717944127211721</v>
      </c>
      <c r="N468" s="440">
        <v>1.658798173883405</v>
      </c>
      <c r="O468" s="440">
        <f>SUM(L468:N468)</f>
        <v>18.360843135390617</v>
      </c>
    </row>
    <row r="469" spans="1:15" s="351" customFormat="1" x14ac:dyDescent="0.25">
      <c r="A469" s="362" t="str">
        <f>name!E$5</f>
        <v>Professional occupations</v>
      </c>
      <c r="B469" s="440">
        <v>7.6472527153516632</v>
      </c>
      <c r="C469" s="440">
        <v>0.45283821300599719</v>
      </c>
      <c r="D469" s="440">
        <v>0.16444542737679979</v>
      </c>
      <c r="E469" s="440">
        <f t="shared" ref="E469:E476" si="210">SUM(B469:D469)</f>
        <v>8.2645363557344602</v>
      </c>
      <c r="F469" s="441"/>
      <c r="G469" s="440">
        <v>9.8391825354905524</v>
      </c>
      <c r="H469" s="440">
        <v>2.4739318462448954</v>
      </c>
      <c r="I469" s="440">
        <v>0.29945923229873</v>
      </c>
      <c r="J469" s="440">
        <f t="shared" ref="J469:J471" si="211">SUM(G469:I469)</f>
        <v>12.612573614034178</v>
      </c>
      <c r="K469" s="441"/>
      <c r="L469" s="440">
        <v>10.846878642269704</v>
      </c>
      <c r="M469" s="440">
        <v>3.297322158577038</v>
      </c>
      <c r="N469" s="440">
        <v>0.3971626656599756</v>
      </c>
      <c r="O469" s="440">
        <f t="shared" ref="O469:O476" si="212">SUM(L469:N469)</f>
        <v>14.541363466506718</v>
      </c>
    </row>
    <row r="470" spans="1:15" s="351" customFormat="1" x14ac:dyDescent="0.25">
      <c r="A470" s="362" t="str">
        <f>name!E$6</f>
        <v>Associate professional and technical</v>
      </c>
      <c r="B470" s="440">
        <v>9.2534217236635126</v>
      </c>
      <c r="C470" s="440">
        <v>0.72484629861225314</v>
      </c>
      <c r="D470" s="440">
        <v>0.23276193238965359</v>
      </c>
      <c r="E470" s="440">
        <f t="shared" si="210"/>
        <v>10.211029954665419</v>
      </c>
      <c r="F470" s="441"/>
      <c r="G470" s="440">
        <v>15.722823598065908</v>
      </c>
      <c r="H470" s="440">
        <v>1.9877951647342966</v>
      </c>
      <c r="I470" s="440">
        <v>0.42703452791460461</v>
      </c>
      <c r="J470" s="440">
        <f t="shared" si="211"/>
        <v>18.137653290714809</v>
      </c>
      <c r="K470" s="441"/>
      <c r="L470" s="440">
        <v>17.009154180298321</v>
      </c>
      <c r="M470" s="440">
        <v>2.4853483426820913</v>
      </c>
      <c r="N470" s="440">
        <v>0.53364934311229006</v>
      </c>
      <c r="O470" s="440">
        <f t="shared" si="212"/>
        <v>20.028151866092703</v>
      </c>
    </row>
    <row r="471" spans="1:15" s="351" customFormat="1" x14ac:dyDescent="0.25">
      <c r="A471" s="362" t="str">
        <f>name!E$7</f>
        <v>Administrative and secretarial</v>
      </c>
      <c r="B471" s="440">
        <v>5.7431856664464416</v>
      </c>
      <c r="C471" s="440">
        <v>1.960866489727769</v>
      </c>
      <c r="D471" s="440">
        <v>7.7825376704301022E-2</v>
      </c>
      <c r="E471" s="440">
        <f t="shared" si="210"/>
        <v>7.7818775328785117</v>
      </c>
      <c r="F471" s="441"/>
      <c r="G471" s="440">
        <v>8.3495514129577089</v>
      </c>
      <c r="H471" s="440">
        <v>4.4055701619019256</v>
      </c>
      <c r="I471" s="440">
        <v>6.8616857132440062E-2</v>
      </c>
      <c r="J471" s="440">
        <f t="shared" si="211"/>
        <v>12.823738431992075</v>
      </c>
      <c r="K471" s="441"/>
      <c r="L471" s="440">
        <v>6.6930766178907781</v>
      </c>
      <c r="M471" s="440">
        <v>4.8177367948012053</v>
      </c>
      <c r="N471" s="440">
        <v>6.2812487902368902E-2</v>
      </c>
      <c r="O471" s="440">
        <f t="shared" si="212"/>
        <v>11.573625900594353</v>
      </c>
    </row>
    <row r="472" spans="1:15" s="351" customFormat="1" x14ac:dyDescent="0.25">
      <c r="A472" s="362" t="str">
        <f>name!E$8</f>
        <v>Skilled trades occupations</v>
      </c>
      <c r="B472" s="440">
        <v>6.9020005645158644</v>
      </c>
      <c r="C472" s="440">
        <v>0.49673699064553101</v>
      </c>
      <c r="D472" s="440">
        <v>2.1379029184835563</v>
      </c>
      <c r="E472" s="440">
        <f t="shared" si="210"/>
        <v>9.536640473644951</v>
      </c>
      <c r="F472" s="441"/>
      <c r="G472" s="440">
        <v>8.989312078556333</v>
      </c>
      <c r="H472" s="440">
        <v>1.8991981892670411</v>
      </c>
      <c r="I472" s="440">
        <v>2.447298452854568</v>
      </c>
      <c r="J472" s="440">
        <f>SUM(G472:I472)</f>
        <v>13.335808720677942</v>
      </c>
      <c r="K472" s="441"/>
      <c r="L472" s="440">
        <v>8.8877421304761768</v>
      </c>
      <c r="M472" s="440">
        <v>2.3358305450357957</v>
      </c>
      <c r="N472" s="440">
        <v>2.6328679622253732</v>
      </c>
      <c r="O472" s="440">
        <f t="shared" si="212"/>
        <v>13.856440637737347</v>
      </c>
    </row>
    <row r="473" spans="1:15" s="351" customFormat="1" x14ac:dyDescent="0.25">
      <c r="A473" s="362" t="str">
        <f>name!E$9</f>
        <v>Caring, leisure and other service</v>
      </c>
      <c r="B473" s="440">
        <v>1.6009928003441876</v>
      </c>
      <c r="C473" s="440">
        <v>0.56610103698987901</v>
      </c>
      <c r="D473" s="440">
        <v>3.3286427105462993E-2</v>
      </c>
      <c r="E473" s="440">
        <f t="shared" si="210"/>
        <v>2.2003802644395294</v>
      </c>
      <c r="F473" s="441"/>
      <c r="G473" s="440">
        <v>2.6384440024798446</v>
      </c>
      <c r="H473" s="440">
        <v>0.69435542380841142</v>
      </c>
      <c r="I473" s="440">
        <v>4.0871474875421088E-2</v>
      </c>
      <c r="J473" s="440">
        <f t="shared" ref="J473:J476" si="213">SUM(G473:I473)</f>
        <v>3.3736709011636767</v>
      </c>
      <c r="K473" s="441"/>
      <c r="L473" s="440">
        <v>3.0464942269499189</v>
      </c>
      <c r="M473" s="440">
        <v>1.1120989829965475</v>
      </c>
      <c r="N473" s="440">
        <v>4.2769328070686681E-2</v>
      </c>
      <c r="O473" s="440">
        <f t="shared" si="212"/>
        <v>4.2013625380171531</v>
      </c>
    </row>
    <row r="474" spans="1:15" s="351" customFormat="1" x14ac:dyDescent="0.25">
      <c r="A474" s="362" t="str">
        <f>name!E$10</f>
        <v>Sales and customer service</v>
      </c>
      <c r="B474" s="440">
        <v>1.4161700762859284</v>
      </c>
      <c r="C474" s="440">
        <v>0.61979851348710813</v>
      </c>
      <c r="D474" s="440">
        <v>3.5142810014631876E-2</v>
      </c>
      <c r="E474" s="440">
        <f t="shared" si="210"/>
        <v>2.0711113997876685</v>
      </c>
      <c r="F474" s="441"/>
      <c r="G474" s="440">
        <v>2.6547352186287894</v>
      </c>
      <c r="H474" s="440">
        <v>1.2950957390827957</v>
      </c>
      <c r="I474" s="440">
        <v>3.8579836319604162E-2</v>
      </c>
      <c r="J474" s="440">
        <f t="shared" si="213"/>
        <v>3.9884107940311893</v>
      </c>
      <c r="K474" s="441"/>
      <c r="L474" s="440">
        <v>2.7523798416259693</v>
      </c>
      <c r="M474" s="440">
        <v>1.7028336076833843</v>
      </c>
      <c r="N474" s="440">
        <v>3.8454474162788119E-2</v>
      </c>
      <c r="O474" s="440">
        <f t="shared" si="212"/>
        <v>4.4936679234721417</v>
      </c>
    </row>
    <row r="475" spans="1:15" s="351" customFormat="1" x14ac:dyDescent="0.25">
      <c r="A475" s="362" t="str">
        <f>name!E$11</f>
        <v>Process, plant and machine operatives</v>
      </c>
      <c r="B475" s="440">
        <v>34.934884625429724</v>
      </c>
      <c r="C475" s="440">
        <v>0.61313483349338926</v>
      </c>
      <c r="D475" s="440">
        <v>0.47275123548410436</v>
      </c>
      <c r="E475" s="440">
        <f t="shared" si="210"/>
        <v>36.020770694407219</v>
      </c>
      <c r="F475" s="441"/>
      <c r="G475" s="440">
        <v>35.402661079665293</v>
      </c>
      <c r="H475" s="440">
        <v>2.2005790183245151</v>
      </c>
      <c r="I475" s="440">
        <v>0.49441801438107813</v>
      </c>
      <c r="J475" s="440">
        <f t="shared" si="213"/>
        <v>38.097658112370887</v>
      </c>
      <c r="K475" s="441"/>
      <c r="L475" s="440">
        <v>37.956232558228116</v>
      </c>
      <c r="M475" s="440">
        <v>2.4697836013814887</v>
      </c>
      <c r="N475" s="440">
        <v>0.42349298271952712</v>
      </c>
      <c r="O475" s="440">
        <f t="shared" si="212"/>
        <v>40.849509142329133</v>
      </c>
    </row>
    <row r="476" spans="1:15" s="351" customFormat="1" x14ac:dyDescent="0.25">
      <c r="A476" s="362" t="str">
        <f>name!E$12</f>
        <v>Elementary occupations</v>
      </c>
      <c r="B476" s="440">
        <v>26.301755644242402</v>
      </c>
      <c r="C476" s="440">
        <v>2.3846473838064113</v>
      </c>
      <c r="D476" s="440">
        <v>0.22323935892230945</v>
      </c>
      <c r="E476" s="440">
        <f t="shared" si="210"/>
        <v>28.909642386971122</v>
      </c>
      <c r="F476" s="441"/>
      <c r="G476" s="440">
        <v>28.296495203480642</v>
      </c>
      <c r="H476" s="440">
        <v>2.1463456334563169</v>
      </c>
      <c r="I476" s="440">
        <v>0.34816992679614733</v>
      </c>
      <c r="J476" s="440">
        <f t="shared" si="213"/>
        <v>30.791010763733105</v>
      </c>
      <c r="K476" s="441"/>
      <c r="L476" s="440">
        <v>27.294791252750077</v>
      </c>
      <c r="M476" s="440">
        <v>2.2722515540400186</v>
      </c>
      <c r="N476" s="440">
        <v>0.34999258233112562</v>
      </c>
      <c r="O476" s="440">
        <f t="shared" si="212"/>
        <v>29.917035389121221</v>
      </c>
    </row>
    <row r="477" spans="1:15" s="351" customFormat="1" x14ac:dyDescent="0.25">
      <c r="A477" s="362"/>
      <c r="B477" s="440"/>
      <c r="C477" s="440"/>
      <c r="D477" s="440"/>
      <c r="E477" s="440"/>
      <c r="F477" s="441"/>
      <c r="G477" s="440"/>
      <c r="H477" s="440"/>
      <c r="I477" s="440"/>
      <c r="J477" s="440"/>
      <c r="K477" s="441"/>
      <c r="L477" s="440"/>
      <c r="M477" s="440"/>
      <c r="N477" s="440"/>
      <c r="O477" s="440"/>
    </row>
    <row r="478" spans="1:15" s="351" customFormat="1" x14ac:dyDescent="0.25">
      <c r="A478" s="357" t="s">
        <v>32</v>
      </c>
      <c r="B478" s="450">
        <f>SUM(B468:B476)</f>
        <v>100.47999999966197</v>
      </c>
      <c r="C478" s="450">
        <f t="shared" ref="C478:E478" si="214">SUM(C468:C476)</f>
        <v>8.1209999999882339</v>
      </c>
      <c r="D478" s="450">
        <f t="shared" si="214"/>
        <v>4.3880000000238653</v>
      </c>
      <c r="E478" s="450">
        <f t="shared" si="214"/>
        <v>112.98899999967404</v>
      </c>
      <c r="F478" s="450"/>
      <c r="G478" s="450">
        <f t="shared" ref="G478:J478" si="215">SUM(G468:G476)</f>
        <v>125.23999999948933</v>
      </c>
      <c r="H478" s="450">
        <f t="shared" si="215"/>
        <v>18.295999999944733</v>
      </c>
      <c r="I478" s="450">
        <f t="shared" si="215"/>
        <v>5.5870000000231812</v>
      </c>
      <c r="J478" s="450">
        <f t="shared" si="215"/>
        <v>149.12299999945725</v>
      </c>
      <c r="K478" s="450"/>
      <c r="L478" s="450">
        <f t="shared" ref="L478:O478" si="216">SUM(L468:L476)</f>
        <v>129.51699999927513</v>
      </c>
      <c r="M478" s="450">
        <f t="shared" si="216"/>
        <v>22.164999999918741</v>
      </c>
      <c r="N478" s="450">
        <f t="shared" si="216"/>
        <v>6.1400000000675412</v>
      </c>
      <c r="O478" s="450">
        <f t="shared" si="216"/>
        <v>157.82199999926138</v>
      </c>
    </row>
    <row r="479" spans="1:15" s="351" customFormat="1" x14ac:dyDescent="0.25">
      <c r="A479" s="348"/>
      <c r="B479" s="348"/>
      <c r="C479" s="348"/>
      <c r="D479" s="348"/>
      <c r="E479" s="348"/>
      <c r="F479" s="348"/>
      <c r="G479" s="348"/>
      <c r="H479" s="348"/>
      <c r="I479" s="348"/>
      <c r="J479" s="348"/>
      <c r="K479" s="348"/>
      <c r="L479" s="348"/>
      <c r="M479" s="348"/>
      <c r="N479" s="353"/>
    </row>
    <row r="480" spans="1:15" s="351" customFormat="1" x14ac:dyDescent="0.25">
      <c r="A480" s="348"/>
      <c r="B480" s="348"/>
      <c r="C480" s="348"/>
      <c r="D480" s="348"/>
      <c r="E480" s="348"/>
      <c r="F480" s="348"/>
      <c r="G480" s="348"/>
      <c r="H480" s="348"/>
      <c r="I480" s="348"/>
      <c r="J480" s="348"/>
      <c r="K480" s="348"/>
      <c r="L480" s="348"/>
      <c r="M480" s="348"/>
      <c r="N480" s="353"/>
      <c r="O480" s="367" t="s">
        <v>35</v>
      </c>
    </row>
    <row r="481" spans="1:15" s="351" customFormat="1" x14ac:dyDescent="0.25">
      <c r="A481" s="355"/>
      <c r="B481" s="355"/>
      <c r="C481" s="355"/>
      <c r="D481" s="355"/>
      <c r="E481" s="355"/>
      <c r="F481" s="355"/>
      <c r="G481" s="355"/>
      <c r="H481" s="355"/>
      <c r="I481" s="355"/>
      <c r="J481" s="355"/>
      <c r="K481" s="355"/>
      <c r="L481" s="355"/>
      <c r="M481" s="355"/>
      <c r="N481" s="355"/>
      <c r="O481" s="355"/>
    </row>
    <row r="482" spans="1:15" s="351" customFormat="1" x14ac:dyDescent="0.25">
      <c r="A482" s="354" t="str">
        <f>name!A31</f>
        <v>Construction</v>
      </c>
      <c r="B482" s="517">
        <f>$B$6</f>
        <v>2007</v>
      </c>
      <c r="C482" s="517"/>
      <c r="D482" s="517"/>
      <c r="E482" s="517"/>
      <c r="F482" s="380"/>
      <c r="G482" s="517">
        <f>$G$6</f>
        <v>2017</v>
      </c>
      <c r="H482" s="517"/>
      <c r="I482" s="517"/>
      <c r="J482" s="517"/>
      <c r="K482" s="380"/>
      <c r="L482" s="517">
        <f>$L$6</f>
        <v>2027</v>
      </c>
      <c r="M482" s="517"/>
      <c r="N482" s="517"/>
      <c r="O482" s="517"/>
    </row>
    <row r="483" spans="1:15" s="351" customFormat="1" x14ac:dyDescent="0.25">
      <c r="A483" s="370"/>
      <c r="B483" s="388" t="str">
        <f>$B$7</f>
        <v>FT</v>
      </c>
      <c r="C483" s="388" t="str">
        <f>$C$7</f>
        <v>PT</v>
      </c>
      <c r="D483" s="388" t="str">
        <f>$D$7</f>
        <v>SE</v>
      </c>
      <c r="E483" s="388" t="str">
        <f>$E$7</f>
        <v>Total</v>
      </c>
      <c r="F483" s="388"/>
      <c r="G483" s="388" t="str">
        <f>$G$7</f>
        <v>FT</v>
      </c>
      <c r="H483" s="388" t="str">
        <f>$H$7</f>
        <v>PT</v>
      </c>
      <c r="I483" s="388" t="str">
        <f>$I$7</f>
        <v>SE</v>
      </c>
      <c r="J483" s="388" t="str">
        <f>$J$7</f>
        <v>Total</v>
      </c>
      <c r="K483" s="388"/>
      <c r="L483" s="388" t="str">
        <f>$L$7</f>
        <v>FT</v>
      </c>
      <c r="M483" s="388" t="str">
        <f>$M$7</f>
        <v>PT</v>
      </c>
      <c r="N483" s="388" t="str">
        <f>$N$7</f>
        <v>SE</v>
      </c>
      <c r="O483" s="388" t="str">
        <f>$O$7</f>
        <v>Total</v>
      </c>
    </row>
    <row r="484" spans="1:15" s="351" customFormat="1" x14ac:dyDescent="0.25">
      <c r="A484" s="374"/>
      <c r="B484" s="350"/>
      <c r="C484" s="350"/>
      <c r="D484" s="350"/>
      <c r="E484" s="350"/>
      <c r="F484" s="350"/>
      <c r="G484" s="350"/>
      <c r="H484" s="350"/>
      <c r="I484" s="350"/>
      <c r="J484" s="350"/>
      <c r="K484" s="350"/>
      <c r="L484" s="350"/>
      <c r="M484" s="350"/>
      <c r="N484" s="350"/>
      <c r="O484" s="350"/>
    </row>
    <row r="485" spans="1:15" s="351" customFormat="1" x14ac:dyDescent="0.25">
      <c r="A485" s="362" t="str">
        <f>name!E$4</f>
        <v>Managers, directors and senior officials</v>
      </c>
      <c r="B485" s="440">
        <v>30.501756610901023</v>
      </c>
      <c r="C485" s="440">
        <v>3.3022446468213453</v>
      </c>
      <c r="D485" s="440">
        <v>12.696791485376933</v>
      </c>
      <c r="E485" s="440">
        <f>SUM(B485:D485)</f>
        <v>46.500792743099304</v>
      </c>
      <c r="F485" s="441"/>
      <c r="G485" s="440">
        <v>49.389136291353601</v>
      </c>
      <c r="H485" s="440">
        <v>5.1617701705242958</v>
      </c>
      <c r="I485" s="440">
        <v>18.178261190476537</v>
      </c>
      <c r="J485" s="440">
        <f>SUM(G485:I485)</f>
        <v>72.729167652354434</v>
      </c>
      <c r="K485" s="441"/>
      <c r="L485" s="440">
        <v>60.553763774664013</v>
      </c>
      <c r="M485" s="440">
        <v>6.6515047916062864</v>
      </c>
      <c r="N485" s="440">
        <v>17.522818728343282</v>
      </c>
      <c r="O485" s="440">
        <f>SUM(L485:N485)</f>
        <v>84.728087294613587</v>
      </c>
    </row>
    <row r="486" spans="1:15" s="351" customFormat="1" x14ac:dyDescent="0.25">
      <c r="A486" s="362" t="str">
        <f>name!E$5</f>
        <v>Professional occupations</v>
      </c>
      <c r="B486" s="440">
        <v>42.389901633608169</v>
      </c>
      <c r="C486" s="440">
        <v>2.237091435827677</v>
      </c>
      <c r="D486" s="440">
        <v>3.7795985336438509</v>
      </c>
      <c r="E486" s="440">
        <f t="shared" ref="E486:E493" si="217">SUM(B486:D486)</f>
        <v>48.406591603079697</v>
      </c>
      <c r="F486" s="441"/>
      <c r="G486" s="440">
        <v>58.730206770044099</v>
      </c>
      <c r="H486" s="440">
        <v>3.0515684073559353</v>
      </c>
      <c r="I486" s="440">
        <v>7.0542575548310502</v>
      </c>
      <c r="J486" s="440">
        <f t="shared" ref="J486:J488" si="218">SUM(G486:I486)</f>
        <v>68.836032732231089</v>
      </c>
      <c r="K486" s="441"/>
      <c r="L486" s="440">
        <v>69.489183696806023</v>
      </c>
      <c r="M486" s="440">
        <v>3.6767355319277302</v>
      </c>
      <c r="N486" s="440">
        <v>6.2966262952299834</v>
      </c>
      <c r="O486" s="440">
        <f t="shared" ref="O486:O493" si="219">SUM(L486:N486)</f>
        <v>79.46254552396374</v>
      </c>
    </row>
    <row r="487" spans="1:15" s="351" customFormat="1" x14ac:dyDescent="0.25">
      <c r="A487" s="362" t="str">
        <f>name!E$6</f>
        <v>Associate professional and technical</v>
      </c>
      <c r="B487" s="440">
        <v>33.00348539669109</v>
      </c>
      <c r="C487" s="440">
        <v>3.7278563930785231</v>
      </c>
      <c r="D487" s="440">
        <v>3.0765850893253117</v>
      </c>
      <c r="E487" s="440">
        <f t="shared" si="217"/>
        <v>39.807926879094929</v>
      </c>
      <c r="F487" s="441"/>
      <c r="G487" s="440">
        <v>45.959510044748725</v>
      </c>
      <c r="H487" s="440">
        <v>4.4571369491094037</v>
      </c>
      <c r="I487" s="440">
        <v>4.5688028898577135</v>
      </c>
      <c r="J487" s="440">
        <f t="shared" si="218"/>
        <v>54.985449883715845</v>
      </c>
      <c r="K487" s="441"/>
      <c r="L487" s="440">
        <v>53.289766275371178</v>
      </c>
      <c r="M487" s="440">
        <v>5.6263499205454197</v>
      </c>
      <c r="N487" s="440">
        <v>4.2531335239274739</v>
      </c>
      <c r="O487" s="440">
        <f t="shared" si="219"/>
        <v>63.169249719844075</v>
      </c>
    </row>
    <row r="488" spans="1:15" s="351" customFormat="1" x14ac:dyDescent="0.25">
      <c r="A488" s="362" t="str">
        <f>name!E$7</f>
        <v>Administrative and secretarial</v>
      </c>
      <c r="B488" s="440">
        <v>36.355340740618523</v>
      </c>
      <c r="C488" s="440">
        <v>24.509560916576405</v>
      </c>
      <c r="D488" s="440">
        <v>4.1987830643033544</v>
      </c>
      <c r="E488" s="440">
        <f t="shared" si="217"/>
        <v>65.063684721498277</v>
      </c>
      <c r="F488" s="441"/>
      <c r="G488" s="440">
        <v>37.502218871151555</v>
      </c>
      <c r="H488" s="440">
        <v>22.791001342976838</v>
      </c>
      <c r="I488" s="440">
        <v>5.7347251285712515</v>
      </c>
      <c r="J488" s="440">
        <f t="shared" si="218"/>
        <v>66.027945342699653</v>
      </c>
      <c r="K488" s="441"/>
      <c r="L488" s="440">
        <v>30.311789843214893</v>
      </c>
      <c r="M488" s="440">
        <v>22.215385250649788</v>
      </c>
      <c r="N488" s="440">
        <v>3.3669645260079806</v>
      </c>
      <c r="O488" s="440">
        <f t="shared" si="219"/>
        <v>55.894139619872668</v>
      </c>
    </row>
    <row r="489" spans="1:15" s="351" customFormat="1" x14ac:dyDescent="0.25">
      <c r="A489" s="362" t="str">
        <f>name!E$8</f>
        <v>Skilled trades occupations</v>
      </c>
      <c r="B489" s="440">
        <v>131.02422943622477</v>
      </c>
      <c r="C489" s="440">
        <v>4.9937662023529095</v>
      </c>
      <c r="D489" s="440">
        <v>153.22752620036661</v>
      </c>
      <c r="E489" s="440">
        <f t="shared" si="217"/>
        <v>289.24552183894428</v>
      </c>
      <c r="F489" s="441"/>
      <c r="G489" s="440">
        <v>130.70403448305177</v>
      </c>
      <c r="H489" s="440">
        <v>5.7901434941263412</v>
      </c>
      <c r="I489" s="440">
        <v>189.79643489878185</v>
      </c>
      <c r="J489" s="440">
        <f>SUM(G489:I489)</f>
        <v>326.29061287595994</v>
      </c>
      <c r="K489" s="441"/>
      <c r="L489" s="440">
        <v>127.83627058708838</v>
      </c>
      <c r="M489" s="440">
        <v>6.3130684345045509</v>
      </c>
      <c r="N489" s="440">
        <v>188.98537790814052</v>
      </c>
      <c r="O489" s="440">
        <f t="shared" si="219"/>
        <v>323.13471692973349</v>
      </c>
    </row>
    <row r="490" spans="1:15" s="351" customFormat="1" x14ac:dyDescent="0.25">
      <c r="A490" s="362" t="str">
        <f>name!E$9</f>
        <v>Caring, leisure and other service</v>
      </c>
      <c r="B490" s="440">
        <v>0.80815960903034501</v>
      </c>
      <c r="C490" s="440">
        <v>0.41814710694930207</v>
      </c>
      <c r="D490" s="440">
        <v>0.14482669048716917</v>
      </c>
      <c r="E490" s="440">
        <f t="shared" si="217"/>
        <v>1.3711334064668161</v>
      </c>
      <c r="F490" s="441"/>
      <c r="G490" s="440">
        <v>1.3539912342777551</v>
      </c>
      <c r="H490" s="440">
        <v>0.57810451286409237</v>
      </c>
      <c r="I490" s="440">
        <v>0.21644658503739392</v>
      </c>
      <c r="J490" s="440">
        <f t="shared" ref="J490:J493" si="220">SUM(G490:I490)</f>
        <v>2.1485423321792414</v>
      </c>
      <c r="K490" s="441"/>
      <c r="L490" s="440">
        <v>1.5603565365119552</v>
      </c>
      <c r="M490" s="440">
        <v>0.62345519833141794</v>
      </c>
      <c r="N490" s="440">
        <v>0.21681070409878778</v>
      </c>
      <c r="O490" s="440">
        <f t="shared" si="219"/>
        <v>2.4006224389421611</v>
      </c>
    </row>
    <row r="491" spans="1:15" s="351" customFormat="1" x14ac:dyDescent="0.25">
      <c r="A491" s="362" t="str">
        <f>name!E$10</f>
        <v>Sales and customer service</v>
      </c>
      <c r="B491" s="440">
        <v>6.8126967596619963</v>
      </c>
      <c r="C491" s="440">
        <v>2.9113473762172317</v>
      </c>
      <c r="D491" s="440">
        <v>0.59005296460629275</v>
      </c>
      <c r="E491" s="440">
        <f t="shared" si="217"/>
        <v>10.314097100485522</v>
      </c>
      <c r="F491" s="441"/>
      <c r="G491" s="440">
        <v>9.8175472028880435</v>
      </c>
      <c r="H491" s="440">
        <v>4.1025849002780399</v>
      </c>
      <c r="I491" s="440">
        <v>0.83707857846025235</v>
      </c>
      <c r="J491" s="440">
        <f t="shared" si="220"/>
        <v>14.757210681626335</v>
      </c>
      <c r="K491" s="441"/>
      <c r="L491" s="440">
        <v>10.365082895160215</v>
      </c>
      <c r="M491" s="440">
        <v>4.6944690209880537</v>
      </c>
      <c r="N491" s="440">
        <v>0.79520908353602615</v>
      </c>
      <c r="O491" s="440">
        <f t="shared" si="219"/>
        <v>15.854760999684295</v>
      </c>
    </row>
    <row r="492" spans="1:15" s="351" customFormat="1" x14ac:dyDescent="0.25">
      <c r="A492" s="362" t="str">
        <f>name!E$11</f>
        <v>Process, plant and machine operatives</v>
      </c>
      <c r="B492" s="440">
        <v>39.933254926211404</v>
      </c>
      <c r="C492" s="440">
        <v>1.9139689659704635</v>
      </c>
      <c r="D492" s="440">
        <v>11.185557504866484</v>
      </c>
      <c r="E492" s="440">
        <f t="shared" si="217"/>
        <v>53.032781397048353</v>
      </c>
      <c r="F492" s="441"/>
      <c r="G492" s="440">
        <v>41.944782421603399</v>
      </c>
      <c r="H492" s="440">
        <v>1.9628851051356586</v>
      </c>
      <c r="I492" s="440">
        <v>14.074149848768796</v>
      </c>
      <c r="J492" s="440">
        <f t="shared" si="220"/>
        <v>57.981817375507859</v>
      </c>
      <c r="K492" s="441"/>
      <c r="L492" s="440">
        <v>43.344531344842459</v>
      </c>
      <c r="M492" s="440">
        <v>1.7904118072893893</v>
      </c>
      <c r="N492" s="440">
        <v>11.882350730246042</v>
      </c>
      <c r="O492" s="440">
        <f t="shared" si="219"/>
        <v>57.017293882377885</v>
      </c>
    </row>
    <row r="493" spans="1:15" s="351" customFormat="1" x14ac:dyDescent="0.25">
      <c r="A493" s="362" t="str">
        <f>name!E$12</f>
        <v>Elementary occupations</v>
      </c>
      <c r="B493" s="440">
        <v>24.797174885121116</v>
      </c>
      <c r="C493" s="440">
        <v>6.9510169561161543</v>
      </c>
      <c r="D493" s="440">
        <v>16.264278471106895</v>
      </c>
      <c r="E493" s="440">
        <f t="shared" si="217"/>
        <v>48.012470312344163</v>
      </c>
      <c r="F493" s="441"/>
      <c r="G493" s="440">
        <v>18.611572679823229</v>
      </c>
      <c r="H493" s="440">
        <v>6.2118051179914344</v>
      </c>
      <c r="I493" s="440">
        <v>16.418843327464565</v>
      </c>
      <c r="J493" s="440">
        <f t="shared" si="220"/>
        <v>41.242221125279229</v>
      </c>
      <c r="K493" s="441"/>
      <c r="L493" s="440">
        <v>18.813255045040307</v>
      </c>
      <c r="M493" s="440">
        <v>6.1026200444365921</v>
      </c>
      <c r="N493" s="440">
        <v>14.267708511031422</v>
      </c>
      <c r="O493" s="440">
        <f t="shared" si="219"/>
        <v>39.183583600508321</v>
      </c>
    </row>
    <row r="494" spans="1:15" s="351" customFormat="1" x14ac:dyDescent="0.25">
      <c r="A494" s="362"/>
      <c r="B494" s="440"/>
      <c r="C494" s="440"/>
      <c r="D494" s="440"/>
      <c r="E494" s="440"/>
      <c r="F494" s="441"/>
      <c r="G494" s="440"/>
      <c r="H494" s="440"/>
      <c r="I494" s="440"/>
      <c r="J494" s="440"/>
      <c r="K494" s="441"/>
      <c r="L494" s="440"/>
      <c r="M494" s="440"/>
      <c r="N494" s="440"/>
      <c r="O494" s="440"/>
    </row>
    <row r="495" spans="1:15" s="351" customFormat="1" x14ac:dyDescent="0.25">
      <c r="A495" s="357" t="s">
        <v>32</v>
      </c>
      <c r="B495" s="450">
        <f>SUM(B485:B493)</f>
        <v>345.62599999806844</v>
      </c>
      <c r="C495" s="450">
        <f t="shared" ref="C495:E495" si="221">SUM(C485:C493)</f>
        <v>50.964999999910006</v>
      </c>
      <c r="D495" s="450">
        <f t="shared" si="221"/>
        <v>205.16400000408294</v>
      </c>
      <c r="E495" s="450">
        <f t="shared" si="221"/>
        <v>601.75500000206137</v>
      </c>
      <c r="F495" s="450"/>
      <c r="G495" s="450">
        <f t="shared" ref="G495:J495" si="222">SUM(G485:G493)</f>
        <v>394.01299999894218</v>
      </c>
      <c r="H495" s="450">
        <f t="shared" si="222"/>
        <v>54.107000000362042</v>
      </c>
      <c r="I495" s="450">
        <f t="shared" si="222"/>
        <v>256.87900000224943</v>
      </c>
      <c r="J495" s="450">
        <f t="shared" si="222"/>
        <v>704.99900000155355</v>
      </c>
      <c r="K495" s="450"/>
      <c r="L495" s="450">
        <f t="shared" ref="L495:O495" si="223">SUM(L485:L493)</f>
        <v>415.56399999869939</v>
      </c>
      <c r="M495" s="450">
        <f t="shared" si="223"/>
        <v>57.694000000279232</v>
      </c>
      <c r="N495" s="450">
        <f t="shared" si="223"/>
        <v>247.58700001056152</v>
      </c>
      <c r="O495" s="450">
        <f t="shared" si="223"/>
        <v>720.84500000954017</v>
      </c>
    </row>
    <row r="496" spans="1:15" s="351" customFormat="1" x14ac:dyDescent="0.25">
      <c r="A496" s="348"/>
      <c r="B496" s="348"/>
      <c r="C496" s="348"/>
      <c r="D496" s="348"/>
      <c r="E496" s="348"/>
      <c r="F496" s="348"/>
      <c r="G496" s="348"/>
      <c r="H496" s="348"/>
      <c r="I496" s="348"/>
      <c r="J496" s="348"/>
      <c r="K496" s="348"/>
      <c r="L496" s="348"/>
      <c r="M496" s="348"/>
      <c r="N496" s="353"/>
    </row>
    <row r="497" spans="1:15" s="351" customFormat="1" x14ac:dyDescent="0.25">
      <c r="A497" s="348"/>
      <c r="B497" s="348"/>
      <c r="C497" s="348"/>
      <c r="D497" s="348"/>
      <c r="E497" s="348"/>
      <c r="F497" s="348"/>
      <c r="G497" s="348"/>
      <c r="H497" s="348"/>
      <c r="I497" s="348"/>
      <c r="J497" s="348"/>
      <c r="K497" s="348"/>
      <c r="L497" s="348"/>
      <c r="M497" s="348"/>
      <c r="N497" s="353"/>
      <c r="O497" s="367" t="s">
        <v>35</v>
      </c>
    </row>
    <row r="498" spans="1:15" s="351" customFormat="1" x14ac:dyDescent="0.25">
      <c r="A498" s="355"/>
      <c r="B498" s="355"/>
      <c r="C498" s="355"/>
      <c r="D498" s="355"/>
      <c r="E498" s="355"/>
      <c r="F498" s="355"/>
      <c r="G498" s="355"/>
      <c r="H498" s="355"/>
      <c r="I498" s="355"/>
      <c r="J498" s="355"/>
      <c r="K498" s="355"/>
      <c r="L498" s="355"/>
      <c r="M498" s="355"/>
      <c r="N498" s="355"/>
      <c r="O498" s="355"/>
    </row>
    <row r="499" spans="1:15" s="351" customFormat="1" x14ac:dyDescent="0.25">
      <c r="A499" s="354" t="str">
        <f>name!A32</f>
        <v>Civil engineering</v>
      </c>
      <c r="B499" s="517">
        <f>$B$6</f>
        <v>2007</v>
      </c>
      <c r="C499" s="517"/>
      <c r="D499" s="517"/>
      <c r="E499" s="517"/>
      <c r="F499" s="380"/>
      <c r="G499" s="517">
        <f>$G$6</f>
        <v>2017</v>
      </c>
      <c r="H499" s="517"/>
      <c r="I499" s="517"/>
      <c r="J499" s="517"/>
      <c r="K499" s="380"/>
      <c r="L499" s="517">
        <f>$L$6</f>
        <v>2027</v>
      </c>
      <c r="M499" s="517"/>
      <c r="N499" s="517"/>
      <c r="O499" s="517"/>
    </row>
    <row r="500" spans="1:15" s="351" customFormat="1" x14ac:dyDescent="0.25">
      <c r="A500" s="370"/>
      <c r="B500" s="388" t="str">
        <f>$B$7</f>
        <v>FT</v>
      </c>
      <c r="C500" s="388" t="str">
        <f>$C$7</f>
        <v>PT</v>
      </c>
      <c r="D500" s="388" t="str">
        <f>$D$7</f>
        <v>SE</v>
      </c>
      <c r="E500" s="388" t="str">
        <f>$E$7</f>
        <v>Total</v>
      </c>
      <c r="F500" s="388"/>
      <c r="G500" s="388" t="str">
        <f>$G$7</f>
        <v>FT</v>
      </c>
      <c r="H500" s="388" t="str">
        <f>$H$7</f>
        <v>PT</v>
      </c>
      <c r="I500" s="388" t="str">
        <f>$I$7</f>
        <v>SE</v>
      </c>
      <c r="J500" s="388" t="str">
        <f>$J$7</f>
        <v>Total</v>
      </c>
      <c r="K500" s="388"/>
      <c r="L500" s="388" t="str">
        <f>$L$7</f>
        <v>FT</v>
      </c>
      <c r="M500" s="388" t="str">
        <f>$M$7</f>
        <v>PT</v>
      </c>
      <c r="N500" s="388" t="str">
        <f>$N$7</f>
        <v>SE</v>
      </c>
      <c r="O500" s="388" t="str">
        <f>$O$7</f>
        <v>Total</v>
      </c>
    </row>
    <row r="501" spans="1:15" s="351" customFormat="1" x14ac:dyDescent="0.25">
      <c r="A501" s="374"/>
      <c r="B501" s="350"/>
      <c r="C501" s="350"/>
      <c r="D501" s="350"/>
      <c r="E501" s="350"/>
      <c r="F501" s="350"/>
      <c r="G501" s="350"/>
      <c r="H501" s="350"/>
      <c r="I501" s="350"/>
      <c r="J501" s="350"/>
      <c r="K501" s="350"/>
      <c r="L501" s="350"/>
      <c r="M501" s="350"/>
      <c r="N501" s="350"/>
      <c r="O501" s="350"/>
    </row>
    <row r="502" spans="1:15" s="351" customFormat="1" x14ac:dyDescent="0.25">
      <c r="A502" s="362" t="str">
        <f>name!E$4</f>
        <v>Managers, directors and senior officials</v>
      </c>
      <c r="B502" s="440">
        <v>21.121713206277015</v>
      </c>
      <c r="C502" s="440">
        <v>0.99325070392313397</v>
      </c>
      <c r="D502" s="440">
        <v>9.1809746650022177</v>
      </c>
      <c r="E502" s="440">
        <f>SUM(B502:D502)</f>
        <v>31.295938575202367</v>
      </c>
      <c r="F502" s="441"/>
      <c r="G502" s="440">
        <v>23.942719137540109</v>
      </c>
      <c r="H502" s="440">
        <v>1.5667452348693518</v>
      </c>
      <c r="I502" s="440">
        <v>9.0129474510405778</v>
      </c>
      <c r="J502" s="440">
        <f>SUM(G502:I502)</f>
        <v>34.522411823450042</v>
      </c>
      <c r="K502" s="441"/>
      <c r="L502" s="440">
        <v>28.94603138529898</v>
      </c>
      <c r="M502" s="440">
        <v>2.0019345265008068</v>
      </c>
      <c r="N502" s="440">
        <v>8.5727904609561847</v>
      </c>
      <c r="O502" s="440">
        <f>SUM(L502:N502)</f>
        <v>39.520756372755969</v>
      </c>
    </row>
    <row r="503" spans="1:15" s="351" customFormat="1" x14ac:dyDescent="0.25">
      <c r="A503" s="362" t="str">
        <f>name!E$5</f>
        <v>Professional occupations</v>
      </c>
      <c r="B503" s="440">
        <v>27.965314361065008</v>
      </c>
      <c r="C503" s="440">
        <v>0.67175137640301019</v>
      </c>
      <c r="D503" s="440">
        <v>2.8478163609042375</v>
      </c>
      <c r="E503" s="440">
        <f t="shared" ref="E503:E510" si="224">SUM(B503:D503)</f>
        <v>31.484882098372253</v>
      </c>
      <c r="F503" s="441"/>
      <c r="G503" s="440">
        <v>28.164437020050165</v>
      </c>
      <c r="H503" s="440">
        <v>0.88575044851835294</v>
      </c>
      <c r="I503" s="440">
        <v>3.7171853531787309</v>
      </c>
      <c r="J503" s="440">
        <f t="shared" ref="J503:J505" si="225">SUM(G503:I503)</f>
        <v>32.767372821747244</v>
      </c>
      <c r="K503" s="441"/>
      <c r="L503" s="440">
        <v>32.968240270493766</v>
      </c>
      <c r="M503" s="440">
        <v>1.0539377348461529</v>
      </c>
      <c r="N503" s="440">
        <v>3.2073768059677503</v>
      </c>
      <c r="O503" s="440">
        <f t="shared" ref="O503:O510" si="226">SUM(L503:N503)</f>
        <v>37.229554811307665</v>
      </c>
    </row>
    <row r="504" spans="1:15" s="351" customFormat="1" x14ac:dyDescent="0.25">
      <c r="A504" s="362" t="str">
        <f>name!E$6</f>
        <v>Associate professional and technical</v>
      </c>
      <c r="B504" s="440">
        <v>21.08050432892491</v>
      </c>
      <c r="C504" s="440">
        <v>1.1027187765416875</v>
      </c>
      <c r="D504" s="440">
        <v>2.204889063009182</v>
      </c>
      <c r="E504" s="440">
        <f t="shared" si="224"/>
        <v>24.388112168475782</v>
      </c>
      <c r="F504" s="441"/>
      <c r="G504" s="440">
        <v>21.367413947788343</v>
      </c>
      <c r="H504" s="440">
        <v>1.3380274501471525</v>
      </c>
      <c r="I504" s="440">
        <v>2.2224480008082748</v>
      </c>
      <c r="J504" s="440">
        <f t="shared" si="225"/>
        <v>24.927889398743769</v>
      </c>
      <c r="K504" s="441"/>
      <c r="L504" s="440">
        <v>24.448685931839108</v>
      </c>
      <c r="M504" s="440">
        <v>1.6783914762802845</v>
      </c>
      <c r="N504" s="440">
        <v>2.0155936899415203</v>
      </c>
      <c r="O504" s="440">
        <f t="shared" si="226"/>
        <v>28.142671098060916</v>
      </c>
    </row>
    <row r="505" spans="1:15" s="351" customFormat="1" x14ac:dyDescent="0.25">
      <c r="A505" s="362" t="str">
        <f>name!E$7</f>
        <v>Administrative and secretarial</v>
      </c>
      <c r="B505" s="440">
        <v>13.409472533365378</v>
      </c>
      <c r="C505" s="440">
        <v>6.9356377824822353</v>
      </c>
      <c r="D505" s="440">
        <v>1.8492648684701649</v>
      </c>
      <c r="E505" s="440">
        <f t="shared" si="224"/>
        <v>22.194375184317778</v>
      </c>
      <c r="F505" s="441"/>
      <c r="G505" s="440">
        <v>11.207158842088868</v>
      </c>
      <c r="H505" s="440">
        <v>6.5210231448230935</v>
      </c>
      <c r="I505" s="440">
        <v>1.6884158745310447</v>
      </c>
      <c r="J505" s="440">
        <f t="shared" si="225"/>
        <v>19.416597861443009</v>
      </c>
      <c r="K505" s="441"/>
      <c r="L505" s="440">
        <v>10.00668742367036</v>
      </c>
      <c r="M505" s="440">
        <v>6.3523446412668942</v>
      </c>
      <c r="N505" s="440">
        <v>1.0727307863773259</v>
      </c>
      <c r="O505" s="440">
        <f t="shared" si="226"/>
        <v>17.431762851314581</v>
      </c>
    </row>
    <row r="506" spans="1:15" s="351" customFormat="1" x14ac:dyDescent="0.25">
      <c r="A506" s="362" t="str">
        <f>name!E$8</f>
        <v>Skilled trades occupations</v>
      </c>
      <c r="B506" s="440">
        <v>97.776949344915067</v>
      </c>
      <c r="C506" s="440">
        <v>1.610008706441461</v>
      </c>
      <c r="D506" s="440">
        <v>118.02953737740395</v>
      </c>
      <c r="E506" s="440">
        <f t="shared" si="224"/>
        <v>217.41649542876047</v>
      </c>
      <c r="F506" s="441"/>
      <c r="G506" s="440">
        <v>71.694547978044355</v>
      </c>
      <c r="H506" s="440">
        <v>1.6752616216135265</v>
      </c>
      <c r="I506" s="440">
        <v>101.16339116648722</v>
      </c>
      <c r="J506" s="440">
        <f>SUM(G506:I506)</f>
        <v>174.53320076614511</v>
      </c>
      <c r="K506" s="441"/>
      <c r="L506" s="440">
        <v>69.632204231844796</v>
      </c>
      <c r="M506" s="440">
        <v>1.7869623150662035</v>
      </c>
      <c r="N506" s="440">
        <v>100.13217469382245</v>
      </c>
      <c r="O506" s="440">
        <f t="shared" si="226"/>
        <v>171.55134124073345</v>
      </c>
    </row>
    <row r="507" spans="1:15" s="351" customFormat="1" x14ac:dyDescent="0.25">
      <c r="A507" s="362" t="str">
        <f>name!E$9</f>
        <v>Caring, leisure and other service</v>
      </c>
      <c r="B507" s="440">
        <v>0.43948914991923982</v>
      </c>
      <c r="C507" s="440">
        <v>0.12761729340175065</v>
      </c>
      <c r="D507" s="440">
        <v>7.2121475979533917E-2</v>
      </c>
      <c r="E507" s="440">
        <f t="shared" si="224"/>
        <v>0.63922791930052436</v>
      </c>
      <c r="F507" s="441"/>
      <c r="G507" s="440">
        <v>0.58208670866226453</v>
      </c>
      <c r="H507" s="440">
        <v>0.16682108513040567</v>
      </c>
      <c r="I507" s="440">
        <v>7.6008850223347704E-2</v>
      </c>
      <c r="J507" s="440">
        <f t="shared" ref="J507:J510" si="227">SUM(G507:I507)</f>
        <v>0.82491664401601794</v>
      </c>
      <c r="K507" s="441"/>
      <c r="L507" s="440">
        <v>0.67315551395251505</v>
      </c>
      <c r="M507" s="440">
        <v>0.18278319245918556</v>
      </c>
      <c r="N507" s="440">
        <v>7.7639262228660938E-2</v>
      </c>
      <c r="O507" s="440">
        <f t="shared" si="226"/>
        <v>0.93357796864036147</v>
      </c>
    </row>
    <row r="508" spans="1:15" s="351" customFormat="1" x14ac:dyDescent="0.25">
      <c r="A508" s="362" t="str">
        <f>name!E$10</f>
        <v>Sales and customer service</v>
      </c>
      <c r="B508" s="440">
        <v>3.3094100606495376</v>
      </c>
      <c r="C508" s="440">
        <v>0.87328838916846829</v>
      </c>
      <c r="D508" s="440">
        <v>0.38492629757377922</v>
      </c>
      <c r="E508" s="440">
        <f t="shared" si="224"/>
        <v>4.5676247473917853</v>
      </c>
      <c r="F508" s="441"/>
      <c r="G508" s="440">
        <v>3.9278096335229096</v>
      </c>
      <c r="H508" s="440">
        <v>1.228111539412194</v>
      </c>
      <c r="I508" s="440">
        <v>0.38253571443255302</v>
      </c>
      <c r="J508" s="440">
        <f t="shared" si="227"/>
        <v>5.5384568873676567</v>
      </c>
      <c r="K508" s="441"/>
      <c r="L508" s="440">
        <v>4.221376008020254</v>
      </c>
      <c r="M508" s="440">
        <v>1.3843616910721566</v>
      </c>
      <c r="N508" s="440">
        <v>0.36682704783276388</v>
      </c>
      <c r="O508" s="440">
        <f t="shared" si="226"/>
        <v>5.9725647469251744</v>
      </c>
    </row>
    <row r="509" spans="1:15" s="351" customFormat="1" x14ac:dyDescent="0.25">
      <c r="A509" s="362" t="str">
        <f>name!E$11</f>
        <v>Process, plant and machine operatives</v>
      </c>
      <c r="B509" s="440">
        <v>30.851819716095793</v>
      </c>
      <c r="C509" s="440">
        <v>0.61662004405604942</v>
      </c>
      <c r="D509" s="440">
        <v>8.7583993099345694</v>
      </c>
      <c r="E509" s="440">
        <f t="shared" si="224"/>
        <v>40.226839070086413</v>
      </c>
      <c r="F509" s="441"/>
      <c r="G509" s="440">
        <v>23.945255385417621</v>
      </c>
      <c r="H509" s="440">
        <v>0.60522378017076783</v>
      </c>
      <c r="I509" s="440">
        <v>7.9042467568726424</v>
      </c>
      <c r="J509" s="440">
        <f t="shared" si="227"/>
        <v>32.45472592246103</v>
      </c>
      <c r="K509" s="441"/>
      <c r="L509" s="440">
        <v>24.744321461821421</v>
      </c>
      <c r="M509" s="440">
        <v>0.54881967713203106</v>
      </c>
      <c r="N509" s="440">
        <v>6.693457069568189</v>
      </c>
      <c r="O509" s="440">
        <f t="shared" si="226"/>
        <v>31.986598208521642</v>
      </c>
    </row>
    <row r="510" spans="1:15" s="351" customFormat="1" x14ac:dyDescent="0.25">
      <c r="A510" s="362" t="str">
        <f>name!E$12</f>
        <v>Elementary occupations</v>
      </c>
      <c r="B510" s="440">
        <v>18.712327297776064</v>
      </c>
      <c r="C510" s="440">
        <v>2.2081069275496201</v>
      </c>
      <c r="D510" s="440">
        <v>12.422070585079284</v>
      </c>
      <c r="E510" s="440">
        <f t="shared" si="224"/>
        <v>33.342504810404968</v>
      </c>
      <c r="F510" s="441"/>
      <c r="G510" s="440">
        <v>10.467571346361957</v>
      </c>
      <c r="H510" s="440">
        <v>1.8350356953820983</v>
      </c>
      <c r="I510" s="440">
        <v>9.0618208332761849</v>
      </c>
      <c r="J510" s="440">
        <f t="shared" si="227"/>
        <v>21.36442787502024</v>
      </c>
      <c r="K510" s="441"/>
      <c r="L510" s="440">
        <v>10.569297772177768</v>
      </c>
      <c r="M510" s="440">
        <v>1.8004647454340688</v>
      </c>
      <c r="N510" s="440">
        <v>7.9334101885262029</v>
      </c>
      <c r="O510" s="440">
        <f t="shared" si="226"/>
        <v>20.303172706138039</v>
      </c>
    </row>
    <row r="511" spans="1:15" s="351" customFormat="1" x14ac:dyDescent="0.25">
      <c r="A511" s="362"/>
      <c r="B511" s="440"/>
      <c r="C511" s="440"/>
      <c r="D511" s="440"/>
      <c r="E511" s="440"/>
      <c r="F511" s="441"/>
      <c r="G511" s="440"/>
      <c r="H511" s="440"/>
      <c r="I511" s="440"/>
      <c r="J511" s="440"/>
      <c r="K511" s="441"/>
      <c r="L511" s="440"/>
      <c r="M511" s="440"/>
      <c r="N511" s="440"/>
      <c r="O511" s="440"/>
    </row>
    <row r="512" spans="1:15" s="351" customFormat="1" x14ac:dyDescent="0.25">
      <c r="A512" s="357" t="s">
        <v>32</v>
      </c>
      <c r="B512" s="450">
        <f>SUM(B502:B510)</f>
        <v>234.66699999898799</v>
      </c>
      <c r="C512" s="450">
        <f t="shared" ref="C512:E512" si="228">SUM(C502:C510)</f>
        <v>15.138999999967416</v>
      </c>
      <c r="D512" s="450">
        <f t="shared" si="228"/>
        <v>155.75000000335692</v>
      </c>
      <c r="E512" s="450">
        <f t="shared" si="228"/>
        <v>405.55600000231243</v>
      </c>
      <c r="F512" s="450"/>
      <c r="G512" s="450">
        <f t="shared" ref="G512:J512" si="229">SUM(G502:G510)</f>
        <v>195.29899999947659</v>
      </c>
      <c r="H512" s="450">
        <f t="shared" si="229"/>
        <v>15.822000000066943</v>
      </c>
      <c r="I512" s="450">
        <f t="shared" si="229"/>
        <v>135.22900000085056</v>
      </c>
      <c r="J512" s="450">
        <f t="shared" si="229"/>
        <v>346.35000000039412</v>
      </c>
      <c r="K512" s="450"/>
      <c r="L512" s="450">
        <f t="shared" ref="L512:O512" si="230">SUM(L502:L510)</f>
        <v>206.20999999911896</v>
      </c>
      <c r="M512" s="450">
        <f t="shared" si="230"/>
        <v>16.790000000057784</v>
      </c>
      <c r="N512" s="450">
        <f t="shared" si="230"/>
        <v>130.07200000522104</v>
      </c>
      <c r="O512" s="450">
        <f t="shared" si="230"/>
        <v>353.07200000439775</v>
      </c>
    </row>
    <row r="513" spans="1:15" s="351" customFormat="1" x14ac:dyDescent="0.25">
      <c r="A513" s="348"/>
      <c r="B513" s="348"/>
      <c r="C513" s="348"/>
      <c r="D513" s="348"/>
      <c r="E513" s="348"/>
      <c r="F513" s="348"/>
      <c r="G513" s="348"/>
      <c r="H513" s="348"/>
      <c r="I513" s="348"/>
      <c r="J513" s="348"/>
      <c r="K513" s="348"/>
      <c r="L513" s="348"/>
      <c r="M513" s="348"/>
      <c r="N513" s="353"/>
    </row>
    <row r="514" spans="1:15" s="351" customFormat="1" x14ac:dyDescent="0.25">
      <c r="A514" s="348"/>
      <c r="B514" s="348"/>
      <c r="C514" s="348"/>
      <c r="D514" s="348"/>
      <c r="E514" s="348"/>
      <c r="F514" s="348"/>
      <c r="G514" s="348"/>
      <c r="H514" s="348"/>
      <c r="I514" s="348"/>
      <c r="J514" s="348"/>
      <c r="K514" s="348"/>
      <c r="L514" s="348"/>
      <c r="M514" s="348"/>
      <c r="N514" s="353"/>
      <c r="O514" s="367" t="s">
        <v>35</v>
      </c>
    </row>
    <row r="515" spans="1:15" s="351" customFormat="1" x14ac:dyDescent="0.25">
      <c r="A515" s="355"/>
      <c r="B515" s="355"/>
      <c r="C515" s="355"/>
      <c r="D515" s="355"/>
      <c r="E515" s="355"/>
      <c r="F515" s="355"/>
      <c r="G515" s="355"/>
      <c r="H515" s="355"/>
      <c r="I515" s="355"/>
      <c r="J515" s="355"/>
      <c r="K515" s="355"/>
      <c r="L515" s="355"/>
      <c r="M515" s="355"/>
      <c r="N515" s="355"/>
      <c r="O515" s="355"/>
    </row>
    <row r="516" spans="1:15" s="351" customFormat="1" x14ac:dyDescent="0.25">
      <c r="A516" s="354" t="str">
        <f>name!A33</f>
        <v>Specialised construction</v>
      </c>
      <c r="B516" s="517">
        <f>$B$6</f>
        <v>2007</v>
      </c>
      <c r="C516" s="517"/>
      <c r="D516" s="517"/>
      <c r="E516" s="517"/>
      <c r="F516" s="380"/>
      <c r="G516" s="517">
        <f>$G$6</f>
        <v>2017</v>
      </c>
      <c r="H516" s="517"/>
      <c r="I516" s="517"/>
      <c r="J516" s="517"/>
      <c r="K516" s="380"/>
      <c r="L516" s="517">
        <f>$L$6</f>
        <v>2027</v>
      </c>
      <c r="M516" s="517"/>
      <c r="N516" s="517"/>
      <c r="O516" s="517"/>
    </row>
    <row r="517" spans="1:15" s="351" customFormat="1" x14ac:dyDescent="0.25">
      <c r="A517" s="370"/>
      <c r="B517" s="388" t="str">
        <f>$B$7</f>
        <v>FT</v>
      </c>
      <c r="C517" s="388" t="str">
        <f>$C$7</f>
        <v>PT</v>
      </c>
      <c r="D517" s="388" t="str">
        <f>$D$7</f>
        <v>SE</v>
      </c>
      <c r="E517" s="388" t="str">
        <f>$E$7</f>
        <v>Total</v>
      </c>
      <c r="F517" s="388"/>
      <c r="G517" s="388" t="str">
        <f>$G$7</f>
        <v>FT</v>
      </c>
      <c r="H517" s="388" t="str">
        <f>$H$7</f>
        <v>PT</v>
      </c>
      <c r="I517" s="388" t="str">
        <f>$I$7</f>
        <v>SE</v>
      </c>
      <c r="J517" s="388" t="str">
        <f>$J$7</f>
        <v>Total</v>
      </c>
      <c r="K517" s="388"/>
      <c r="L517" s="388" t="str">
        <f>$L$7</f>
        <v>FT</v>
      </c>
      <c r="M517" s="388" t="str">
        <f>$M$7</f>
        <v>PT</v>
      </c>
      <c r="N517" s="388" t="str">
        <f>$N$7</f>
        <v>SE</v>
      </c>
      <c r="O517" s="388" t="str">
        <f>$O$7</f>
        <v>Total</v>
      </c>
    </row>
    <row r="518" spans="1:15" s="351" customFormat="1" x14ac:dyDescent="0.25">
      <c r="A518" s="374"/>
      <c r="B518" s="350"/>
      <c r="C518" s="350"/>
      <c r="D518" s="350"/>
      <c r="E518" s="350"/>
      <c r="F518" s="350"/>
      <c r="G518" s="350"/>
      <c r="H518" s="350"/>
      <c r="I518" s="350"/>
      <c r="J518" s="350"/>
      <c r="K518" s="350"/>
      <c r="L518" s="350"/>
      <c r="M518" s="350"/>
      <c r="N518" s="350"/>
      <c r="O518" s="350"/>
    </row>
    <row r="519" spans="1:15" s="351" customFormat="1" x14ac:dyDescent="0.25">
      <c r="A519" s="362" t="str">
        <f>name!E$4</f>
        <v>Managers, directors and senior officials</v>
      </c>
      <c r="B519" s="440">
        <v>65.06162886784081</v>
      </c>
      <c r="C519" s="440">
        <v>5.137453462566242</v>
      </c>
      <c r="D519" s="440">
        <v>28.69971346944422</v>
      </c>
      <c r="E519" s="440">
        <f>SUM(B519:D519)</f>
        <v>98.898795799851271</v>
      </c>
      <c r="F519" s="441"/>
      <c r="G519" s="440">
        <v>82.503400203662792</v>
      </c>
      <c r="H519" s="440">
        <v>8.8917719583154593</v>
      </c>
      <c r="I519" s="440">
        <v>32.662799744872899</v>
      </c>
      <c r="J519" s="440">
        <f>SUM(G519:I519)</f>
        <v>124.05797190685115</v>
      </c>
      <c r="K519" s="441"/>
      <c r="L519" s="440">
        <v>100.23754912368817</v>
      </c>
      <c r="M519" s="440">
        <v>11.663592105508551</v>
      </c>
      <c r="N519" s="440">
        <v>31.130253832864341</v>
      </c>
      <c r="O519" s="440">
        <f>SUM(L519:N519)</f>
        <v>143.03139506206105</v>
      </c>
    </row>
    <row r="520" spans="1:15" s="351" customFormat="1" x14ac:dyDescent="0.25">
      <c r="A520" s="362" t="str">
        <f>name!E$5</f>
        <v>Professional occupations</v>
      </c>
      <c r="B520" s="440">
        <v>87.38044562675563</v>
      </c>
      <c r="C520" s="440">
        <v>3.2661478336241299</v>
      </c>
      <c r="D520" s="440">
        <v>8.8025490126538291</v>
      </c>
      <c r="E520" s="440">
        <f t="shared" ref="E520:E527" si="231">SUM(B520:D520)</f>
        <v>99.449142473033589</v>
      </c>
      <c r="F520" s="441"/>
      <c r="G520" s="440">
        <v>98.535544170633969</v>
      </c>
      <c r="H520" s="440">
        <v>4.9811651395701571</v>
      </c>
      <c r="I520" s="440">
        <v>13.254935052564486</v>
      </c>
      <c r="J520" s="440">
        <f t="shared" ref="J520:J522" si="232">SUM(G520:I520)</f>
        <v>116.77164436276861</v>
      </c>
      <c r="K520" s="441"/>
      <c r="L520" s="440">
        <v>115.957265997878</v>
      </c>
      <c r="M520" s="440">
        <v>6.1027227272852835</v>
      </c>
      <c r="N520" s="440">
        <v>11.507292289210827</v>
      </c>
      <c r="O520" s="440">
        <f t="shared" ref="O520:O527" si="233">SUM(L520:N520)</f>
        <v>133.56728101437412</v>
      </c>
    </row>
    <row r="521" spans="1:15" s="351" customFormat="1" x14ac:dyDescent="0.25">
      <c r="A521" s="362" t="str">
        <f>name!E$6</f>
        <v>Associate professional and technical</v>
      </c>
      <c r="B521" s="440">
        <v>66.278165192345909</v>
      </c>
      <c r="C521" s="440">
        <v>5.7952683691889719</v>
      </c>
      <c r="D521" s="440">
        <v>6.8987904868122438</v>
      </c>
      <c r="E521" s="440">
        <f t="shared" si="231"/>
        <v>78.97222404834713</v>
      </c>
      <c r="F521" s="441"/>
      <c r="G521" s="440">
        <v>74.034135453027346</v>
      </c>
      <c r="H521" s="440">
        <v>7.4567170967235219</v>
      </c>
      <c r="I521" s="440">
        <v>8.0652007204011884</v>
      </c>
      <c r="J521" s="440">
        <f t="shared" si="232"/>
        <v>89.556053270152063</v>
      </c>
      <c r="K521" s="441"/>
      <c r="L521" s="440">
        <v>85.195490267917137</v>
      </c>
      <c r="M521" s="440">
        <v>9.5346581305192952</v>
      </c>
      <c r="N521" s="440">
        <v>7.3659219706399659</v>
      </c>
      <c r="O521" s="440">
        <f t="shared" si="233"/>
        <v>102.09607036907639</v>
      </c>
    </row>
    <row r="522" spans="1:15" s="351" customFormat="1" x14ac:dyDescent="0.25">
      <c r="A522" s="362" t="str">
        <f>name!E$7</f>
        <v>Administrative and secretarial</v>
      </c>
      <c r="B522" s="440">
        <v>50.247873416190259</v>
      </c>
      <c r="C522" s="440">
        <v>40.285168252817861</v>
      </c>
      <c r="D522" s="440">
        <v>6.925803579543035</v>
      </c>
      <c r="E522" s="440">
        <f t="shared" si="231"/>
        <v>97.458845248551157</v>
      </c>
      <c r="F522" s="441"/>
      <c r="G522" s="440">
        <v>44.629237190386</v>
      </c>
      <c r="H522" s="440">
        <v>40.357172538143494</v>
      </c>
      <c r="I522" s="440">
        <v>7.4908473304263499</v>
      </c>
      <c r="J522" s="440">
        <f t="shared" si="232"/>
        <v>92.477257058955843</v>
      </c>
      <c r="K522" s="441"/>
      <c r="L522" s="440">
        <v>38.463666240994776</v>
      </c>
      <c r="M522" s="440">
        <v>39.377705164356328</v>
      </c>
      <c r="N522" s="440">
        <v>4.594249197809801</v>
      </c>
      <c r="O522" s="440">
        <f t="shared" si="233"/>
        <v>82.435620603160913</v>
      </c>
    </row>
    <row r="523" spans="1:15" s="351" customFormat="1" x14ac:dyDescent="0.25">
      <c r="A523" s="362" t="str">
        <f>name!E$8</f>
        <v>Skilled trades occupations</v>
      </c>
      <c r="B523" s="440">
        <v>301.03926256823081</v>
      </c>
      <c r="C523" s="440">
        <v>6.8513130018216382</v>
      </c>
      <c r="D523" s="440">
        <v>362.22636467472307</v>
      </c>
      <c r="E523" s="440">
        <f t="shared" si="231"/>
        <v>670.11694024477561</v>
      </c>
      <c r="F523" s="441"/>
      <c r="G523" s="440">
        <v>233.53921190784618</v>
      </c>
      <c r="H523" s="440">
        <v>8.2757194456340368</v>
      </c>
      <c r="I523" s="440">
        <v>359.71788543345173</v>
      </c>
      <c r="J523" s="440">
        <f>SUM(G523:I523)</f>
        <v>601.5328167869319</v>
      </c>
      <c r="K523" s="441"/>
      <c r="L523" s="440">
        <v>226.97669224242645</v>
      </c>
      <c r="M523" s="440">
        <v>9.0866884444266702</v>
      </c>
      <c r="N523" s="440">
        <v>357.4339844144568</v>
      </c>
      <c r="O523" s="440">
        <f t="shared" si="233"/>
        <v>593.49736510130992</v>
      </c>
    </row>
    <row r="524" spans="1:15" s="351" customFormat="1" x14ac:dyDescent="0.25">
      <c r="A524" s="362" t="str">
        <f>name!E$9</f>
        <v>Caring, leisure and other service</v>
      </c>
      <c r="B524" s="440">
        <v>1.4472881712037471</v>
      </c>
      <c r="C524" s="440">
        <v>0.60077339690253928</v>
      </c>
      <c r="D524" s="440">
        <v>0.25620840328610622</v>
      </c>
      <c r="E524" s="440">
        <f t="shared" si="231"/>
        <v>2.3042699713923924</v>
      </c>
      <c r="F524" s="441"/>
      <c r="G524" s="440">
        <v>2.115306662932849</v>
      </c>
      <c r="H524" s="440">
        <v>0.8531351148834867</v>
      </c>
      <c r="I524" s="440">
        <v>0.30361944854229306</v>
      </c>
      <c r="J524" s="440">
        <f t="shared" ref="J524:J527" si="234">SUM(G524:I524)</f>
        <v>3.2720612263586286</v>
      </c>
      <c r="K524" s="441"/>
      <c r="L524" s="440">
        <v>2.4507475458070913</v>
      </c>
      <c r="M524" s="440">
        <v>0.92875490129429439</v>
      </c>
      <c r="N524" s="440">
        <v>0.30719048708347207</v>
      </c>
      <c r="O524" s="440">
        <f t="shared" si="233"/>
        <v>3.6866929341848578</v>
      </c>
    </row>
    <row r="525" spans="1:15" s="351" customFormat="1" x14ac:dyDescent="0.25">
      <c r="A525" s="362" t="str">
        <f>name!E$10</f>
        <v>Sales and customer service</v>
      </c>
      <c r="B525" s="440">
        <v>11.321502621738389</v>
      </c>
      <c r="C525" s="440">
        <v>4.7823587442074551</v>
      </c>
      <c r="D525" s="440">
        <v>1.2400751898508342</v>
      </c>
      <c r="E525" s="440">
        <f t="shared" si="231"/>
        <v>17.343936555796681</v>
      </c>
      <c r="F525" s="441"/>
      <c r="G525" s="440">
        <v>14.096934257764815</v>
      </c>
      <c r="H525" s="440">
        <v>6.8221598446634344</v>
      </c>
      <c r="I525" s="440">
        <v>1.396766747464701</v>
      </c>
      <c r="J525" s="440">
        <f t="shared" si="234"/>
        <v>22.31586084989295</v>
      </c>
      <c r="K525" s="441"/>
      <c r="L525" s="440">
        <v>15.102598939996779</v>
      </c>
      <c r="M525" s="440">
        <v>7.8732517463584513</v>
      </c>
      <c r="N525" s="440">
        <v>1.3335368585108027</v>
      </c>
      <c r="O525" s="440">
        <f t="shared" si="233"/>
        <v>24.309387544866034</v>
      </c>
    </row>
    <row r="526" spans="1:15" s="351" customFormat="1" x14ac:dyDescent="0.25">
      <c r="A526" s="362" t="str">
        <f>name!E$11</f>
        <v>Process, plant and machine operatives</v>
      </c>
      <c r="B526" s="440">
        <v>93.333592468866527</v>
      </c>
      <c r="C526" s="440">
        <v>2.6758480471130142</v>
      </c>
      <c r="D526" s="440">
        <v>26.749678127881989</v>
      </c>
      <c r="E526" s="440">
        <f t="shared" si="231"/>
        <v>122.75911864386154</v>
      </c>
      <c r="F526" s="441"/>
      <c r="G526" s="440">
        <v>78.123443337872445</v>
      </c>
      <c r="H526" s="440">
        <v>2.9112830524082001</v>
      </c>
      <c r="I526" s="440">
        <v>27.397479703256064</v>
      </c>
      <c r="J526" s="440">
        <f t="shared" si="234"/>
        <v>108.43220609353671</v>
      </c>
      <c r="K526" s="441"/>
      <c r="L526" s="440">
        <v>81.04999484808944</v>
      </c>
      <c r="M526" s="440">
        <v>2.6510505467418635</v>
      </c>
      <c r="N526" s="440">
        <v>23.142501924926147</v>
      </c>
      <c r="O526" s="440">
        <f t="shared" si="233"/>
        <v>106.84354731975745</v>
      </c>
    </row>
    <row r="527" spans="1:15" s="351" customFormat="1" x14ac:dyDescent="0.25">
      <c r="A527" s="362" t="str">
        <f>name!E$12</f>
        <v>Elementary occupations</v>
      </c>
      <c r="B527" s="440">
        <v>57.262241063408432</v>
      </c>
      <c r="C527" s="440">
        <v>10.837668891568983</v>
      </c>
      <c r="D527" s="440">
        <v>38.288817066044572</v>
      </c>
      <c r="E527" s="440">
        <f t="shared" si="231"/>
        <v>106.38872702102199</v>
      </c>
      <c r="F527" s="441"/>
      <c r="G527" s="440">
        <v>35.111786814372387</v>
      </c>
      <c r="H527" s="440">
        <v>9.5698758101141213</v>
      </c>
      <c r="I527" s="440">
        <v>31.601465822848002</v>
      </c>
      <c r="J527" s="440">
        <f t="shared" si="234"/>
        <v>76.283128447334505</v>
      </c>
      <c r="K527" s="441"/>
      <c r="L527" s="440">
        <v>35.587994790518231</v>
      </c>
      <c r="M527" s="440">
        <v>9.4775762338319147</v>
      </c>
      <c r="N527" s="440">
        <v>27.576069043660201</v>
      </c>
      <c r="O527" s="440">
        <f t="shared" si="233"/>
        <v>72.641640068010346</v>
      </c>
    </row>
    <row r="528" spans="1:15" s="351" customFormat="1" x14ac:dyDescent="0.25">
      <c r="A528" s="362"/>
      <c r="B528" s="440"/>
      <c r="C528" s="440"/>
      <c r="D528" s="440"/>
      <c r="E528" s="440"/>
      <c r="F528" s="441"/>
      <c r="G528" s="440"/>
      <c r="H528" s="440"/>
      <c r="I528" s="440"/>
      <c r="J528" s="440"/>
      <c r="K528" s="441"/>
      <c r="L528" s="440"/>
      <c r="M528" s="440"/>
      <c r="N528" s="440"/>
      <c r="O528" s="440"/>
    </row>
    <row r="529" spans="1:15" s="351" customFormat="1" x14ac:dyDescent="0.25">
      <c r="A529" s="357" t="s">
        <v>32</v>
      </c>
      <c r="B529" s="450">
        <f>SUM(B519:B527)</f>
        <v>733.37199999658048</v>
      </c>
      <c r="C529" s="450">
        <f t="shared" ref="C529:E529" si="235">SUM(C519:C527)</f>
        <v>80.231999999810839</v>
      </c>
      <c r="D529" s="450">
        <f t="shared" si="235"/>
        <v>480.08800001023985</v>
      </c>
      <c r="E529" s="450">
        <f t="shared" si="235"/>
        <v>1293.6920000066314</v>
      </c>
      <c r="F529" s="450"/>
      <c r="G529" s="450">
        <f t="shared" ref="G529:J529" si="236">SUM(G519:G527)</f>
        <v>662.68899999849884</v>
      </c>
      <c r="H529" s="450">
        <f t="shared" si="236"/>
        <v>90.119000000455912</v>
      </c>
      <c r="I529" s="450">
        <f t="shared" si="236"/>
        <v>481.89100000382774</v>
      </c>
      <c r="J529" s="450">
        <f t="shared" si="236"/>
        <v>1234.6990000027822</v>
      </c>
      <c r="K529" s="450"/>
      <c r="L529" s="450">
        <f t="shared" ref="L529:O529" si="237">SUM(L519:L527)</f>
        <v>701.02199999731613</v>
      </c>
      <c r="M529" s="450">
        <f t="shared" si="237"/>
        <v>96.696000000322641</v>
      </c>
      <c r="N529" s="450">
        <f t="shared" si="237"/>
        <v>464.39100001916233</v>
      </c>
      <c r="O529" s="450">
        <f t="shared" si="237"/>
        <v>1262.1090000168008</v>
      </c>
    </row>
    <row r="530" spans="1:15" s="351" customFormat="1" x14ac:dyDescent="0.25">
      <c r="A530" s="348"/>
      <c r="B530" s="348"/>
      <c r="C530" s="348"/>
      <c r="D530" s="348"/>
      <c r="E530" s="348"/>
      <c r="F530" s="348"/>
      <c r="G530" s="348"/>
      <c r="H530" s="348"/>
      <c r="I530" s="348"/>
      <c r="J530" s="348"/>
      <c r="K530" s="348"/>
      <c r="L530" s="348"/>
      <c r="M530" s="348"/>
      <c r="N530" s="353"/>
    </row>
    <row r="531" spans="1:15" s="351" customFormat="1" x14ac:dyDescent="0.25">
      <c r="A531" s="348"/>
      <c r="B531" s="348"/>
      <c r="C531" s="348"/>
      <c r="D531" s="348"/>
      <c r="E531" s="348"/>
      <c r="F531" s="348"/>
      <c r="G531" s="348"/>
      <c r="H531" s="348"/>
      <c r="I531" s="348"/>
      <c r="J531" s="348"/>
      <c r="K531" s="348"/>
      <c r="L531" s="348"/>
      <c r="M531" s="348"/>
      <c r="N531" s="353"/>
      <c r="O531" s="367" t="s">
        <v>35</v>
      </c>
    </row>
    <row r="532" spans="1:15" s="351" customFormat="1" x14ac:dyDescent="0.25">
      <c r="A532" s="355"/>
      <c r="B532" s="355"/>
      <c r="C532" s="355"/>
      <c r="D532" s="355"/>
      <c r="E532" s="355"/>
      <c r="F532" s="355"/>
      <c r="G532" s="355"/>
      <c r="H532" s="355"/>
      <c r="I532" s="355"/>
      <c r="J532" s="355"/>
      <c r="K532" s="355"/>
      <c r="L532" s="355"/>
      <c r="M532" s="355"/>
      <c r="N532" s="355"/>
      <c r="O532" s="355"/>
    </row>
    <row r="533" spans="1:15" s="351" customFormat="1" x14ac:dyDescent="0.25">
      <c r="A533" s="354" t="str">
        <f>name!A34</f>
        <v>Motor vehicle trade</v>
      </c>
      <c r="B533" s="517">
        <f>$B$6</f>
        <v>2007</v>
      </c>
      <c r="C533" s="517"/>
      <c r="D533" s="517"/>
      <c r="E533" s="517"/>
      <c r="F533" s="380"/>
      <c r="G533" s="517">
        <f>$G$6</f>
        <v>2017</v>
      </c>
      <c r="H533" s="517"/>
      <c r="I533" s="517"/>
      <c r="J533" s="517"/>
      <c r="K533" s="380"/>
      <c r="L533" s="517">
        <f>$L$6</f>
        <v>2027</v>
      </c>
      <c r="M533" s="517"/>
      <c r="N533" s="517"/>
      <c r="O533" s="517"/>
    </row>
    <row r="534" spans="1:15" s="351" customFormat="1" x14ac:dyDescent="0.25">
      <c r="A534" s="370"/>
      <c r="B534" s="388" t="str">
        <f>$B$7</f>
        <v>FT</v>
      </c>
      <c r="C534" s="388" t="str">
        <f>$C$7</f>
        <v>PT</v>
      </c>
      <c r="D534" s="388" t="str">
        <f>$D$7</f>
        <v>SE</v>
      </c>
      <c r="E534" s="388" t="str">
        <f>$E$7</f>
        <v>Total</v>
      </c>
      <c r="F534" s="388"/>
      <c r="G534" s="388" t="str">
        <f>$G$7</f>
        <v>FT</v>
      </c>
      <c r="H534" s="388" t="str">
        <f>$H$7</f>
        <v>PT</v>
      </c>
      <c r="I534" s="388" t="str">
        <f>$I$7</f>
        <v>SE</v>
      </c>
      <c r="J534" s="388" t="str">
        <f>$J$7</f>
        <v>Total</v>
      </c>
      <c r="K534" s="388"/>
      <c r="L534" s="388" t="str">
        <f>$L$7</f>
        <v>FT</v>
      </c>
      <c r="M534" s="388" t="str">
        <f>$M$7</f>
        <v>PT</v>
      </c>
      <c r="N534" s="388" t="str">
        <f>$N$7</f>
        <v>SE</v>
      </c>
      <c r="O534" s="388" t="str">
        <f>$O$7</f>
        <v>Total</v>
      </c>
    </row>
    <row r="535" spans="1:15" s="351" customFormat="1" x14ac:dyDescent="0.25">
      <c r="A535" s="374"/>
      <c r="B535" s="350"/>
      <c r="C535" s="350"/>
      <c r="D535" s="350"/>
      <c r="E535" s="350"/>
      <c r="F535" s="350"/>
      <c r="G535" s="350"/>
      <c r="H535" s="350"/>
      <c r="I535" s="350"/>
      <c r="J535" s="350"/>
      <c r="K535" s="350"/>
      <c r="L535" s="350"/>
      <c r="M535" s="350"/>
      <c r="N535" s="350"/>
      <c r="O535" s="350"/>
    </row>
    <row r="536" spans="1:15" s="351" customFormat="1" x14ac:dyDescent="0.25">
      <c r="A536" s="362" t="str">
        <f>name!E$4</f>
        <v>Managers, directors and senior officials</v>
      </c>
      <c r="B536" s="440">
        <v>42.774419923286572</v>
      </c>
      <c r="C536" s="440">
        <v>3.4608696783115618</v>
      </c>
      <c r="D536" s="440">
        <v>25.841771252272874</v>
      </c>
      <c r="E536" s="440">
        <f>SUM(B536:D536)</f>
        <v>72.077060853871004</v>
      </c>
      <c r="F536" s="441"/>
      <c r="G536" s="440">
        <v>47.209090186124058</v>
      </c>
      <c r="H536" s="440">
        <v>3.8016950905076232</v>
      </c>
      <c r="I536" s="440">
        <v>26.181826881583323</v>
      </c>
      <c r="J536" s="440">
        <f>SUM(G536:I536)</f>
        <v>77.192612158214999</v>
      </c>
      <c r="K536" s="441"/>
      <c r="L536" s="440">
        <v>55.768425504419099</v>
      </c>
      <c r="M536" s="440">
        <v>5.3704003940804812</v>
      </c>
      <c r="N536" s="440">
        <v>21.320155514545164</v>
      </c>
      <c r="O536" s="440">
        <f>SUM(L536:N536)</f>
        <v>82.458981413044739</v>
      </c>
    </row>
    <row r="537" spans="1:15" s="351" customFormat="1" x14ac:dyDescent="0.25">
      <c r="A537" s="362" t="str">
        <f>name!E$5</f>
        <v>Professional occupations</v>
      </c>
      <c r="B537" s="440">
        <v>20.713259286346794</v>
      </c>
      <c r="C537" s="440">
        <v>1.2671725134130674</v>
      </c>
      <c r="D537" s="440">
        <v>1.7776042650956965</v>
      </c>
      <c r="E537" s="440">
        <f t="shared" ref="E537:E544" si="238">SUM(B537:D537)</f>
        <v>23.75803606485556</v>
      </c>
      <c r="F537" s="441"/>
      <c r="G537" s="440">
        <v>20.543978165788939</v>
      </c>
      <c r="H537" s="440">
        <v>1.3984030133626184</v>
      </c>
      <c r="I537" s="440">
        <v>2.4148080540594909</v>
      </c>
      <c r="J537" s="440">
        <f t="shared" ref="J537:J539" si="239">SUM(G537:I537)</f>
        <v>24.357189233211049</v>
      </c>
      <c r="K537" s="441"/>
      <c r="L537" s="440">
        <v>24.535580586027873</v>
      </c>
      <c r="M537" s="440">
        <v>1.9897936181570444</v>
      </c>
      <c r="N537" s="440">
        <v>1.7707600339209113</v>
      </c>
      <c r="O537" s="440">
        <f t="shared" ref="O537:O544" si="240">SUM(L537:N537)</f>
        <v>28.296134238105829</v>
      </c>
    </row>
    <row r="538" spans="1:15" s="351" customFormat="1" x14ac:dyDescent="0.25">
      <c r="A538" s="362" t="str">
        <f>name!E$6</f>
        <v>Associate professional and technical</v>
      </c>
      <c r="B538" s="440">
        <v>35.3331446275822</v>
      </c>
      <c r="C538" s="440">
        <v>2.9578862215562296</v>
      </c>
      <c r="D538" s="440">
        <v>2.7704271668462161</v>
      </c>
      <c r="E538" s="440">
        <f t="shared" si="238"/>
        <v>41.061458015984648</v>
      </c>
      <c r="F538" s="441"/>
      <c r="G538" s="440">
        <v>37.709727726868572</v>
      </c>
      <c r="H538" s="440">
        <v>2.9975421248068259</v>
      </c>
      <c r="I538" s="440">
        <v>2.7602203797712912</v>
      </c>
      <c r="J538" s="440">
        <f t="shared" si="239"/>
        <v>43.467490231446689</v>
      </c>
      <c r="K538" s="441"/>
      <c r="L538" s="440">
        <v>42.983848391068697</v>
      </c>
      <c r="M538" s="440">
        <v>4.0321191680841064</v>
      </c>
      <c r="N538" s="440">
        <v>2.142369513763613</v>
      </c>
      <c r="O538" s="440">
        <f t="shared" si="240"/>
        <v>49.158337072916417</v>
      </c>
    </row>
    <row r="539" spans="1:15" s="351" customFormat="1" x14ac:dyDescent="0.25">
      <c r="A539" s="362" t="str">
        <f>name!E$7</f>
        <v>Administrative and secretarial</v>
      </c>
      <c r="B539" s="440">
        <v>45.73738684060077</v>
      </c>
      <c r="C539" s="440">
        <v>26.156881677715873</v>
      </c>
      <c r="D539" s="440">
        <v>1.3889510656576318</v>
      </c>
      <c r="E539" s="440">
        <f t="shared" si="238"/>
        <v>73.283219583974272</v>
      </c>
      <c r="F539" s="441"/>
      <c r="G539" s="440">
        <v>51.952929900435556</v>
      </c>
      <c r="H539" s="440">
        <v>14.474138014907883</v>
      </c>
      <c r="I539" s="440">
        <v>2.2949307112278712</v>
      </c>
      <c r="J539" s="440">
        <f t="shared" si="239"/>
        <v>68.72199862657132</v>
      </c>
      <c r="K539" s="441"/>
      <c r="L539" s="440">
        <v>50.445248175251137</v>
      </c>
      <c r="M539" s="440">
        <v>12.848010263420374</v>
      </c>
      <c r="N539" s="440">
        <v>1.4991992333482107</v>
      </c>
      <c r="O539" s="440">
        <f t="shared" si="240"/>
        <v>64.792457672019722</v>
      </c>
    </row>
    <row r="540" spans="1:15" s="351" customFormat="1" x14ac:dyDescent="0.25">
      <c r="A540" s="362" t="str">
        <f>name!E$8</f>
        <v>Skilled trades occupations</v>
      </c>
      <c r="B540" s="440">
        <v>168.10122070318431</v>
      </c>
      <c r="C540" s="440">
        <v>12.015331985008615</v>
      </c>
      <c r="D540" s="440">
        <v>36.056905996206225</v>
      </c>
      <c r="E540" s="440">
        <f t="shared" si="238"/>
        <v>216.17345868439918</v>
      </c>
      <c r="F540" s="441"/>
      <c r="G540" s="440">
        <v>163.7286852145337</v>
      </c>
      <c r="H540" s="440">
        <v>13.620915705490042</v>
      </c>
      <c r="I540" s="440">
        <v>41.02829233204843</v>
      </c>
      <c r="J540" s="440">
        <f>SUM(G540:I540)</f>
        <v>218.37789325207217</v>
      </c>
      <c r="K540" s="441"/>
      <c r="L540" s="440">
        <v>149.02414686047695</v>
      </c>
      <c r="M540" s="440">
        <v>18.514610334621295</v>
      </c>
      <c r="N540" s="440">
        <v>27.795756396852315</v>
      </c>
      <c r="O540" s="440">
        <f t="shared" si="240"/>
        <v>195.33451359195055</v>
      </c>
    </row>
    <row r="541" spans="1:15" s="351" customFormat="1" x14ac:dyDescent="0.25">
      <c r="A541" s="362" t="str">
        <f>name!E$9</f>
        <v>Caring, leisure and other service</v>
      </c>
      <c r="B541" s="440">
        <v>14.496359906382008</v>
      </c>
      <c r="C541" s="440">
        <v>0.67380943362620083</v>
      </c>
      <c r="D541" s="440">
        <v>0.79211276106125317</v>
      </c>
      <c r="E541" s="440">
        <f t="shared" si="238"/>
        <v>15.96228210106946</v>
      </c>
      <c r="F541" s="441"/>
      <c r="G541" s="440">
        <v>15.767000217605579</v>
      </c>
      <c r="H541" s="440">
        <v>0.59172647999429617</v>
      </c>
      <c r="I541" s="440">
        <v>0.95173014792049482</v>
      </c>
      <c r="J541" s="440">
        <f t="shared" ref="J541:J544" si="241">SUM(G541:I541)</f>
        <v>17.310456845520367</v>
      </c>
      <c r="K541" s="441"/>
      <c r="L541" s="440">
        <v>22.396715493606525</v>
      </c>
      <c r="M541" s="440">
        <v>0.82364504723240906</v>
      </c>
      <c r="N541" s="440">
        <v>0.84188808999233744</v>
      </c>
      <c r="O541" s="440">
        <f t="shared" si="240"/>
        <v>24.06224863083127</v>
      </c>
    </row>
    <row r="542" spans="1:15" s="351" customFormat="1" x14ac:dyDescent="0.25">
      <c r="A542" s="362" t="str">
        <f>name!E$10</f>
        <v>Sales and customer service</v>
      </c>
      <c r="B542" s="440">
        <v>51.881023272168896</v>
      </c>
      <c r="C542" s="440">
        <v>30.517997901652553</v>
      </c>
      <c r="D542" s="440">
        <v>4.14498006739292</v>
      </c>
      <c r="E542" s="440">
        <f t="shared" si="238"/>
        <v>86.544001241214374</v>
      </c>
      <c r="F542" s="441"/>
      <c r="G542" s="440">
        <v>68.675189896854334</v>
      </c>
      <c r="H542" s="440">
        <v>33.542348372274745</v>
      </c>
      <c r="I542" s="440">
        <v>6.7745073224423606</v>
      </c>
      <c r="J542" s="440">
        <f t="shared" si="241"/>
        <v>108.99204559157144</v>
      </c>
      <c r="K542" s="441"/>
      <c r="L542" s="440">
        <v>65.448159543928014</v>
      </c>
      <c r="M542" s="440">
        <v>36.909283427406137</v>
      </c>
      <c r="N542" s="440">
        <v>5.31915687645344</v>
      </c>
      <c r="O542" s="440">
        <f t="shared" si="240"/>
        <v>107.67659984778759</v>
      </c>
    </row>
    <row r="543" spans="1:15" s="351" customFormat="1" x14ac:dyDescent="0.25">
      <c r="A543" s="362" t="str">
        <f>name!E$11</f>
        <v>Process, plant and machine operatives</v>
      </c>
      <c r="B543" s="440">
        <v>33.528776641281453</v>
      </c>
      <c r="C543" s="440">
        <v>10.998085855895837</v>
      </c>
      <c r="D543" s="440">
        <v>2.1812188835595765</v>
      </c>
      <c r="E543" s="440">
        <f t="shared" si="238"/>
        <v>46.708081380736864</v>
      </c>
      <c r="F543" s="441"/>
      <c r="G543" s="440">
        <v>33.529448361703544</v>
      </c>
      <c r="H543" s="440">
        <v>6.9235329859950268</v>
      </c>
      <c r="I543" s="440">
        <v>2.5050244803958357</v>
      </c>
      <c r="J543" s="440">
        <f t="shared" si="241"/>
        <v>42.9580058280944</v>
      </c>
      <c r="K543" s="441"/>
      <c r="L543" s="440">
        <v>36.074239216850401</v>
      </c>
      <c r="M543" s="440">
        <v>7.7605078905791123</v>
      </c>
      <c r="N543" s="440">
        <v>1.8913977751466684</v>
      </c>
      <c r="O543" s="440">
        <f t="shared" si="240"/>
        <v>45.726144882576186</v>
      </c>
    </row>
    <row r="544" spans="1:15" s="351" customFormat="1" x14ac:dyDescent="0.25">
      <c r="A544" s="362" t="str">
        <f>name!E$12</f>
        <v>Elementary occupations</v>
      </c>
      <c r="B544" s="440">
        <v>12.341408797317095</v>
      </c>
      <c r="C544" s="440">
        <v>9.9309647329766779</v>
      </c>
      <c r="D544" s="440">
        <v>3.0470285421278556</v>
      </c>
      <c r="E544" s="440">
        <f t="shared" si="238"/>
        <v>25.319402072421628</v>
      </c>
      <c r="F544" s="441"/>
      <c r="G544" s="440">
        <v>14.971950329269481</v>
      </c>
      <c r="H544" s="440">
        <v>10.46169821347841</v>
      </c>
      <c r="I544" s="440">
        <v>5.3136596903853484</v>
      </c>
      <c r="J544" s="440">
        <f t="shared" si="241"/>
        <v>30.747308233133239</v>
      </c>
      <c r="K544" s="441"/>
      <c r="L544" s="440">
        <v>15.256636225745046</v>
      </c>
      <c r="M544" s="440">
        <v>15.006629856384114</v>
      </c>
      <c r="N544" s="440">
        <v>4.3093165660750836</v>
      </c>
      <c r="O544" s="440">
        <f t="shared" si="240"/>
        <v>34.572582648204246</v>
      </c>
    </row>
    <row r="545" spans="1:15" s="351" customFormat="1" x14ac:dyDescent="0.25">
      <c r="A545" s="362"/>
      <c r="B545" s="440"/>
      <c r="C545" s="440"/>
      <c r="D545" s="440"/>
      <c r="E545" s="440"/>
      <c r="F545" s="441"/>
      <c r="G545" s="440"/>
      <c r="H545" s="440"/>
      <c r="I545" s="440"/>
      <c r="J545" s="440"/>
      <c r="K545" s="441"/>
      <c r="L545" s="440"/>
      <c r="M545" s="440"/>
      <c r="N545" s="440"/>
      <c r="O545" s="440"/>
    </row>
    <row r="546" spans="1:15" s="351" customFormat="1" x14ac:dyDescent="0.25">
      <c r="A546" s="357" t="s">
        <v>32</v>
      </c>
      <c r="B546" s="450">
        <f>SUM(B536:B544)</f>
        <v>424.90699999815013</v>
      </c>
      <c r="C546" s="450">
        <f t="shared" ref="C546:E546" si="242">SUM(C536:C544)</f>
        <v>97.979000000156617</v>
      </c>
      <c r="D546" s="450">
        <f t="shared" si="242"/>
        <v>78.001000000220259</v>
      </c>
      <c r="E546" s="450">
        <f t="shared" si="242"/>
        <v>600.88699999852702</v>
      </c>
      <c r="F546" s="450"/>
      <c r="G546" s="450">
        <f t="shared" ref="G546:J546" si="243">SUM(G536:G544)</f>
        <v>454.08799999918369</v>
      </c>
      <c r="H546" s="450">
        <f t="shared" si="243"/>
        <v>87.812000000817463</v>
      </c>
      <c r="I546" s="450">
        <f t="shared" si="243"/>
        <v>90.224999999834452</v>
      </c>
      <c r="J546" s="450">
        <f t="shared" si="243"/>
        <v>632.12499999983572</v>
      </c>
      <c r="K546" s="450"/>
      <c r="L546" s="450">
        <f t="shared" ref="L546:O546" si="244">SUM(L536:L544)</f>
        <v>461.93299999737371</v>
      </c>
      <c r="M546" s="450">
        <f t="shared" si="244"/>
        <v>103.25499999996507</v>
      </c>
      <c r="N546" s="450">
        <f t="shared" si="244"/>
        <v>66.890000000097757</v>
      </c>
      <c r="O546" s="450">
        <f t="shared" si="244"/>
        <v>632.07799999743656</v>
      </c>
    </row>
    <row r="547" spans="1:15" s="351" customFormat="1" x14ac:dyDescent="0.25">
      <c r="A547" s="348"/>
      <c r="B547" s="348"/>
      <c r="C547" s="348"/>
      <c r="D547" s="348"/>
      <c r="E547" s="348"/>
      <c r="F547" s="348"/>
      <c r="G547" s="348"/>
      <c r="H547" s="348"/>
      <c r="I547" s="348"/>
      <c r="J547" s="348"/>
      <c r="K547" s="348"/>
      <c r="L547" s="348"/>
      <c r="M547" s="348"/>
      <c r="N547" s="353"/>
    </row>
    <row r="548" spans="1:15" s="351" customFormat="1" x14ac:dyDescent="0.25">
      <c r="A548" s="348"/>
      <c r="B548" s="348"/>
      <c r="C548" s="348"/>
      <c r="D548" s="348"/>
      <c r="E548" s="348"/>
      <c r="F548" s="348"/>
      <c r="G548" s="348"/>
      <c r="H548" s="348"/>
      <c r="I548" s="348"/>
      <c r="J548" s="348"/>
      <c r="K548" s="348"/>
      <c r="L548" s="348"/>
      <c r="M548" s="348"/>
      <c r="N548" s="353"/>
      <c r="O548" s="367" t="s">
        <v>35</v>
      </c>
    </row>
    <row r="549" spans="1:15" s="351" customFormat="1" x14ac:dyDescent="0.25">
      <c r="A549" s="355"/>
      <c r="B549" s="355"/>
      <c r="C549" s="355"/>
      <c r="D549" s="355"/>
      <c r="E549" s="355"/>
      <c r="F549" s="355"/>
      <c r="G549" s="355"/>
      <c r="H549" s="355"/>
      <c r="I549" s="355"/>
      <c r="J549" s="355"/>
      <c r="K549" s="355"/>
      <c r="L549" s="355"/>
      <c r="M549" s="355"/>
      <c r="N549" s="355"/>
      <c r="O549" s="355"/>
    </row>
    <row r="550" spans="1:15" s="351" customFormat="1" x14ac:dyDescent="0.25">
      <c r="A550" s="354" t="str">
        <f>name!A35</f>
        <v>Wholesale trade</v>
      </c>
      <c r="B550" s="517">
        <f>$B$6</f>
        <v>2007</v>
      </c>
      <c r="C550" s="517"/>
      <c r="D550" s="517"/>
      <c r="E550" s="517"/>
      <c r="F550" s="380"/>
      <c r="G550" s="517">
        <f>$G$6</f>
        <v>2017</v>
      </c>
      <c r="H550" s="517"/>
      <c r="I550" s="517"/>
      <c r="J550" s="517"/>
      <c r="K550" s="380"/>
      <c r="L550" s="517">
        <f>$L$6</f>
        <v>2027</v>
      </c>
      <c r="M550" s="517"/>
      <c r="N550" s="517"/>
      <c r="O550" s="517"/>
    </row>
    <row r="551" spans="1:15" s="351" customFormat="1" x14ac:dyDescent="0.25">
      <c r="A551" s="370"/>
      <c r="B551" s="388" t="str">
        <f>$B$7</f>
        <v>FT</v>
      </c>
      <c r="C551" s="388" t="str">
        <f>$C$7</f>
        <v>PT</v>
      </c>
      <c r="D551" s="388" t="str">
        <f>$D$7</f>
        <v>SE</v>
      </c>
      <c r="E551" s="388" t="str">
        <f>$E$7</f>
        <v>Total</v>
      </c>
      <c r="F551" s="388"/>
      <c r="G551" s="388" t="str">
        <f>$G$7</f>
        <v>FT</v>
      </c>
      <c r="H551" s="388" t="str">
        <f>$H$7</f>
        <v>PT</v>
      </c>
      <c r="I551" s="388" t="str">
        <f>$I$7</f>
        <v>SE</v>
      </c>
      <c r="J551" s="388" t="str">
        <f>$J$7</f>
        <v>Total</v>
      </c>
      <c r="K551" s="388"/>
      <c r="L551" s="388" t="str">
        <f>$L$7</f>
        <v>FT</v>
      </c>
      <c r="M551" s="388" t="str">
        <f>$M$7</f>
        <v>PT</v>
      </c>
      <c r="N551" s="388" t="str">
        <f>$N$7</f>
        <v>SE</v>
      </c>
      <c r="O551" s="388" t="str">
        <f>$O$7</f>
        <v>Total</v>
      </c>
    </row>
    <row r="552" spans="1:15" s="351" customFormat="1" x14ac:dyDescent="0.25">
      <c r="A552" s="374"/>
      <c r="B552" s="350"/>
      <c r="C552" s="350"/>
      <c r="D552" s="350"/>
      <c r="E552" s="350"/>
      <c r="F552" s="350"/>
      <c r="G552" s="350"/>
      <c r="H552" s="350"/>
      <c r="I552" s="350"/>
      <c r="J552" s="350"/>
      <c r="K552" s="350"/>
      <c r="L552" s="350"/>
      <c r="M552" s="350"/>
      <c r="N552" s="350"/>
      <c r="O552" s="350"/>
    </row>
    <row r="553" spans="1:15" s="351" customFormat="1" x14ac:dyDescent="0.25">
      <c r="A553" s="362" t="str">
        <f>name!E$4</f>
        <v>Managers, directors and senior officials</v>
      </c>
      <c r="B553" s="440">
        <v>164.87445380705006</v>
      </c>
      <c r="C553" s="440">
        <v>10.360885052152305</v>
      </c>
      <c r="D553" s="440">
        <v>30.558721195184997</v>
      </c>
      <c r="E553" s="440">
        <f>SUM(B553:D553)</f>
        <v>205.79406005438736</v>
      </c>
      <c r="F553" s="441"/>
      <c r="G553" s="440">
        <v>178.17682389574935</v>
      </c>
      <c r="H553" s="440">
        <v>10.921439298597786</v>
      </c>
      <c r="I553" s="440">
        <v>26.179332367924552</v>
      </c>
      <c r="J553" s="440">
        <f>SUM(G553:I553)</f>
        <v>215.2775955622717</v>
      </c>
      <c r="K553" s="441"/>
      <c r="L553" s="440">
        <v>195.93073992739465</v>
      </c>
      <c r="M553" s="440">
        <v>15.359676315809892</v>
      </c>
      <c r="N553" s="440">
        <v>18.19400882750833</v>
      </c>
      <c r="O553" s="440">
        <f>SUM(L553:N553)</f>
        <v>229.48442507071289</v>
      </c>
    </row>
    <row r="554" spans="1:15" s="351" customFormat="1" x14ac:dyDescent="0.25">
      <c r="A554" s="362" t="str">
        <f>name!E$5</f>
        <v>Professional occupations</v>
      </c>
      <c r="B554" s="440">
        <v>89.894756661538935</v>
      </c>
      <c r="C554" s="440">
        <v>3.7883376542408795</v>
      </c>
      <c r="D554" s="440">
        <v>3.8565125254960302</v>
      </c>
      <c r="E554" s="440">
        <f t="shared" ref="E554:E561" si="245">SUM(B554:D554)</f>
        <v>97.539606841275841</v>
      </c>
      <c r="F554" s="441"/>
      <c r="G554" s="440">
        <v>90.347028972111403</v>
      </c>
      <c r="H554" s="440">
        <v>4.1617044395716682</v>
      </c>
      <c r="I554" s="440">
        <v>3.9064500764102257</v>
      </c>
      <c r="J554" s="440">
        <f t="shared" ref="J554:J556" si="246">SUM(G554:I554)</f>
        <v>98.415183488093291</v>
      </c>
      <c r="K554" s="441"/>
      <c r="L554" s="440">
        <v>97.573351755969114</v>
      </c>
      <c r="M554" s="440">
        <v>5.2729789644518954</v>
      </c>
      <c r="N554" s="440">
        <v>2.5543809222332818</v>
      </c>
      <c r="O554" s="440">
        <f t="shared" ref="O554:O561" si="247">SUM(L554:N554)</f>
        <v>105.40071164265429</v>
      </c>
    </row>
    <row r="555" spans="1:15" s="351" customFormat="1" x14ac:dyDescent="0.25">
      <c r="A555" s="362" t="str">
        <f>name!E$6</f>
        <v>Associate professional and technical</v>
      </c>
      <c r="B555" s="440">
        <v>165.19238912817914</v>
      </c>
      <c r="C555" s="440">
        <v>14.039322290025046</v>
      </c>
      <c r="D555" s="440">
        <v>9.6017959908933257</v>
      </c>
      <c r="E555" s="440">
        <f t="shared" si="245"/>
        <v>188.83350740909751</v>
      </c>
      <c r="F555" s="441"/>
      <c r="G555" s="440">
        <v>163.66545742329396</v>
      </c>
      <c r="H555" s="440">
        <v>17.080669012506018</v>
      </c>
      <c r="I555" s="440">
        <v>9.6178310001165634</v>
      </c>
      <c r="J555" s="440">
        <f t="shared" si="246"/>
        <v>190.36395743591652</v>
      </c>
      <c r="K555" s="441"/>
      <c r="L555" s="440">
        <v>174.97351257818269</v>
      </c>
      <c r="M555" s="440">
        <v>21.714552821015932</v>
      </c>
      <c r="N555" s="440">
        <v>6.8741404055691584</v>
      </c>
      <c r="O555" s="440">
        <f t="shared" si="247"/>
        <v>203.56220580476779</v>
      </c>
    </row>
    <row r="556" spans="1:15" s="351" customFormat="1" x14ac:dyDescent="0.25">
      <c r="A556" s="362" t="str">
        <f>name!E$7</f>
        <v>Administrative and secretarial</v>
      </c>
      <c r="B556" s="440">
        <v>162.24676820595619</v>
      </c>
      <c r="C556" s="440">
        <v>54.313479624532583</v>
      </c>
      <c r="D556" s="440">
        <v>2.4831724083067668</v>
      </c>
      <c r="E556" s="440">
        <f t="shared" si="245"/>
        <v>219.04342023879553</v>
      </c>
      <c r="F556" s="441"/>
      <c r="G556" s="440">
        <v>136.76743782152028</v>
      </c>
      <c r="H556" s="440">
        <v>40.718525213585004</v>
      </c>
      <c r="I556" s="440">
        <v>2.6462735341136105</v>
      </c>
      <c r="J556" s="440">
        <f t="shared" si="246"/>
        <v>180.13223656921889</v>
      </c>
      <c r="K556" s="441"/>
      <c r="L556" s="440">
        <v>123.27594561162931</v>
      </c>
      <c r="M556" s="440">
        <v>33.266272235114521</v>
      </c>
      <c r="N556" s="440">
        <v>1.6063240788359205</v>
      </c>
      <c r="O556" s="440">
        <f t="shared" si="247"/>
        <v>158.14854192557974</v>
      </c>
    </row>
    <row r="557" spans="1:15" s="351" customFormat="1" x14ac:dyDescent="0.25">
      <c r="A557" s="362" t="str">
        <f>name!E$8</f>
        <v>Skilled trades occupations</v>
      </c>
      <c r="B557" s="440">
        <v>51.412393782478254</v>
      </c>
      <c r="C557" s="440">
        <v>3.5402658032169989</v>
      </c>
      <c r="D557" s="440">
        <v>9.5562653991437063</v>
      </c>
      <c r="E557" s="440">
        <f t="shared" si="245"/>
        <v>64.508924984838956</v>
      </c>
      <c r="F557" s="441"/>
      <c r="G557" s="440">
        <v>60.595559305691303</v>
      </c>
      <c r="H557" s="440">
        <v>2.9563747372225935</v>
      </c>
      <c r="I557" s="440">
        <v>7.170335461302364</v>
      </c>
      <c r="J557" s="440">
        <f>SUM(G557:I557)</f>
        <v>70.722269504216257</v>
      </c>
      <c r="K557" s="441"/>
      <c r="L557" s="440">
        <v>51.621708867213755</v>
      </c>
      <c r="M557" s="440">
        <v>3.7244856750506301</v>
      </c>
      <c r="N557" s="440">
        <v>4.2332739690616492</v>
      </c>
      <c r="O557" s="440">
        <f t="shared" si="247"/>
        <v>59.579468511326034</v>
      </c>
    </row>
    <row r="558" spans="1:15" s="351" customFormat="1" x14ac:dyDescent="0.25">
      <c r="A558" s="362" t="str">
        <f>name!E$9</f>
        <v>Caring, leisure and other service</v>
      </c>
      <c r="B558" s="440">
        <v>3.0365420460200254</v>
      </c>
      <c r="C558" s="440">
        <v>1.1500352761851218</v>
      </c>
      <c r="D558" s="440">
        <v>0.56627725215086355</v>
      </c>
      <c r="E558" s="440">
        <f t="shared" si="245"/>
        <v>4.7528545743560109</v>
      </c>
      <c r="F558" s="441"/>
      <c r="G558" s="440">
        <v>3.1695257634075964</v>
      </c>
      <c r="H558" s="440">
        <v>0.94005510867756747</v>
      </c>
      <c r="I558" s="440">
        <v>0.60419361323163778</v>
      </c>
      <c r="J558" s="440">
        <f t="shared" ref="J558:J561" si="248">SUM(G558:I558)</f>
        <v>4.7137744853168018</v>
      </c>
      <c r="K558" s="441"/>
      <c r="L558" s="440">
        <v>3.8836814214762145</v>
      </c>
      <c r="M558" s="440">
        <v>1.1295527526665001</v>
      </c>
      <c r="N558" s="440">
        <v>0.45541730792603552</v>
      </c>
      <c r="O558" s="440">
        <f t="shared" si="247"/>
        <v>5.4686514820687506</v>
      </c>
    </row>
    <row r="559" spans="1:15" s="351" customFormat="1" x14ac:dyDescent="0.25">
      <c r="A559" s="362" t="str">
        <f>name!E$10</f>
        <v>Sales and customer service</v>
      </c>
      <c r="B559" s="440">
        <v>97.182135965614037</v>
      </c>
      <c r="C559" s="440">
        <v>35.431910305921519</v>
      </c>
      <c r="D559" s="440">
        <v>4.4475065540879424</v>
      </c>
      <c r="E559" s="440">
        <f t="shared" si="245"/>
        <v>137.06155282562349</v>
      </c>
      <c r="F559" s="441"/>
      <c r="G559" s="440">
        <v>98.553738140335213</v>
      </c>
      <c r="H559" s="440">
        <v>34.544109336251104</v>
      </c>
      <c r="I559" s="440">
        <v>3.7556542207375569</v>
      </c>
      <c r="J559" s="440">
        <f t="shared" si="248"/>
        <v>136.85350169732388</v>
      </c>
      <c r="K559" s="441"/>
      <c r="L559" s="440">
        <v>89.969792715290254</v>
      </c>
      <c r="M559" s="440">
        <v>35.766302874252709</v>
      </c>
      <c r="N559" s="440">
        <v>2.3803201488029484</v>
      </c>
      <c r="O559" s="440">
        <f t="shared" si="247"/>
        <v>128.11641573834592</v>
      </c>
    </row>
    <row r="560" spans="1:15" s="351" customFormat="1" x14ac:dyDescent="0.25">
      <c r="A560" s="362" t="str">
        <f>name!E$11</f>
        <v>Process, plant and machine operatives</v>
      </c>
      <c r="B560" s="440">
        <v>164.68594247285355</v>
      </c>
      <c r="C560" s="440">
        <v>16.660084565700089</v>
      </c>
      <c r="D560" s="440">
        <v>4.8715778350006387</v>
      </c>
      <c r="E560" s="440">
        <f t="shared" si="245"/>
        <v>186.21760487355428</v>
      </c>
      <c r="F560" s="441"/>
      <c r="G560" s="440">
        <v>176.5588531834581</v>
      </c>
      <c r="H560" s="440">
        <v>10.086288518930102</v>
      </c>
      <c r="I560" s="440">
        <v>3.9205155484526331</v>
      </c>
      <c r="J560" s="440">
        <f t="shared" si="248"/>
        <v>190.56565725084084</v>
      </c>
      <c r="K560" s="441"/>
      <c r="L560" s="440">
        <v>160.71030615331227</v>
      </c>
      <c r="M560" s="440">
        <v>10.729060392896237</v>
      </c>
      <c r="N560" s="440">
        <v>2.2681679584609635</v>
      </c>
      <c r="O560" s="440">
        <f t="shared" si="247"/>
        <v>173.70753450466947</v>
      </c>
    </row>
    <row r="561" spans="1:15" s="351" customFormat="1" x14ac:dyDescent="0.25">
      <c r="A561" s="362" t="str">
        <f>name!E$12</f>
        <v>Elementary occupations</v>
      </c>
      <c r="B561" s="440">
        <v>109.9526179241754</v>
      </c>
      <c r="C561" s="440">
        <v>31.982679428341942</v>
      </c>
      <c r="D561" s="440">
        <v>2.0591708394712804</v>
      </c>
      <c r="E561" s="440">
        <f t="shared" si="245"/>
        <v>143.99446819198863</v>
      </c>
      <c r="F561" s="441"/>
      <c r="G561" s="440">
        <v>108.84857549150877</v>
      </c>
      <c r="H561" s="440">
        <v>27.689834337001027</v>
      </c>
      <c r="I561" s="440">
        <v>2.3494141779149387</v>
      </c>
      <c r="J561" s="440">
        <f t="shared" si="248"/>
        <v>138.88782400642475</v>
      </c>
      <c r="K561" s="441"/>
      <c r="L561" s="440">
        <v>97.770960963209106</v>
      </c>
      <c r="M561" s="440">
        <v>33.549117969566581</v>
      </c>
      <c r="N561" s="440">
        <v>1.7019663815432422</v>
      </c>
      <c r="O561" s="440">
        <f t="shared" si="247"/>
        <v>133.02204531431892</v>
      </c>
    </row>
    <row r="562" spans="1:15" s="351" customFormat="1" x14ac:dyDescent="0.25">
      <c r="A562" s="362"/>
      <c r="B562" s="440"/>
      <c r="C562" s="440"/>
      <c r="D562" s="440"/>
      <c r="E562" s="440"/>
      <c r="F562" s="441"/>
      <c r="G562" s="440"/>
      <c r="H562" s="440"/>
      <c r="I562" s="440"/>
      <c r="J562" s="440"/>
      <c r="K562" s="441"/>
      <c r="L562" s="440"/>
      <c r="M562" s="440"/>
      <c r="N562" s="440"/>
      <c r="O562" s="440"/>
    </row>
    <row r="563" spans="1:15" s="351" customFormat="1" x14ac:dyDescent="0.25">
      <c r="A563" s="357" t="s">
        <v>32</v>
      </c>
      <c r="B563" s="450">
        <f>SUM(B553:B561)</f>
        <v>1008.4779999938655</v>
      </c>
      <c r="C563" s="450">
        <f t="shared" ref="C563:E563" si="249">SUM(C553:C561)</f>
        <v>171.2670000003165</v>
      </c>
      <c r="D563" s="450">
        <f t="shared" si="249"/>
        <v>68.000999999735541</v>
      </c>
      <c r="E563" s="450">
        <f t="shared" si="249"/>
        <v>1247.7459999939174</v>
      </c>
      <c r="F563" s="450"/>
      <c r="G563" s="450">
        <f t="shared" ref="G563:J563" si="250">SUM(G553:G561)</f>
        <v>1016.6829999970759</v>
      </c>
      <c r="H563" s="450">
        <f t="shared" si="250"/>
        <v>149.09900000234288</v>
      </c>
      <c r="I563" s="450">
        <f t="shared" si="250"/>
        <v>60.150000000204081</v>
      </c>
      <c r="J563" s="450">
        <f t="shared" si="250"/>
        <v>1225.9319999996228</v>
      </c>
      <c r="K563" s="450"/>
      <c r="L563" s="450">
        <f t="shared" ref="L563:O563" si="251">SUM(L553:L561)</f>
        <v>995.70999999367746</v>
      </c>
      <c r="M563" s="450">
        <f t="shared" si="251"/>
        <v>160.51200000082486</v>
      </c>
      <c r="N563" s="450">
        <f t="shared" si="251"/>
        <v>40.26799999994153</v>
      </c>
      <c r="O563" s="450">
        <f t="shared" si="251"/>
        <v>1196.4899999944437</v>
      </c>
    </row>
    <row r="564" spans="1:15" s="351" customFormat="1" x14ac:dyDescent="0.25">
      <c r="A564" s="348"/>
      <c r="B564" s="348"/>
      <c r="C564" s="348"/>
      <c r="D564" s="348"/>
      <c r="E564" s="348"/>
      <c r="F564" s="348"/>
      <c r="G564" s="348"/>
      <c r="H564" s="348"/>
      <c r="I564" s="348"/>
      <c r="J564" s="348"/>
      <c r="K564" s="348"/>
      <c r="L564" s="348"/>
      <c r="M564" s="348"/>
      <c r="N564" s="353"/>
    </row>
    <row r="565" spans="1:15" s="351" customFormat="1" x14ac:dyDescent="0.25">
      <c r="A565" s="348"/>
      <c r="B565" s="348"/>
      <c r="C565" s="348"/>
      <c r="D565" s="348"/>
      <c r="E565" s="348"/>
      <c r="F565" s="348"/>
      <c r="G565" s="348"/>
      <c r="H565" s="348"/>
      <c r="I565" s="348"/>
      <c r="J565" s="348"/>
      <c r="K565" s="348"/>
      <c r="L565" s="348"/>
      <c r="M565" s="348"/>
      <c r="N565" s="353"/>
      <c r="O565" s="367" t="s">
        <v>35</v>
      </c>
    </row>
    <row r="566" spans="1:15" s="351" customFormat="1" x14ac:dyDescent="0.25">
      <c r="A566" s="355"/>
      <c r="B566" s="355"/>
      <c r="C566" s="355"/>
      <c r="D566" s="355"/>
      <c r="E566" s="355"/>
      <c r="F566" s="355"/>
      <c r="G566" s="355"/>
      <c r="H566" s="355"/>
      <c r="I566" s="355"/>
      <c r="J566" s="355"/>
      <c r="K566" s="355"/>
      <c r="L566" s="355"/>
      <c r="M566" s="355"/>
      <c r="N566" s="355"/>
      <c r="O566" s="355"/>
    </row>
    <row r="567" spans="1:15" s="351" customFormat="1" x14ac:dyDescent="0.25">
      <c r="A567" s="354" t="str">
        <f>name!A36</f>
        <v>Retail trade</v>
      </c>
      <c r="B567" s="517">
        <f>$B$6</f>
        <v>2007</v>
      </c>
      <c r="C567" s="517"/>
      <c r="D567" s="517"/>
      <c r="E567" s="517"/>
      <c r="F567" s="380"/>
      <c r="G567" s="517">
        <f>$G$6</f>
        <v>2017</v>
      </c>
      <c r="H567" s="517"/>
      <c r="I567" s="517"/>
      <c r="J567" s="517"/>
      <c r="K567" s="380"/>
      <c r="L567" s="517">
        <f>$L$6</f>
        <v>2027</v>
      </c>
      <c r="M567" s="517"/>
      <c r="N567" s="517"/>
      <c r="O567" s="517"/>
    </row>
    <row r="568" spans="1:15" s="351" customFormat="1" x14ac:dyDescent="0.25">
      <c r="A568" s="370"/>
      <c r="B568" s="388" t="str">
        <f>$B$7</f>
        <v>FT</v>
      </c>
      <c r="C568" s="388" t="str">
        <f>$C$7</f>
        <v>PT</v>
      </c>
      <c r="D568" s="388" t="str">
        <f>$D$7</f>
        <v>SE</v>
      </c>
      <c r="E568" s="388" t="str">
        <f>$E$7</f>
        <v>Total</v>
      </c>
      <c r="F568" s="388"/>
      <c r="G568" s="388" t="str">
        <f>$G$7</f>
        <v>FT</v>
      </c>
      <c r="H568" s="388" t="str">
        <f>$H$7</f>
        <v>PT</v>
      </c>
      <c r="I568" s="388" t="str">
        <f>$I$7</f>
        <v>SE</v>
      </c>
      <c r="J568" s="388" t="str">
        <f>$J$7</f>
        <v>Total</v>
      </c>
      <c r="K568" s="388"/>
      <c r="L568" s="388" t="str">
        <f>$L$7</f>
        <v>FT</v>
      </c>
      <c r="M568" s="388" t="str">
        <f>$M$7</f>
        <v>PT</v>
      </c>
      <c r="N568" s="388" t="str">
        <f>$N$7</f>
        <v>SE</v>
      </c>
      <c r="O568" s="388" t="str">
        <f>$O$7</f>
        <v>Total</v>
      </c>
    </row>
    <row r="569" spans="1:15" s="351" customFormat="1" x14ac:dyDescent="0.25">
      <c r="A569" s="374"/>
      <c r="B569" s="350"/>
      <c r="C569" s="350"/>
      <c r="D569" s="350"/>
      <c r="E569" s="350"/>
      <c r="F569" s="350"/>
      <c r="G569" s="350"/>
      <c r="H569" s="350"/>
      <c r="I569" s="350"/>
      <c r="J569" s="350"/>
      <c r="K569" s="350"/>
      <c r="L569" s="350"/>
      <c r="M569" s="350"/>
      <c r="N569" s="350"/>
      <c r="O569" s="350"/>
    </row>
    <row r="570" spans="1:15" s="351" customFormat="1" x14ac:dyDescent="0.25">
      <c r="A570" s="362" t="str">
        <f>name!E$4</f>
        <v>Managers, directors and senior officials</v>
      </c>
      <c r="B570" s="440">
        <v>172.68478166495771</v>
      </c>
      <c r="C570" s="440">
        <v>27.963244710370745</v>
      </c>
      <c r="D570" s="440">
        <v>133.33780577664302</v>
      </c>
      <c r="E570" s="440">
        <f>SUM(B570:D570)</f>
        <v>333.98583215197152</v>
      </c>
      <c r="F570" s="441"/>
      <c r="G570" s="440">
        <v>231.64031968791139</v>
      </c>
      <c r="H570" s="440">
        <v>30.107743992042518</v>
      </c>
      <c r="I570" s="440">
        <v>136.53881326250126</v>
      </c>
      <c r="J570" s="440">
        <f>SUM(G570:I570)</f>
        <v>398.28687694245519</v>
      </c>
      <c r="K570" s="441"/>
      <c r="L570" s="440">
        <v>297.12591226489656</v>
      </c>
      <c r="M570" s="440">
        <v>40.683110220395193</v>
      </c>
      <c r="N570" s="440">
        <v>106.54468198024226</v>
      </c>
      <c r="O570" s="440">
        <f>SUM(L570:N570)</f>
        <v>444.35370446553401</v>
      </c>
    </row>
    <row r="571" spans="1:15" s="351" customFormat="1" x14ac:dyDescent="0.25">
      <c r="A571" s="362" t="str">
        <f>name!E$5</f>
        <v>Professional occupations</v>
      </c>
      <c r="B571" s="440">
        <v>121.88737235529128</v>
      </c>
      <c r="C571" s="440">
        <v>25.028804364055041</v>
      </c>
      <c r="D571" s="440">
        <v>14.383523920926494</v>
      </c>
      <c r="E571" s="440">
        <f t="shared" ref="E571:E578" si="252">SUM(B571:D571)</f>
        <v>161.29970064027282</v>
      </c>
      <c r="F571" s="441"/>
      <c r="G571" s="440">
        <v>159.20539300041042</v>
      </c>
      <c r="H571" s="440">
        <v>46.15021362093583</v>
      </c>
      <c r="I571" s="440">
        <v>16.740872245013126</v>
      </c>
      <c r="J571" s="440">
        <f t="shared" ref="J571:J573" si="253">SUM(G571:I571)</f>
        <v>222.09647886635938</v>
      </c>
      <c r="K571" s="441"/>
      <c r="L571" s="440">
        <v>201.65908174494135</v>
      </c>
      <c r="M571" s="440">
        <v>57.640705359323142</v>
      </c>
      <c r="N571" s="440">
        <v>12.518576823650841</v>
      </c>
      <c r="O571" s="440">
        <f t="shared" ref="O571:O578" si="254">SUM(L571:N571)</f>
        <v>271.81836392791536</v>
      </c>
    </row>
    <row r="572" spans="1:15" s="351" customFormat="1" x14ac:dyDescent="0.25">
      <c r="A572" s="362" t="str">
        <f>name!E$6</f>
        <v>Associate professional and technical</v>
      </c>
      <c r="B572" s="440">
        <v>131.62372521979233</v>
      </c>
      <c r="C572" s="440">
        <v>37.606207262333591</v>
      </c>
      <c r="D572" s="440">
        <v>14.038802756586428</v>
      </c>
      <c r="E572" s="440">
        <f t="shared" si="252"/>
        <v>183.26873523871234</v>
      </c>
      <c r="F572" s="441"/>
      <c r="G572" s="440">
        <v>157.57378912475241</v>
      </c>
      <c r="H572" s="440">
        <v>49.159081985826823</v>
      </c>
      <c r="I572" s="440">
        <v>16.125929239365963</v>
      </c>
      <c r="J572" s="440">
        <f t="shared" si="253"/>
        <v>222.8588003499452</v>
      </c>
      <c r="K572" s="441"/>
      <c r="L572" s="440">
        <v>196.39369569056117</v>
      </c>
      <c r="M572" s="440">
        <v>60.85975844488042</v>
      </c>
      <c r="N572" s="440">
        <v>12.512664381217368</v>
      </c>
      <c r="O572" s="440">
        <f t="shared" si="254"/>
        <v>269.76611851665893</v>
      </c>
    </row>
    <row r="573" spans="1:15" s="351" customFormat="1" x14ac:dyDescent="0.25">
      <c r="A573" s="362" t="str">
        <f>name!E$7</f>
        <v>Administrative and secretarial</v>
      </c>
      <c r="B573" s="440">
        <v>129.15308530485981</v>
      </c>
      <c r="C573" s="440">
        <v>85.619953120832108</v>
      </c>
      <c r="D573" s="440">
        <v>4.0584507469635671</v>
      </c>
      <c r="E573" s="440">
        <f t="shared" si="252"/>
        <v>218.83148917265549</v>
      </c>
      <c r="F573" s="441"/>
      <c r="G573" s="440">
        <v>117.59962228713198</v>
      </c>
      <c r="H573" s="440">
        <v>71.268354949281544</v>
      </c>
      <c r="I573" s="440">
        <v>3.4353375289016057</v>
      </c>
      <c r="J573" s="440">
        <f t="shared" si="253"/>
        <v>192.30331476531515</v>
      </c>
      <c r="K573" s="441"/>
      <c r="L573" s="440">
        <v>120.9629394074433</v>
      </c>
      <c r="M573" s="440">
        <v>71.013703337037327</v>
      </c>
      <c r="N573" s="440">
        <v>2.2192942003650167</v>
      </c>
      <c r="O573" s="440">
        <f t="shared" si="254"/>
        <v>194.19593694484564</v>
      </c>
    </row>
    <row r="574" spans="1:15" s="351" customFormat="1" x14ac:dyDescent="0.25">
      <c r="A574" s="362" t="str">
        <f>name!E$8</f>
        <v>Skilled trades occupations</v>
      </c>
      <c r="B574" s="440">
        <v>91.99480810785704</v>
      </c>
      <c r="C574" s="440">
        <v>32.435462085810407</v>
      </c>
      <c r="D574" s="440">
        <v>43.808404969250304</v>
      </c>
      <c r="E574" s="440">
        <f t="shared" si="252"/>
        <v>168.23867516291773</v>
      </c>
      <c r="F574" s="441"/>
      <c r="G574" s="440">
        <v>75.905617415499933</v>
      </c>
      <c r="H574" s="440">
        <v>25.857496487887648</v>
      </c>
      <c r="I574" s="440">
        <v>38.630131507606322</v>
      </c>
      <c r="J574" s="440">
        <f>SUM(G574:I574)</f>
        <v>140.3932454109939</v>
      </c>
      <c r="K574" s="441"/>
      <c r="L574" s="440">
        <v>70.7286402740271</v>
      </c>
      <c r="M574" s="440">
        <v>26.929662640295991</v>
      </c>
      <c r="N574" s="440">
        <v>26.324019843244454</v>
      </c>
      <c r="O574" s="440">
        <f t="shared" si="254"/>
        <v>123.98232275756754</v>
      </c>
    </row>
    <row r="575" spans="1:15" s="351" customFormat="1" x14ac:dyDescent="0.25">
      <c r="A575" s="362" t="str">
        <f>name!E$9</f>
        <v>Caring, leisure and other service</v>
      </c>
      <c r="B575" s="440">
        <v>5.750529464492649</v>
      </c>
      <c r="C575" s="440">
        <v>7.1223792298132667</v>
      </c>
      <c r="D575" s="440">
        <v>1.8565017867485829</v>
      </c>
      <c r="E575" s="440">
        <f t="shared" si="252"/>
        <v>14.729410481054499</v>
      </c>
      <c r="F575" s="441"/>
      <c r="G575" s="440">
        <v>8.2034662988461076</v>
      </c>
      <c r="H575" s="440">
        <v>6.6885739417118328</v>
      </c>
      <c r="I575" s="440">
        <v>1.9290648434919659</v>
      </c>
      <c r="J575" s="440">
        <f t="shared" ref="J575:J578" si="255">SUM(G575:I575)</f>
        <v>16.821105084049904</v>
      </c>
      <c r="K575" s="441"/>
      <c r="L575" s="440">
        <v>10.478325240581539</v>
      </c>
      <c r="M575" s="440">
        <v>8.8420756128840363</v>
      </c>
      <c r="N575" s="440">
        <v>1.5977955391322738</v>
      </c>
      <c r="O575" s="440">
        <f t="shared" si="254"/>
        <v>20.918196392597849</v>
      </c>
    </row>
    <row r="576" spans="1:15" s="351" customFormat="1" x14ac:dyDescent="0.25">
      <c r="A576" s="362" t="str">
        <f>name!E$10</f>
        <v>Sales and customer service</v>
      </c>
      <c r="B576" s="440">
        <v>450.34161039915296</v>
      </c>
      <c r="C576" s="440">
        <v>1152.812204749662</v>
      </c>
      <c r="D576" s="440">
        <v>31.122051357943466</v>
      </c>
      <c r="E576" s="440">
        <f t="shared" si="252"/>
        <v>1634.2758665067583</v>
      </c>
      <c r="F576" s="441"/>
      <c r="G576" s="440">
        <v>356.77459421685018</v>
      </c>
      <c r="H576" s="440">
        <v>1137.7249751666282</v>
      </c>
      <c r="I576" s="440">
        <v>28.6505415811639</v>
      </c>
      <c r="J576" s="440">
        <f t="shared" si="255"/>
        <v>1523.1501109646422</v>
      </c>
      <c r="K576" s="441"/>
      <c r="L576" s="440">
        <v>282.15500121558608</v>
      </c>
      <c r="M576" s="440">
        <v>1138.4116630520277</v>
      </c>
      <c r="N576" s="440">
        <v>16.845857202209547</v>
      </c>
      <c r="O576" s="440">
        <f t="shared" si="254"/>
        <v>1437.4125214698233</v>
      </c>
    </row>
    <row r="577" spans="1:15" s="351" customFormat="1" x14ac:dyDescent="0.25">
      <c r="A577" s="362" t="str">
        <f>name!E$11</f>
        <v>Process, plant and machine operatives</v>
      </c>
      <c r="B577" s="440">
        <v>62.771531714211221</v>
      </c>
      <c r="C577" s="440">
        <v>34.108860478221004</v>
      </c>
      <c r="D577" s="440">
        <v>3.4514238680852509</v>
      </c>
      <c r="E577" s="440">
        <f t="shared" si="252"/>
        <v>100.33181606051748</v>
      </c>
      <c r="F577" s="441"/>
      <c r="G577" s="440">
        <v>52.339426140585559</v>
      </c>
      <c r="H577" s="440">
        <v>38.479256568693017</v>
      </c>
      <c r="I577" s="440">
        <v>4.6637417548882842</v>
      </c>
      <c r="J577" s="440">
        <f t="shared" si="255"/>
        <v>95.482424464166854</v>
      </c>
      <c r="K577" s="441"/>
      <c r="L577" s="440">
        <v>46.566434353639174</v>
      </c>
      <c r="M577" s="440">
        <v>53.546067022183315</v>
      </c>
      <c r="N577" s="440">
        <v>2.5970344513711292</v>
      </c>
      <c r="O577" s="440">
        <f t="shared" si="254"/>
        <v>102.70953582719362</v>
      </c>
    </row>
    <row r="578" spans="1:15" s="351" customFormat="1" x14ac:dyDescent="0.25">
      <c r="A578" s="362" t="str">
        <f>name!E$12</f>
        <v>Elementary occupations</v>
      </c>
      <c r="B578" s="440">
        <v>117.51155575862319</v>
      </c>
      <c r="C578" s="440">
        <v>228.94888402331131</v>
      </c>
      <c r="D578" s="440">
        <v>2.941034816873128</v>
      </c>
      <c r="E578" s="440">
        <f t="shared" si="252"/>
        <v>349.40147459880762</v>
      </c>
      <c r="F578" s="441"/>
      <c r="G578" s="440">
        <v>124.51877182559535</v>
      </c>
      <c r="H578" s="440">
        <v>184.26930334180901</v>
      </c>
      <c r="I578" s="440">
        <v>1.9085680380449999</v>
      </c>
      <c r="J578" s="440">
        <f t="shared" si="255"/>
        <v>310.69664320544939</v>
      </c>
      <c r="K578" s="441"/>
      <c r="L578" s="440">
        <v>120.94096979958778</v>
      </c>
      <c r="M578" s="440">
        <v>229.93525433015779</v>
      </c>
      <c r="N578" s="440">
        <v>1.229075578979548</v>
      </c>
      <c r="O578" s="440">
        <f t="shared" si="254"/>
        <v>352.10529970872511</v>
      </c>
    </row>
    <row r="579" spans="1:15" s="351" customFormat="1" x14ac:dyDescent="0.25">
      <c r="A579" s="362"/>
      <c r="B579" s="440"/>
      <c r="C579" s="440"/>
      <c r="D579" s="440"/>
      <c r="E579" s="440"/>
      <c r="F579" s="441"/>
      <c r="G579" s="440"/>
      <c r="H579" s="440"/>
      <c r="I579" s="440"/>
      <c r="J579" s="440"/>
      <c r="K579" s="441"/>
      <c r="L579" s="440"/>
      <c r="M579" s="440"/>
      <c r="N579" s="440"/>
      <c r="O579" s="440"/>
    </row>
    <row r="580" spans="1:15" s="351" customFormat="1" x14ac:dyDescent="0.25">
      <c r="A580" s="357" t="s">
        <v>32</v>
      </c>
      <c r="B580" s="450">
        <f>SUM(B570:B578)</f>
        <v>1283.7189999892382</v>
      </c>
      <c r="C580" s="450">
        <f t="shared" ref="C580:E580" si="256">SUM(C570:C578)</f>
        <v>1631.6460000244097</v>
      </c>
      <c r="D580" s="450">
        <f t="shared" si="256"/>
        <v>248.99800000002026</v>
      </c>
      <c r="E580" s="450">
        <f t="shared" si="256"/>
        <v>3164.3630000136677</v>
      </c>
      <c r="F580" s="450"/>
      <c r="G580" s="450">
        <f t="shared" ref="G580:J580" si="257">SUM(G570:G578)</f>
        <v>1283.7609999975834</v>
      </c>
      <c r="H580" s="450">
        <f t="shared" si="257"/>
        <v>1589.7050000548165</v>
      </c>
      <c r="I580" s="450">
        <f t="shared" si="257"/>
        <v>248.62300000097744</v>
      </c>
      <c r="J580" s="450">
        <f t="shared" si="257"/>
        <v>3122.0890000533773</v>
      </c>
      <c r="K580" s="450"/>
      <c r="L580" s="450">
        <f t="shared" ref="L580:O580" si="258">SUM(L570:L578)</f>
        <v>1347.0109999912638</v>
      </c>
      <c r="M580" s="450">
        <f t="shared" si="258"/>
        <v>1687.8620000191847</v>
      </c>
      <c r="N580" s="450">
        <f t="shared" si="258"/>
        <v>182.38900000041244</v>
      </c>
      <c r="O580" s="450">
        <f t="shared" si="258"/>
        <v>3217.2620000108614</v>
      </c>
    </row>
    <row r="581" spans="1:15" s="351" customFormat="1" x14ac:dyDescent="0.25">
      <c r="A581" s="348"/>
      <c r="B581" s="348"/>
      <c r="C581" s="348"/>
      <c r="D581" s="348"/>
      <c r="E581" s="348"/>
      <c r="F581" s="348"/>
      <c r="G581" s="348"/>
      <c r="H581" s="348"/>
      <c r="I581" s="348"/>
      <c r="J581" s="348"/>
      <c r="K581" s="348"/>
      <c r="L581" s="348"/>
      <c r="M581" s="348"/>
      <c r="N581" s="353"/>
    </row>
    <row r="582" spans="1:15" s="351" customFormat="1" x14ac:dyDescent="0.25">
      <c r="A582" s="348"/>
      <c r="B582" s="348"/>
      <c r="C582" s="348"/>
      <c r="D582" s="348"/>
      <c r="E582" s="348"/>
      <c r="F582" s="348"/>
      <c r="G582" s="348"/>
      <c r="H582" s="348"/>
      <c r="I582" s="348"/>
      <c r="J582" s="348"/>
      <c r="K582" s="348"/>
      <c r="L582" s="348"/>
      <c r="M582" s="348"/>
      <c r="N582" s="353"/>
      <c r="O582" s="367" t="s">
        <v>35</v>
      </c>
    </row>
    <row r="583" spans="1:15" s="351" customFormat="1" x14ac:dyDescent="0.25">
      <c r="A583" s="355"/>
      <c r="B583" s="355"/>
      <c r="C583" s="355"/>
      <c r="D583" s="355"/>
      <c r="E583" s="355"/>
      <c r="F583" s="355"/>
      <c r="G583" s="355"/>
      <c r="H583" s="355"/>
      <c r="I583" s="355"/>
      <c r="J583" s="355"/>
      <c r="K583" s="355"/>
      <c r="L583" s="355"/>
      <c r="M583" s="355"/>
      <c r="N583" s="355"/>
      <c r="O583" s="355"/>
    </row>
    <row r="584" spans="1:15" s="351" customFormat="1" x14ac:dyDescent="0.25">
      <c r="A584" s="354" t="str">
        <f>name!A37</f>
        <v>Land transport, etc</v>
      </c>
      <c r="B584" s="517">
        <f>$B$6</f>
        <v>2007</v>
      </c>
      <c r="C584" s="517"/>
      <c r="D584" s="517"/>
      <c r="E584" s="517"/>
      <c r="F584" s="380"/>
      <c r="G584" s="517">
        <f>$G$6</f>
        <v>2017</v>
      </c>
      <c r="H584" s="517"/>
      <c r="I584" s="517"/>
      <c r="J584" s="517"/>
      <c r="K584" s="380"/>
      <c r="L584" s="517">
        <f>$L$6</f>
        <v>2027</v>
      </c>
      <c r="M584" s="517"/>
      <c r="N584" s="517"/>
      <c r="O584" s="517"/>
    </row>
    <row r="585" spans="1:15" s="351" customFormat="1" x14ac:dyDescent="0.25">
      <c r="A585" s="370"/>
      <c r="B585" s="388" t="str">
        <f>$B$7</f>
        <v>FT</v>
      </c>
      <c r="C585" s="388" t="str">
        <f>$C$7</f>
        <v>PT</v>
      </c>
      <c r="D585" s="388" t="str">
        <f>$D$7</f>
        <v>SE</v>
      </c>
      <c r="E585" s="388" t="str">
        <f>$E$7</f>
        <v>Total</v>
      </c>
      <c r="F585" s="388"/>
      <c r="G585" s="388" t="str">
        <f>$G$7</f>
        <v>FT</v>
      </c>
      <c r="H585" s="388" t="str">
        <f>$H$7</f>
        <v>PT</v>
      </c>
      <c r="I585" s="388" t="str">
        <f>$I$7</f>
        <v>SE</v>
      </c>
      <c r="J585" s="388" t="str">
        <f>$J$7</f>
        <v>Total</v>
      </c>
      <c r="K585" s="388"/>
      <c r="L585" s="388" t="str">
        <f>$L$7</f>
        <v>FT</v>
      </c>
      <c r="M585" s="388" t="str">
        <f>$M$7</f>
        <v>PT</v>
      </c>
      <c r="N585" s="388" t="str">
        <f>$N$7</f>
        <v>SE</v>
      </c>
      <c r="O585" s="388" t="str">
        <f>$O$7</f>
        <v>Total</v>
      </c>
    </row>
    <row r="586" spans="1:15" s="351" customFormat="1" x14ac:dyDescent="0.25">
      <c r="A586" s="374"/>
      <c r="B586" s="350"/>
      <c r="C586" s="350"/>
      <c r="D586" s="350"/>
      <c r="E586" s="350"/>
      <c r="F586" s="350"/>
      <c r="G586" s="350"/>
      <c r="H586" s="350"/>
      <c r="I586" s="350"/>
      <c r="J586" s="350"/>
      <c r="K586" s="350"/>
      <c r="L586" s="350"/>
      <c r="M586" s="350"/>
      <c r="N586" s="350"/>
      <c r="O586" s="350"/>
    </row>
    <row r="587" spans="1:15" s="351" customFormat="1" x14ac:dyDescent="0.25">
      <c r="A587" s="362" t="str">
        <f>name!E$4</f>
        <v>Managers, directors and senior officials</v>
      </c>
      <c r="B587" s="440">
        <v>26.746461757657435</v>
      </c>
      <c r="C587" s="440">
        <v>2.0255622637629873</v>
      </c>
      <c r="D587" s="440">
        <v>8.7525807546987888</v>
      </c>
      <c r="E587" s="440">
        <f>SUM(B587:D587)</f>
        <v>37.524604776119212</v>
      </c>
      <c r="F587" s="441"/>
      <c r="G587" s="440">
        <v>34.642701246675351</v>
      </c>
      <c r="H587" s="440">
        <v>2.3150379151518221</v>
      </c>
      <c r="I587" s="440">
        <v>13.363450380296539</v>
      </c>
      <c r="J587" s="440">
        <f>SUM(G587:I587)</f>
        <v>50.321189542123712</v>
      </c>
      <c r="K587" s="441"/>
      <c r="L587" s="440">
        <v>34.914626825317015</v>
      </c>
      <c r="M587" s="440">
        <v>4.1737832903683181</v>
      </c>
      <c r="N587" s="440">
        <v>14.320385024394064</v>
      </c>
      <c r="O587" s="440">
        <f>SUM(L587:N587)</f>
        <v>53.408795140079398</v>
      </c>
    </row>
    <row r="588" spans="1:15" s="351" customFormat="1" x14ac:dyDescent="0.25">
      <c r="A588" s="362" t="str">
        <f>name!E$5</f>
        <v>Professional occupations</v>
      </c>
      <c r="B588" s="440">
        <v>25.262538572671378</v>
      </c>
      <c r="C588" s="440">
        <v>1.6046737851736985</v>
      </c>
      <c r="D588" s="440">
        <v>1.4434229234412532</v>
      </c>
      <c r="E588" s="440">
        <f t="shared" ref="E588:E595" si="259">SUM(B588:D588)</f>
        <v>28.310635281286331</v>
      </c>
      <c r="F588" s="441"/>
      <c r="G588" s="440">
        <v>29.465217462298352</v>
      </c>
      <c r="H588" s="440">
        <v>2.2077935885201767</v>
      </c>
      <c r="I588" s="440">
        <v>2.4836647029233005</v>
      </c>
      <c r="J588" s="440">
        <f t="shared" ref="J588:J590" si="260">SUM(G588:I588)</f>
        <v>34.15667575374183</v>
      </c>
      <c r="K588" s="441"/>
      <c r="L588" s="440">
        <v>35.256928305818803</v>
      </c>
      <c r="M588" s="440">
        <v>4.5803274040949837</v>
      </c>
      <c r="N588" s="440">
        <v>2.4577642806583961</v>
      </c>
      <c r="O588" s="440">
        <f t="shared" ref="O588:O595" si="261">SUM(L588:N588)</f>
        <v>42.295019990572186</v>
      </c>
    </row>
    <row r="589" spans="1:15" s="351" customFormat="1" x14ac:dyDescent="0.25">
      <c r="A589" s="362" t="str">
        <f>name!E$6</f>
        <v>Associate professional and technical</v>
      </c>
      <c r="B589" s="440">
        <v>37.006156839632226</v>
      </c>
      <c r="C589" s="440">
        <v>2.4622982570128751</v>
      </c>
      <c r="D589" s="440">
        <v>1.4380161090750192</v>
      </c>
      <c r="E589" s="440">
        <f t="shared" si="259"/>
        <v>40.906471205720123</v>
      </c>
      <c r="F589" s="441"/>
      <c r="G589" s="440">
        <v>52.514660787710923</v>
      </c>
      <c r="H589" s="440">
        <v>2.8019608128761546</v>
      </c>
      <c r="I589" s="440">
        <v>2.1400855369396563</v>
      </c>
      <c r="J589" s="440">
        <f t="shared" si="260"/>
        <v>57.456707137526735</v>
      </c>
      <c r="K589" s="441"/>
      <c r="L589" s="440">
        <v>55.781708180914158</v>
      </c>
      <c r="M589" s="440">
        <v>5.0673134263222845</v>
      </c>
      <c r="N589" s="440">
        <v>2.0368461697341749</v>
      </c>
      <c r="O589" s="440">
        <f t="shared" si="261"/>
        <v>62.88586777697062</v>
      </c>
    </row>
    <row r="590" spans="1:15" s="351" customFormat="1" x14ac:dyDescent="0.25">
      <c r="A590" s="362" t="str">
        <f>name!E$7</f>
        <v>Administrative and secretarial</v>
      </c>
      <c r="B590" s="440">
        <v>45.933108430704053</v>
      </c>
      <c r="C590" s="440">
        <v>18.588719397550239</v>
      </c>
      <c r="D590" s="440">
        <v>2.3657980511549224</v>
      </c>
      <c r="E590" s="440">
        <f t="shared" si="259"/>
        <v>66.887625879409214</v>
      </c>
      <c r="F590" s="441"/>
      <c r="G590" s="440">
        <v>54.31873988219742</v>
      </c>
      <c r="H590" s="440">
        <v>14.637117245012091</v>
      </c>
      <c r="I590" s="440">
        <v>2.7527714597266595</v>
      </c>
      <c r="J590" s="440">
        <f t="shared" si="260"/>
        <v>71.708628586936172</v>
      </c>
      <c r="K590" s="441"/>
      <c r="L590" s="440">
        <v>49.901058137852829</v>
      </c>
      <c r="M590" s="440">
        <v>18.20943124560732</v>
      </c>
      <c r="N590" s="440">
        <v>1.8465632282027424</v>
      </c>
      <c r="O590" s="440">
        <f t="shared" si="261"/>
        <v>69.957052611662888</v>
      </c>
    </row>
    <row r="591" spans="1:15" s="351" customFormat="1" x14ac:dyDescent="0.25">
      <c r="A591" s="362" t="str">
        <f>name!E$8</f>
        <v>Skilled trades occupations</v>
      </c>
      <c r="B591" s="440">
        <v>37.23342053415368</v>
      </c>
      <c r="C591" s="440">
        <v>1.8296450679284242</v>
      </c>
      <c r="D591" s="440">
        <v>6.9808639666265506</v>
      </c>
      <c r="E591" s="440">
        <f t="shared" si="259"/>
        <v>46.043929568708656</v>
      </c>
      <c r="F591" s="441"/>
      <c r="G591" s="440">
        <v>41.378207298079673</v>
      </c>
      <c r="H591" s="440">
        <v>1.6635418674850713</v>
      </c>
      <c r="I591" s="440">
        <v>10.090892120870812</v>
      </c>
      <c r="J591" s="440">
        <f>SUM(G591:I591)</f>
        <v>53.132641286435558</v>
      </c>
      <c r="K591" s="441"/>
      <c r="L591" s="440">
        <v>26.285062778529387</v>
      </c>
      <c r="M591" s="440">
        <v>2.671525155497914</v>
      </c>
      <c r="N591" s="440">
        <v>10.927149115766078</v>
      </c>
      <c r="O591" s="440">
        <f t="shared" si="261"/>
        <v>39.883737049793382</v>
      </c>
    </row>
    <row r="592" spans="1:15" s="351" customFormat="1" x14ac:dyDescent="0.25">
      <c r="A592" s="362" t="str">
        <f>name!E$9</f>
        <v>Caring, leisure and other service</v>
      </c>
      <c r="B592" s="440">
        <v>12.133091142439687</v>
      </c>
      <c r="C592" s="440">
        <v>8.5143769634996538</v>
      </c>
      <c r="D592" s="440">
        <v>1.2959784143006119</v>
      </c>
      <c r="E592" s="440">
        <f t="shared" si="259"/>
        <v>21.943446520239952</v>
      </c>
      <c r="F592" s="441"/>
      <c r="G592" s="440">
        <v>23.705639936990703</v>
      </c>
      <c r="H592" s="440">
        <v>10.408327389490001</v>
      </c>
      <c r="I592" s="440">
        <v>1.7498580039643383</v>
      </c>
      <c r="J592" s="440">
        <f t="shared" ref="J592:J595" si="262">SUM(G592:I592)</f>
        <v>35.863825330445046</v>
      </c>
      <c r="K592" s="441"/>
      <c r="L592" s="440">
        <v>27.824063794925294</v>
      </c>
      <c r="M592" s="440">
        <v>17.462216448944364</v>
      </c>
      <c r="N592" s="440">
        <v>1.7839660681217619</v>
      </c>
      <c r="O592" s="440">
        <f t="shared" si="261"/>
        <v>47.070246311991419</v>
      </c>
    </row>
    <row r="593" spans="1:15" s="351" customFormat="1" x14ac:dyDescent="0.25">
      <c r="A593" s="362" t="str">
        <f>name!E$10</f>
        <v>Sales and customer service</v>
      </c>
      <c r="B593" s="440">
        <v>9.6770457262850957</v>
      </c>
      <c r="C593" s="440">
        <v>2.3539326343412594</v>
      </c>
      <c r="D593" s="440">
        <v>0.33494441484271725</v>
      </c>
      <c r="E593" s="440">
        <f t="shared" si="259"/>
        <v>12.365922775469071</v>
      </c>
      <c r="F593" s="441"/>
      <c r="G593" s="440">
        <v>12.712235463351638</v>
      </c>
      <c r="H593" s="440">
        <v>2.6171467790443113</v>
      </c>
      <c r="I593" s="440">
        <v>0.49191143633152923</v>
      </c>
      <c r="J593" s="440">
        <f t="shared" si="262"/>
        <v>15.821293678727478</v>
      </c>
      <c r="K593" s="441"/>
      <c r="L593" s="440">
        <v>14.895303460419861</v>
      </c>
      <c r="M593" s="440">
        <v>4.5372903432104161</v>
      </c>
      <c r="N593" s="440">
        <v>0.45137270893052928</v>
      </c>
      <c r="O593" s="440">
        <f t="shared" si="261"/>
        <v>19.883966512560804</v>
      </c>
    </row>
    <row r="594" spans="1:15" s="351" customFormat="1" x14ac:dyDescent="0.25">
      <c r="A594" s="362" t="str">
        <f>name!E$11</f>
        <v>Process, plant and machine operatives</v>
      </c>
      <c r="B594" s="440">
        <v>263.82095571414197</v>
      </c>
      <c r="C594" s="440">
        <v>41.238434629344717</v>
      </c>
      <c r="D594" s="440">
        <v>139.88837724921143</v>
      </c>
      <c r="E594" s="440">
        <f t="shared" si="259"/>
        <v>444.94776759269814</v>
      </c>
      <c r="F594" s="441"/>
      <c r="G594" s="440">
        <v>263.97930824342387</v>
      </c>
      <c r="H594" s="440">
        <v>43.409105789874744</v>
      </c>
      <c r="I594" s="440">
        <v>184.17408127121379</v>
      </c>
      <c r="J594" s="440">
        <f t="shared" si="262"/>
        <v>491.56249530451237</v>
      </c>
      <c r="K594" s="441"/>
      <c r="L594" s="440">
        <v>189.00799633579177</v>
      </c>
      <c r="M594" s="440">
        <v>68.126546716336819</v>
      </c>
      <c r="N594" s="440">
        <v>172.81728034307423</v>
      </c>
      <c r="O594" s="440">
        <f t="shared" si="261"/>
        <v>429.95182339520284</v>
      </c>
    </row>
    <row r="595" spans="1:15" s="351" customFormat="1" x14ac:dyDescent="0.25">
      <c r="A595" s="362" t="str">
        <f>name!E$12</f>
        <v>Elementary occupations</v>
      </c>
      <c r="B595" s="440">
        <v>20.555221279231557</v>
      </c>
      <c r="C595" s="440">
        <v>7.4473570010391548</v>
      </c>
      <c r="D595" s="440">
        <v>2.7980181175612553</v>
      </c>
      <c r="E595" s="440">
        <f t="shared" si="259"/>
        <v>30.800596397831967</v>
      </c>
      <c r="F595" s="441"/>
      <c r="G595" s="440">
        <v>23.947289677444278</v>
      </c>
      <c r="H595" s="440">
        <v>6.8849686131686649</v>
      </c>
      <c r="I595" s="440">
        <v>3.2202851061004725</v>
      </c>
      <c r="J595" s="440">
        <f t="shared" si="262"/>
        <v>34.052543396713411</v>
      </c>
      <c r="K595" s="441"/>
      <c r="L595" s="440">
        <v>16.800252177808069</v>
      </c>
      <c r="M595" s="440">
        <v>10.537565969467343</v>
      </c>
      <c r="N595" s="440">
        <v>3.0056730606134461</v>
      </c>
      <c r="O595" s="440">
        <f t="shared" si="261"/>
        <v>30.34349120788886</v>
      </c>
    </row>
    <row r="596" spans="1:15" s="351" customFormat="1" x14ac:dyDescent="0.25">
      <c r="A596" s="362"/>
      <c r="B596" s="440"/>
      <c r="C596" s="440"/>
      <c r="D596" s="440"/>
      <c r="E596" s="440"/>
      <c r="F596" s="441"/>
      <c r="G596" s="440"/>
      <c r="H596" s="440"/>
      <c r="I596" s="440"/>
      <c r="J596" s="440"/>
      <c r="K596" s="441"/>
      <c r="L596" s="440"/>
      <c r="M596" s="440"/>
      <c r="N596" s="440"/>
      <c r="O596" s="440"/>
    </row>
    <row r="597" spans="1:15" s="351" customFormat="1" x14ac:dyDescent="0.25">
      <c r="A597" s="357" t="s">
        <v>32</v>
      </c>
      <c r="B597" s="450">
        <f>SUM(B587:B595)</f>
        <v>478.36799999691709</v>
      </c>
      <c r="C597" s="450">
        <f t="shared" ref="C597:E597" si="263">SUM(C587:C595)</f>
        <v>86.064999999653011</v>
      </c>
      <c r="D597" s="450">
        <f t="shared" si="263"/>
        <v>165.29800000091254</v>
      </c>
      <c r="E597" s="450">
        <f t="shared" si="263"/>
        <v>729.73099999748274</v>
      </c>
      <c r="F597" s="450"/>
      <c r="G597" s="450">
        <f t="shared" ref="G597:J597" si="264">SUM(G587:G595)</f>
        <v>536.66399999817224</v>
      </c>
      <c r="H597" s="450">
        <f t="shared" si="264"/>
        <v>86.94500000062304</v>
      </c>
      <c r="I597" s="450">
        <f t="shared" si="264"/>
        <v>220.46700001836712</v>
      </c>
      <c r="J597" s="450">
        <f t="shared" si="264"/>
        <v>844.0760000171623</v>
      </c>
      <c r="K597" s="450"/>
      <c r="L597" s="450">
        <f t="shared" ref="L597:O597" si="265">SUM(L587:L595)</f>
        <v>450.66699999737722</v>
      </c>
      <c r="M597" s="450">
        <f t="shared" si="265"/>
        <v>135.36599999984975</v>
      </c>
      <c r="N597" s="450">
        <f t="shared" si="265"/>
        <v>209.64699999949542</v>
      </c>
      <c r="O597" s="450">
        <f t="shared" si="265"/>
        <v>795.67999999672236</v>
      </c>
    </row>
    <row r="598" spans="1:15" s="351" customFormat="1" x14ac:dyDescent="0.25">
      <c r="A598" s="348"/>
      <c r="B598" s="348"/>
      <c r="C598" s="348"/>
      <c r="D598" s="348"/>
      <c r="E598" s="348"/>
      <c r="F598" s="348"/>
      <c r="G598" s="348"/>
      <c r="H598" s="348"/>
      <c r="I598" s="348"/>
      <c r="J598" s="348"/>
      <c r="K598" s="348"/>
      <c r="L598" s="348"/>
      <c r="M598" s="348"/>
      <c r="N598" s="353"/>
    </row>
    <row r="599" spans="1:15" s="351" customFormat="1" x14ac:dyDescent="0.25">
      <c r="A599" s="348"/>
      <c r="B599" s="348"/>
      <c r="C599" s="348"/>
      <c r="D599" s="348"/>
      <c r="E599" s="348"/>
      <c r="F599" s="348"/>
      <c r="G599" s="348"/>
      <c r="H599" s="348"/>
      <c r="I599" s="348"/>
      <c r="J599" s="348"/>
      <c r="K599" s="348"/>
      <c r="L599" s="348"/>
      <c r="M599" s="348"/>
      <c r="N599" s="353"/>
      <c r="O599" s="367" t="s">
        <v>35</v>
      </c>
    </row>
    <row r="600" spans="1:15" s="351" customFormat="1" x14ac:dyDescent="0.25">
      <c r="A600" s="355"/>
      <c r="B600" s="355"/>
      <c r="C600" s="355"/>
      <c r="D600" s="355"/>
      <c r="E600" s="355"/>
      <c r="F600" s="355"/>
      <c r="G600" s="355"/>
      <c r="H600" s="355"/>
      <c r="I600" s="355"/>
      <c r="J600" s="355"/>
      <c r="K600" s="355"/>
      <c r="L600" s="355"/>
      <c r="M600" s="355"/>
      <c r="N600" s="355"/>
      <c r="O600" s="355"/>
    </row>
    <row r="601" spans="1:15" s="351" customFormat="1" x14ac:dyDescent="0.25">
      <c r="A601" s="354" t="str">
        <f>name!A38</f>
        <v>Water transport</v>
      </c>
      <c r="B601" s="517">
        <f>$B$6</f>
        <v>2007</v>
      </c>
      <c r="C601" s="517"/>
      <c r="D601" s="517"/>
      <c r="E601" s="517"/>
      <c r="F601" s="380"/>
      <c r="G601" s="517">
        <f>$G$6</f>
        <v>2017</v>
      </c>
      <c r="H601" s="517"/>
      <c r="I601" s="517"/>
      <c r="J601" s="517"/>
      <c r="K601" s="380"/>
      <c r="L601" s="517">
        <f>$L$6</f>
        <v>2027</v>
      </c>
      <c r="M601" s="517"/>
      <c r="N601" s="517"/>
      <c r="O601" s="517"/>
    </row>
    <row r="602" spans="1:15" s="351" customFormat="1" x14ac:dyDescent="0.25">
      <c r="A602" s="370"/>
      <c r="B602" s="388" t="str">
        <f>$B$7</f>
        <v>FT</v>
      </c>
      <c r="C602" s="388" t="str">
        <f>$C$7</f>
        <v>PT</v>
      </c>
      <c r="D602" s="388" t="str">
        <f>$D$7</f>
        <v>SE</v>
      </c>
      <c r="E602" s="388" t="str">
        <f>$E$7</f>
        <v>Total</v>
      </c>
      <c r="F602" s="388"/>
      <c r="G602" s="388" t="str">
        <f>$G$7</f>
        <v>FT</v>
      </c>
      <c r="H602" s="388" t="str">
        <f>$H$7</f>
        <v>PT</v>
      </c>
      <c r="I602" s="388" t="str">
        <f>$I$7</f>
        <v>SE</v>
      </c>
      <c r="J602" s="388" t="str">
        <f>$J$7</f>
        <v>Total</v>
      </c>
      <c r="K602" s="388"/>
      <c r="L602" s="388" t="str">
        <f>$L$7</f>
        <v>FT</v>
      </c>
      <c r="M602" s="388" t="str">
        <f>$M$7</f>
        <v>PT</v>
      </c>
      <c r="N602" s="388" t="str">
        <f>$N$7</f>
        <v>SE</v>
      </c>
      <c r="O602" s="388" t="str">
        <f>$O$7</f>
        <v>Total</v>
      </c>
    </row>
    <row r="603" spans="1:15" s="351" customFormat="1" x14ac:dyDescent="0.25">
      <c r="A603" s="374"/>
      <c r="B603" s="350"/>
      <c r="C603" s="350"/>
      <c r="D603" s="350"/>
      <c r="E603" s="350"/>
      <c r="F603" s="350"/>
      <c r="G603" s="350"/>
      <c r="H603" s="350"/>
      <c r="I603" s="350"/>
      <c r="J603" s="350"/>
      <c r="K603" s="350"/>
      <c r="L603" s="350"/>
      <c r="M603" s="350"/>
      <c r="N603" s="350"/>
      <c r="O603" s="350"/>
    </row>
    <row r="604" spans="1:15" s="351" customFormat="1" x14ac:dyDescent="0.25">
      <c r="A604" s="362" t="str">
        <f>name!E$4</f>
        <v>Managers, directors and senior officials</v>
      </c>
      <c r="B604" s="440">
        <v>1.2801241866836885</v>
      </c>
      <c r="C604" s="440">
        <v>0.24588554047045072</v>
      </c>
      <c r="D604" s="440">
        <v>8.61998917786541E-2</v>
      </c>
      <c r="E604" s="440">
        <f>SUM(B604:D604)</f>
        <v>1.6122096189327935</v>
      </c>
      <c r="F604" s="441"/>
      <c r="G604" s="440">
        <v>1.1340402393133491</v>
      </c>
      <c r="H604" s="440">
        <v>0.34085738412628735</v>
      </c>
      <c r="I604" s="440">
        <v>0.48073908708707669</v>
      </c>
      <c r="J604" s="440">
        <f>SUM(G604:I604)</f>
        <v>1.9556367105267132</v>
      </c>
      <c r="K604" s="441"/>
      <c r="L604" s="440">
        <v>0.89764153402102242</v>
      </c>
      <c r="M604" s="440">
        <v>0.36587290602733197</v>
      </c>
      <c r="N604" s="440">
        <v>0.36968536452384976</v>
      </c>
      <c r="O604" s="440">
        <f>SUM(L604:N604)</f>
        <v>1.6331998045722043</v>
      </c>
    </row>
    <row r="605" spans="1:15" s="351" customFormat="1" x14ac:dyDescent="0.25">
      <c r="A605" s="362" t="str">
        <f>name!E$5</f>
        <v>Professional occupations</v>
      </c>
      <c r="B605" s="440">
        <v>1.7257508892308238</v>
      </c>
      <c r="C605" s="440">
        <v>0.1359161894947277</v>
      </c>
      <c r="D605" s="440">
        <v>4.5565868096275226E-2</v>
      </c>
      <c r="E605" s="440">
        <f t="shared" ref="E605:E612" si="266">SUM(B605:D605)</f>
        <v>1.9072329468218265</v>
      </c>
      <c r="F605" s="441"/>
      <c r="G605" s="440">
        <v>1.5953326411319468</v>
      </c>
      <c r="H605" s="440">
        <v>0.18723397426411026</v>
      </c>
      <c r="I605" s="440">
        <v>0.20736547011942691</v>
      </c>
      <c r="J605" s="440">
        <f t="shared" ref="J605:J607" si="267">SUM(G605:I605)</f>
        <v>1.9899320855154841</v>
      </c>
      <c r="K605" s="441"/>
      <c r="L605" s="440">
        <v>1.2402703856632571</v>
      </c>
      <c r="M605" s="440">
        <v>0.21828683253007744</v>
      </c>
      <c r="N605" s="440">
        <v>0.14271859246353813</v>
      </c>
      <c r="O605" s="440">
        <f t="shared" ref="O605:O612" si="268">SUM(L605:N605)</f>
        <v>1.6012758106568727</v>
      </c>
    </row>
    <row r="606" spans="1:15" s="351" customFormat="1" x14ac:dyDescent="0.25">
      <c r="A606" s="362" t="str">
        <f>name!E$6</f>
        <v>Associate professional and technical</v>
      </c>
      <c r="B606" s="440">
        <v>4.2625849839473613</v>
      </c>
      <c r="C606" s="440">
        <v>0.14460710119842626</v>
      </c>
      <c r="D606" s="440">
        <v>6.2392400207165383E-2</v>
      </c>
      <c r="E606" s="440">
        <f t="shared" si="266"/>
        <v>4.4695844853529527</v>
      </c>
      <c r="F606" s="441"/>
      <c r="G606" s="440">
        <v>2.9633571325232206</v>
      </c>
      <c r="H606" s="440">
        <v>0.18665317172800877</v>
      </c>
      <c r="I606" s="440">
        <v>0.60822519386461971</v>
      </c>
      <c r="J606" s="440">
        <f t="shared" si="267"/>
        <v>3.758235498115849</v>
      </c>
      <c r="K606" s="441"/>
      <c r="L606" s="440">
        <v>2.0531087075655332</v>
      </c>
      <c r="M606" s="440">
        <v>0.20760671779486223</v>
      </c>
      <c r="N606" s="440">
        <v>0.42337463490350258</v>
      </c>
      <c r="O606" s="440">
        <f t="shared" si="268"/>
        <v>2.6840900602638982</v>
      </c>
    </row>
    <row r="607" spans="1:15" s="351" customFormat="1" x14ac:dyDescent="0.25">
      <c r="A607" s="362" t="str">
        <f>name!E$7</f>
        <v>Administrative and secretarial</v>
      </c>
      <c r="B607" s="440">
        <v>3.4349626485146558</v>
      </c>
      <c r="C607" s="440">
        <v>0.59603759850585203</v>
      </c>
      <c r="D607" s="440">
        <v>1.5116673418552452E-2</v>
      </c>
      <c r="E607" s="440">
        <f t="shared" si="266"/>
        <v>4.0461169204390606</v>
      </c>
      <c r="F607" s="441"/>
      <c r="G607" s="440">
        <v>2.4033628073035453</v>
      </c>
      <c r="H607" s="440">
        <v>0.53293339897118397</v>
      </c>
      <c r="I607" s="440">
        <v>0.11436293785740285</v>
      </c>
      <c r="J607" s="440">
        <f t="shared" si="267"/>
        <v>3.050659144132132</v>
      </c>
      <c r="K607" s="441"/>
      <c r="L607" s="440">
        <v>1.5301712359182003</v>
      </c>
      <c r="M607" s="440">
        <v>0.43915987460486106</v>
      </c>
      <c r="N607" s="440">
        <v>5.9564785412149379E-2</v>
      </c>
      <c r="O607" s="440">
        <f t="shared" si="268"/>
        <v>2.0288958959352108</v>
      </c>
    </row>
    <row r="608" spans="1:15" s="351" customFormat="1" x14ac:dyDescent="0.25">
      <c r="A608" s="362" t="str">
        <f>name!E$8</f>
        <v>Skilled trades occupations</v>
      </c>
      <c r="B608" s="440">
        <v>0.63128562322863968</v>
      </c>
      <c r="C608" s="440">
        <v>0.13081725507146147</v>
      </c>
      <c r="D608" s="440">
        <v>0.12122821538188439</v>
      </c>
      <c r="E608" s="440">
        <f t="shared" si="266"/>
        <v>0.88333109368198559</v>
      </c>
      <c r="F608" s="441"/>
      <c r="G608" s="440">
        <v>0.29484042935519861</v>
      </c>
      <c r="H608" s="440">
        <v>9.1978150203491871E-2</v>
      </c>
      <c r="I608" s="440">
        <v>0.16573137344981137</v>
      </c>
      <c r="J608" s="440">
        <f>SUM(G608:I608)</f>
        <v>0.55254995300850185</v>
      </c>
      <c r="K608" s="441"/>
      <c r="L608" s="440">
        <v>0.16065123772473275</v>
      </c>
      <c r="M608" s="440">
        <v>7.2093564173405553E-2</v>
      </c>
      <c r="N608" s="440">
        <v>8.2666949230283962E-2</v>
      </c>
      <c r="O608" s="440">
        <f t="shared" si="268"/>
        <v>0.31541175112842224</v>
      </c>
    </row>
    <row r="609" spans="1:15" s="351" customFormat="1" x14ac:dyDescent="0.25">
      <c r="A609" s="362" t="str">
        <f>name!E$9</f>
        <v>Caring, leisure and other service</v>
      </c>
      <c r="B609" s="440">
        <v>0.99053398145314075</v>
      </c>
      <c r="C609" s="440">
        <v>0.22460021986337339</v>
      </c>
      <c r="D609" s="440">
        <v>4.1024698135247242E-2</v>
      </c>
      <c r="E609" s="440">
        <f t="shared" si="266"/>
        <v>1.2561588994517614</v>
      </c>
      <c r="F609" s="441"/>
      <c r="G609" s="440">
        <v>0.68641031480520487</v>
      </c>
      <c r="H609" s="440">
        <v>0.18111892252412651</v>
      </c>
      <c r="I609" s="440">
        <v>6.0713189575478152E-2</v>
      </c>
      <c r="J609" s="440">
        <f t="shared" ref="J609:J612" si="269">SUM(G609:I609)</f>
        <v>0.92824242690480951</v>
      </c>
      <c r="K609" s="441"/>
      <c r="L609" s="440">
        <v>0.49194897772300578</v>
      </c>
      <c r="M609" s="440">
        <v>0.17673301778470835</v>
      </c>
      <c r="N609" s="440">
        <v>4.1722905819744568E-2</v>
      </c>
      <c r="O609" s="440">
        <f t="shared" si="268"/>
        <v>0.7104049013274587</v>
      </c>
    </row>
    <row r="610" spans="1:15" s="351" customFormat="1" x14ac:dyDescent="0.25">
      <c r="A610" s="362" t="str">
        <f>name!E$10</f>
        <v>Sales and customer service</v>
      </c>
      <c r="B610" s="440">
        <v>0.79839375480235431</v>
      </c>
      <c r="C610" s="440">
        <v>0.16896089302255715</v>
      </c>
      <c r="D610" s="440">
        <v>1.3167151189928179E-2</v>
      </c>
      <c r="E610" s="440">
        <f t="shared" si="266"/>
        <v>0.9805217990148396</v>
      </c>
      <c r="F610" s="441"/>
      <c r="G610" s="440">
        <v>0.73716646044372414</v>
      </c>
      <c r="H610" s="440">
        <v>0.16206190794280786</v>
      </c>
      <c r="I610" s="440">
        <v>3.7844303586169033E-2</v>
      </c>
      <c r="J610" s="440">
        <f t="shared" si="269"/>
        <v>0.93707267197270105</v>
      </c>
      <c r="K610" s="441"/>
      <c r="L610" s="440">
        <v>0.52052018678765977</v>
      </c>
      <c r="M610" s="440">
        <v>0.15296654824540182</v>
      </c>
      <c r="N610" s="440">
        <v>2.616009197150225E-2</v>
      </c>
      <c r="O610" s="440">
        <f t="shared" si="268"/>
        <v>0.69964682700456382</v>
      </c>
    </row>
    <row r="611" spans="1:15" s="351" customFormat="1" x14ac:dyDescent="0.25">
      <c r="A611" s="362" t="str">
        <f>name!E$11</f>
        <v>Process, plant and machine operatives</v>
      </c>
      <c r="B611" s="440">
        <v>1.9191172010736004</v>
      </c>
      <c r="C611" s="440">
        <v>0.25963618625887447</v>
      </c>
      <c r="D611" s="440">
        <v>3.2735870165928167E-2</v>
      </c>
      <c r="E611" s="440">
        <f t="shared" si="266"/>
        <v>2.2114892574984033</v>
      </c>
      <c r="F611" s="441"/>
      <c r="G611" s="440">
        <v>0.51456431751709719</v>
      </c>
      <c r="H611" s="440">
        <v>0.19964973380217604</v>
      </c>
      <c r="I611" s="440">
        <v>0.16770503789608482</v>
      </c>
      <c r="J611" s="440">
        <f t="shared" si="269"/>
        <v>0.881919089215358</v>
      </c>
      <c r="K611" s="441"/>
      <c r="L611" s="440">
        <v>0.1748311025575538</v>
      </c>
      <c r="M611" s="440">
        <v>0.16757311752294635</v>
      </c>
      <c r="N611" s="440">
        <v>9.1311352156491471E-2</v>
      </c>
      <c r="O611" s="440">
        <f t="shared" si="268"/>
        <v>0.43371557223699164</v>
      </c>
    </row>
    <row r="612" spans="1:15" s="351" customFormat="1" x14ac:dyDescent="0.25">
      <c r="A612" s="362" t="str">
        <f>name!E$12</f>
        <v>Elementary occupations</v>
      </c>
      <c r="B612" s="440">
        <v>0.8532467309966264</v>
      </c>
      <c r="C612" s="440">
        <v>0.21453901610993537</v>
      </c>
      <c r="D612" s="440">
        <v>3.2569231627782143E-2</v>
      </c>
      <c r="E612" s="440">
        <f t="shared" si="266"/>
        <v>1.1003549787343438</v>
      </c>
      <c r="F612" s="441"/>
      <c r="G612" s="440">
        <v>0.63192565758337182</v>
      </c>
      <c r="H612" s="440">
        <v>0.14551335644742738</v>
      </c>
      <c r="I612" s="440">
        <v>0.14431340656572583</v>
      </c>
      <c r="J612" s="440">
        <f t="shared" si="269"/>
        <v>0.92175242059652507</v>
      </c>
      <c r="K612" s="441"/>
      <c r="L612" s="440">
        <v>0.36285663201381185</v>
      </c>
      <c r="M612" s="440">
        <v>0.13070742131714808</v>
      </c>
      <c r="N612" s="440">
        <v>7.7795323506281988E-2</v>
      </c>
      <c r="O612" s="440">
        <f t="shared" si="268"/>
        <v>0.57135937683724192</v>
      </c>
    </row>
    <row r="613" spans="1:15" s="351" customFormat="1" x14ac:dyDescent="0.25">
      <c r="A613" s="362"/>
      <c r="B613" s="440"/>
      <c r="C613" s="440"/>
      <c r="D613" s="440"/>
      <c r="E613" s="440"/>
      <c r="F613" s="441"/>
      <c r="G613" s="440"/>
      <c r="H613" s="440"/>
      <c r="I613" s="440"/>
      <c r="J613" s="440"/>
      <c r="K613" s="441"/>
      <c r="L613" s="440"/>
      <c r="M613" s="440"/>
      <c r="N613" s="440"/>
      <c r="O613" s="440"/>
    </row>
    <row r="614" spans="1:15" s="351" customFormat="1" x14ac:dyDescent="0.25">
      <c r="A614" s="357" t="s">
        <v>32</v>
      </c>
      <c r="B614" s="450">
        <f>SUM(B604:B612)</f>
        <v>15.895999999930892</v>
      </c>
      <c r="C614" s="450">
        <f t="shared" ref="C614:E614" si="270">SUM(C604:C612)</f>
        <v>2.1209999999956586</v>
      </c>
      <c r="D614" s="450">
        <f t="shared" si="270"/>
        <v>0.45000000000141727</v>
      </c>
      <c r="E614" s="450">
        <f t="shared" si="270"/>
        <v>18.466999999927967</v>
      </c>
      <c r="F614" s="450"/>
      <c r="G614" s="450">
        <f t="shared" ref="G614:J614" si="271">SUM(G604:G612)</f>
        <v>10.960999999976659</v>
      </c>
      <c r="H614" s="450">
        <f t="shared" si="271"/>
        <v>2.0280000000096203</v>
      </c>
      <c r="I614" s="450">
        <f t="shared" si="271"/>
        <v>1.9870000000017956</v>
      </c>
      <c r="J614" s="450">
        <f t="shared" si="271"/>
        <v>14.975999999988073</v>
      </c>
      <c r="K614" s="450"/>
      <c r="L614" s="450">
        <f t="shared" ref="L614:O614" si="272">SUM(L604:L612)</f>
        <v>7.4319999999747761</v>
      </c>
      <c r="M614" s="450">
        <f t="shared" si="272"/>
        <v>1.931000000000743</v>
      </c>
      <c r="N614" s="450">
        <f t="shared" si="272"/>
        <v>1.3149999999873441</v>
      </c>
      <c r="O614" s="450">
        <f t="shared" si="272"/>
        <v>10.677999999962864</v>
      </c>
    </row>
    <row r="615" spans="1:15" s="351" customFormat="1" x14ac:dyDescent="0.25">
      <c r="A615" s="348"/>
      <c r="B615" s="348"/>
      <c r="C615" s="348"/>
      <c r="D615" s="348"/>
      <c r="E615" s="348"/>
      <c r="F615" s="348"/>
      <c r="G615" s="348"/>
      <c r="H615" s="348"/>
      <c r="I615" s="348"/>
      <c r="J615" s="348"/>
      <c r="K615" s="348"/>
      <c r="L615" s="348"/>
      <c r="M615" s="348"/>
      <c r="N615" s="353"/>
    </row>
    <row r="616" spans="1:15" s="351" customFormat="1" x14ac:dyDescent="0.25">
      <c r="A616" s="348"/>
      <c r="B616" s="348"/>
      <c r="C616" s="348"/>
      <c r="D616" s="348"/>
      <c r="E616" s="348"/>
      <c r="F616" s="348"/>
      <c r="G616" s="348"/>
      <c r="H616" s="348"/>
      <c r="I616" s="348"/>
      <c r="J616" s="348"/>
      <c r="K616" s="348"/>
      <c r="L616" s="348"/>
      <c r="M616" s="348"/>
      <c r="N616" s="353"/>
      <c r="O616" s="367" t="s">
        <v>35</v>
      </c>
    </row>
    <row r="617" spans="1:15" s="351" customFormat="1" x14ac:dyDescent="0.25">
      <c r="A617" s="355"/>
      <c r="B617" s="355"/>
      <c r="C617" s="355"/>
      <c r="D617" s="355"/>
      <c r="E617" s="355"/>
      <c r="F617" s="355"/>
      <c r="G617" s="355"/>
      <c r="H617" s="355"/>
      <c r="I617" s="355"/>
      <c r="J617" s="355"/>
      <c r="K617" s="355"/>
      <c r="L617" s="355"/>
      <c r="M617" s="355"/>
      <c r="N617" s="355"/>
      <c r="O617" s="355"/>
    </row>
    <row r="618" spans="1:15" s="351" customFormat="1" x14ac:dyDescent="0.25">
      <c r="A618" s="354" t="str">
        <f>name!A39</f>
        <v>Air transport</v>
      </c>
      <c r="B618" s="517">
        <f>$B$6</f>
        <v>2007</v>
      </c>
      <c r="C618" s="517"/>
      <c r="D618" s="517"/>
      <c r="E618" s="517"/>
      <c r="F618" s="380"/>
      <c r="G618" s="517">
        <f>$G$6</f>
        <v>2017</v>
      </c>
      <c r="H618" s="517"/>
      <c r="I618" s="517"/>
      <c r="J618" s="517"/>
      <c r="K618" s="380"/>
      <c r="L618" s="517">
        <f>$L$6</f>
        <v>2027</v>
      </c>
      <c r="M618" s="517"/>
      <c r="N618" s="517"/>
      <c r="O618" s="517"/>
    </row>
    <row r="619" spans="1:15" s="351" customFormat="1" x14ac:dyDescent="0.25">
      <c r="A619" s="370"/>
      <c r="B619" s="388" t="str">
        <f>$B$7</f>
        <v>FT</v>
      </c>
      <c r="C619" s="388" t="str">
        <f>$C$7</f>
        <v>PT</v>
      </c>
      <c r="D619" s="388" t="str">
        <f>$D$7</f>
        <v>SE</v>
      </c>
      <c r="E619" s="388" t="str">
        <f>$E$7</f>
        <v>Total</v>
      </c>
      <c r="F619" s="388"/>
      <c r="G619" s="388" t="str">
        <f>$G$7</f>
        <v>FT</v>
      </c>
      <c r="H619" s="388" t="str">
        <f>$H$7</f>
        <v>PT</v>
      </c>
      <c r="I619" s="388" t="str">
        <f>$I$7</f>
        <v>SE</v>
      </c>
      <c r="J619" s="388" t="str">
        <f>$J$7</f>
        <v>Total</v>
      </c>
      <c r="K619" s="388"/>
      <c r="L619" s="388" t="str">
        <f>$L$7</f>
        <v>FT</v>
      </c>
      <c r="M619" s="388" t="str">
        <f>$M$7</f>
        <v>PT</v>
      </c>
      <c r="N619" s="388" t="str">
        <f>$N$7</f>
        <v>SE</v>
      </c>
      <c r="O619" s="388" t="str">
        <f>$O$7</f>
        <v>Total</v>
      </c>
    </row>
    <row r="620" spans="1:15" s="351" customFormat="1" x14ac:dyDescent="0.25">
      <c r="A620" s="374"/>
      <c r="B620" s="350"/>
      <c r="C620" s="350"/>
      <c r="D620" s="350"/>
      <c r="E620" s="350"/>
      <c r="F620" s="350"/>
      <c r="G620" s="350"/>
      <c r="H620" s="350"/>
      <c r="I620" s="350"/>
      <c r="J620" s="350"/>
      <c r="K620" s="350"/>
      <c r="L620" s="350"/>
      <c r="M620" s="350"/>
      <c r="N620" s="350"/>
      <c r="O620" s="350"/>
    </row>
    <row r="621" spans="1:15" s="351" customFormat="1" x14ac:dyDescent="0.25">
      <c r="A621" s="362" t="str">
        <f>name!E$4</f>
        <v>Managers, directors and senior officials</v>
      </c>
      <c r="B621" s="440">
        <v>4.0518291337281456</v>
      </c>
      <c r="C621" s="440">
        <v>0.37158794728643019</v>
      </c>
      <c r="D621" s="440">
        <v>8.6103453466422092E-2</v>
      </c>
      <c r="E621" s="440">
        <f>SUM(B621:D621)</f>
        <v>4.5095205344809983</v>
      </c>
      <c r="F621" s="441"/>
      <c r="G621" s="440">
        <v>4.3480848751921855</v>
      </c>
      <c r="H621" s="440">
        <v>0.4251361187269494</v>
      </c>
      <c r="I621" s="440">
        <v>0.32501242028665001</v>
      </c>
      <c r="J621" s="440">
        <f>SUM(G621:I621)</f>
        <v>5.0982334142057848</v>
      </c>
      <c r="K621" s="441"/>
      <c r="L621" s="440">
        <v>4.8570072149169796</v>
      </c>
      <c r="M621" s="440">
        <v>0.52919438972335342</v>
      </c>
      <c r="N621" s="440">
        <v>0.34116956575835838</v>
      </c>
      <c r="O621" s="440">
        <f>SUM(L621:N621)</f>
        <v>5.7273711703986914</v>
      </c>
    </row>
    <row r="622" spans="1:15" s="351" customFormat="1" x14ac:dyDescent="0.25">
      <c r="A622" s="362" t="str">
        <f>name!E$5</f>
        <v>Professional occupations</v>
      </c>
      <c r="B622" s="440">
        <v>6.489848260253603</v>
      </c>
      <c r="C622" s="440">
        <v>0.60011882541713224</v>
      </c>
      <c r="D622" s="440">
        <v>4.5581919696473322E-2</v>
      </c>
      <c r="E622" s="440">
        <f t="shared" ref="E622:E629" si="273">SUM(B622:D622)</f>
        <v>7.1355490053672082</v>
      </c>
      <c r="F622" s="441"/>
      <c r="G622" s="440">
        <v>6.6825049184678429</v>
      </c>
      <c r="H622" s="440">
        <v>0.73795186244914179</v>
      </c>
      <c r="I622" s="440">
        <v>0.24386549058594323</v>
      </c>
      <c r="J622" s="440">
        <f t="shared" ref="J622:J624" si="274">SUM(G622:I622)</f>
        <v>7.664322271502928</v>
      </c>
      <c r="K622" s="441"/>
      <c r="L622" s="440">
        <v>7.4902873588804795</v>
      </c>
      <c r="M622" s="440">
        <v>0.90524056050256463</v>
      </c>
      <c r="N622" s="440">
        <v>0.20476213844931515</v>
      </c>
      <c r="O622" s="440">
        <f t="shared" ref="O622:O629" si="275">SUM(L622:N622)</f>
        <v>8.6002900578323587</v>
      </c>
    </row>
    <row r="623" spans="1:15" s="351" customFormat="1" x14ac:dyDescent="0.25">
      <c r="A623" s="362" t="str">
        <f>name!E$6</f>
        <v>Associate professional and technical</v>
      </c>
      <c r="B623" s="440">
        <v>15.465211534391003</v>
      </c>
      <c r="C623" s="440">
        <v>2.6126687780179938</v>
      </c>
      <c r="D623" s="440">
        <v>6.2406937739014214E-2</v>
      </c>
      <c r="E623" s="440">
        <f t="shared" si="273"/>
        <v>18.14028725014801</v>
      </c>
      <c r="F623" s="441"/>
      <c r="G623" s="440">
        <v>13.63364432210478</v>
      </c>
      <c r="H623" s="440">
        <v>3.1532931900888417</v>
      </c>
      <c r="I623" s="440">
        <v>0.43046830675423653</v>
      </c>
      <c r="J623" s="440">
        <f t="shared" si="274"/>
        <v>17.217405818947856</v>
      </c>
      <c r="K623" s="441"/>
      <c r="L623" s="440">
        <v>13.924098038017531</v>
      </c>
      <c r="M623" s="440">
        <v>3.6874060891051852</v>
      </c>
      <c r="N623" s="440">
        <v>0.22826312599169263</v>
      </c>
      <c r="O623" s="440">
        <f t="shared" si="275"/>
        <v>17.83976725311441</v>
      </c>
    </row>
    <row r="624" spans="1:15" s="351" customFormat="1" x14ac:dyDescent="0.25">
      <c r="A624" s="362" t="str">
        <f>name!E$7</f>
        <v>Administrative and secretarial</v>
      </c>
      <c r="B624" s="440">
        <v>6.8864802441498565</v>
      </c>
      <c r="C624" s="440">
        <v>2.3313079290902743</v>
      </c>
      <c r="D624" s="440">
        <v>1.5146796784635326E-2</v>
      </c>
      <c r="E624" s="440">
        <f t="shared" si="273"/>
        <v>9.2329349700247665</v>
      </c>
      <c r="F624" s="441"/>
      <c r="G624" s="440">
        <v>4.6480522280149543</v>
      </c>
      <c r="H624" s="440">
        <v>2.1243011143335426</v>
      </c>
      <c r="I624" s="440">
        <v>4.8607406597790143E-2</v>
      </c>
      <c r="J624" s="440">
        <f t="shared" si="274"/>
        <v>6.8209607489462867</v>
      </c>
      <c r="K624" s="441"/>
      <c r="L624" s="440">
        <v>4.3504854960235333</v>
      </c>
      <c r="M624" s="440">
        <v>1.6863545466976626</v>
      </c>
      <c r="N624" s="440">
        <v>3.5767082085876103E-2</v>
      </c>
      <c r="O624" s="440">
        <f t="shared" si="275"/>
        <v>6.0726071248070719</v>
      </c>
    </row>
    <row r="625" spans="1:15" s="351" customFormat="1" x14ac:dyDescent="0.25">
      <c r="A625" s="362" t="str">
        <f>name!E$8</f>
        <v>Skilled trades occupations</v>
      </c>
      <c r="B625" s="440">
        <v>6.1962218114525589</v>
      </c>
      <c r="C625" s="440">
        <v>0.7642086294081003</v>
      </c>
      <c r="D625" s="440">
        <v>0.12119935866240496</v>
      </c>
      <c r="E625" s="440">
        <f t="shared" si="273"/>
        <v>7.0816297995230642</v>
      </c>
      <c r="F625" s="441"/>
      <c r="G625" s="440">
        <v>4.5851541647109535</v>
      </c>
      <c r="H625" s="440">
        <v>0.57194438672336234</v>
      </c>
      <c r="I625" s="440">
        <v>0.48675976938928822</v>
      </c>
      <c r="J625" s="440">
        <f>SUM(G625:I625)</f>
        <v>5.6438583208236039</v>
      </c>
      <c r="K625" s="441"/>
      <c r="L625" s="440">
        <v>3.9236399077844961</v>
      </c>
      <c r="M625" s="440">
        <v>0.588578319267544</v>
      </c>
      <c r="N625" s="440">
        <v>0.60301406225834964</v>
      </c>
      <c r="O625" s="440">
        <f t="shared" si="275"/>
        <v>5.1152322893103896</v>
      </c>
    </row>
    <row r="626" spans="1:15" s="351" customFormat="1" x14ac:dyDescent="0.25">
      <c r="A626" s="362" t="str">
        <f>name!E$9</f>
        <v>Caring, leisure and other service</v>
      </c>
      <c r="B626" s="440">
        <v>19.820918445706717</v>
      </c>
      <c r="C626" s="440">
        <v>8.5935555653765991</v>
      </c>
      <c r="D626" s="440">
        <v>4.1105628763358167E-2</v>
      </c>
      <c r="E626" s="440">
        <f t="shared" si="273"/>
        <v>28.455579639846672</v>
      </c>
      <c r="F626" s="441"/>
      <c r="G626" s="440">
        <v>12.658155487572008</v>
      </c>
      <c r="H626" s="440">
        <v>8.7869673149617764</v>
      </c>
      <c r="I626" s="440">
        <v>8.1910942346103494E-2</v>
      </c>
      <c r="J626" s="440">
        <f t="shared" ref="J626:J629" si="276">SUM(G626:I626)</f>
        <v>21.527033744879887</v>
      </c>
      <c r="K626" s="441"/>
      <c r="L626" s="440">
        <v>12.10729667249481</v>
      </c>
      <c r="M626" s="440">
        <v>8.6829535497376611</v>
      </c>
      <c r="N626" s="440">
        <v>7.7667385601418018E-2</v>
      </c>
      <c r="O626" s="440">
        <f t="shared" si="275"/>
        <v>20.867917607833892</v>
      </c>
    </row>
    <row r="627" spans="1:15" s="351" customFormat="1" x14ac:dyDescent="0.25">
      <c r="A627" s="362" t="str">
        <f>name!E$10</f>
        <v>Sales and customer service</v>
      </c>
      <c r="B627" s="440">
        <v>1.9996789970118962</v>
      </c>
      <c r="C627" s="440">
        <v>1.8135939090991013</v>
      </c>
      <c r="D627" s="440">
        <v>1.3169355797619133E-2</v>
      </c>
      <c r="E627" s="440">
        <f t="shared" si="273"/>
        <v>3.8264422619086167</v>
      </c>
      <c r="F627" s="441"/>
      <c r="G627" s="440">
        <v>1.9278179458804212</v>
      </c>
      <c r="H627" s="440">
        <v>1.9102290468174539</v>
      </c>
      <c r="I627" s="440">
        <v>3.1693746568709213E-2</v>
      </c>
      <c r="J627" s="440">
        <f t="shared" si="276"/>
        <v>3.8697407392665846</v>
      </c>
      <c r="K627" s="441"/>
      <c r="L627" s="440">
        <v>2.0295332241923991</v>
      </c>
      <c r="M627" s="440">
        <v>2.0655945439686731</v>
      </c>
      <c r="N627" s="440">
        <v>2.8508627308308446E-2</v>
      </c>
      <c r="O627" s="440">
        <f t="shared" si="275"/>
        <v>4.1236363954693811</v>
      </c>
    </row>
    <row r="628" spans="1:15" s="351" customFormat="1" x14ac:dyDescent="0.25">
      <c r="A628" s="362" t="str">
        <f>name!E$11</f>
        <v>Process, plant and machine operatives</v>
      </c>
      <c r="B628" s="440">
        <v>5.2516696784872439</v>
      </c>
      <c r="C628" s="440">
        <v>1.5581927592613418</v>
      </c>
      <c r="D628" s="440">
        <v>3.2719992771950757E-2</v>
      </c>
      <c r="E628" s="440">
        <f t="shared" si="273"/>
        <v>6.8425824305205367</v>
      </c>
      <c r="F628" s="441"/>
      <c r="G628" s="440">
        <v>4.3651780968729694</v>
      </c>
      <c r="H628" s="440">
        <v>1.2740671607067935</v>
      </c>
      <c r="I628" s="440">
        <v>0.18865365335521153</v>
      </c>
      <c r="J628" s="440">
        <f t="shared" si="276"/>
        <v>5.8278989109349739</v>
      </c>
      <c r="K628" s="441"/>
      <c r="L628" s="440">
        <v>4.265227024929982</v>
      </c>
      <c r="M628" s="440">
        <v>1.1758851220667221</v>
      </c>
      <c r="N628" s="440">
        <v>0.18039333619834774</v>
      </c>
      <c r="O628" s="440">
        <f t="shared" si="275"/>
        <v>5.6215054831950519</v>
      </c>
    </row>
    <row r="629" spans="1:15" s="351" customFormat="1" x14ac:dyDescent="0.25">
      <c r="A629" s="362" t="str">
        <f>name!E$12</f>
        <v>Elementary occupations</v>
      </c>
      <c r="B629" s="440">
        <v>2.8931418944645459</v>
      </c>
      <c r="C629" s="440">
        <v>1.3697656571290313</v>
      </c>
      <c r="D629" s="440">
        <v>3.2566556319175065E-2</v>
      </c>
      <c r="E629" s="440">
        <f t="shared" si="273"/>
        <v>4.2954741079127521</v>
      </c>
      <c r="F629" s="441"/>
      <c r="G629" s="440">
        <v>3.1144079611623572</v>
      </c>
      <c r="H629" s="440">
        <v>1.0031098056036942</v>
      </c>
      <c r="I629" s="440">
        <v>0.15102826412896789</v>
      </c>
      <c r="J629" s="440">
        <f t="shared" si="276"/>
        <v>4.2685460308950187</v>
      </c>
      <c r="K629" s="441"/>
      <c r="L629" s="440">
        <v>3.0844250625964245</v>
      </c>
      <c r="M629" s="440">
        <v>0.98879287915188441</v>
      </c>
      <c r="N629" s="440">
        <v>0.15045467636670443</v>
      </c>
      <c r="O629" s="440">
        <f t="shared" si="275"/>
        <v>4.2236726181150139</v>
      </c>
    </row>
    <row r="630" spans="1:15" s="351" customFormat="1" x14ac:dyDescent="0.25">
      <c r="A630" s="362"/>
      <c r="B630" s="440"/>
      <c r="C630" s="440"/>
      <c r="D630" s="440"/>
      <c r="E630" s="440"/>
      <c r="F630" s="441"/>
      <c r="G630" s="440"/>
      <c r="H630" s="440"/>
      <c r="I630" s="440"/>
      <c r="J630" s="440"/>
      <c r="K630" s="441"/>
      <c r="L630" s="440"/>
      <c r="M630" s="440"/>
      <c r="N630" s="440"/>
      <c r="O630" s="440"/>
    </row>
    <row r="631" spans="1:15" s="351" customFormat="1" x14ac:dyDescent="0.25">
      <c r="A631" s="357" t="s">
        <v>32</v>
      </c>
      <c r="B631" s="450">
        <f>SUM(B621:B629)</f>
        <v>69.054999999645574</v>
      </c>
      <c r="C631" s="450">
        <f t="shared" ref="C631:E631" si="277">SUM(C621:C629)</f>
        <v>20.015000000086005</v>
      </c>
      <c r="D631" s="450">
        <f t="shared" si="277"/>
        <v>0.450000000001053</v>
      </c>
      <c r="E631" s="450">
        <f t="shared" si="277"/>
        <v>89.519999999732619</v>
      </c>
      <c r="F631" s="450"/>
      <c r="G631" s="450">
        <f t="shared" ref="G631:J631" si="278">SUM(G621:G629)</f>
        <v>55.962999999978472</v>
      </c>
      <c r="H631" s="450">
        <f t="shared" si="278"/>
        <v>19.987000000411555</v>
      </c>
      <c r="I631" s="450">
        <f t="shared" si="278"/>
        <v>1.9880000000129003</v>
      </c>
      <c r="J631" s="450">
        <f t="shared" si="278"/>
        <v>77.938000000402937</v>
      </c>
      <c r="K631" s="450"/>
      <c r="L631" s="450">
        <f t="shared" ref="L631:O631" si="279">SUM(L621:L629)</f>
        <v>56.031999999836636</v>
      </c>
      <c r="M631" s="450">
        <f t="shared" si="279"/>
        <v>20.310000000221248</v>
      </c>
      <c r="N631" s="450">
        <f t="shared" si="279"/>
        <v>1.8500000000183705</v>
      </c>
      <c r="O631" s="450">
        <f t="shared" si="279"/>
        <v>78.192000000076263</v>
      </c>
    </row>
    <row r="632" spans="1:15" s="351" customFormat="1" x14ac:dyDescent="0.25">
      <c r="A632" s="348"/>
      <c r="B632" s="348"/>
      <c r="C632" s="348"/>
      <c r="D632" s="348"/>
      <c r="E632" s="348"/>
      <c r="F632" s="348"/>
      <c r="G632" s="348"/>
      <c r="H632" s="348"/>
      <c r="I632" s="348"/>
      <c r="J632" s="348"/>
      <c r="K632" s="348"/>
      <c r="L632" s="348"/>
      <c r="M632" s="348"/>
      <c r="N632" s="353"/>
    </row>
    <row r="633" spans="1:15" s="351" customFormat="1" x14ac:dyDescent="0.25">
      <c r="A633" s="348"/>
      <c r="B633" s="348"/>
      <c r="C633" s="348"/>
      <c r="D633" s="348"/>
      <c r="E633" s="348"/>
      <c r="F633" s="348"/>
      <c r="G633" s="348"/>
      <c r="H633" s="348"/>
      <c r="I633" s="348"/>
      <c r="J633" s="348"/>
      <c r="K633" s="348"/>
      <c r="L633" s="348"/>
      <c r="M633" s="348"/>
      <c r="N633" s="353"/>
      <c r="O633" s="367" t="s">
        <v>35</v>
      </c>
    </row>
    <row r="634" spans="1:15" s="351" customFormat="1" x14ac:dyDescent="0.25">
      <c r="A634" s="355"/>
      <c r="B634" s="355"/>
      <c r="C634" s="355"/>
      <c r="D634" s="355"/>
      <c r="E634" s="355"/>
      <c r="F634" s="355"/>
      <c r="G634" s="355"/>
      <c r="H634" s="355"/>
      <c r="I634" s="355"/>
      <c r="J634" s="355"/>
      <c r="K634" s="355"/>
      <c r="L634" s="355"/>
      <c r="M634" s="355"/>
      <c r="N634" s="355"/>
      <c r="O634" s="355"/>
    </row>
    <row r="635" spans="1:15" s="351" customFormat="1" x14ac:dyDescent="0.25">
      <c r="A635" s="354" t="str">
        <f>name!A40</f>
        <v>Warehousing, etc</v>
      </c>
      <c r="B635" s="517">
        <f>$B$6</f>
        <v>2007</v>
      </c>
      <c r="C635" s="517"/>
      <c r="D635" s="517"/>
      <c r="E635" s="517"/>
      <c r="F635" s="380"/>
      <c r="G635" s="517">
        <f>$G$6</f>
        <v>2017</v>
      </c>
      <c r="H635" s="517"/>
      <c r="I635" s="517"/>
      <c r="J635" s="517"/>
      <c r="K635" s="380"/>
      <c r="L635" s="517">
        <f>$L$6</f>
        <v>2027</v>
      </c>
      <c r="M635" s="517"/>
      <c r="N635" s="517"/>
      <c r="O635" s="517"/>
    </row>
    <row r="636" spans="1:15" s="351" customFormat="1" x14ac:dyDescent="0.25">
      <c r="A636" s="370"/>
      <c r="B636" s="388" t="str">
        <f>$B$7</f>
        <v>FT</v>
      </c>
      <c r="C636" s="388" t="str">
        <f>$C$7</f>
        <v>PT</v>
      </c>
      <c r="D636" s="388" t="str">
        <f>$D$7</f>
        <v>SE</v>
      </c>
      <c r="E636" s="388" t="str">
        <f>$E$7</f>
        <v>Total</v>
      </c>
      <c r="F636" s="388"/>
      <c r="G636" s="388" t="str">
        <f>$G$7</f>
        <v>FT</v>
      </c>
      <c r="H636" s="388" t="str">
        <f>$H$7</f>
        <v>PT</v>
      </c>
      <c r="I636" s="388" t="str">
        <f>$I$7</f>
        <v>SE</v>
      </c>
      <c r="J636" s="388" t="str">
        <f>$J$7</f>
        <v>Total</v>
      </c>
      <c r="K636" s="388"/>
      <c r="L636" s="388" t="str">
        <f>$L$7</f>
        <v>FT</v>
      </c>
      <c r="M636" s="388" t="str">
        <f>$M$7</f>
        <v>PT</v>
      </c>
      <c r="N636" s="388" t="str">
        <f>$N$7</f>
        <v>SE</v>
      </c>
      <c r="O636" s="388" t="str">
        <f>$O$7</f>
        <v>Total</v>
      </c>
    </row>
    <row r="637" spans="1:15" s="351" customFormat="1" x14ac:dyDescent="0.25">
      <c r="A637" s="374"/>
      <c r="B637" s="350"/>
      <c r="C637" s="350"/>
      <c r="D637" s="350"/>
      <c r="E637" s="350"/>
      <c r="F637" s="350"/>
      <c r="G637" s="350"/>
      <c r="H637" s="350"/>
      <c r="I637" s="350"/>
      <c r="J637" s="350"/>
      <c r="K637" s="350"/>
      <c r="L637" s="350"/>
      <c r="M637" s="350"/>
      <c r="N637" s="350"/>
      <c r="O637" s="350"/>
    </row>
    <row r="638" spans="1:15" s="351" customFormat="1" x14ac:dyDescent="0.25">
      <c r="A638" s="362" t="str">
        <f>name!E$4</f>
        <v>Managers, directors and senior officials</v>
      </c>
      <c r="B638" s="440">
        <v>29.471138555806565</v>
      </c>
      <c r="C638" s="440">
        <v>1.5567731387876391</v>
      </c>
      <c r="D638" s="440">
        <v>6.6067678828740748</v>
      </c>
      <c r="E638" s="440">
        <f>SUM(B638:D638)</f>
        <v>37.634679577468283</v>
      </c>
      <c r="F638" s="441"/>
      <c r="G638" s="440">
        <v>50.002028089331304</v>
      </c>
      <c r="H638" s="440">
        <v>4.3892757137985647</v>
      </c>
      <c r="I638" s="440">
        <v>13.230573570448582</v>
      </c>
      <c r="J638" s="440">
        <f>SUM(G638:I638)</f>
        <v>67.621877373578457</v>
      </c>
      <c r="K638" s="441"/>
      <c r="L638" s="440">
        <v>53.509062867329064</v>
      </c>
      <c r="M638" s="440">
        <v>5.7123499583486792</v>
      </c>
      <c r="N638" s="440">
        <v>14.045723179048451</v>
      </c>
      <c r="O638" s="440">
        <f>SUM(L638:N638)</f>
        <v>73.267136004726197</v>
      </c>
    </row>
    <row r="639" spans="1:15" s="351" customFormat="1" x14ac:dyDescent="0.25">
      <c r="A639" s="362" t="str">
        <f>name!E$5</f>
        <v>Professional occupations</v>
      </c>
      <c r="B639" s="440">
        <v>21.32524087397022</v>
      </c>
      <c r="C639" s="440">
        <v>1.1863688070677856</v>
      </c>
      <c r="D639" s="440">
        <v>1.260068390748156</v>
      </c>
      <c r="E639" s="440">
        <f t="shared" ref="E639:E646" si="280">SUM(B639:D639)</f>
        <v>23.771678071786162</v>
      </c>
      <c r="F639" s="441"/>
      <c r="G639" s="440">
        <v>35.15794236365096</v>
      </c>
      <c r="H639" s="440">
        <v>2.6078136987132439</v>
      </c>
      <c r="I639" s="440">
        <v>2.6535252767364672</v>
      </c>
      <c r="J639" s="440">
        <f t="shared" ref="J639:J641" si="281">SUM(G639:I639)</f>
        <v>40.419281339100671</v>
      </c>
      <c r="K639" s="441"/>
      <c r="L639" s="440">
        <v>38.507779436889955</v>
      </c>
      <c r="M639" s="440">
        <v>3.4998910899821323</v>
      </c>
      <c r="N639" s="440">
        <v>2.6298171792074974</v>
      </c>
      <c r="O639" s="440">
        <f t="shared" ref="O639:O646" si="282">SUM(L639:N639)</f>
        <v>44.63748770607959</v>
      </c>
    </row>
    <row r="640" spans="1:15" s="351" customFormat="1" x14ac:dyDescent="0.25">
      <c r="A640" s="362" t="str">
        <f>name!E$6</f>
        <v>Associate professional and technical</v>
      </c>
      <c r="B640" s="440">
        <v>36.843235769277918</v>
      </c>
      <c r="C640" s="440">
        <v>1.4686196271225607</v>
      </c>
      <c r="D640" s="440">
        <v>1.9976050185359799</v>
      </c>
      <c r="E640" s="440">
        <f t="shared" si="280"/>
        <v>40.30946041493646</v>
      </c>
      <c r="F640" s="441"/>
      <c r="G640" s="440">
        <v>44.408508782258025</v>
      </c>
      <c r="H640" s="440">
        <v>3.825154659632565</v>
      </c>
      <c r="I640" s="440">
        <v>4.1832981723599749</v>
      </c>
      <c r="J640" s="440">
        <f t="shared" si="281"/>
        <v>52.416961614250567</v>
      </c>
      <c r="K640" s="441"/>
      <c r="L640" s="440">
        <v>50.533261850888593</v>
      </c>
      <c r="M640" s="440">
        <v>4.9818718454771398</v>
      </c>
      <c r="N640" s="440">
        <v>4.4491123233907564</v>
      </c>
      <c r="O640" s="440">
        <f t="shared" si="282"/>
        <v>59.964246019756487</v>
      </c>
    </row>
    <row r="641" spans="1:15" s="351" customFormat="1" x14ac:dyDescent="0.25">
      <c r="A641" s="362" t="str">
        <f>name!E$7</f>
        <v>Administrative and secretarial</v>
      </c>
      <c r="B641" s="440">
        <v>32.368103153437268</v>
      </c>
      <c r="C641" s="440">
        <v>5.3894522205986606</v>
      </c>
      <c r="D641" s="440">
        <v>0.92318273404657325</v>
      </c>
      <c r="E641" s="440">
        <f t="shared" si="280"/>
        <v>38.680738108082501</v>
      </c>
      <c r="F641" s="441"/>
      <c r="G641" s="440">
        <v>47.214324095304406</v>
      </c>
      <c r="H641" s="440">
        <v>13.024848799133741</v>
      </c>
      <c r="I641" s="440">
        <v>1.5574925838624234</v>
      </c>
      <c r="J641" s="440">
        <f t="shared" si="281"/>
        <v>61.796665478300575</v>
      </c>
      <c r="K641" s="441"/>
      <c r="L641" s="440">
        <v>43.026823892750429</v>
      </c>
      <c r="M641" s="440">
        <v>13.22313737392728</v>
      </c>
      <c r="N641" s="440">
        <v>1.4088524022700986</v>
      </c>
      <c r="O641" s="440">
        <f t="shared" si="282"/>
        <v>57.658813668947808</v>
      </c>
    </row>
    <row r="642" spans="1:15" s="351" customFormat="1" x14ac:dyDescent="0.25">
      <c r="A642" s="362" t="str">
        <f>name!E$8</f>
        <v>Skilled trades occupations</v>
      </c>
      <c r="B642" s="440">
        <v>16.531433969478808</v>
      </c>
      <c r="C642" s="440">
        <v>0.93550277455172615</v>
      </c>
      <c r="D642" s="440">
        <v>1.7021228260088987</v>
      </c>
      <c r="E642" s="440">
        <f t="shared" si="280"/>
        <v>19.169059570039433</v>
      </c>
      <c r="F642" s="441"/>
      <c r="G642" s="440">
        <v>15.355710132839087</v>
      </c>
      <c r="H642" s="440">
        <v>2.1879251913764381</v>
      </c>
      <c r="I642" s="440">
        <v>2.7602194538160623</v>
      </c>
      <c r="J642" s="440">
        <f>SUM(G642:I642)</f>
        <v>20.303854778031589</v>
      </c>
      <c r="K642" s="441"/>
      <c r="L642" s="440">
        <v>14.854105987314858</v>
      </c>
      <c r="M642" s="440">
        <v>2.5418457025535179</v>
      </c>
      <c r="N642" s="440">
        <v>2.987777579864566</v>
      </c>
      <c r="O642" s="440">
        <f t="shared" si="282"/>
        <v>20.383729269732942</v>
      </c>
    </row>
    <row r="643" spans="1:15" s="351" customFormat="1" x14ac:dyDescent="0.25">
      <c r="A643" s="362" t="str">
        <f>name!E$9</f>
        <v>Caring, leisure and other service</v>
      </c>
      <c r="B643" s="440">
        <v>20.157335423342616</v>
      </c>
      <c r="C643" s="440">
        <v>6.6936265177730956</v>
      </c>
      <c r="D643" s="440">
        <v>7.0793109739587958</v>
      </c>
      <c r="E643" s="440">
        <f t="shared" si="280"/>
        <v>33.930272915074511</v>
      </c>
      <c r="F643" s="441"/>
      <c r="G643" s="440">
        <v>33.929374270735693</v>
      </c>
      <c r="H643" s="440">
        <v>19.69802751427363</v>
      </c>
      <c r="I643" s="440">
        <v>10.392313957168813</v>
      </c>
      <c r="J643" s="440">
        <f t="shared" ref="J643:J646" si="283">SUM(G643:I643)</f>
        <v>64.019715742178136</v>
      </c>
      <c r="K643" s="441"/>
      <c r="L643" s="440">
        <v>34.848473398614459</v>
      </c>
      <c r="M643" s="440">
        <v>23.650054584930984</v>
      </c>
      <c r="N643" s="440">
        <v>9.8216333617506795</v>
      </c>
      <c r="O643" s="440">
        <f t="shared" si="282"/>
        <v>68.320161345296128</v>
      </c>
    </row>
    <row r="644" spans="1:15" s="351" customFormat="1" x14ac:dyDescent="0.25">
      <c r="A644" s="362" t="str">
        <f>name!E$10</f>
        <v>Sales and customer service</v>
      </c>
      <c r="B644" s="440">
        <v>13.150854835227644</v>
      </c>
      <c r="C644" s="440">
        <v>2.416070180136686</v>
      </c>
      <c r="D644" s="440">
        <v>0.69517124104057071</v>
      </c>
      <c r="E644" s="440">
        <f t="shared" si="280"/>
        <v>16.262096256404899</v>
      </c>
      <c r="F644" s="441"/>
      <c r="G644" s="440">
        <v>28.2805889546249</v>
      </c>
      <c r="H644" s="440">
        <v>6.5885235105120499</v>
      </c>
      <c r="I644" s="440">
        <v>1.1305979467807947</v>
      </c>
      <c r="J644" s="440">
        <f t="shared" si="283"/>
        <v>35.999710411917746</v>
      </c>
      <c r="K644" s="441"/>
      <c r="L644" s="440">
        <v>27.551268416409577</v>
      </c>
      <c r="M644" s="440">
        <v>7.284204568546639</v>
      </c>
      <c r="N644" s="440">
        <v>1.1689492734721094</v>
      </c>
      <c r="O644" s="440">
        <f t="shared" si="282"/>
        <v>36.004422258428328</v>
      </c>
    </row>
    <row r="645" spans="1:15" s="351" customFormat="1" x14ac:dyDescent="0.25">
      <c r="A645" s="362" t="str">
        <f>name!E$11</f>
        <v>Process, plant and machine operatives</v>
      </c>
      <c r="B645" s="440">
        <v>78.670989823125794</v>
      </c>
      <c r="C645" s="440">
        <v>5.4852403238361083</v>
      </c>
      <c r="D645" s="440">
        <v>5.5799435515177809</v>
      </c>
      <c r="E645" s="440">
        <f t="shared" si="280"/>
        <v>89.736173698479689</v>
      </c>
      <c r="F645" s="441"/>
      <c r="G645" s="440">
        <v>100.77338595865176</v>
      </c>
      <c r="H645" s="440">
        <v>12.96484383184467</v>
      </c>
      <c r="I645" s="440">
        <v>5.7819406182856543</v>
      </c>
      <c r="J645" s="440">
        <f t="shared" si="283"/>
        <v>119.52017040878209</v>
      </c>
      <c r="K645" s="441"/>
      <c r="L645" s="440">
        <v>102.49607595129031</v>
      </c>
      <c r="M645" s="440">
        <v>13.194056308067745</v>
      </c>
      <c r="N645" s="440">
        <v>5.2113008340906735</v>
      </c>
      <c r="O645" s="440">
        <f t="shared" si="282"/>
        <v>120.90143309344873</v>
      </c>
    </row>
    <row r="646" spans="1:15" s="351" customFormat="1" x14ac:dyDescent="0.25">
      <c r="A646" s="362" t="str">
        <f>name!E$12</f>
        <v>Elementary occupations</v>
      </c>
      <c r="B646" s="440">
        <v>71.180667594478663</v>
      </c>
      <c r="C646" s="440">
        <v>8.4703464100028416</v>
      </c>
      <c r="D646" s="440">
        <v>1.2138273812849933</v>
      </c>
      <c r="E646" s="440">
        <f t="shared" si="280"/>
        <v>80.86484138576651</v>
      </c>
      <c r="F646" s="441"/>
      <c r="G646" s="440">
        <v>99.780137351376794</v>
      </c>
      <c r="H646" s="440">
        <v>14.598587080914236</v>
      </c>
      <c r="I646" s="440">
        <v>2.631038420965111</v>
      </c>
      <c r="J646" s="440">
        <f t="shared" si="283"/>
        <v>117.00976285325613</v>
      </c>
      <c r="K646" s="441"/>
      <c r="L646" s="440">
        <v>83.397148196337426</v>
      </c>
      <c r="M646" s="440">
        <v>15.360588567985454</v>
      </c>
      <c r="N646" s="440">
        <v>2.7328338665958052</v>
      </c>
      <c r="O646" s="440">
        <f t="shared" si="282"/>
        <v>101.4905706309187</v>
      </c>
    </row>
    <row r="647" spans="1:15" s="351" customFormat="1" x14ac:dyDescent="0.25">
      <c r="A647" s="362"/>
      <c r="B647" s="440"/>
      <c r="C647" s="440"/>
      <c r="D647" s="440"/>
      <c r="E647" s="440"/>
      <c r="F647" s="441"/>
      <c r="G647" s="440"/>
      <c r="H647" s="440"/>
      <c r="I647" s="440"/>
      <c r="J647" s="440"/>
      <c r="K647" s="441"/>
      <c r="L647" s="440"/>
      <c r="M647" s="440"/>
      <c r="N647" s="440"/>
      <c r="O647" s="440"/>
    </row>
    <row r="648" spans="1:15" s="351" customFormat="1" x14ac:dyDescent="0.25">
      <c r="A648" s="357" t="s">
        <v>32</v>
      </c>
      <c r="B648" s="450">
        <f>SUM(B638:B646)</f>
        <v>319.6989999981455</v>
      </c>
      <c r="C648" s="450">
        <f t="shared" ref="C648:E648" si="284">SUM(C638:C646)</f>
        <v>33.601999999877101</v>
      </c>
      <c r="D648" s="450">
        <f t="shared" si="284"/>
        <v>27.058000000015824</v>
      </c>
      <c r="E648" s="450">
        <f t="shared" si="284"/>
        <v>380.35899999803843</v>
      </c>
      <c r="F648" s="450"/>
      <c r="G648" s="450">
        <f t="shared" ref="G648:J648" si="285">SUM(G638:G646)</f>
        <v>454.90199999877291</v>
      </c>
      <c r="H648" s="450">
        <f t="shared" si="285"/>
        <v>79.885000000199142</v>
      </c>
      <c r="I648" s="450">
        <f t="shared" si="285"/>
        <v>44.321000000423886</v>
      </c>
      <c r="J648" s="450">
        <f t="shared" si="285"/>
        <v>579.10799999939604</v>
      </c>
      <c r="K648" s="450"/>
      <c r="L648" s="450">
        <f t="shared" ref="L648:O648" si="286">SUM(L638:L646)</f>
        <v>448.72399999782465</v>
      </c>
      <c r="M648" s="450">
        <f t="shared" si="286"/>
        <v>89.447999999819586</v>
      </c>
      <c r="N648" s="450">
        <f t="shared" si="286"/>
        <v>44.455999999690633</v>
      </c>
      <c r="O648" s="450">
        <f t="shared" si="286"/>
        <v>582.62799999733488</v>
      </c>
    </row>
    <row r="649" spans="1:15" s="351" customFormat="1" x14ac:dyDescent="0.25">
      <c r="A649" s="348"/>
      <c r="B649" s="348"/>
      <c r="C649" s="348"/>
      <c r="D649" s="348"/>
      <c r="E649" s="348"/>
      <c r="F649" s="348"/>
      <c r="G649" s="348"/>
      <c r="H649" s="348"/>
      <c r="I649" s="348"/>
      <c r="J649" s="348"/>
      <c r="K649" s="348"/>
      <c r="L649" s="348"/>
      <c r="M649" s="348"/>
      <c r="N649" s="353"/>
    </row>
    <row r="650" spans="1:15" s="351" customFormat="1" x14ac:dyDescent="0.25">
      <c r="A650" s="348"/>
      <c r="B650" s="348"/>
      <c r="C650" s="348"/>
      <c r="D650" s="348"/>
      <c r="E650" s="348"/>
      <c r="F650" s="348"/>
      <c r="G650" s="348"/>
      <c r="H650" s="348"/>
      <c r="I650" s="348"/>
      <c r="J650" s="348"/>
      <c r="K650" s="348"/>
      <c r="L650" s="348"/>
      <c r="M650" s="348"/>
      <c r="N650" s="353"/>
      <c r="O650" s="367" t="s">
        <v>35</v>
      </c>
    </row>
    <row r="651" spans="1:15" s="351" customFormat="1" x14ac:dyDescent="0.25">
      <c r="A651" s="355"/>
      <c r="B651" s="355"/>
      <c r="C651" s="355"/>
      <c r="D651" s="355"/>
      <c r="E651" s="355"/>
      <c r="F651" s="355"/>
      <c r="G651" s="355"/>
      <c r="H651" s="355"/>
      <c r="I651" s="355"/>
      <c r="J651" s="355"/>
      <c r="K651" s="355"/>
      <c r="L651" s="355"/>
      <c r="M651" s="355"/>
      <c r="N651" s="355"/>
      <c r="O651" s="355"/>
    </row>
    <row r="652" spans="1:15" s="351" customFormat="1" x14ac:dyDescent="0.25">
      <c r="A652" s="354" t="str">
        <f>name!A41</f>
        <v>Postal and courier</v>
      </c>
      <c r="B652" s="517">
        <f>$B$6</f>
        <v>2007</v>
      </c>
      <c r="C652" s="517"/>
      <c r="D652" s="517"/>
      <c r="E652" s="517"/>
      <c r="F652" s="380"/>
      <c r="G652" s="517">
        <f>$G$6</f>
        <v>2017</v>
      </c>
      <c r="H652" s="517"/>
      <c r="I652" s="517"/>
      <c r="J652" s="517"/>
      <c r="K652" s="380"/>
      <c r="L652" s="517">
        <f>$L$6</f>
        <v>2027</v>
      </c>
      <c r="M652" s="517"/>
      <c r="N652" s="517"/>
      <c r="O652" s="517"/>
    </row>
    <row r="653" spans="1:15" s="351" customFormat="1" x14ac:dyDescent="0.25">
      <c r="A653" s="370"/>
      <c r="B653" s="388" t="str">
        <f>$B$7</f>
        <v>FT</v>
      </c>
      <c r="C653" s="388" t="str">
        <f>$C$7</f>
        <v>PT</v>
      </c>
      <c r="D653" s="388" t="str">
        <f>$D$7</f>
        <v>SE</v>
      </c>
      <c r="E653" s="388" t="str">
        <f>$E$7</f>
        <v>Total</v>
      </c>
      <c r="F653" s="388"/>
      <c r="G653" s="388" t="str">
        <f>$G$7</f>
        <v>FT</v>
      </c>
      <c r="H653" s="388" t="str">
        <f>$H$7</f>
        <v>PT</v>
      </c>
      <c r="I653" s="388" t="str">
        <f>$I$7</f>
        <v>SE</v>
      </c>
      <c r="J653" s="388" t="str">
        <f>$J$7</f>
        <v>Total</v>
      </c>
      <c r="K653" s="388"/>
      <c r="L653" s="388" t="str">
        <f>$L$7</f>
        <v>FT</v>
      </c>
      <c r="M653" s="388" t="str">
        <f>$M$7</f>
        <v>PT</v>
      </c>
      <c r="N653" s="388" t="str">
        <f>$N$7</f>
        <v>SE</v>
      </c>
      <c r="O653" s="388" t="str">
        <f>$O$7</f>
        <v>Total</v>
      </c>
    </row>
    <row r="654" spans="1:15" s="351" customFormat="1" x14ac:dyDescent="0.25">
      <c r="A654" s="374"/>
      <c r="B654" s="350"/>
      <c r="C654" s="350"/>
      <c r="D654" s="350"/>
      <c r="E654" s="350"/>
      <c r="F654" s="350"/>
      <c r="G654" s="350"/>
      <c r="H654" s="350"/>
      <c r="I654" s="350"/>
      <c r="J654" s="350"/>
      <c r="K654" s="350"/>
      <c r="L654" s="350"/>
      <c r="M654" s="350"/>
      <c r="N654" s="350"/>
      <c r="O654" s="350"/>
    </row>
    <row r="655" spans="1:15" s="351" customFormat="1" x14ac:dyDescent="0.25">
      <c r="A655" s="362" t="str">
        <f>name!E$4</f>
        <v>Managers, directors and senior officials</v>
      </c>
      <c r="B655" s="440">
        <v>13.56202829854835</v>
      </c>
      <c r="C655" s="440">
        <v>1.1933294437521675</v>
      </c>
      <c r="D655" s="440">
        <v>3.1094471710155687</v>
      </c>
      <c r="E655" s="440">
        <f>SUM(B655:D655)</f>
        <v>17.864804913316085</v>
      </c>
      <c r="F655" s="441"/>
      <c r="G655" s="440">
        <v>18.613146067027404</v>
      </c>
      <c r="H655" s="440">
        <v>1.6686753850035243</v>
      </c>
      <c r="I655" s="440">
        <v>3.1645795373859098</v>
      </c>
      <c r="J655" s="440">
        <f>SUM(G655:I655)</f>
        <v>23.446400989416837</v>
      </c>
      <c r="K655" s="441"/>
      <c r="L655" s="440">
        <v>22.507217747923381</v>
      </c>
      <c r="M655" s="440">
        <v>2.4106162637697044</v>
      </c>
      <c r="N655" s="440">
        <v>3.4884421914132431</v>
      </c>
      <c r="O655" s="440">
        <f>SUM(L655:N655)</f>
        <v>28.406276203106327</v>
      </c>
    </row>
    <row r="656" spans="1:15" s="351" customFormat="1" x14ac:dyDescent="0.25">
      <c r="A656" s="362" t="str">
        <f>name!E$5</f>
        <v>Professional occupations</v>
      </c>
      <c r="B656" s="440">
        <v>10.078604303067692</v>
      </c>
      <c r="C656" s="440">
        <v>1.0052435098814909</v>
      </c>
      <c r="D656" s="440">
        <v>0.616203800475839</v>
      </c>
      <c r="E656" s="440">
        <f t="shared" ref="E656:E663" si="287">SUM(B656:D656)</f>
        <v>11.700051613425023</v>
      </c>
      <c r="F656" s="441"/>
      <c r="G656" s="440">
        <v>10.185748656660559</v>
      </c>
      <c r="H656" s="440">
        <v>1.3198970488870867</v>
      </c>
      <c r="I656" s="440">
        <v>0.69225791694174243</v>
      </c>
      <c r="J656" s="440">
        <f t="shared" ref="J656:J658" si="288">SUM(G656:I656)</f>
        <v>12.197903622489388</v>
      </c>
      <c r="K656" s="441"/>
      <c r="L656" s="440">
        <v>12.021268081775858</v>
      </c>
      <c r="M656" s="440">
        <v>1.7751963041278123</v>
      </c>
      <c r="N656" s="440">
        <v>0.73491785308373481</v>
      </c>
      <c r="O656" s="440">
        <f t="shared" ref="O656:O663" si="289">SUM(L656:N656)</f>
        <v>14.531382238987405</v>
      </c>
    </row>
    <row r="657" spans="1:15" s="351" customFormat="1" x14ac:dyDescent="0.25">
      <c r="A657" s="362" t="str">
        <f>name!E$6</f>
        <v>Associate professional and technical</v>
      </c>
      <c r="B657" s="440">
        <v>16.449339085007306</v>
      </c>
      <c r="C657" s="440">
        <v>1.6077715516356796</v>
      </c>
      <c r="D657" s="440">
        <v>0.63060978036851922</v>
      </c>
      <c r="E657" s="440">
        <f t="shared" si="287"/>
        <v>18.687720417011505</v>
      </c>
      <c r="F657" s="441"/>
      <c r="G657" s="440">
        <v>14.577092431401445</v>
      </c>
      <c r="H657" s="440">
        <v>2.2964551338845602</v>
      </c>
      <c r="I657" s="440">
        <v>0.70888843315899142</v>
      </c>
      <c r="J657" s="440">
        <f t="shared" si="288"/>
        <v>17.582435998444996</v>
      </c>
      <c r="K657" s="441"/>
      <c r="L657" s="440">
        <v>15.707489263964543</v>
      </c>
      <c r="M657" s="440">
        <v>3.2038865946081496</v>
      </c>
      <c r="N657" s="440">
        <v>0.75555496508179276</v>
      </c>
      <c r="O657" s="440">
        <f t="shared" si="289"/>
        <v>19.666930823654486</v>
      </c>
    </row>
    <row r="658" spans="1:15" s="351" customFormat="1" x14ac:dyDescent="0.25">
      <c r="A658" s="362" t="str">
        <f>name!E$7</f>
        <v>Administrative and secretarial</v>
      </c>
      <c r="B658" s="440">
        <v>26.085912078263735</v>
      </c>
      <c r="C658" s="440">
        <v>17.237375682000103</v>
      </c>
      <c r="D658" s="440">
        <v>0.32729366361938683</v>
      </c>
      <c r="E658" s="440">
        <f t="shared" si="287"/>
        <v>43.650581423883224</v>
      </c>
      <c r="F658" s="441"/>
      <c r="G658" s="440">
        <v>27.075381089187999</v>
      </c>
      <c r="H658" s="440">
        <v>21.931290228607025</v>
      </c>
      <c r="I658" s="440">
        <v>0.29346547714912474</v>
      </c>
      <c r="J658" s="440">
        <f t="shared" si="288"/>
        <v>49.300136794944152</v>
      </c>
      <c r="K658" s="441"/>
      <c r="L658" s="440">
        <v>25.841198669321773</v>
      </c>
      <c r="M658" s="440">
        <v>24.859051604470999</v>
      </c>
      <c r="N658" s="440">
        <v>0.27625582618453587</v>
      </c>
      <c r="O658" s="440">
        <f t="shared" si="289"/>
        <v>50.976506099977314</v>
      </c>
    </row>
    <row r="659" spans="1:15" s="351" customFormat="1" x14ac:dyDescent="0.25">
      <c r="A659" s="362" t="str">
        <f>name!E$8</f>
        <v>Skilled trades occupations</v>
      </c>
      <c r="B659" s="440">
        <v>5.8711894724561677</v>
      </c>
      <c r="C659" s="440">
        <v>5.5258628703049473</v>
      </c>
      <c r="D659" s="440">
        <v>3.580704032564876</v>
      </c>
      <c r="E659" s="440">
        <f t="shared" si="287"/>
        <v>14.97775637532599</v>
      </c>
      <c r="F659" s="441"/>
      <c r="G659" s="440">
        <v>4.4028311302329222</v>
      </c>
      <c r="H659" s="440">
        <v>5.2594069903376841</v>
      </c>
      <c r="I659" s="440">
        <v>3.2779463432537042</v>
      </c>
      <c r="J659" s="440">
        <f>SUM(G659:I659)</f>
        <v>12.940184463824311</v>
      </c>
      <c r="K659" s="441"/>
      <c r="L659" s="440">
        <v>3.4647288363921915</v>
      </c>
      <c r="M659" s="440">
        <v>4.586570115103064</v>
      </c>
      <c r="N659" s="440">
        <v>2.9205443658397736</v>
      </c>
      <c r="O659" s="440">
        <f t="shared" si="289"/>
        <v>10.971843317335029</v>
      </c>
    </row>
    <row r="660" spans="1:15" s="351" customFormat="1" x14ac:dyDescent="0.25">
      <c r="A660" s="362" t="str">
        <f>name!E$9</f>
        <v>Caring, leisure and other service</v>
      </c>
      <c r="B660" s="440">
        <v>4.1567161794580887</v>
      </c>
      <c r="C660" s="440">
        <v>2.1230108932447722</v>
      </c>
      <c r="D660" s="440">
        <v>0.62791083248015489</v>
      </c>
      <c r="E660" s="440">
        <f t="shared" si="287"/>
        <v>6.9076379051830159</v>
      </c>
      <c r="F660" s="441"/>
      <c r="G660" s="440">
        <v>4.138220169357111</v>
      </c>
      <c r="H660" s="440">
        <v>2.7840717229947956</v>
      </c>
      <c r="I660" s="440">
        <v>0.36776787142213685</v>
      </c>
      <c r="J660" s="440">
        <f t="shared" ref="J660:J663" si="290">SUM(G660:I660)</f>
        <v>7.2900597637740434</v>
      </c>
      <c r="K660" s="441"/>
      <c r="L660" s="440">
        <v>4.5292912903772846</v>
      </c>
      <c r="M660" s="440">
        <v>3.417079797429543</v>
      </c>
      <c r="N660" s="440">
        <v>0.38923915681379789</v>
      </c>
      <c r="O660" s="440">
        <f t="shared" si="289"/>
        <v>8.3356102446206251</v>
      </c>
    </row>
    <row r="661" spans="1:15" s="351" customFormat="1" x14ac:dyDescent="0.25">
      <c r="A661" s="362" t="str">
        <f>name!E$10</f>
        <v>Sales and customer service</v>
      </c>
      <c r="B661" s="440">
        <v>10.132604960571573</v>
      </c>
      <c r="C661" s="440">
        <v>5.1166133822574595</v>
      </c>
      <c r="D661" s="440">
        <v>0.22716430211348421</v>
      </c>
      <c r="E661" s="440">
        <f t="shared" si="287"/>
        <v>15.476382644942516</v>
      </c>
      <c r="F661" s="441"/>
      <c r="G661" s="440">
        <v>12.864692207834089</v>
      </c>
      <c r="H661" s="440">
        <v>6.6708875478777481</v>
      </c>
      <c r="I661" s="440">
        <v>0.22714571822759139</v>
      </c>
      <c r="J661" s="440">
        <f t="shared" si="290"/>
        <v>19.76272547393943</v>
      </c>
      <c r="K661" s="441"/>
      <c r="L661" s="440">
        <v>13.852717543912702</v>
      </c>
      <c r="M661" s="440">
        <v>9.2308978664533381</v>
      </c>
      <c r="N661" s="440">
        <v>0.23635813125294028</v>
      </c>
      <c r="O661" s="440">
        <f t="shared" si="289"/>
        <v>23.319973541618982</v>
      </c>
    </row>
    <row r="662" spans="1:15" s="351" customFormat="1" x14ac:dyDescent="0.25">
      <c r="A662" s="362" t="str">
        <f>name!E$11</f>
        <v>Process, plant and machine operatives</v>
      </c>
      <c r="B662" s="440">
        <v>28.704934216080105</v>
      </c>
      <c r="C662" s="440">
        <v>2.9267870190214458</v>
      </c>
      <c r="D662" s="440">
        <v>6.8327974454834983</v>
      </c>
      <c r="E662" s="440">
        <f t="shared" si="287"/>
        <v>38.464518680585051</v>
      </c>
      <c r="F662" s="441"/>
      <c r="G662" s="440">
        <v>25.510456635197599</v>
      </c>
      <c r="H662" s="440">
        <v>3.5585822142260364</v>
      </c>
      <c r="I662" s="440">
        <v>7.558943401740283</v>
      </c>
      <c r="J662" s="440">
        <f t="shared" si="290"/>
        <v>36.627982251163914</v>
      </c>
      <c r="K662" s="441"/>
      <c r="L662" s="440">
        <v>26.180082484863934</v>
      </c>
      <c r="M662" s="440">
        <v>3.5978680291885681</v>
      </c>
      <c r="N662" s="440">
        <v>7.1217182522035607</v>
      </c>
      <c r="O662" s="440">
        <f t="shared" si="289"/>
        <v>36.899668766256063</v>
      </c>
    </row>
    <row r="663" spans="1:15" s="351" customFormat="1" x14ac:dyDescent="0.25">
      <c r="A663" s="362" t="str">
        <f>name!E$12</f>
        <v>Elementary occupations</v>
      </c>
      <c r="B663" s="440">
        <v>91.185671404882711</v>
      </c>
      <c r="C663" s="440">
        <v>24.215005647853385</v>
      </c>
      <c r="D663" s="440">
        <v>2.7958689719653922</v>
      </c>
      <c r="E663" s="440">
        <f t="shared" si="287"/>
        <v>118.19654602470149</v>
      </c>
      <c r="F663" s="441"/>
      <c r="G663" s="440">
        <v>74.665431612593906</v>
      </c>
      <c r="H663" s="440">
        <v>30.187733728949954</v>
      </c>
      <c r="I663" s="440">
        <v>2.9440053014538852</v>
      </c>
      <c r="J663" s="440">
        <f t="shared" si="290"/>
        <v>107.79717064299774</v>
      </c>
      <c r="K663" s="441"/>
      <c r="L663" s="440">
        <v>70.264006080139509</v>
      </c>
      <c r="M663" s="440">
        <v>35.625833425187082</v>
      </c>
      <c r="N663" s="440">
        <v>3.3109692581569168</v>
      </c>
      <c r="O663" s="440">
        <f t="shared" si="289"/>
        <v>109.20080876348351</v>
      </c>
    </row>
    <row r="664" spans="1:15" s="351" customFormat="1" x14ac:dyDescent="0.25">
      <c r="A664" s="362"/>
      <c r="B664" s="440"/>
      <c r="C664" s="440"/>
      <c r="D664" s="440"/>
      <c r="E664" s="440"/>
      <c r="F664" s="441"/>
      <c r="G664" s="440"/>
      <c r="H664" s="440"/>
      <c r="I664" s="440"/>
      <c r="J664" s="440"/>
      <c r="K664" s="441"/>
      <c r="L664" s="440"/>
      <c r="M664" s="440"/>
      <c r="N664" s="440"/>
      <c r="O664" s="440"/>
    </row>
    <row r="665" spans="1:15" s="351" customFormat="1" x14ac:dyDescent="0.25">
      <c r="A665" s="357" t="s">
        <v>32</v>
      </c>
      <c r="B665" s="450">
        <f>SUM(B655:B663)</f>
        <v>206.22699999833571</v>
      </c>
      <c r="C665" s="450">
        <f t="shared" ref="C665:E665" si="291">SUM(C655:C663)</f>
        <v>60.950999999951449</v>
      </c>
      <c r="D665" s="450">
        <f t="shared" si="291"/>
        <v>18.748000000086719</v>
      </c>
      <c r="E665" s="450">
        <f t="shared" si="291"/>
        <v>285.92599999837387</v>
      </c>
      <c r="F665" s="450"/>
      <c r="G665" s="450">
        <f t="shared" ref="G665:J665" si="292">SUM(G655:G663)</f>
        <v>192.03299999949303</v>
      </c>
      <c r="H665" s="450">
        <f t="shared" si="292"/>
        <v>75.677000000768416</v>
      </c>
      <c r="I665" s="450">
        <f t="shared" si="292"/>
        <v>19.235000000733368</v>
      </c>
      <c r="J665" s="450">
        <f t="shared" si="292"/>
        <v>286.94500000099481</v>
      </c>
      <c r="K665" s="450"/>
      <c r="L665" s="450">
        <f t="shared" ref="L665:O665" si="293">SUM(L655:L663)</f>
        <v>194.36799999867117</v>
      </c>
      <c r="M665" s="450">
        <f t="shared" si="293"/>
        <v>88.707000000338269</v>
      </c>
      <c r="N665" s="450">
        <f t="shared" si="293"/>
        <v>19.234000000030296</v>
      </c>
      <c r="O665" s="450">
        <f t="shared" si="293"/>
        <v>302.30899999903977</v>
      </c>
    </row>
    <row r="666" spans="1:15" s="351" customFormat="1" x14ac:dyDescent="0.25">
      <c r="A666" s="348"/>
      <c r="B666" s="348"/>
      <c r="C666" s="348"/>
      <c r="D666" s="348"/>
      <c r="E666" s="348"/>
      <c r="F666" s="348"/>
      <c r="G666" s="348"/>
      <c r="H666" s="348"/>
      <c r="I666" s="348"/>
      <c r="J666" s="348"/>
      <c r="K666" s="348"/>
      <c r="L666" s="348"/>
      <c r="M666" s="348"/>
      <c r="N666" s="353"/>
    </row>
    <row r="667" spans="1:15" s="351" customFormat="1" x14ac:dyDescent="0.25">
      <c r="A667" s="348"/>
      <c r="B667" s="348"/>
      <c r="C667" s="348"/>
      <c r="D667" s="348"/>
      <c r="E667" s="348"/>
      <c r="F667" s="348"/>
      <c r="G667" s="348"/>
      <c r="H667" s="348"/>
      <c r="I667" s="348"/>
      <c r="J667" s="348"/>
      <c r="K667" s="348"/>
      <c r="L667" s="348"/>
      <c r="M667" s="348"/>
      <c r="N667" s="353"/>
      <c r="O667" s="367" t="s">
        <v>35</v>
      </c>
    </row>
    <row r="668" spans="1:15" s="351" customFormat="1" x14ac:dyDescent="0.25">
      <c r="A668" s="355"/>
      <c r="B668" s="355"/>
      <c r="C668" s="355"/>
      <c r="D668" s="355"/>
      <c r="E668" s="355"/>
      <c r="F668" s="355"/>
      <c r="G668" s="355"/>
      <c r="H668" s="355"/>
      <c r="I668" s="355"/>
      <c r="J668" s="355"/>
      <c r="K668" s="355"/>
      <c r="L668" s="355"/>
      <c r="M668" s="355"/>
      <c r="N668" s="355"/>
      <c r="O668" s="355"/>
    </row>
    <row r="669" spans="1:15" s="351" customFormat="1" x14ac:dyDescent="0.25">
      <c r="A669" s="354" t="str">
        <f>name!A42</f>
        <v>Accommodation</v>
      </c>
      <c r="B669" s="517">
        <f>$B$6</f>
        <v>2007</v>
      </c>
      <c r="C669" s="517"/>
      <c r="D669" s="517"/>
      <c r="E669" s="517"/>
      <c r="F669" s="380"/>
      <c r="G669" s="517">
        <f>$G$6</f>
        <v>2017</v>
      </c>
      <c r="H669" s="517"/>
      <c r="I669" s="517"/>
      <c r="J669" s="517"/>
      <c r="K669" s="380"/>
      <c r="L669" s="517">
        <f>$L$6</f>
        <v>2027</v>
      </c>
      <c r="M669" s="517"/>
      <c r="N669" s="517"/>
      <c r="O669" s="517"/>
    </row>
    <row r="670" spans="1:15" s="351" customFormat="1" x14ac:dyDescent="0.25">
      <c r="A670" s="370"/>
      <c r="B670" s="388" t="str">
        <f>$B$7</f>
        <v>FT</v>
      </c>
      <c r="C670" s="388" t="str">
        <f>$C$7</f>
        <v>PT</v>
      </c>
      <c r="D670" s="388" t="str">
        <f>$D$7</f>
        <v>SE</v>
      </c>
      <c r="E670" s="388" t="str">
        <f>$E$7</f>
        <v>Total</v>
      </c>
      <c r="F670" s="388"/>
      <c r="G670" s="388" t="str">
        <f>$G$7</f>
        <v>FT</v>
      </c>
      <c r="H670" s="388" t="str">
        <f>$H$7</f>
        <v>PT</v>
      </c>
      <c r="I670" s="388" t="str">
        <f>$I$7</f>
        <v>SE</v>
      </c>
      <c r="J670" s="388" t="str">
        <f>$J$7</f>
        <v>Total</v>
      </c>
      <c r="K670" s="388"/>
      <c r="L670" s="388" t="str">
        <f>$L$7</f>
        <v>FT</v>
      </c>
      <c r="M670" s="388" t="str">
        <f>$M$7</f>
        <v>PT</v>
      </c>
      <c r="N670" s="388" t="str">
        <f>$N$7</f>
        <v>SE</v>
      </c>
      <c r="O670" s="388" t="str">
        <f>$O$7</f>
        <v>Total</v>
      </c>
    </row>
    <row r="671" spans="1:15" s="351" customFormat="1" x14ac:dyDescent="0.25">
      <c r="A671" s="374"/>
      <c r="B671" s="350"/>
      <c r="C671" s="350"/>
      <c r="D671" s="350"/>
      <c r="E671" s="350"/>
      <c r="F671" s="350"/>
      <c r="G671" s="350"/>
      <c r="H671" s="350"/>
      <c r="I671" s="350"/>
      <c r="J671" s="350"/>
      <c r="K671" s="350"/>
      <c r="L671" s="350"/>
      <c r="M671" s="350"/>
      <c r="N671" s="350"/>
      <c r="O671" s="350"/>
    </row>
    <row r="672" spans="1:15" s="351" customFormat="1" x14ac:dyDescent="0.25">
      <c r="A672" s="362" t="str">
        <f>name!E$4</f>
        <v>Managers, directors and senior officials</v>
      </c>
      <c r="B672" s="440">
        <v>35.659877481194933</v>
      </c>
      <c r="C672" s="440">
        <v>4.5319030356844321</v>
      </c>
      <c r="D672" s="440">
        <v>23.482784536253341</v>
      </c>
      <c r="E672" s="440">
        <f>SUM(B672:D672)</f>
        <v>63.674565053132703</v>
      </c>
      <c r="F672" s="441"/>
      <c r="G672" s="440">
        <v>45.68674585233547</v>
      </c>
      <c r="H672" s="440">
        <v>5.6440346514479662</v>
      </c>
      <c r="I672" s="440">
        <v>43.310172953145745</v>
      </c>
      <c r="J672" s="440">
        <f>SUM(G672:I672)</f>
        <v>94.640953456929182</v>
      </c>
      <c r="K672" s="441"/>
      <c r="L672" s="440">
        <v>55.366584420056007</v>
      </c>
      <c r="M672" s="440">
        <v>6.9950329555707089</v>
      </c>
      <c r="N672" s="440">
        <v>45.005613372668428</v>
      </c>
      <c r="O672" s="440">
        <f>SUM(L672:N672)</f>
        <v>107.36723074829514</v>
      </c>
    </row>
    <row r="673" spans="1:15" s="351" customFormat="1" x14ac:dyDescent="0.25">
      <c r="A673" s="362" t="str">
        <f>name!E$5</f>
        <v>Professional occupations</v>
      </c>
      <c r="B673" s="440">
        <v>9.5259423400902765</v>
      </c>
      <c r="C673" s="440">
        <v>1.1021112782523952</v>
      </c>
      <c r="D673" s="440">
        <v>0.75972950960915187</v>
      </c>
      <c r="E673" s="440">
        <f t="shared" ref="E673:E680" si="294">SUM(B673:D673)</f>
        <v>11.387783127951824</v>
      </c>
      <c r="F673" s="441"/>
      <c r="G673" s="440">
        <v>12.651848642105836</v>
      </c>
      <c r="H673" s="440">
        <v>1.5329202219892186</v>
      </c>
      <c r="I673" s="440">
        <v>1.4192010090782019</v>
      </c>
      <c r="J673" s="440">
        <f t="shared" ref="J673:J675" si="295">SUM(G673:I673)</f>
        <v>15.603969873173257</v>
      </c>
      <c r="K673" s="441"/>
      <c r="L673" s="440">
        <v>15.179256317033701</v>
      </c>
      <c r="M673" s="440">
        <v>1.9076744540590611</v>
      </c>
      <c r="N673" s="440">
        <v>1.3096077243071131</v>
      </c>
      <c r="O673" s="440">
        <f t="shared" ref="O673:O680" si="296">SUM(L673:N673)</f>
        <v>18.396538495399877</v>
      </c>
    </row>
    <row r="674" spans="1:15" s="351" customFormat="1" x14ac:dyDescent="0.25">
      <c r="A674" s="362" t="str">
        <f>name!E$6</f>
        <v>Associate professional and technical</v>
      </c>
      <c r="B674" s="440">
        <v>8.5359527747953639</v>
      </c>
      <c r="C674" s="440">
        <v>2.5664779709468903</v>
      </c>
      <c r="D674" s="440">
        <v>0.7611885293937164</v>
      </c>
      <c r="E674" s="440">
        <f t="shared" si="294"/>
        <v>11.863619275135971</v>
      </c>
      <c r="F674" s="441"/>
      <c r="G674" s="440">
        <v>13.503279601458599</v>
      </c>
      <c r="H674" s="440">
        <v>4.2224315388180287</v>
      </c>
      <c r="I674" s="440">
        <v>1.0605950492757401</v>
      </c>
      <c r="J674" s="440">
        <f t="shared" si="295"/>
        <v>18.78630618955237</v>
      </c>
      <c r="K674" s="441"/>
      <c r="L674" s="440">
        <v>17.017073734703523</v>
      </c>
      <c r="M674" s="440">
        <v>5.2777155549101424</v>
      </c>
      <c r="N674" s="440">
        <v>1.0518931166796714</v>
      </c>
      <c r="O674" s="440">
        <f t="shared" si="296"/>
        <v>23.346682406293336</v>
      </c>
    </row>
    <row r="675" spans="1:15" s="351" customFormat="1" x14ac:dyDescent="0.25">
      <c r="A675" s="362" t="str">
        <f>name!E$7</f>
        <v>Administrative and secretarial</v>
      </c>
      <c r="B675" s="440">
        <v>19.220368986906834</v>
      </c>
      <c r="C675" s="440">
        <v>5.0672109357707855</v>
      </c>
      <c r="D675" s="440">
        <v>0.21094334258991884</v>
      </c>
      <c r="E675" s="440">
        <f t="shared" si="294"/>
        <v>24.498523265267536</v>
      </c>
      <c r="F675" s="441"/>
      <c r="G675" s="440">
        <v>20.694399062645349</v>
      </c>
      <c r="H675" s="440">
        <v>7.1032253943871835</v>
      </c>
      <c r="I675" s="440">
        <v>0.4664886529079782</v>
      </c>
      <c r="J675" s="440">
        <f t="shared" si="295"/>
        <v>28.26411310994051</v>
      </c>
      <c r="K675" s="441"/>
      <c r="L675" s="440">
        <v>19.64093459411594</v>
      </c>
      <c r="M675" s="440">
        <v>6.8345410723018043</v>
      </c>
      <c r="N675" s="440">
        <v>0.39264235852389084</v>
      </c>
      <c r="O675" s="440">
        <f t="shared" si="296"/>
        <v>26.868118024941634</v>
      </c>
    </row>
    <row r="676" spans="1:15" s="351" customFormat="1" x14ac:dyDescent="0.25">
      <c r="A676" s="362" t="str">
        <f>name!E$8</f>
        <v>Skilled trades occupations</v>
      </c>
      <c r="B676" s="440">
        <v>56.949753902807643</v>
      </c>
      <c r="C676" s="440">
        <v>14.880737171682174</v>
      </c>
      <c r="D676" s="440">
        <v>4.9625186628585105</v>
      </c>
      <c r="E676" s="440">
        <f t="shared" si="294"/>
        <v>76.793009737348328</v>
      </c>
      <c r="F676" s="441"/>
      <c r="G676" s="440">
        <v>63.078582472884328</v>
      </c>
      <c r="H676" s="440">
        <v>15.75550319514762</v>
      </c>
      <c r="I676" s="440">
        <v>9.0463644243364492</v>
      </c>
      <c r="J676" s="440">
        <f>SUM(G676:I676)</f>
        <v>87.880450092368392</v>
      </c>
      <c r="K676" s="441"/>
      <c r="L676" s="440">
        <v>55.013769229450681</v>
      </c>
      <c r="M676" s="440">
        <v>13.362539521893487</v>
      </c>
      <c r="N676" s="440">
        <v>7.667966446054475</v>
      </c>
      <c r="O676" s="440">
        <f t="shared" si="296"/>
        <v>76.044275197398647</v>
      </c>
    </row>
    <row r="677" spans="1:15" s="351" customFormat="1" x14ac:dyDescent="0.25">
      <c r="A677" s="362" t="str">
        <f>name!E$9</f>
        <v>Caring, leisure and other service</v>
      </c>
      <c r="B677" s="440">
        <v>8.8637570289231178</v>
      </c>
      <c r="C677" s="440">
        <v>6.51542139558752</v>
      </c>
      <c r="D677" s="440">
        <v>1.0201052517522569</v>
      </c>
      <c r="E677" s="440">
        <f t="shared" si="294"/>
        <v>16.399283676262893</v>
      </c>
      <c r="F677" s="441"/>
      <c r="G677" s="440">
        <v>14.986943166337438</v>
      </c>
      <c r="H677" s="440">
        <v>6.9173576267809098</v>
      </c>
      <c r="I677" s="440">
        <v>1.9059722630579548</v>
      </c>
      <c r="J677" s="440">
        <f t="shared" ref="J677:J680" si="297">SUM(G677:I677)</f>
        <v>23.810273056176303</v>
      </c>
      <c r="K677" s="441"/>
      <c r="L677" s="440">
        <v>17.330444649397016</v>
      </c>
      <c r="M677" s="440">
        <v>7.5233772610645699</v>
      </c>
      <c r="N677" s="440">
        <v>1.9001732565990281</v>
      </c>
      <c r="O677" s="440">
        <f t="shared" si="296"/>
        <v>26.753995167060616</v>
      </c>
    </row>
    <row r="678" spans="1:15" s="351" customFormat="1" x14ac:dyDescent="0.25">
      <c r="A678" s="362" t="str">
        <f>name!E$10</f>
        <v>Sales and customer service</v>
      </c>
      <c r="B678" s="440">
        <v>10.086708919727323</v>
      </c>
      <c r="C678" s="440">
        <v>16.385742765574161</v>
      </c>
      <c r="D678" s="440">
        <v>0.94307395637041114</v>
      </c>
      <c r="E678" s="440">
        <f t="shared" si="294"/>
        <v>27.415525641671898</v>
      </c>
      <c r="F678" s="441"/>
      <c r="G678" s="440">
        <v>10.522660636542678</v>
      </c>
      <c r="H678" s="440">
        <v>20.334770163051616</v>
      </c>
      <c r="I678" s="440">
        <v>2.2712705441671046</v>
      </c>
      <c r="J678" s="440">
        <f t="shared" si="297"/>
        <v>33.128701343761399</v>
      </c>
      <c r="K678" s="441"/>
      <c r="L678" s="440">
        <v>12.084106227760472</v>
      </c>
      <c r="M678" s="440">
        <v>22.790096473589742</v>
      </c>
      <c r="N678" s="440">
        <v>1.9504503119505248</v>
      </c>
      <c r="O678" s="440">
        <f t="shared" si="296"/>
        <v>36.82465301330074</v>
      </c>
    </row>
    <row r="679" spans="1:15" s="351" customFormat="1" x14ac:dyDescent="0.25">
      <c r="A679" s="362" t="str">
        <f>name!E$11</f>
        <v>Process, plant and machine operatives</v>
      </c>
      <c r="B679" s="440">
        <v>5.4765557756814447</v>
      </c>
      <c r="C679" s="440">
        <v>3.5962953900239865</v>
      </c>
      <c r="D679" s="440">
        <v>0.73283267816818809</v>
      </c>
      <c r="E679" s="440">
        <f t="shared" si="294"/>
        <v>9.80568384387362</v>
      </c>
      <c r="F679" s="441"/>
      <c r="G679" s="440">
        <v>6.4753762339915548</v>
      </c>
      <c r="H679" s="440">
        <v>5.4824044227810589</v>
      </c>
      <c r="I679" s="440">
        <v>1.1590361039423156</v>
      </c>
      <c r="J679" s="440">
        <f t="shared" si="297"/>
        <v>13.116816760714929</v>
      </c>
      <c r="K679" s="441"/>
      <c r="L679" s="440">
        <v>5.7825341471621252</v>
      </c>
      <c r="M679" s="440">
        <v>5.1656727198936609</v>
      </c>
      <c r="N679" s="440">
        <v>1.0859907723692481</v>
      </c>
      <c r="O679" s="440">
        <f t="shared" si="296"/>
        <v>12.034197639425035</v>
      </c>
    </row>
    <row r="680" spans="1:15" s="351" customFormat="1" x14ac:dyDescent="0.25">
      <c r="A680" s="362" t="str">
        <f>name!E$12</f>
        <v>Elementary occupations</v>
      </c>
      <c r="B680" s="440">
        <v>60.246082788240088</v>
      </c>
      <c r="C680" s="440">
        <v>136.78610005730081</v>
      </c>
      <c r="D680" s="440">
        <v>1.8478235331945472</v>
      </c>
      <c r="E680" s="440">
        <f t="shared" si="294"/>
        <v>198.88000637873543</v>
      </c>
      <c r="F680" s="441"/>
      <c r="G680" s="440">
        <v>89.40916433166619</v>
      </c>
      <c r="H680" s="440">
        <v>133.01335278969279</v>
      </c>
      <c r="I680" s="440">
        <v>8.7478990013843347</v>
      </c>
      <c r="J680" s="440">
        <f t="shared" si="297"/>
        <v>231.17041612274329</v>
      </c>
      <c r="K680" s="441"/>
      <c r="L680" s="440">
        <v>96.697296678901168</v>
      </c>
      <c r="M680" s="440">
        <v>142.87634998866289</v>
      </c>
      <c r="N680" s="440">
        <v>9.7336626416450631</v>
      </c>
      <c r="O680" s="440">
        <f t="shared" si="296"/>
        <v>249.3073093092091</v>
      </c>
    </row>
    <row r="681" spans="1:15" s="351" customFormat="1" x14ac:dyDescent="0.25">
      <c r="A681" s="362"/>
      <c r="B681" s="440"/>
      <c r="C681" s="440"/>
      <c r="D681" s="440"/>
      <c r="E681" s="440"/>
      <c r="F681" s="441"/>
      <c r="G681" s="440"/>
      <c r="H681" s="440"/>
      <c r="I681" s="440"/>
      <c r="J681" s="440"/>
      <c r="K681" s="441"/>
      <c r="L681" s="440"/>
      <c r="M681" s="440"/>
      <c r="N681" s="440"/>
      <c r="O681" s="440"/>
    </row>
    <row r="682" spans="1:15" s="351" customFormat="1" x14ac:dyDescent="0.25">
      <c r="A682" s="357" t="s">
        <v>32</v>
      </c>
      <c r="B682" s="450">
        <f>SUM(B672:B680)</f>
        <v>214.564999998367</v>
      </c>
      <c r="C682" s="450">
        <f t="shared" ref="C682:E682" si="298">SUM(C672:C680)</f>
        <v>191.43200000082317</v>
      </c>
      <c r="D682" s="450">
        <f t="shared" si="298"/>
        <v>34.721000000190038</v>
      </c>
      <c r="E682" s="450">
        <f t="shared" si="298"/>
        <v>440.7179999993802</v>
      </c>
      <c r="F682" s="450"/>
      <c r="G682" s="450">
        <f t="shared" ref="G682:J682" si="299">SUM(G672:G680)</f>
        <v>277.00899999996744</v>
      </c>
      <c r="H682" s="450">
        <f t="shared" si="299"/>
        <v>200.00600000409639</v>
      </c>
      <c r="I682" s="450">
        <f t="shared" si="299"/>
        <v>69.387000001295817</v>
      </c>
      <c r="J682" s="450">
        <f t="shared" si="299"/>
        <v>546.4020000053597</v>
      </c>
      <c r="K682" s="450"/>
      <c r="L682" s="450">
        <f t="shared" ref="L682:O682" si="300">SUM(L672:L680)</f>
        <v>294.11199999858059</v>
      </c>
      <c r="M682" s="450">
        <f t="shared" si="300"/>
        <v>212.73300000194607</v>
      </c>
      <c r="N682" s="450">
        <f t="shared" si="300"/>
        <v>70.098000000797441</v>
      </c>
      <c r="O682" s="450">
        <f t="shared" si="300"/>
        <v>576.94300000132409</v>
      </c>
    </row>
    <row r="683" spans="1:15" s="351" customFormat="1" x14ac:dyDescent="0.25">
      <c r="A683" s="348"/>
      <c r="B683" s="348"/>
      <c r="C683" s="348"/>
      <c r="D683" s="348"/>
      <c r="E683" s="348"/>
      <c r="F683" s="348"/>
      <c r="G683" s="348"/>
      <c r="H683" s="348"/>
      <c r="I683" s="348"/>
      <c r="J683" s="348"/>
      <c r="K683" s="348"/>
      <c r="L683" s="348"/>
      <c r="M683" s="348"/>
      <c r="N683" s="353"/>
    </row>
    <row r="684" spans="1:15" s="351" customFormat="1" x14ac:dyDescent="0.25">
      <c r="A684" s="348"/>
      <c r="B684" s="348"/>
      <c r="C684" s="348"/>
      <c r="D684" s="348"/>
      <c r="E684" s="348"/>
      <c r="F684" s="348"/>
      <c r="G684" s="348"/>
      <c r="H684" s="348"/>
      <c r="I684" s="348"/>
      <c r="J684" s="348"/>
      <c r="K684" s="348"/>
      <c r="L684" s="348"/>
      <c r="M684" s="348"/>
      <c r="N684" s="353"/>
      <c r="O684" s="367" t="s">
        <v>35</v>
      </c>
    </row>
    <row r="685" spans="1:15" s="351" customFormat="1" x14ac:dyDescent="0.25">
      <c r="A685" s="355"/>
      <c r="B685" s="355"/>
      <c r="C685" s="355"/>
      <c r="D685" s="355"/>
      <c r="E685" s="355"/>
      <c r="F685" s="355"/>
      <c r="G685" s="355"/>
      <c r="H685" s="355"/>
      <c r="I685" s="355"/>
      <c r="J685" s="355"/>
      <c r="K685" s="355"/>
      <c r="L685" s="355"/>
      <c r="M685" s="355"/>
      <c r="N685" s="355"/>
      <c r="O685" s="355"/>
    </row>
    <row r="686" spans="1:15" s="351" customFormat="1" x14ac:dyDescent="0.25">
      <c r="A686" s="354" t="str">
        <f>name!A43</f>
        <v>Food and beverage services</v>
      </c>
      <c r="B686" s="517">
        <f>$B$6</f>
        <v>2007</v>
      </c>
      <c r="C686" s="517"/>
      <c r="D686" s="517"/>
      <c r="E686" s="517"/>
      <c r="F686" s="380"/>
      <c r="G686" s="517">
        <f>$G$6</f>
        <v>2017</v>
      </c>
      <c r="H686" s="517"/>
      <c r="I686" s="517"/>
      <c r="J686" s="517"/>
      <c r="K686" s="380"/>
      <c r="L686" s="517">
        <f>$L$6</f>
        <v>2027</v>
      </c>
      <c r="M686" s="517"/>
      <c r="N686" s="517"/>
      <c r="O686" s="517"/>
    </row>
    <row r="687" spans="1:15" s="351" customFormat="1" x14ac:dyDescent="0.25">
      <c r="A687" s="370"/>
      <c r="B687" s="388" t="str">
        <f>$B$7</f>
        <v>FT</v>
      </c>
      <c r="C687" s="388" t="str">
        <f>$C$7</f>
        <v>PT</v>
      </c>
      <c r="D687" s="388" t="str">
        <f>$D$7</f>
        <v>SE</v>
      </c>
      <c r="E687" s="388" t="str">
        <f>$E$7</f>
        <v>Total</v>
      </c>
      <c r="F687" s="388"/>
      <c r="G687" s="388" t="str">
        <f>$G$7</f>
        <v>FT</v>
      </c>
      <c r="H687" s="388" t="str">
        <f>$H$7</f>
        <v>PT</v>
      </c>
      <c r="I687" s="388" t="str">
        <f>$I$7</f>
        <v>SE</v>
      </c>
      <c r="J687" s="388" t="str">
        <f>$J$7</f>
        <v>Total</v>
      </c>
      <c r="K687" s="388"/>
      <c r="L687" s="388" t="str">
        <f>$L$7</f>
        <v>FT</v>
      </c>
      <c r="M687" s="388" t="str">
        <f>$M$7</f>
        <v>PT</v>
      </c>
      <c r="N687" s="388" t="str">
        <f>$N$7</f>
        <v>SE</v>
      </c>
      <c r="O687" s="388" t="str">
        <f>$O$7</f>
        <v>Total</v>
      </c>
    </row>
    <row r="688" spans="1:15" s="351" customFormat="1" x14ac:dyDescent="0.25">
      <c r="A688" s="374"/>
      <c r="B688" s="350"/>
      <c r="C688" s="350"/>
      <c r="D688" s="350"/>
      <c r="E688" s="350"/>
      <c r="F688" s="350"/>
      <c r="G688" s="350"/>
      <c r="H688" s="350"/>
      <c r="I688" s="350"/>
      <c r="J688" s="350"/>
      <c r="K688" s="350"/>
      <c r="L688" s="350"/>
      <c r="M688" s="350"/>
      <c r="N688" s="350"/>
      <c r="O688" s="350"/>
    </row>
    <row r="689" spans="1:15" s="351" customFormat="1" x14ac:dyDescent="0.25">
      <c r="A689" s="362" t="str">
        <f>name!E$4</f>
        <v>Managers, directors and senior officials</v>
      </c>
      <c r="B689" s="440">
        <v>108.8865003570701</v>
      </c>
      <c r="C689" s="440">
        <v>19.631664253698506</v>
      </c>
      <c r="D689" s="440">
        <v>59.644279287628592</v>
      </c>
      <c r="E689" s="440">
        <f>SUM(B689:D689)</f>
        <v>188.16244389839721</v>
      </c>
      <c r="F689" s="441"/>
      <c r="G689" s="440">
        <v>126.36113616329321</v>
      </c>
      <c r="H689" s="440">
        <v>28.293183382616785</v>
      </c>
      <c r="I689" s="440">
        <v>66.392586364267927</v>
      </c>
      <c r="J689" s="440">
        <f>SUM(G689:I689)</f>
        <v>221.04690591017794</v>
      </c>
      <c r="K689" s="441"/>
      <c r="L689" s="440">
        <v>148.68876737467218</v>
      </c>
      <c r="M689" s="440">
        <v>31.912025488074718</v>
      </c>
      <c r="N689" s="440">
        <v>72.132346753643859</v>
      </c>
      <c r="O689" s="440">
        <f>SUM(L689:N689)</f>
        <v>252.73313961639076</v>
      </c>
    </row>
    <row r="690" spans="1:15" s="351" customFormat="1" x14ac:dyDescent="0.25">
      <c r="A690" s="362" t="str">
        <f>name!E$5</f>
        <v>Professional occupations</v>
      </c>
      <c r="B690" s="440">
        <v>30.037670410266657</v>
      </c>
      <c r="C690" s="440">
        <v>4.7649498881102135</v>
      </c>
      <c r="D690" s="440">
        <v>2.1091181728439317</v>
      </c>
      <c r="E690" s="440">
        <f t="shared" ref="E690:E697" si="301">SUM(B690:D690)</f>
        <v>36.911738471220801</v>
      </c>
      <c r="F690" s="441"/>
      <c r="G690" s="440">
        <v>34.757479398806765</v>
      </c>
      <c r="H690" s="440">
        <v>7.5009189169524593</v>
      </c>
      <c r="I690" s="440">
        <v>2.7255165952991609</v>
      </c>
      <c r="J690" s="440">
        <f t="shared" ref="J690:J692" si="302">SUM(G690:I690)</f>
        <v>44.983914911058385</v>
      </c>
      <c r="K690" s="441"/>
      <c r="L690" s="440">
        <v>40.838296870285333</v>
      </c>
      <c r="M690" s="440">
        <v>8.5682942273561498</v>
      </c>
      <c r="N690" s="440">
        <v>2.5347605477764135</v>
      </c>
      <c r="O690" s="440">
        <f t="shared" ref="O690:O697" si="303">SUM(L690:N690)</f>
        <v>51.941351645417896</v>
      </c>
    </row>
    <row r="691" spans="1:15" s="351" customFormat="1" x14ac:dyDescent="0.25">
      <c r="A691" s="362" t="str">
        <f>name!E$6</f>
        <v>Associate professional and technical</v>
      </c>
      <c r="B691" s="440">
        <v>27.043104298631633</v>
      </c>
      <c r="C691" s="440">
        <v>11.543949412324153</v>
      </c>
      <c r="D691" s="440">
        <v>2.0729171621062368</v>
      </c>
      <c r="E691" s="440">
        <f t="shared" si="301"/>
        <v>40.659970873062022</v>
      </c>
      <c r="F691" s="441"/>
      <c r="G691" s="440">
        <v>37.274849135975678</v>
      </c>
      <c r="H691" s="440">
        <v>20.775693933554084</v>
      </c>
      <c r="I691" s="440">
        <v>1.644029026439799</v>
      </c>
      <c r="J691" s="440">
        <f t="shared" si="302"/>
        <v>59.694572095969562</v>
      </c>
      <c r="K691" s="441"/>
      <c r="L691" s="440">
        <v>46.301914111923409</v>
      </c>
      <c r="M691" s="440">
        <v>23.710562349523112</v>
      </c>
      <c r="N691" s="440">
        <v>1.6649240172492896</v>
      </c>
      <c r="O691" s="440">
        <f t="shared" si="303"/>
        <v>71.677400478695816</v>
      </c>
    </row>
    <row r="692" spans="1:15" s="351" customFormat="1" x14ac:dyDescent="0.25">
      <c r="A692" s="362" t="str">
        <f>name!E$7</f>
        <v>Administrative and secretarial</v>
      </c>
      <c r="B692" s="440">
        <v>60.877845967346772</v>
      </c>
      <c r="C692" s="440">
        <v>20.040573023815984</v>
      </c>
      <c r="D692" s="440">
        <v>0.41512951442198143</v>
      </c>
      <c r="E692" s="440">
        <f t="shared" si="301"/>
        <v>81.33354850558473</v>
      </c>
      <c r="F692" s="441"/>
      <c r="G692" s="440">
        <v>54.543242750727529</v>
      </c>
      <c r="H692" s="440">
        <v>30.346042143400233</v>
      </c>
      <c r="I692" s="440">
        <v>0.74839872120657081</v>
      </c>
      <c r="J692" s="440">
        <f t="shared" si="302"/>
        <v>85.637683615334339</v>
      </c>
      <c r="K692" s="441"/>
      <c r="L692" s="440">
        <v>51.960730364771869</v>
      </c>
      <c r="M692" s="440">
        <v>27.060524154473583</v>
      </c>
      <c r="N692" s="440">
        <v>0.73581121587959208</v>
      </c>
      <c r="O692" s="440">
        <f t="shared" si="303"/>
        <v>79.757065735125039</v>
      </c>
    </row>
    <row r="693" spans="1:15" s="351" customFormat="1" x14ac:dyDescent="0.25">
      <c r="A693" s="362" t="str">
        <f>name!E$8</f>
        <v>Skilled trades occupations</v>
      </c>
      <c r="B693" s="440">
        <v>177.58447520909073</v>
      </c>
      <c r="C693" s="440">
        <v>63.487628450695482</v>
      </c>
      <c r="D693" s="440">
        <v>14.456291651791021</v>
      </c>
      <c r="E693" s="440">
        <f t="shared" si="301"/>
        <v>255.52839531157721</v>
      </c>
      <c r="F693" s="441"/>
      <c r="G693" s="440">
        <v>181.66117021613442</v>
      </c>
      <c r="H693" s="440">
        <v>87.19626347819711</v>
      </c>
      <c r="I693" s="440">
        <v>15.497552975439977</v>
      </c>
      <c r="J693" s="440">
        <f>SUM(G693:I693)</f>
        <v>284.35498666977151</v>
      </c>
      <c r="K693" s="441"/>
      <c r="L693" s="440">
        <v>157.38361032264913</v>
      </c>
      <c r="M693" s="440">
        <v>66.768908228192203</v>
      </c>
      <c r="N693" s="440">
        <v>13.107679608482234</v>
      </c>
      <c r="O693" s="440">
        <f t="shared" si="303"/>
        <v>237.26019815932358</v>
      </c>
    </row>
    <row r="694" spans="1:15" s="351" customFormat="1" x14ac:dyDescent="0.25">
      <c r="A694" s="362" t="str">
        <f>name!E$9</f>
        <v>Caring, leisure and other service</v>
      </c>
      <c r="B694" s="440">
        <v>29.14170083465109</v>
      </c>
      <c r="C694" s="440">
        <v>27.247421880557646</v>
      </c>
      <c r="D694" s="440">
        <v>1.9735853381193098</v>
      </c>
      <c r="E694" s="440">
        <f t="shared" si="301"/>
        <v>58.362708053328042</v>
      </c>
      <c r="F694" s="441"/>
      <c r="G694" s="440">
        <v>39.072234808475081</v>
      </c>
      <c r="H694" s="440">
        <v>32.301423466114841</v>
      </c>
      <c r="I694" s="440">
        <v>2.349237746357153</v>
      </c>
      <c r="J694" s="440">
        <f t="shared" ref="J694:J697" si="304">SUM(G694:I694)</f>
        <v>73.722896020947076</v>
      </c>
      <c r="K694" s="441"/>
      <c r="L694" s="440">
        <v>45.028542820341379</v>
      </c>
      <c r="M694" s="440">
        <v>33.619986884297298</v>
      </c>
      <c r="N694" s="440">
        <v>2.5943992966437106</v>
      </c>
      <c r="O694" s="440">
        <f t="shared" si="303"/>
        <v>81.242929001282391</v>
      </c>
    </row>
    <row r="695" spans="1:15" s="351" customFormat="1" x14ac:dyDescent="0.25">
      <c r="A695" s="362" t="str">
        <f>name!E$10</f>
        <v>Sales and customer service</v>
      </c>
      <c r="B695" s="440">
        <v>32.425168523941345</v>
      </c>
      <c r="C695" s="440">
        <v>67.231193500282913</v>
      </c>
      <c r="D695" s="440">
        <v>2.3221417945013272</v>
      </c>
      <c r="E695" s="440">
        <f t="shared" si="301"/>
        <v>101.97850381872559</v>
      </c>
      <c r="F695" s="441"/>
      <c r="G695" s="440">
        <v>28.200664832516036</v>
      </c>
      <c r="H695" s="440">
        <v>96.022502657071428</v>
      </c>
      <c r="I695" s="440">
        <v>3.7959963453686485</v>
      </c>
      <c r="J695" s="440">
        <f t="shared" si="304"/>
        <v>128.01916383495612</v>
      </c>
      <c r="K695" s="441"/>
      <c r="L695" s="440">
        <v>31.818038152943046</v>
      </c>
      <c r="M695" s="440">
        <v>97.11830778015613</v>
      </c>
      <c r="N695" s="440">
        <v>3.5889362027382194</v>
      </c>
      <c r="O695" s="440">
        <f t="shared" si="303"/>
        <v>132.52528213583739</v>
      </c>
    </row>
    <row r="696" spans="1:15" s="351" customFormat="1" x14ac:dyDescent="0.25">
      <c r="A696" s="362" t="str">
        <f>name!E$11</f>
        <v>Process, plant and machine operatives</v>
      </c>
      <c r="B696" s="440">
        <v>16.121991629256403</v>
      </c>
      <c r="C696" s="440">
        <v>16.139643086356354</v>
      </c>
      <c r="D696" s="440">
        <v>2.9563886102552464</v>
      </c>
      <c r="E696" s="440">
        <f t="shared" si="301"/>
        <v>35.218023325868003</v>
      </c>
      <c r="F696" s="441"/>
      <c r="G696" s="440">
        <v>17.776401633901145</v>
      </c>
      <c r="H696" s="440">
        <v>33.418360832182067</v>
      </c>
      <c r="I696" s="440">
        <v>2.8969926667747679</v>
      </c>
      <c r="J696" s="440">
        <f t="shared" si="304"/>
        <v>54.091755132857983</v>
      </c>
      <c r="K696" s="441"/>
      <c r="L696" s="440">
        <v>15.678517862752589</v>
      </c>
      <c r="M696" s="440">
        <v>28.741494617096894</v>
      </c>
      <c r="N696" s="440">
        <v>2.8443544061641264</v>
      </c>
      <c r="O696" s="440">
        <f t="shared" si="303"/>
        <v>47.264366886013612</v>
      </c>
    </row>
    <row r="697" spans="1:15" s="351" customFormat="1" x14ac:dyDescent="0.25">
      <c r="A697" s="362" t="str">
        <f>name!E$12</f>
        <v>Elementary occupations</v>
      </c>
      <c r="B697" s="440">
        <v>200.88154276386092</v>
      </c>
      <c r="C697" s="440">
        <v>567.91597650564609</v>
      </c>
      <c r="D697" s="440">
        <v>4.3271484682770334</v>
      </c>
      <c r="E697" s="440">
        <f t="shared" si="301"/>
        <v>773.12466773778408</v>
      </c>
      <c r="F697" s="441"/>
      <c r="G697" s="440">
        <v>246.37882105962063</v>
      </c>
      <c r="H697" s="440">
        <v>677.1806112059038</v>
      </c>
      <c r="I697" s="440">
        <v>13.562689560020198</v>
      </c>
      <c r="J697" s="440">
        <f t="shared" si="304"/>
        <v>937.1221218255447</v>
      </c>
      <c r="K697" s="441"/>
      <c r="L697" s="440">
        <v>264.25058211617409</v>
      </c>
      <c r="M697" s="440">
        <v>695.33489627780989</v>
      </c>
      <c r="N697" s="440">
        <v>17.008787951883466</v>
      </c>
      <c r="O697" s="440">
        <f t="shared" si="303"/>
        <v>976.59426634586748</v>
      </c>
    </row>
    <row r="698" spans="1:15" s="351" customFormat="1" x14ac:dyDescent="0.25">
      <c r="A698" s="362"/>
      <c r="B698" s="440"/>
      <c r="C698" s="440"/>
      <c r="D698" s="440"/>
      <c r="E698" s="440"/>
      <c r="F698" s="441"/>
      <c r="G698" s="440"/>
      <c r="H698" s="440"/>
      <c r="I698" s="440"/>
      <c r="J698" s="440"/>
      <c r="K698" s="441"/>
      <c r="L698" s="440"/>
      <c r="M698" s="440"/>
      <c r="N698" s="440"/>
      <c r="O698" s="440"/>
    </row>
    <row r="699" spans="1:15" s="351" customFormat="1" x14ac:dyDescent="0.25">
      <c r="A699" s="357" t="s">
        <v>32</v>
      </c>
      <c r="B699" s="450">
        <f>SUM(B689:B697)</f>
        <v>682.99999999411568</v>
      </c>
      <c r="C699" s="450">
        <f t="shared" ref="C699:E699" si="305">SUM(C689:C697)</f>
        <v>798.00300000148729</v>
      </c>
      <c r="D699" s="450">
        <f t="shared" si="305"/>
        <v>90.276999999944678</v>
      </c>
      <c r="E699" s="450">
        <f t="shared" si="305"/>
        <v>1571.2799999955478</v>
      </c>
      <c r="F699" s="450"/>
      <c r="G699" s="450">
        <f t="shared" ref="G699:J699" si="306">SUM(G689:G697)</f>
        <v>766.02599999945051</v>
      </c>
      <c r="H699" s="450">
        <f t="shared" si="306"/>
        <v>1013.0350000159929</v>
      </c>
      <c r="I699" s="450">
        <f t="shared" si="306"/>
        <v>109.61300000117419</v>
      </c>
      <c r="J699" s="450">
        <f t="shared" si="306"/>
        <v>1888.6740000166178</v>
      </c>
      <c r="K699" s="450"/>
      <c r="L699" s="450">
        <f t="shared" ref="L699:O699" si="307">SUM(L689:L697)</f>
        <v>801.94899999651307</v>
      </c>
      <c r="M699" s="450">
        <f t="shared" si="307"/>
        <v>1012.83500000698</v>
      </c>
      <c r="N699" s="450">
        <f t="shared" si="307"/>
        <v>116.21200000046092</v>
      </c>
      <c r="O699" s="450">
        <f t="shared" si="307"/>
        <v>1930.9960000039541</v>
      </c>
    </row>
    <row r="700" spans="1:15" s="351" customFormat="1" x14ac:dyDescent="0.25">
      <c r="A700" s="348"/>
      <c r="B700" s="348"/>
      <c r="C700" s="348"/>
      <c r="D700" s="348"/>
      <c r="E700" s="348"/>
      <c r="F700" s="348"/>
      <c r="G700" s="348"/>
      <c r="H700" s="348"/>
      <c r="I700" s="348"/>
      <c r="J700" s="348"/>
      <c r="K700" s="348"/>
      <c r="L700" s="348"/>
      <c r="M700" s="348"/>
      <c r="N700" s="353"/>
    </row>
    <row r="701" spans="1:15" s="351" customFormat="1" x14ac:dyDescent="0.25">
      <c r="A701" s="348"/>
      <c r="B701" s="348"/>
      <c r="C701" s="348"/>
      <c r="D701" s="348"/>
      <c r="E701" s="348"/>
      <c r="F701" s="348"/>
      <c r="G701" s="348"/>
      <c r="H701" s="348"/>
      <c r="I701" s="348"/>
      <c r="J701" s="348"/>
      <c r="K701" s="348"/>
      <c r="L701" s="348"/>
      <c r="M701" s="348"/>
      <c r="N701" s="353"/>
      <c r="O701" s="367" t="s">
        <v>35</v>
      </c>
    </row>
    <row r="702" spans="1:15" s="351" customFormat="1" x14ac:dyDescent="0.25">
      <c r="A702" s="355"/>
      <c r="B702" s="355"/>
      <c r="C702" s="355"/>
      <c r="D702" s="355"/>
      <c r="E702" s="355"/>
      <c r="F702" s="355"/>
      <c r="G702" s="355"/>
      <c r="H702" s="355"/>
      <c r="I702" s="355"/>
      <c r="J702" s="355"/>
      <c r="K702" s="355"/>
      <c r="L702" s="355"/>
      <c r="M702" s="355"/>
      <c r="N702" s="355"/>
      <c r="O702" s="355"/>
    </row>
    <row r="703" spans="1:15" s="351" customFormat="1" x14ac:dyDescent="0.25">
      <c r="A703" s="354" t="str">
        <f>name!A44</f>
        <v>Publishing activities</v>
      </c>
      <c r="B703" s="517">
        <f>$B$6</f>
        <v>2007</v>
      </c>
      <c r="C703" s="517"/>
      <c r="D703" s="517"/>
      <c r="E703" s="517"/>
      <c r="F703" s="380"/>
      <c r="G703" s="517">
        <f>$G$6</f>
        <v>2017</v>
      </c>
      <c r="H703" s="517"/>
      <c r="I703" s="517"/>
      <c r="J703" s="517"/>
      <c r="K703" s="380"/>
      <c r="L703" s="517">
        <f>$L$6</f>
        <v>2027</v>
      </c>
      <c r="M703" s="517"/>
      <c r="N703" s="517"/>
      <c r="O703" s="517"/>
    </row>
    <row r="704" spans="1:15" s="351" customFormat="1" x14ac:dyDescent="0.25">
      <c r="A704" s="370"/>
      <c r="B704" s="388" t="str">
        <f>$B$7</f>
        <v>FT</v>
      </c>
      <c r="C704" s="388" t="str">
        <f>$C$7</f>
        <v>PT</v>
      </c>
      <c r="D704" s="388" t="str">
        <f>$D$7</f>
        <v>SE</v>
      </c>
      <c r="E704" s="388" t="str">
        <f>$E$7</f>
        <v>Total</v>
      </c>
      <c r="F704" s="388"/>
      <c r="G704" s="388" t="str">
        <f>$G$7</f>
        <v>FT</v>
      </c>
      <c r="H704" s="388" t="str">
        <f>$H$7</f>
        <v>PT</v>
      </c>
      <c r="I704" s="388" t="str">
        <f>$I$7</f>
        <v>SE</v>
      </c>
      <c r="J704" s="388" t="str">
        <f>$J$7</f>
        <v>Total</v>
      </c>
      <c r="K704" s="388"/>
      <c r="L704" s="388" t="str">
        <f>$L$7</f>
        <v>FT</v>
      </c>
      <c r="M704" s="388" t="str">
        <f>$M$7</f>
        <v>PT</v>
      </c>
      <c r="N704" s="388" t="str">
        <f>$N$7</f>
        <v>SE</v>
      </c>
      <c r="O704" s="388" t="str">
        <f>$O$7</f>
        <v>Total</v>
      </c>
    </row>
    <row r="705" spans="1:15" s="351" customFormat="1" x14ac:dyDescent="0.25">
      <c r="A705" s="374"/>
      <c r="B705" s="350"/>
      <c r="C705" s="350"/>
      <c r="D705" s="350"/>
      <c r="E705" s="350"/>
      <c r="F705" s="350"/>
      <c r="G705" s="350"/>
      <c r="H705" s="350"/>
      <c r="I705" s="350"/>
      <c r="J705" s="350"/>
      <c r="K705" s="350"/>
      <c r="L705" s="350"/>
      <c r="M705" s="350"/>
      <c r="N705" s="350"/>
      <c r="O705" s="350"/>
    </row>
    <row r="706" spans="1:15" s="351" customFormat="1" x14ac:dyDescent="0.25">
      <c r="A706" s="362" t="str">
        <f>name!E$4</f>
        <v>Managers, directors and senior officials</v>
      </c>
      <c r="B706" s="440">
        <v>15.745200388774181</v>
      </c>
      <c r="C706" s="440">
        <v>2.3720045972150601</v>
      </c>
      <c r="D706" s="440">
        <v>8.4217138157680438</v>
      </c>
      <c r="E706" s="440">
        <f>SUM(B706:D706)</f>
        <v>26.538918801757283</v>
      </c>
      <c r="F706" s="441"/>
      <c r="G706" s="440">
        <v>19.011987811775363</v>
      </c>
      <c r="H706" s="440">
        <v>2.0170938272176087</v>
      </c>
      <c r="I706" s="440">
        <v>10.319181571000412</v>
      </c>
      <c r="J706" s="440">
        <f>SUM(G706:I706)</f>
        <v>31.348263209993384</v>
      </c>
      <c r="K706" s="441"/>
      <c r="L706" s="440">
        <v>19.968141731712709</v>
      </c>
      <c r="M706" s="440">
        <v>3.3101161878451024</v>
      </c>
      <c r="N706" s="440">
        <v>10.495006152143626</v>
      </c>
      <c r="O706" s="440">
        <f>SUM(L706:N706)</f>
        <v>33.773264071701441</v>
      </c>
    </row>
    <row r="707" spans="1:15" s="351" customFormat="1" x14ac:dyDescent="0.25">
      <c r="A707" s="362" t="str">
        <f>name!E$5</f>
        <v>Professional occupations</v>
      </c>
      <c r="B707" s="440">
        <v>24.89156842883531</v>
      </c>
      <c r="C707" s="440">
        <v>2.3947547935255997</v>
      </c>
      <c r="D707" s="440">
        <v>6.6286887228336662</v>
      </c>
      <c r="E707" s="440">
        <f t="shared" ref="E707:E714" si="308">SUM(B707:D707)</f>
        <v>33.915011945194578</v>
      </c>
      <c r="F707" s="441"/>
      <c r="G707" s="440">
        <v>27.94623553931147</v>
      </c>
      <c r="H707" s="440">
        <v>2.4078945972958348</v>
      </c>
      <c r="I707" s="440">
        <v>9.6303945522939252</v>
      </c>
      <c r="J707" s="440">
        <f t="shared" ref="J707:J709" si="309">SUM(G707:I707)</f>
        <v>39.984524688901232</v>
      </c>
      <c r="K707" s="441"/>
      <c r="L707" s="440">
        <v>30.317014578275209</v>
      </c>
      <c r="M707" s="440">
        <v>4.0384211347523955</v>
      </c>
      <c r="N707" s="440">
        <v>9.1639790317281324</v>
      </c>
      <c r="O707" s="440">
        <f t="shared" ref="O707:O714" si="310">SUM(L707:N707)</f>
        <v>43.519414744755736</v>
      </c>
    </row>
    <row r="708" spans="1:15" s="351" customFormat="1" x14ac:dyDescent="0.25">
      <c r="A708" s="362" t="str">
        <f>name!E$6</f>
        <v>Associate professional and technical</v>
      </c>
      <c r="B708" s="440">
        <v>33.182225504085949</v>
      </c>
      <c r="C708" s="440">
        <v>7.1121517398579899</v>
      </c>
      <c r="D708" s="440">
        <v>11.986178295717936</v>
      </c>
      <c r="E708" s="440">
        <f t="shared" si="308"/>
        <v>52.280555539661876</v>
      </c>
      <c r="F708" s="441"/>
      <c r="G708" s="440">
        <v>31.698333027172581</v>
      </c>
      <c r="H708" s="440">
        <v>4.931905945049758</v>
      </c>
      <c r="I708" s="440">
        <v>19.071852669854316</v>
      </c>
      <c r="J708" s="440">
        <f t="shared" si="309"/>
        <v>55.702091642076653</v>
      </c>
      <c r="K708" s="441"/>
      <c r="L708" s="440">
        <v>31.619400162855179</v>
      </c>
      <c r="M708" s="440">
        <v>7.4370323006317589</v>
      </c>
      <c r="N708" s="440">
        <v>16.730925523826983</v>
      </c>
      <c r="O708" s="440">
        <f t="shared" si="310"/>
        <v>55.787357987313918</v>
      </c>
    </row>
    <row r="709" spans="1:15" s="351" customFormat="1" x14ac:dyDescent="0.25">
      <c r="A709" s="362" t="str">
        <f>name!E$7</f>
        <v>Administrative and secretarial</v>
      </c>
      <c r="B709" s="440">
        <v>12.036686919661056</v>
      </c>
      <c r="C709" s="440">
        <v>8.0437418008628008</v>
      </c>
      <c r="D709" s="440">
        <v>1.2904379202779341</v>
      </c>
      <c r="E709" s="440">
        <f t="shared" si="308"/>
        <v>21.37086664080179</v>
      </c>
      <c r="F709" s="441"/>
      <c r="G709" s="440">
        <v>7.1569139110606912</v>
      </c>
      <c r="H709" s="440">
        <v>3.9290359810389122</v>
      </c>
      <c r="I709" s="440">
        <v>1.1589333135729389</v>
      </c>
      <c r="J709" s="440">
        <f t="shared" si="309"/>
        <v>12.244883205672542</v>
      </c>
      <c r="K709" s="441"/>
      <c r="L709" s="440">
        <v>5.0133525255077238</v>
      </c>
      <c r="M709" s="440">
        <v>3.9474346483924263</v>
      </c>
      <c r="N709" s="440">
        <v>0.74428424834913176</v>
      </c>
      <c r="O709" s="440">
        <f t="shared" si="310"/>
        <v>9.7050714222492829</v>
      </c>
    </row>
    <row r="710" spans="1:15" s="351" customFormat="1" x14ac:dyDescent="0.25">
      <c r="A710" s="362" t="str">
        <f>name!E$8</f>
        <v>Skilled trades occupations</v>
      </c>
      <c r="B710" s="440">
        <v>18.693254381804937</v>
      </c>
      <c r="C710" s="440">
        <v>2.6679461468641148</v>
      </c>
      <c r="D710" s="440">
        <v>5.0865841402712668</v>
      </c>
      <c r="E710" s="440">
        <f t="shared" si="308"/>
        <v>26.447784668940319</v>
      </c>
      <c r="F710" s="441"/>
      <c r="G710" s="440">
        <v>9.8402255978202682</v>
      </c>
      <c r="H710" s="440">
        <v>0.92190758604166922</v>
      </c>
      <c r="I710" s="440">
        <v>4.3203593595291094</v>
      </c>
      <c r="J710" s="440">
        <f>SUM(G710:I710)</f>
        <v>15.082492543391048</v>
      </c>
      <c r="K710" s="441"/>
      <c r="L710" s="440">
        <v>6.5978495141895666</v>
      </c>
      <c r="M710" s="440">
        <v>0.99834402051335513</v>
      </c>
      <c r="N710" s="440">
        <v>4.0321399618848854</v>
      </c>
      <c r="O710" s="440">
        <f t="shared" si="310"/>
        <v>11.628333496587807</v>
      </c>
    </row>
    <row r="711" spans="1:15" s="351" customFormat="1" x14ac:dyDescent="0.25">
      <c r="A711" s="362" t="str">
        <f>name!E$9</f>
        <v>Caring, leisure and other service</v>
      </c>
      <c r="B711" s="440">
        <v>0.7525084879736752</v>
      </c>
      <c r="C711" s="440">
        <v>0.49838672305940873</v>
      </c>
      <c r="D711" s="440">
        <v>0.58145414837834575</v>
      </c>
      <c r="E711" s="440">
        <f t="shared" si="308"/>
        <v>1.8323493594114297</v>
      </c>
      <c r="F711" s="441"/>
      <c r="G711" s="440">
        <v>0.78305325594238417</v>
      </c>
      <c r="H711" s="440">
        <v>0.34334988655012738</v>
      </c>
      <c r="I711" s="440">
        <v>0.54516255724200735</v>
      </c>
      <c r="J711" s="440">
        <f t="shared" ref="J711:J714" si="311">SUM(G711:I711)</f>
        <v>1.671565699734519</v>
      </c>
      <c r="K711" s="441"/>
      <c r="L711" s="440">
        <v>0.91411659905526643</v>
      </c>
      <c r="M711" s="440">
        <v>0.54806187342618162</v>
      </c>
      <c r="N711" s="440">
        <v>0.42033548855087532</v>
      </c>
      <c r="O711" s="440">
        <f t="shared" si="310"/>
        <v>1.8825139610323234</v>
      </c>
    </row>
    <row r="712" spans="1:15" s="351" customFormat="1" x14ac:dyDescent="0.25">
      <c r="A712" s="362" t="str">
        <f>name!E$10</f>
        <v>Sales and customer service</v>
      </c>
      <c r="B712" s="440">
        <v>4.168348354127537</v>
      </c>
      <c r="C712" s="440">
        <v>2.7067450637126993</v>
      </c>
      <c r="D712" s="440">
        <v>0.69946525397091686</v>
      </c>
      <c r="E712" s="440">
        <f t="shared" si="308"/>
        <v>7.5745586718111539</v>
      </c>
      <c r="F712" s="441"/>
      <c r="G712" s="440">
        <v>4.4326905865116499</v>
      </c>
      <c r="H712" s="440">
        <v>1.2799821004690508</v>
      </c>
      <c r="I712" s="440">
        <v>0.62617067207258625</v>
      </c>
      <c r="J712" s="440">
        <f t="shared" si="311"/>
        <v>6.3388433590532873</v>
      </c>
      <c r="K712" s="441"/>
      <c r="L712" s="440">
        <v>3.8248623968588471</v>
      </c>
      <c r="M712" s="440">
        <v>1.6308811411627548</v>
      </c>
      <c r="N712" s="440">
        <v>0.47523619638775305</v>
      </c>
      <c r="O712" s="440">
        <f t="shared" si="310"/>
        <v>5.9309797344093553</v>
      </c>
    </row>
    <row r="713" spans="1:15" s="351" customFormat="1" x14ac:dyDescent="0.25">
      <c r="A713" s="362" t="str">
        <f>name!E$11</f>
        <v>Process, plant and machine operatives</v>
      </c>
      <c r="B713" s="440">
        <v>4.3241331659547901</v>
      </c>
      <c r="C713" s="440">
        <v>1.8291780887743812</v>
      </c>
      <c r="D713" s="440">
        <v>1.179557413157363</v>
      </c>
      <c r="E713" s="440">
        <f t="shared" si="308"/>
        <v>7.3328686678865349</v>
      </c>
      <c r="F713" s="441"/>
      <c r="G713" s="440">
        <v>2.0846252201959263</v>
      </c>
      <c r="H713" s="440">
        <v>0.91549687200783958</v>
      </c>
      <c r="I713" s="440">
        <v>1.6360821985163454</v>
      </c>
      <c r="J713" s="440">
        <f t="shared" si="311"/>
        <v>4.6362042907201113</v>
      </c>
      <c r="K713" s="441"/>
      <c r="L713" s="440">
        <v>1.6049557776447931</v>
      </c>
      <c r="M713" s="440">
        <v>1.2245099631077383</v>
      </c>
      <c r="N713" s="440">
        <v>1.3685997063741702</v>
      </c>
      <c r="O713" s="440">
        <f t="shared" si="310"/>
        <v>4.1980654471267016</v>
      </c>
    </row>
    <row r="714" spans="1:15" s="351" customFormat="1" x14ac:dyDescent="0.25">
      <c r="A714" s="362" t="str">
        <f>name!E$12</f>
        <v>Elementary occupations</v>
      </c>
      <c r="B714" s="440">
        <v>5.1940743684249098</v>
      </c>
      <c r="C714" s="440">
        <v>6.4070910461133979</v>
      </c>
      <c r="D714" s="440">
        <v>1.0239202895725803</v>
      </c>
      <c r="E714" s="440">
        <f t="shared" si="308"/>
        <v>12.625085704110887</v>
      </c>
      <c r="F714" s="441"/>
      <c r="G714" s="440">
        <v>4.0399350492332315</v>
      </c>
      <c r="H714" s="440">
        <v>2.7253332043285248</v>
      </c>
      <c r="I714" s="440">
        <v>1.893863105473558</v>
      </c>
      <c r="J714" s="440">
        <f t="shared" si="311"/>
        <v>8.6591313590353138</v>
      </c>
      <c r="K714" s="441"/>
      <c r="L714" s="440">
        <v>3.2173067132124658</v>
      </c>
      <c r="M714" s="440">
        <v>3.5431987301893471</v>
      </c>
      <c r="N714" s="440">
        <v>1.706493690297288</v>
      </c>
      <c r="O714" s="440">
        <f t="shared" si="310"/>
        <v>8.4669991336991011</v>
      </c>
    </row>
    <row r="715" spans="1:15" s="351" customFormat="1" x14ac:dyDescent="0.25">
      <c r="A715" s="362"/>
      <c r="B715" s="440"/>
      <c r="C715" s="440"/>
      <c r="D715" s="440"/>
      <c r="E715" s="440"/>
      <c r="F715" s="441"/>
      <c r="G715" s="440"/>
      <c r="H715" s="440"/>
      <c r="I715" s="440"/>
      <c r="J715" s="440"/>
      <c r="K715" s="441"/>
      <c r="L715" s="440"/>
      <c r="M715" s="440"/>
      <c r="N715" s="440"/>
      <c r="O715" s="440"/>
    </row>
    <row r="716" spans="1:15" s="351" customFormat="1" x14ac:dyDescent="0.25">
      <c r="A716" s="357" t="s">
        <v>32</v>
      </c>
      <c r="B716" s="450">
        <f>SUM(B706:B714)</f>
        <v>118.98799999964233</v>
      </c>
      <c r="C716" s="450">
        <f t="shared" ref="C716:E716" si="312">SUM(C706:C714)</f>
        <v>34.031999999985452</v>
      </c>
      <c r="D716" s="450">
        <f t="shared" si="312"/>
        <v>36.897999999948048</v>
      </c>
      <c r="E716" s="450">
        <f t="shared" si="312"/>
        <v>189.91799999957587</v>
      </c>
      <c r="F716" s="450"/>
      <c r="G716" s="450">
        <f t="shared" ref="G716:J716" si="313">SUM(G706:G714)</f>
        <v>106.99399999902356</v>
      </c>
      <c r="H716" s="450">
        <f t="shared" si="313"/>
        <v>19.471999999999326</v>
      </c>
      <c r="I716" s="450">
        <f t="shared" si="313"/>
        <v>49.201999999555198</v>
      </c>
      <c r="J716" s="450">
        <f t="shared" si="313"/>
        <v>175.66799999857813</v>
      </c>
      <c r="K716" s="450"/>
      <c r="L716" s="450">
        <f t="shared" ref="L716:O716" si="314">SUM(L706:L714)</f>
        <v>103.07699999931175</v>
      </c>
      <c r="M716" s="450">
        <f t="shared" si="314"/>
        <v>26.678000000021061</v>
      </c>
      <c r="N716" s="450">
        <f t="shared" si="314"/>
        <v>45.136999999542844</v>
      </c>
      <c r="O716" s="450">
        <f t="shared" si="314"/>
        <v>174.89199999887566</v>
      </c>
    </row>
    <row r="717" spans="1:15" s="351" customFormat="1" x14ac:dyDescent="0.25">
      <c r="A717" s="348"/>
      <c r="B717" s="348"/>
      <c r="C717" s="348"/>
      <c r="D717" s="348"/>
      <c r="E717" s="348"/>
      <c r="F717" s="348"/>
      <c r="G717" s="348"/>
      <c r="H717" s="348"/>
      <c r="I717" s="348"/>
      <c r="J717" s="348"/>
      <c r="K717" s="348"/>
      <c r="L717" s="348"/>
      <c r="M717" s="348"/>
      <c r="N717" s="353"/>
    </row>
    <row r="718" spans="1:15" s="351" customFormat="1" x14ac:dyDescent="0.25">
      <c r="A718" s="348"/>
      <c r="B718" s="348"/>
      <c r="C718" s="348"/>
      <c r="D718" s="348"/>
      <c r="E718" s="348"/>
      <c r="F718" s="348"/>
      <c r="G718" s="348"/>
      <c r="H718" s="348"/>
      <c r="I718" s="348"/>
      <c r="J718" s="348"/>
      <c r="K718" s="348"/>
      <c r="L718" s="348"/>
      <c r="M718" s="348"/>
      <c r="N718" s="353"/>
      <c r="O718" s="367" t="s">
        <v>35</v>
      </c>
    </row>
    <row r="719" spans="1:15" s="351" customFormat="1" x14ac:dyDescent="0.25">
      <c r="A719" s="355"/>
      <c r="B719" s="355"/>
      <c r="C719" s="355"/>
      <c r="D719" s="355"/>
      <c r="E719" s="355"/>
      <c r="F719" s="355"/>
      <c r="G719" s="355"/>
      <c r="H719" s="355"/>
      <c r="I719" s="355"/>
      <c r="J719" s="355"/>
      <c r="K719" s="355"/>
      <c r="L719" s="355"/>
      <c r="M719" s="355"/>
      <c r="N719" s="355"/>
      <c r="O719" s="355"/>
    </row>
    <row r="720" spans="1:15" s="351" customFormat="1" x14ac:dyDescent="0.25">
      <c r="A720" s="354" t="str">
        <f>name!A45</f>
        <v>Film and music</v>
      </c>
      <c r="B720" s="517">
        <f>$B$6</f>
        <v>2007</v>
      </c>
      <c r="C720" s="517"/>
      <c r="D720" s="517"/>
      <c r="E720" s="517"/>
      <c r="F720" s="380"/>
      <c r="G720" s="517">
        <f>$G$6</f>
        <v>2017</v>
      </c>
      <c r="H720" s="517"/>
      <c r="I720" s="517"/>
      <c r="J720" s="517"/>
      <c r="K720" s="380"/>
      <c r="L720" s="517">
        <f>$L$6</f>
        <v>2027</v>
      </c>
      <c r="M720" s="517"/>
      <c r="N720" s="517"/>
      <c r="O720" s="517"/>
    </row>
    <row r="721" spans="1:15" s="351" customFormat="1" x14ac:dyDescent="0.25">
      <c r="A721" s="370"/>
      <c r="B721" s="388" t="str">
        <f>$B$7</f>
        <v>FT</v>
      </c>
      <c r="C721" s="388" t="str">
        <f>$C$7</f>
        <v>PT</v>
      </c>
      <c r="D721" s="388" t="str">
        <f>$D$7</f>
        <v>SE</v>
      </c>
      <c r="E721" s="388" t="str">
        <f>$E$7</f>
        <v>Total</v>
      </c>
      <c r="F721" s="388"/>
      <c r="G721" s="388" t="str">
        <f>$G$7</f>
        <v>FT</v>
      </c>
      <c r="H721" s="388" t="str">
        <f>$H$7</f>
        <v>PT</v>
      </c>
      <c r="I721" s="388" t="str">
        <f>$I$7</f>
        <v>SE</v>
      </c>
      <c r="J721" s="388" t="str">
        <f>$J$7</f>
        <v>Total</v>
      </c>
      <c r="K721" s="388"/>
      <c r="L721" s="388" t="str">
        <f>$L$7</f>
        <v>FT</v>
      </c>
      <c r="M721" s="388" t="str">
        <f>$M$7</f>
        <v>PT</v>
      </c>
      <c r="N721" s="388" t="str">
        <f>$N$7</f>
        <v>SE</v>
      </c>
      <c r="O721" s="388" t="str">
        <f>$O$7</f>
        <v>Total</v>
      </c>
    </row>
    <row r="722" spans="1:15" s="351" customFormat="1" x14ac:dyDescent="0.25">
      <c r="A722" s="374"/>
      <c r="B722" s="350"/>
      <c r="C722" s="350"/>
      <c r="D722" s="350"/>
      <c r="E722" s="350"/>
      <c r="F722" s="350"/>
      <c r="G722" s="350"/>
      <c r="H722" s="350"/>
      <c r="I722" s="350"/>
      <c r="J722" s="350"/>
      <c r="K722" s="350"/>
      <c r="L722" s="350"/>
      <c r="M722" s="350"/>
      <c r="N722" s="350"/>
      <c r="O722" s="350"/>
    </row>
    <row r="723" spans="1:15" s="351" customFormat="1" x14ac:dyDescent="0.25">
      <c r="A723" s="362" t="str">
        <f>name!E$4</f>
        <v>Managers, directors and senior officials</v>
      </c>
      <c r="B723" s="440">
        <v>9.5032952204130794</v>
      </c>
      <c r="C723" s="440">
        <v>0.81644221768182845</v>
      </c>
      <c r="D723" s="440">
        <v>2.3810759145169094</v>
      </c>
      <c r="E723" s="440">
        <f>SUM(B723:D723)</f>
        <v>12.700813352611817</v>
      </c>
      <c r="F723" s="441"/>
      <c r="G723" s="440">
        <v>14.344563417946917</v>
      </c>
      <c r="H723" s="440">
        <v>2.2173825652528021</v>
      </c>
      <c r="I723" s="440">
        <v>4.0854262363973346</v>
      </c>
      <c r="J723" s="440">
        <f>SUM(G723:I723)</f>
        <v>20.647372219597056</v>
      </c>
      <c r="K723" s="441"/>
      <c r="L723" s="440">
        <v>14.964885646115652</v>
      </c>
      <c r="M723" s="440">
        <v>3.5308210616748195</v>
      </c>
      <c r="N723" s="440">
        <v>4.4358686733170272</v>
      </c>
      <c r="O723" s="440">
        <f>SUM(L723:N723)</f>
        <v>22.9315753811075</v>
      </c>
    </row>
    <row r="724" spans="1:15" s="351" customFormat="1" x14ac:dyDescent="0.25">
      <c r="A724" s="362" t="str">
        <f>name!E$5</f>
        <v>Professional occupations</v>
      </c>
      <c r="B724" s="440">
        <v>12.589249827569667</v>
      </c>
      <c r="C724" s="440">
        <v>2.0174095017294973</v>
      </c>
      <c r="D724" s="440">
        <v>3.3325470123363909</v>
      </c>
      <c r="E724" s="440">
        <f t="shared" ref="E724:E731" si="315">SUM(B724:D724)</f>
        <v>17.939206341635554</v>
      </c>
      <c r="F724" s="441"/>
      <c r="G724" s="440">
        <v>18.249565606843994</v>
      </c>
      <c r="H724" s="440">
        <v>2.8384032491403315</v>
      </c>
      <c r="I724" s="440">
        <v>4.5400731197409661</v>
      </c>
      <c r="J724" s="440">
        <f t="shared" ref="J724:J726" si="316">SUM(G724:I724)</f>
        <v>25.628041975725292</v>
      </c>
      <c r="K724" s="441"/>
      <c r="L724" s="440">
        <v>19.542005960613736</v>
      </c>
      <c r="M724" s="440">
        <v>4.5458735331664517</v>
      </c>
      <c r="N724" s="440">
        <v>4.5803687179379748</v>
      </c>
      <c r="O724" s="440">
        <f t="shared" ref="O724:O731" si="317">SUM(L724:N724)</f>
        <v>28.668248211718161</v>
      </c>
    </row>
    <row r="725" spans="1:15" s="351" customFormat="1" x14ac:dyDescent="0.25">
      <c r="A725" s="362" t="str">
        <f>name!E$6</f>
        <v>Associate professional and technical</v>
      </c>
      <c r="B725" s="440">
        <v>23.559093784957792</v>
      </c>
      <c r="C725" s="440">
        <v>5.2806036146778617</v>
      </c>
      <c r="D725" s="440">
        <v>15.176761185835812</v>
      </c>
      <c r="E725" s="440">
        <f t="shared" si="315"/>
        <v>44.016458585471469</v>
      </c>
      <c r="F725" s="441"/>
      <c r="G725" s="440">
        <v>30.690652692383225</v>
      </c>
      <c r="H725" s="440">
        <v>5.701143392595549</v>
      </c>
      <c r="I725" s="440">
        <v>20.947630375409222</v>
      </c>
      <c r="J725" s="440">
        <f t="shared" si="316"/>
        <v>57.339426460387998</v>
      </c>
      <c r="K725" s="441"/>
      <c r="L725" s="440">
        <v>30.537243341954891</v>
      </c>
      <c r="M725" s="440">
        <v>8.582100260092453</v>
      </c>
      <c r="N725" s="440">
        <v>20.155452753107763</v>
      </c>
      <c r="O725" s="440">
        <f t="shared" si="317"/>
        <v>59.274796355155104</v>
      </c>
    </row>
    <row r="726" spans="1:15" s="351" customFormat="1" x14ac:dyDescent="0.25">
      <c r="A726" s="362" t="str">
        <f>name!E$7</f>
        <v>Administrative and secretarial</v>
      </c>
      <c r="B726" s="440">
        <v>11.493809881254405</v>
      </c>
      <c r="C726" s="440">
        <v>6.067264887049177</v>
      </c>
      <c r="D726" s="440">
        <v>0.2774507841158334</v>
      </c>
      <c r="E726" s="440">
        <f t="shared" si="315"/>
        <v>17.838525552419416</v>
      </c>
      <c r="F726" s="441"/>
      <c r="G726" s="440">
        <v>10.748311854200081</v>
      </c>
      <c r="H726" s="440">
        <v>6.8614552433046621</v>
      </c>
      <c r="I726" s="440">
        <v>0.50791336955838295</v>
      </c>
      <c r="J726" s="440">
        <f t="shared" si="316"/>
        <v>18.117680467063128</v>
      </c>
      <c r="K726" s="441"/>
      <c r="L726" s="440">
        <v>7.5765240956179962</v>
      </c>
      <c r="M726" s="440">
        <v>6.9872862107186213</v>
      </c>
      <c r="N726" s="440">
        <v>0.42140827355803001</v>
      </c>
      <c r="O726" s="440">
        <f t="shared" si="317"/>
        <v>14.985218579894646</v>
      </c>
    </row>
    <row r="727" spans="1:15" s="351" customFormat="1" x14ac:dyDescent="0.25">
      <c r="A727" s="362" t="str">
        <f>name!E$8</f>
        <v>Skilled trades occupations</v>
      </c>
      <c r="B727" s="440">
        <v>5.1270843991669954</v>
      </c>
      <c r="C727" s="440">
        <v>0.75157324862553021</v>
      </c>
      <c r="D727" s="440">
        <v>1.8078636797907961</v>
      </c>
      <c r="E727" s="440">
        <f t="shared" si="315"/>
        <v>7.6865213275833222</v>
      </c>
      <c r="F727" s="441"/>
      <c r="G727" s="440">
        <v>5.3976398284120446</v>
      </c>
      <c r="H727" s="440">
        <v>1.0662670705676895</v>
      </c>
      <c r="I727" s="440">
        <v>2.9982348759800903</v>
      </c>
      <c r="J727" s="440">
        <f>SUM(G727:I727)</f>
        <v>9.4621417749598251</v>
      </c>
      <c r="K727" s="441"/>
      <c r="L727" s="440">
        <v>4.7476238685838679</v>
      </c>
      <c r="M727" s="440">
        <v>1.82535805633173</v>
      </c>
      <c r="N727" s="440">
        <v>2.5686253876609091</v>
      </c>
      <c r="O727" s="440">
        <f t="shared" si="317"/>
        <v>9.1416073125765074</v>
      </c>
    </row>
    <row r="728" spans="1:15" s="351" customFormat="1" x14ac:dyDescent="0.25">
      <c r="A728" s="362" t="str">
        <f>name!E$9</f>
        <v>Caring, leisure and other service</v>
      </c>
      <c r="B728" s="440">
        <v>4.6088996940910247</v>
      </c>
      <c r="C728" s="440">
        <v>3.7974624465203188</v>
      </c>
      <c r="D728" s="440">
        <v>0.34729673083213441</v>
      </c>
      <c r="E728" s="440">
        <f t="shared" si="315"/>
        <v>8.7536588714434771</v>
      </c>
      <c r="F728" s="441"/>
      <c r="G728" s="440">
        <v>5.5803606252304547</v>
      </c>
      <c r="H728" s="440">
        <v>4.0404724037349933</v>
      </c>
      <c r="I728" s="440">
        <v>1.0307363275337267</v>
      </c>
      <c r="J728" s="440">
        <f t="shared" ref="J728:J731" si="318">SUM(G728:I728)</f>
        <v>10.651569356499175</v>
      </c>
      <c r="K728" s="441"/>
      <c r="L728" s="440">
        <v>5.1466562645672571</v>
      </c>
      <c r="M728" s="440">
        <v>5.7776625219430491</v>
      </c>
      <c r="N728" s="440">
        <v>0.99094824616367239</v>
      </c>
      <c r="O728" s="440">
        <f t="shared" si="317"/>
        <v>11.915267032673977</v>
      </c>
    </row>
    <row r="729" spans="1:15" s="351" customFormat="1" x14ac:dyDescent="0.25">
      <c r="A729" s="362" t="str">
        <f>name!E$10</f>
        <v>Sales and customer service</v>
      </c>
      <c r="B729" s="440">
        <v>3.4117201801993677</v>
      </c>
      <c r="C729" s="440">
        <v>1.9800990869607995</v>
      </c>
      <c r="D729" s="440">
        <v>0.13750327041243804</v>
      </c>
      <c r="E729" s="440">
        <f t="shared" si="315"/>
        <v>5.5293225375726056</v>
      </c>
      <c r="F729" s="441"/>
      <c r="G729" s="440">
        <v>5.4159384766459118</v>
      </c>
      <c r="H729" s="440">
        <v>2.5621821925102992</v>
      </c>
      <c r="I729" s="440">
        <v>0.22234499337186953</v>
      </c>
      <c r="J729" s="440">
        <f t="shared" si="318"/>
        <v>8.2004656625280798</v>
      </c>
      <c r="K729" s="441"/>
      <c r="L729" s="440">
        <v>4.9554017583190797</v>
      </c>
      <c r="M729" s="440">
        <v>3.2364899403140908</v>
      </c>
      <c r="N729" s="440">
        <v>0.22534230286453213</v>
      </c>
      <c r="O729" s="440">
        <f t="shared" si="317"/>
        <v>8.4172340014977038</v>
      </c>
    </row>
    <row r="730" spans="1:15" s="351" customFormat="1" x14ac:dyDescent="0.25">
      <c r="A730" s="362" t="str">
        <f>name!E$11</f>
        <v>Process, plant and machine operatives</v>
      </c>
      <c r="B730" s="440">
        <v>1.3130498594789286</v>
      </c>
      <c r="C730" s="440">
        <v>0.32443781267518923</v>
      </c>
      <c r="D730" s="440">
        <v>0.15156751824312853</v>
      </c>
      <c r="E730" s="440">
        <f t="shared" si="315"/>
        <v>1.7890551903972463</v>
      </c>
      <c r="F730" s="441"/>
      <c r="G730" s="440">
        <v>1.0847503325500414</v>
      </c>
      <c r="H730" s="440">
        <v>0.43578769054779787</v>
      </c>
      <c r="I730" s="440">
        <v>0.26265998608433533</v>
      </c>
      <c r="J730" s="440">
        <f t="shared" si="318"/>
        <v>1.7831980091821746</v>
      </c>
      <c r="K730" s="441"/>
      <c r="L730" s="440">
        <v>0.99956091680053427</v>
      </c>
      <c r="M730" s="440">
        <v>0.61777173160718213</v>
      </c>
      <c r="N730" s="440">
        <v>0.24534016086868918</v>
      </c>
      <c r="O730" s="440">
        <f t="shared" si="317"/>
        <v>1.8626728092764055</v>
      </c>
    </row>
    <row r="731" spans="1:15" s="351" customFormat="1" x14ac:dyDescent="0.25">
      <c r="A731" s="362" t="str">
        <f>name!E$12</f>
        <v>Elementary occupations</v>
      </c>
      <c r="B731" s="440">
        <v>7.0757971526366479</v>
      </c>
      <c r="C731" s="440">
        <v>11.571707184133315</v>
      </c>
      <c r="D731" s="440">
        <v>0.94393390374307395</v>
      </c>
      <c r="E731" s="440">
        <f t="shared" si="315"/>
        <v>19.591438240513035</v>
      </c>
      <c r="F731" s="441"/>
      <c r="G731" s="440">
        <v>8.2442171652161864</v>
      </c>
      <c r="H731" s="440">
        <v>9.7299061925232433</v>
      </c>
      <c r="I731" s="440">
        <v>2.9689807154452725</v>
      </c>
      <c r="J731" s="440">
        <f t="shared" si="318"/>
        <v>20.943104073184703</v>
      </c>
      <c r="K731" s="441"/>
      <c r="L731" s="440">
        <v>8.0900981470098738</v>
      </c>
      <c r="M731" s="440">
        <v>12.18263668411905</v>
      </c>
      <c r="N731" s="440">
        <v>3.2586454838910406</v>
      </c>
      <c r="O731" s="440">
        <f t="shared" si="317"/>
        <v>23.531380315019963</v>
      </c>
    </row>
    <row r="732" spans="1:15" s="351" customFormat="1" x14ac:dyDescent="0.25">
      <c r="A732" s="362"/>
      <c r="B732" s="440"/>
      <c r="C732" s="440"/>
      <c r="D732" s="440"/>
      <c r="E732" s="440"/>
      <c r="F732" s="441"/>
      <c r="G732" s="440"/>
      <c r="H732" s="440"/>
      <c r="I732" s="440"/>
      <c r="J732" s="440"/>
      <c r="K732" s="441"/>
      <c r="L732" s="440"/>
      <c r="M732" s="440"/>
      <c r="N732" s="440"/>
      <c r="O732" s="440"/>
    </row>
    <row r="733" spans="1:15" s="351" customFormat="1" x14ac:dyDescent="0.25">
      <c r="A733" s="357" t="s">
        <v>32</v>
      </c>
      <c r="B733" s="450">
        <f>SUM(B723:B731)</f>
        <v>78.68199999976791</v>
      </c>
      <c r="C733" s="450">
        <f t="shared" ref="C733:E733" si="319">SUM(C723:C731)</f>
        <v>32.607000000053517</v>
      </c>
      <c r="D733" s="450">
        <f t="shared" si="319"/>
        <v>24.555999999826515</v>
      </c>
      <c r="E733" s="450">
        <f t="shared" si="319"/>
        <v>135.84499999964794</v>
      </c>
      <c r="F733" s="450"/>
      <c r="G733" s="450">
        <f t="shared" ref="G733:J733" si="320">SUM(G723:G731)</f>
        <v>99.755999999428838</v>
      </c>
      <c r="H733" s="450">
        <f t="shared" si="320"/>
        <v>35.453000000177369</v>
      </c>
      <c r="I733" s="450">
        <f t="shared" si="320"/>
        <v>37.563999999521201</v>
      </c>
      <c r="J733" s="450">
        <f t="shared" si="320"/>
        <v>172.77299999912742</v>
      </c>
      <c r="K733" s="450"/>
      <c r="L733" s="450">
        <f t="shared" ref="L733:O733" si="321">SUM(L723:L731)</f>
        <v>96.559999999582885</v>
      </c>
      <c r="M733" s="450">
        <f t="shared" si="321"/>
        <v>47.285999999967459</v>
      </c>
      <c r="N733" s="450">
        <f t="shared" si="321"/>
        <v>36.88199999936964</v>
      </c>
      <c r="O733" s="450">
        <f t="shared" si="321"/>
        <v>180.72799999891993</v>
      </c>
    </row>
    <row r="734" spans="1:15" s="351" customFormat="1" x14ac:dyDescent="0.25">
      <c r="A734" s="348"/>
      <c r="B734" s="348"/>
      <c r="C734" s="348"/>
      <c r="D734" s="348"/>
      <c r="E734" s="348"/>
      <c r="F734" s="348"/>
      <c r="G734" s="348"/>
      <c r="H734" s="348"/>
      <c r="I734" s="348"/>
      <c r="J734" s="348"/>
      <c r="K734" s="348"/>
      <c r="L734" s="348"/>
      <c r="M734" s="348"/>
      <c r="N734" s="353"/>
    </row>
    <row r="735" spans="1:15" s="351" customFormat="1" x14ac:dyDescent="0.25">
      <c r="A735" s="348"/>
      <c r="B735" s="348"/>
      <c r="C735" s="348"/>
      <c r="D735" s="348"/>
      <c r="E735" s="348"/>
      <c r="F735" s="348"/>
      <c r="G735" s="348"/>
      <c r="H735" s="348"/>
      <c r="I735" s="348"/>
      <c r="J735" s="348"/>
      <c r="K735" s="348"/>
      <c r="L735" s="348"/>
      <c r="M735" s="348"/>
      <c r="N735" s="353"/>
      <c r="O735" s="367" t="s">
        <v>35</v>
      </c>
    </row>
    <row r="736" spans="1:15" s="351" customFormat="1" x14ac:dyDescent="0.25">
      <c r="A736" s="355"/>
      <c r="B736" s="355"/>
      <c r="C736" s="355"/>
      <c r="D736" s="355"/>
      <c r="E736" s="355"/>
      <c r="F736" s="355"/>
      <c r="G736" s="355"/>
      <c r="H736" s="355"/>
      <c r="I736" s="355"/>
      <c r="J736" s="355"/>
      <c r="K736" s="355"/>
      <c r="L736" s="355"/>
      <c r="M736" s="355"/>
      <c r="N736" s="355"/>
      <c r="O736" s="355"/>
    </row>
    <row r="737" spans="1:15" s="351" customFormat="1" x14ac:dyDescent="0.25">
      <c r="A737" s="354" t="str">
        <f>name!A46</f>
        <v>Broadcasting</v>
      </c>
      <c r="B737" s="517">
        <f>$B$6</f>
        <v>2007</v>
      </c>
      <c r="C737" s="517"/>
      <c r="D737" s="517"/>
      <c r="E737" s="517"/>
      <c r="F737" s="380"/>
      <c r="G737" s="517">
        <f>$G$6</f>
        <v>2017</v>
      </c>
      <c r="H737" s="517"/>
      <c r="I737" s="517"/>
      <c r="J737" s="517"/>
      <c r="K737" s="380"/>
      <c r="L737" s="517">
        <f>$L$6</f>
        <v>2027</v>
      </c>
      <c r="M737" s="517"/>
      <c r="N737" s="517"/>
      <c r="O737" s="517"/>
    </row>
    <row r="738" spans="1:15" s="351" customFormat="1" x14ac:dyDescent="0.25">
      <c r="A738" s="370"/>
      <c r="B738" s="388" t="str">
        <f>$B$7</f>
        <v>FT</v>
      </c>
      <c r="C738" s="388" t="str">
        <f>$C$7</f>
        <v>PT</v>
      </c>
      <c r="D738" s="388" t="str">
        <f>$D$7</f>
        <v>SE</v>
      </c>
      <c r="E738" s="388" t="str">
        <f>$E$7</f>
        <v>Total</v>
      </c>
      <c r="F738" s="388"/>
      <c r="G738" s="388" t="str">
        <f>$G$7</f>
        <v>FT</v>
      </c>
      <c r="H738" s="388" t="str">
        <f>$H$7</f>
        <v>PT</v>
      </c>
      <c r="I738" s="388" t="str">
        <f>$I$7</f>
        <v>SE</v>
      </c>
      <c r="J738" s="388" t="str">
        <f>$J$7</f>
        <v>Total</v>
      </c>
      <c r="K738" s="388"/>
      <c r="L738" s="388" t="str">
        <f>$L$7</f>
        <v>FT</v>
      </c>
      <c r="M738" s="388" t="str">
        <f>$M$7</f>
        <v>PT</v>
      </c>
      <c r="N738" s="388" t="str">
        <f>$N$7</f>
        <v>SE</v>
      </c>
      <c r="O738" s="388" t="str">
        <f>$O$7</f>
        <v>Total</v>
      </c>
    </row>
    <row r="739" spans="1:15" s="351" customFormat="1" x14ac:dyDescent="0.25">
      <c r="A739" s="374"/>
      <c r="B739" s="350"/>
      <c r="C739" s="350"/>
      <c r="D739" s="350"/>
      <c r="E739" s="350"/>
      <c r="F739" s="350"/>
      <c r="G739" s="350"/>
      <c r="H739" s="350"/>
      <c r="I739" s="350"/>
      <c r="J739" s="350"/>
      <c r="K739" s="350"/>
      <c r="L739" s="350"/>
      <c r="M739" s="350"/>
      <c r="N739" s="350"/>
      <c r="O739" s="350"/>
    </row>
    <row r="740" spans="1:15" s="351" customFormat="1" x14ac:dyDescent="0.25">
      <c r="A740" s="362" t="str">
        <f>name!E$4</f>
        <v>Managers, directors and senior officials</v>
      </c>
      <c r="B740" s="440">
        <v>2.760401863584756</v>
      </c>
      <c r="C740" s="440">
        <v>6.5952801135203146E-2</v>
      </c>
      <c r="D740" s="440">
        <v>0.87084764793650682</v>
      </c>
      <c r="E740" s="440">
        <f>SUM(B740:D740)</f>
        <v>3.6972023126564659</v>
      </c>
      <c r="F740" s="441"/>
      <c r="G740" s="440">
        <v>4.9109517059110628</v>
      </c>
      <c r="H740" s="440">
        <v>0.23723849852676987</v>
      </c>
      <c r="I740" s="440">
        <v>1.2275625734775986</v>
      </c>
      <c r="J740" s="440">
        <f>SUM(G740:I740)</f>
        <v>6.375752777915431</v>
      </c>
      <c r="K740" s="441"/>
      <c r="L740" s="440">
        <v>5.1741337870168476</v>
      </c>
      <c r="M740" s="440">
        <v>0.37496045501115932</v>
      </c>
      <c r="N740" s="440">
        <v>1.5159336640778864</v>
      </c>
      <c r="O740" s="440">
        <f>SUM(L740:N740)</f>
        <v>7.0650279061058932</v>
      </c>
    </row>
    <row r="741" spans="1:15" s="351" customFormat="1" x14ac:dyDescent="0.25">
      <c r="A741" s="362" t="str">
        <f>name!E$5</f>
        <v>Professional occupations</v>
      </c>
      <c r="B741" s="440">
        <v>3.5024401210130787</v>
      </c>
      <c r="C741" s="440">
        <v>0.2001229156673506</v>
      </c>
      <c r="D741" s="440">
        <v>1.3453418816224603</v>
      </c>
      <c r="E741" s="440">
        <f t="shared" ref="E741:E748" si="322">SUM(B741:D741)</f>
        <v>5.0479049183028897</v>
      </c>
      <c r="F741" s="441"/>
      <c r="G741" s="440">
        <v>6.5293314972146161</v>
      </c>
      <c r="H741" s="440">
        <v>0.38684543296925494</v>
      </c>
      <c r="I741" s="440">
        <v>1.790561011058694</v>
      </c>
      <c r="J741" s="440">
        <f t="shared" ref="J741:J743" si="323">SUM(G741:I741)</f>
        <v>8.7067379412425652</v>
      </c>
      <c r="K741" s="441"/>
      <c r="L741" s="440">
        <v>7.0649628845565147</v>
      </c>
      <c r="M741" s="440">
        <v>0.64707105256935649</v>
      </c>
      <c r="N741" s="440">
        <v>1.9723411115454963</v>
      </c>
      <c r="O741" s="440">
        <f t="shared" ref="O741:O748" si="324">SUM(L741:N741)</f>
        <v>9.6843750486713667</v>
      </c>
    </row>
    <row r="742" spans="1:15" s="351" customFormat="1" x14ac:dyDescent="0.25">
      <c r="A742" s="362" t="str">
        <f>name!E$6</f>
        <v>Associate professional and technical</v>
      </c>
      <c r="B742" s="440">
        <v>5.7378222032114827</v>
      </c>
      <c r="C742" s="440">
        <v>0.64536594047147244</v>
      </c>
      <c r="D742" s="440">
        <v>6.1387733738568739</v>
      </c>
      <c r="E742" s="440">
        <f t="shared" si="322"/>
        <v>12.521961517539829</v>
      </c>
      <c r="F742" s="441"/>
      <c r="G742" s="440">
        <v>8.6384520589546749</v>
      </c>
      <c r="H742" s="440">
        <v>0.93534355480636555</v>
      </c>
      <c r="I742" s="440">
        <v>6.5659866877074489</v>
      </c>
      <c r="J742" s="440">
        <f t="shared" si="323"/>
        <v>16.13978230146849</v>
      </c>
      <c r="K742" s="441"/>
      <c r="L742" s="440">
        <v>8.1830426667726268</v>
      </c>
      <c r="M742" s="440">
        <v>1.5172357035083623</v>
      </c>
      <c r="N742" s="440">
        <v>7.0436492671588082</v>
      </c>
      <c r="O742" s="440">
        <f t="shared" si="324"/>
        <v>16.743927637439796</v>
      </c>
    </row>
    <row r="743" spans="1:15" s="351" customFormat="1" x14ac:dyDescent="0.25">
      <c r="A743" s="362" t="str">
        <f>name!E$7</f>
        <v>Administrative and secretarial</v>
      </c>
      <c r="B743" s="440">
        <v>1.7448550320288787</v>
      </c>
      <c r="C743" s="440">
        <v>0.34711761177440487</v>
      </c>
      <c r="D743" s="440">
        <v>0.105330901351118</v>
      </c>
      <c r="E743" s="440">
        <f t="shared" si="322"/>
        <v>2.1973035451544018</v>
      </c>
      <c r="F743" s="441"/>
      <c r="G743" s="440">
        <v>2.4605057965848762</v>
      </c>
      <c r="H743" s="440">
        <v>0.65280031753776191</v>
      </c>
      <c r="I743" s="440">
        <v>0.13124421380138818</v>
      </c>
      <c r="J743" s="440">
        <f t="shared" si="323"/>
        <v>3.2445503279240264</v>
      </c>
      <c r="K743" s="441"/>
      <c r="L743" s="440">
        <v>2.0060116901674307</v>
      </c>
      <c r="M743" s="440">
        <v>0.66175723033817457</v>
      </c>
      <c r="N743" s="440">
        <v>0.13064219039990513</v>
      </c>
      <c r="O743" s="440">
        <f t="shared" si="324"/>
        <v>2.7984111109055103</v>
      </c>
    </row>
    <row r="744" spans="1:15" s="351" customFormat="1" x14ac:dyDescent="0.25">
      <c r="A744" s="362" t="str">
        <f>name!E$8</f>
        <v>Skilled trades occupations</v>
      </c>
      <c r="B744" s="440">
        <v>2.4577697568140313</v>
      </c>
      <c r="C744" s="440">
        <v>7.7513578230687261E-2</v>
      </c>
      <c r="D744" s="440">
        <v>0.64463530470186692</v>
      </c>
      <c r="E744" s="440">
        <f t="shared" si="322"/>
        <v>3.1799186397465853</v>
      </c>
      <c r="F744" s="441"/>
      <c r="G744" s="440">
        <v>3.1831415982103448</v>
      </c>
      <c r="H744" s="440">
        <v>0.19555470613007525</v>
      </c>
      <c r="I744" s="440">
        <v>0.96655884328710251</v>
      </c>
      <c r="J744" s="440">
        <f>SUM(G744:I744)</f>
        <v>4.3452551476275225</v>
      </c>
      <c r="K744" s="441"/>
      <c r="L744" s="440">
        <v>2.8459863506469643</v>
      </c>
      <c r="M744" s="440">
        <v>0.33360716709508648</v>
      </c>
      <c r="N744" s="440">
        <v>0.88653204781948713</v>
      </c>
      <c r="O744" s="440">
        <f t="shared" si="324"/>
        <v>4.0661255655615376</v>
      </c>
    </row>
    <row r="745" spans="1:15" s="351" customFormat="1" x14ac:dyDescent="0.25">
      <c r="A745" s="362" t="str">
        <f>name!E$9</f>
        <v>Caring, leisure and other service</v>
      </c>
      <c r="B745" s="440">
        <v>0.87858699551847663</v>
      </c>
      <c r="C745" s="440">
        <v>0.35111987921912235</v>
      </c>
      <c r="D745" s="440">
        <v>0.12553829911450806</v>
      </c>
      <c r="E745" s="440">
        <f t="shared" si="322"/>
        <v>1.355245173852107</v>
      </c>
      <c r="F745" s="441"/>
      <c r="G745" s="440">
        <v>1.4308388679710797</v>
      </c>
      <c r="H745" s="440">
        <v>0.53397095916058046</v>
      </c>
      <c r="I745" s="440">
        <v>0.20106165567858045</v>
      </c>
      <c r="J745" s="440">
        <f t="shared" ref="J745:J748" si="325">SUM(G745:I745)</f>
        <v>2.1658714828102408</v>
      </c>
      <c r="K745" s="441"/>
      <c r="L745" s="440">
        <v>1.4613736890972504</v>
      </c>
      <c r="M745" s="440">
        <v>0.78226961253289595</v>
      </c>
      <c r="N745" s="440">
        <v>0.20701831543608695</v>
      </c>
      <c r="O745" s="440">
        <f t="shared" si="324"/>
        <v>2.450661617066233</v>
      </c>
    </row>
    <row r="746" spans="1:15" s="351" customFormat="1" x14ac:dyDescent="0.25">
      <c r="A746" s="362" t="str">
        <f>name!E$10</f>
        <v>Sales and customer service</v>
      </c>
      <c r="B746" s="440">
        <v>1.3608979253341662</v>
      </c>
      <c r="C746" s="440">
        <v>0.17276029707417442</v>
      </c>
      <c r="D746" s="440">
        <v>5.670601776962049E-2</v>
      </c>
      <c r="E746" s="440">
        <f t="shared" si="322"/>
        <v>1.5903642401779612</v>
      </c>
      <c r="F746" s="441"/>
      <c r="G746" s="440">
        <v>2.0215644347901374</v>
      </c>
      <c r="H746" s="440">
        <v>0.44417108087302409</v>
      </c>
      <c r="I746" s="440">
        <v>7.8210265562496217E-2</v>
      </c>
      <c r="J746" s="440">
        <f t="shared" si="325"/>
        <v>2.5439457812256578</v>
      </c>
      <c r="K746" s="441"/>
      <c r="L746" s="440">
        <v>2.0315776250526039</v>
      </c>
      <c r="M746" s="440">
        <v>0.55569793363272835</v>
      </c>
      <c r="N746" s="440">
        <v>9.3345601097453018E-2</v>
      </c>
      <c r="O746" s="440">
        <f t="shared" si="324"/>
        <v>2.6806211597827851</v>
      </c>
    </row>
    <row r="747" spans="1:15" s="351" customFormat="1" x14ac:dyDescent="0.25">
      <c r="A747" s="362" t="str">
        <f>name!E$11</f>
        <v>Process, plant and machine operatives</v>
      </c>
      <c r="B747" s="440">
        <v>0.21378203795369558</v>
      </c>
      <c r="C747" s="440">
        <v>2.4292602152026006E-2</v>
      </c>
      <c r="D747" s="440">
        <v>4.5807581685782486E-2</v>
      </c>
      <c r="E747" s="440">
        <f t="shared" si="322"/>
        <v>0.28388222179150407</v>
      </c>
      <c r="F747" s="441"/>
      <c r="G747" s="440">
        <v>0.30535317439942855</v>
      </c>
      <c r="H747" s="440">
        <v>5.1436904127670699E-2</v>
      </c>
      <c r="I747" s="440">
        <v>7.9379134716635741E-2</v>
      </c>
      <c r="J747" s="440">
        <f t="shared" si="325"/>
        <v>0.43616921324373503</v>
      </c>
      <c r="K747" s="441"/>
      <c r="L747" s="440">
        <v>0.27041317151927058</v>
      </c>
      <c r="M747" s="440">
        <v>6.8009542757256777E-2</v>
      </c>
      <c r="N747" s="440">
        <v>7.649516907328599E-2</v>
      </c>
      <c r="O747" s="440">
        <f t="shared" si="324"/>
        <v>0.41491788334981339</v>
      </c>
    </row>
    <row r="748" spans="1:15" s="351" customFormat="1" x14ac:dyDescent="0.25">
      <c r="A748" s="362" t="str">
        <f>name!E$12</f>
        <v>Elementary occupations</v>
      </c>
      <c r="B748" s="440">
        <v>0.59444406455171817</v>
      </c>
      <c r="C748" s="440">
        <v>0.55675437427384467</v>
      </c>
      <c r="D748" s="440">
        <v>0.12901899192646696</v>
      </c>
      <c r="E748" s="440">
        <f t="shared" si="322"/>
        <v>1.28021743075203</v>
      </c>
      <c r="F748" s="441"/>
      <c r="G748" s="440">
        <v>0.87686086580182088</v>
      </c>
      <c r="H748" s="440">
        <v>0.77563854587355541</v>
      </c>
      <c r="I748" s="440">
        <v>0.19243561452641847</v>
      </c>
      <c r="J748" s="440">
        <f t="shared" si="325"/>
        <v>1.8449350262017947</v>
      </c>
      <c r="K748" s="441"/>
      <c r="L748" s="440">
        <v>0.73149813502157557</v>
      </c>
      <c r="M748" s="440">
        <v>1.0493913025449821</v>
      </c>
      <c r="N748" s="440">
        <v>0.19904263311802917</v>
      </c>
      <c r="O748" s="440">
        <f t="shared" si="324"/>
        <v>1.9799320706845869</v>
      </c>
    </row>
    <row r="749" spans="1:15" s="351" customFormat="1" x14ac:dyDescent="0.25">
      <c r="A749" s="362"/>
      <c r="B749" s="440"/>
      <c r="C749" s="440"/>
      <c r="D749" s="440"/>
      <c r="E749" s="440"/>
      <c r="F749" s="441"/>
      <c r="G749" s="440"/>
      <c r="H749" s="440"/>
      <c r="I749" s="440"/>
      <c r="J749" s="440"/>
      <c r="K749" s="441"/>
      <c r="L749" s="440"/>
      <c r="M749" s="440"/>
      <c r="N749" s="440"/>
      <c r="O749" s="440"/>
    </row>
    <row r="750" spans="1:15" s="351" customFormat="1" x14ac:dyDescent="0.25">
      <c r="A750" s="357" t="s">
        <v>32</v>
      </c>
      <c r="B750" s="450">
        <f>SUM(B740:B748)</f>
        <v>19.251000000010286</v>
      </c>
      <c r="C750" s="450">
        <f t="shared" ref="C750:E750" si="326">SUM(C740:C748)</f>
        <v>2.4409999999982857</v>
      </c>
      <c r="D750" s="450">
        <f t="shared" si="326"/>
        <v>9.4619999999652045</v>
      </c>
      <c r="E750" s="450">
        <f t="shared" si="326"/>
        <v>31.153999999973777</v>
      </c>
      <c r="F750" s="450"/>
      <c r="G750" s="450">
        <f t="shared" ref="G750:J750" si="327">SUM(G740:G748)</f>
        <v>30.356999999838038</v>
      </c>
      <c r="H750" s="450">
        <f t="shared" si="327"/>
        <v>4.2130000000050583</v>
      </c>
      <c r="I750" s="450">
        <f t="shared" si="327"/>
        <v>11.232999999816364</v>
      </c>
      <c r="J750" s="450">
        <f t="shared" si="327"/>
        <v>45.802999999659463</v>
      </c>
      <c r="K750" s="450"/>
      <c r="L750" s="450">
        <f t="shared" ref="L750:O750" si="328">SUM(L740:L748)</f>
        <v>29.768999999851079</v>
      </c>
      <c r="M750" s="450">
        <f t="shared" si="328"/>
        <v>5.9899999999900029</v>
      </c>
      <c r="N750" s="450">
        <f t="shared" si="328"/>
        <v>12.124999999726441</v>
      </c>
      <c r="O750" s="450">
        <f t="shared" si="328"/>
        <v>47.883999999567521</v>
      </c>
    </row>
    <row r="751" spans="1:15" s="351" customFormat="1" x14ac:dyDescent="0.25">
      <c r="A751" s="348"/>
      <c r="B751" s="348"/>
      <c r="C751" s="348"/>
      <c r="D751" s="348"/>
      <c r="E751" s="348"/>
      <c r="F751" s="348"/>
      <c r="G751" s="348"/>
      <c r="H751" s="348"/>
      <c r="I751" s="348"/>
      <c r="J751" s="348"/>
      <c r="K751" s="348"/>
      <c r="L751" s="348"/>
      <c r="M751" s="348"/>
      <c r="N751" s="353"/>
    </row>
    <row r="752" spans="1:15" s="351" customFormat="1" x14ac:dyDescent="0.25">
      <c r="A752" s="348"/>
      <c r="B752" s="348"/>
      <c r="C752" s="348"/>
      <c r="D752" s="348"/>
      <c r="E752" s="348"/>
      <c r="F752" s="348"/>
      <c r="G752" s="348"/>
      <c r="H752" s="348"/>
      <c r="I752" s="348"/>
      <c r="J752" s="348"/>
      <c r="K752" s="348"/>
      <c r="L752" s="348"/>
      <c r="M752" s="348"/>
      <c r="N752" s="353"/>
      <c r="O752" s="367" t="s">
        <v>35</v>
      </c>
    </row>
    <row r="753" spans="1:15" s="351" customFormat="1" x14ac:dyDescent="0.25">
      <c r="A753" s="355"/>
      <c r="B753" s="355"/>
      <c r="C753" s="355"/>
      <c r="D753" s="355"/>
      <c r="E753" s="355"/>
      <c r="F753" s="355"/>
      <c r="G753" s="355"/>
      <c r="H753" s="355"/>
      <c r="I753" s="355"/>
      <c r="J753" s="355"/>
      <c r="K753" s="355"/>
      <c r="L753" s="355"/>
      <c r="M753" s="355"/>
      <c r="N753" s="355"/>
      <c r="O753" s="355"/>
    </row>
    <row r="754" spans="1:15" s="351" customFormat="1" x14ac:dyDescent="0.25">
      <c r="A754" s="354" t="str">
        <f>name!A47</f>
        <v>Telecommunications</v>
      </c>
      <c r="B754" s="517">
        <f>$B$6</f>
        <v>2007</v>
      </c>
      <c r="C754" s="517"/>
      <c r="D754" s="517"/>
      <c r="E754" s="517"/>
      <c r="F754" s="380"/>
      <c r="G754" s="517">
        <f>$G$6</f>
        <v>2017</v>
      </c>
      <c r="H754" s="517"/>
      <c r="I754" s="517"/>
      <c r="J754" s="517"/>
      <c r="K754" s="380"/>
      <c r="L754" s="517">
        <f>$L$6</f>
        <v>2027</v>
      </c>
      <c r="M754" s="517"/>
      <c r="N754" s="517"/>
      <c r="O754" s="517"/>
    </row>
    <row r="755" spans="1:15" s="351" customFormat="1" x14ac:dyDescent="0.25">
      <c r="A755" s="370"/>
      <c r="B755" s="388" t="str">
        <f>$B$7</f>
        <v>FT</v>
      </c>
      <c r="C755" s="388" t="str">
        <f>$C$7</f>
        <v>PT</v>
      </c>
      <c r="D755" s="388" t="str">
        <f>$D$7</f>
        <v>SE</v>
      </c>
      <c r="E755" s="388" t="str">
        <f>$E$7</f>
        <v>Total</v>
      </c>
      <c r="F755" s="388"/>
      <c r="G755" s="388" t="str">
        <f>$G$7</f>
        <v>FT</v>
      </c>
      <c r="H755" s="388" t="str">
        <f>$H$7</f>
        <v>PT</v>
      </c>
      <c r="I755" s="388" t="str">
        <f>$I$7</f>
        <v>SE</v>
      </c>
      <c r="J755" s="388" t="str">
        <f>$J$7</f>
        <v>Total</v>
      </c>
      <c r="K755" s="388"/>
      <c r="L755" s="388" t="str">
        <f>$L$7</f>
        <v>FT</v>
      </c>
      <c r="M755" s="388" t="str">
        <f>$M$7</f>
        <v>PT</v>
      </c>
      <c r="N755" s="388" t="str">
        <f>$N$7</f>
        <v>SE</v>
      </c>
      <c r="O755" s="388" t="str">
        <f>$O$7</f>
        <v>Total</v>
      </c>
    </row>
    <row r="756" spans="1:15" s="351" customFormat="1" x14ac:dyDescent="0.25">
      <c r="A756" s="374"/>
      <c r="B756" s="350"/>
      <c r="C756" s="350"/>
      <c r="D756" s="350"/>
      <c r="E756" s="350"/>
      <c r="F756" s="350"/>
      <c r="G756" s="350"/>
      <c r="H756" s="350"/>
      <c r="I756" s="350"/>
      <c r="J756" s="350"/>
      <c r="K756" s="350"/>
      <c r="L756" s="350"/>
      <c r="M756" s="350"/>
      <c r="N756" s="350"/>
      <c r="O756" s="350"/>
    </row>
    <row r="757" spans="1:15" s="351" customFormat="1" x14ac:dyDescent="0.25">
      <c r="A757" s="362" t="str">
        <f>name!E$4</f>
        <v>Managers, directors and senior officials</v>
      </c>
      <c r="B757" s="440">
        <v>27.142248916460474</v>
      </c>
      <c r="C757" s="440">
        <v>1.2564230369569258</v>
      </c>
      <c r="D757" s="440">
        <v>5.1191905686426216</v>
      </c>
      <c r="E757" s="440">
        <f>SUM(B757:D757)</f>
        <v>33.517862522060021</v>
      </c>
      <c r="F757" s="441"/>
      <c r="G757" s="440">
        <v>34.354299110350951</v>
      </c>
      <c r="H757" s="440">
        <v>1.3303062965425931</v>
      </c>
      <c r="I757" s="440">
        <v>3.6152857681808683</v>
      </c>
      <c r="J757" s="440">
        <f>SUM(G757:I757)</f>
        <v>39.299891175074414</v>
      </c>
      <c r="K757" s="441"/>
      <c r="L757" s="440">
        <v>35.818411365052164</v>
      </c>
      <c r="M757" s="440">
        <v>2.6905404147975109</v>
      </c>
      <c r="N757" s="440">
        <v>4.7226497500681806</v>
      </c>
      <c r="O757" s="440">
        <f>SUM(L757:N757)</f>
        <v>43.231601529917853</v>
      </c>
    </row>
    <row r="758" spans="1:15" s="351" customFormat="1" x14ac:dyDescent="0.25">
      <c r="A758" s="362" t="str">
        <f>name!E$5</f>
        <v>Professional occupations</v>
      </c>
      <c r="B758" s="440">
        <v>38.576399357686263</v>
      </c>
      <c r="C758" s="440">
        <v>0.66151998695405134</v>
      </c>
      <c r="D758" s="440">
        <v>7.5103067735210747</v>
      </c>
      <c r="E758" s="440">
        <f t="shared" ref="E758:E765" si="329">SUM(B758:D758)</f>
        <v>46.748226118161391</v>
      </c>
      <c r="F758" s="441"/>
      <c r="G758" s="440">
        <v>52.800470252770538</v>
      </c>
      <c r="H758" s="440">
        <v>0.65670641733570823</v>
      </c>
      <c r="I758" s="440">
        <v>7.0280491190325067</v>
      </c>
      <c r="J758" s="440">
        <f t="shared" ref="J758:J760" si="330">SUM(G758:I758)</f>
        <v>60.485225789138752</v>
      </c>
      <c r="K758" s="441"/>
      <c r="L758" s="440">
        <v>53.019284036374607</v>
      </c>
      <c r="M758" s="440">
        <v>1.2989788982870272</v>
      </c>
      <c r="N758" s="440">
        <v>8.818405613434896</v>
      </c>
      <c r="O758" s="440">
        <f t="shared" ref="O758:O765" si="331">SUM(L758:N758)</f>
        <v>63.13666854809653</v>
      </c>
    </row>
    <row r="759" spans="1:15" s="351" customFormat="1" x14ac:dyDescent="0.25">
      <c r="A759" s="362" t="str">
        <f>name!E$6</f>
        <v>Associate professional and technical</v>
      </c>
      <c r="B759" s="440">
        <v>30.704870636278596</v>
      </c>
      <c r="C759" s="440">
        <v>1.4843265886446211</v>
      </c>
      <c r="D759" s="440">
        <v>2.7633335154793222</v>
      </c>
      <c r="E759" s="440">
        <f t="shared" si="329"/>
        <v>34.952530740402544</v>
      </c>
      <c r="F759" s="441"/>
      <c r="G759" s="440">
        <v>31.098369883465509</v>
      </c>
      <c r="H759" s="440">
        <v>1.3473339376268552</v>
      </c>
      <c r="I759" s="440">
        <v>2.3329307631143563</v>
      </c>
      <c r="J759" s="440">
        <f t="shared" si="330"/>
        <v>34.778634584206721</v>
      </c>
      <c r="K759" s="441"/>
      <c r="L759" s="440">
        <v>31.55060473307427</v>
      </c>
      <c r="M759" s="440">
        <v>2.6464413953847283</v>
      </c>
      <c r="N759" s="440">
        <v>2.9655456229606787</v>
      </c>
      <c r="O759" s="440">
        <f t="shared" si="331"/>
        <v>37.162591751419676</v>
      </c>
    </row>
    <row r="760" spans="1:15" s="351" customFormat="1" x14ac:dyDescent="0.25">
      <c r="A760" s="362" t="str">
        <f>name!E$7</f>
        <v>Administrative and secretarial</v>
      </c>
      <c r="B760" s="440">
        <v>12.750941795954438</v>
      </c>
      <c r="C760" s="440">
        <v>2.7981699523840731</v>
      </c>
      <c r="D760" s="440">
        <v>0.50275583738466567</v>
      </c>
      <c r="E760" s="440">
        <f t="shared" si="329"/>
        <v>16.051867585723176</v>
      </c>
      <c r="F760" s="441"/>
      <c r="G760" s="440">
        <v>9.1642700511885185</v>
      </c>
      <c r="H760" s="440">
        <v>1.1981811768361226</v>
      </c>
      <c r="I760" s="440">
        <v>0.46520934291472638</v>
      </c>
      <c r="J760" s="440">
        <f t="shared" si="330"/>
        <v>10.827660570939367</v>
      </c>
      <c r="K760" s="441"/>
      <c r="L760" s="440">
        <v>8.2354829246838754</v>
      </c>
      <c r="M760" s="440">
        <v>1.8193647071238908</v>
      </c>
      <c r="N760" s="440">
        <v>0.47533842034989437</v>
      </c>
      <c r="O760" s="440">
        <f t="shared" si="331"/>
        <v>10.53018605215766</v>
      </c>
    </row>
    <row r="761" spans="1:15" s="351" customFormat="1" x14ac:dyDescent="0.25">
      <c r="A761" s="362" t="str">
        <f>name!E$8</f>
        <v>Skilled trades occupations</v>
      </c>
      <c r="B761" s="440">
        <v>30.043471885158326</v>
      </c>
      <c r="C761" s="440">
        <v>0.63125984007639402</v>
      </c>
      <c r="D761" s="440">
        <v>6.1936763462550477</v>
      </c>
      <c r="E761" s="440">
        <f t="shared" si="329"/>
        <v>36.868408071489768</v>
      </c>
      <c r="F761" s="441"/>
      <c r="G761" s="440">
        <v>23.528626858946065</v>
      </c>
      <c r="H761" s="440">
        <v>0.40524674960426083</v>
      </c>
      <c r="I761" s="440">
        <v>2.2484055177367446</v>
      </c>
      <c r="J761" s="440">
        <f>SUM(G761:I761)</f>
        <v>26.182279126287071</v>
      </c>
      <c r="K761" s="441"/>
      <c r="L761" s="440">
        <v>17.504361562451543</v>
      </c>
      <c r="M761" s="440">
        <v>0.56788740570907892</v>
      </c>
      <c r="N761" s="440">
        <v>2.6486285317171694</v>
      </c>
      <c r="O761" s="440">
        <f t="shared" si="331"/>
        <v>20.72087749987779</v>
      </c>
    </row>
    <row r="762" spans="1:15" s="351" customFormat="1" x14ac:dyDescent="0.25">
      <c r="A762" s="362" t="str">
        <f>name!E$9</f>
        <v>Caring, leisure and other service</v>
      </c>
      <c r="B762" s="440">
        <v>3.6229169492797202</v>
      </c>
      <c r="C762" s="440">
        <v>0.64358084035901963</v>
      </c>
      <c r="D762" s="440">
        <v>0.31652066754498503</v>
      </c>
      <c r="E762" s="440">
        <f t="shared" si="329"/>
        <v>4.5830184571837247</v>
      </c>
      <c r="F762" s="441"/>
      <c r="G762" s="440">
        <v>4.7852437975097439</v>
      </c>
      <c r="H762" s="440">
        <v>0.46564230639662663</v>
      </c>
      <c r="I762" s="440">
        <v>0.29186174537598358</v>
      </c>
      <c r="J762" s="440">
        <f t="shared" ref="J762:J765" si="332">SUM(G762:I762)</f>
        <v>5.542747849282355</v>
      </c>
      <c r="K762" s="441"/>
      <c r="L762" s="440">
        <v>5.3176589604998172</v>
      </c>
      <c r="M762" s="440">
        <v>0.88094418492057913</v>
      </c>
      <c r="N762" s="440">
        <v>0.44023634800762218</v>
      </c>
      <c r="O762" s="440">
        <f t="shared" si="331"/>
        <v>6.6388394934280184</v>
      </c>
    </row>
    <row r="763" spans="1:15" s="351" customFormat="1" x14ac:dyDescent="0.25">
      <c r="A763" s="362" t="str">
        <f>name!E$10</f>
        <v>Sales and customer service</v>
      </c>
      <c r="B763" s="440">
        <v>25.633293672749097</v>
      </c>
      <c r="C763" s="440">
        <v>8.7759261542132183</v>
      </c>
      <c r="D763" s="440">
        <v>0.72870611397157459</v>
      </c>
      <c r="E763" s="440">
        <f t="shared" si="329"/>
        <v>35.13792594093389</v>
      </c>
      <c r="F763" s="441"/>
      <c r="G763" s="440">
        <v>19.868416774240451</v>
      </c>
      <c r="H763" s="440">
        <v>7.9278347858509077</v>
      </c>
      <c r="I763" s="440">
        <v>0.55179930070800232</v>
      </c>
      <c r="J763" s="440">
        <f t="shared" si="332"/>
        <v>28.348050860799361</v>
      </c>
      <c r="K763" s="441"/>
      <c r="L763" s="440">
        <v>20.037420680236472</v>
      </c>
      <c r="M763" s="440">
        <v>14.542760243086082</v>
      </c>
      <c r="N763" s="440">
        <v>0.68357037709699464</v>
      </c>
      <c r="O763" s="440">
        <f t="shared" si="331"/>
        <v>35.26375130041955</v>
      </c>
    </row>
    <row r="764" spans="1:15" s="351" customFormat="1" x14ac:dyDescent="0.25">
      <c r="A764" s="362" t="str">
        <f>name!E$11</f>
        <v>Process, plant and machine operatives</v>
      </c>
      <c r="B764" s="440">
        <v>1.664226133754094</v>
      </c>
      <c r="C764" s="440">
        <v>0.50969572830455112</v>
      </c>
      <c r="D764" s="440">
        <v>0.89283681212742771</v>
      </c>
      <c r="E764" s="440">
        <f t="shared" si="329"/>
        <v>3.0667586741860724</v>
      </c>
      <c r="F764" s="441"/>
      <c r="G764" s="440">
        <v>1.5382799272791383</v>
      </c>
      <c r="H764" s="440">
        <v>0.36702089423177636</v>
      </c>
      <c r="I764" s="440">
        <v>0.57450642497100202</v>
      </c>
      <c r="J764" s="440">
        <f t="shared" si="332"/>
        <v>2.4798072464819167</v>
      </c>
      <c r="K764" s="441"/>
      <c r="L764" s="440">
        <v>1.3888782545651166</v>
      </c>
      <c r="M764" s="440">
        <v>0.62878477470085725</v>
      </c>
      <c r="N764" s="440">
        <v>0.742435107768877</v>
      </c>
      <c r="O764" s="440">
        <f t="shared" si="331"/>
        <v>2.7600981370348507</v>
      </c>
    </row>
    <row r="765" spans="1:15" s="351" customFormat="1" x14ac:dyDescent="0.25">
      <c r="A765" s="362" t="str">
        <f>name!E$12</f>
        <v>Elementary occupations</v>
      </c>
      <c r="B765" s="440">
        <v>1.3116306523997696</v>
      </c>
      <c r="C765" s="440">
        <v>0.63709787221009251</v>
      </c>
      <c r="D765" s="440">
        <v>2.1476733649720781</v>
      </c>
      <c r="E765" s="440">
        <f t="shared" si="329"/>
        <v>4.0964018895819407</v>
      </c>
      <c r="F765" s="441"/>
      <c r="G765" s="440">
        <v>1.2220233427887317</v>
      </c>
      <c r="H765" s="440">
        <v>0.43772743575248024</v>
      </c>
      <c r="I765" s="440">
        <v>1.8109520176537544</v>
      </c>
      <c r="J765" s="440">
        <f t="shared" si="332"/>
        <v>3.4707027961949661</v>
      </c>
      <c r="K765" s="441"/>
      <c r="L765" s="440">
        <v>1.0658974826417273</v>
      </c>
      <c r="M765" s="440">
        <v>0.80029797630084043</v>
      </c>
      <c r="N765" s="440">
        <v>2.2491902283377536</v>
      </c>
      <c r="O765" s="440">
        <f t="shared" si="331"/>
        <v>4.1153856872803214</v>
      </c>
    </row>
    <row r="766" spans="1:15" s="351" customFormat="1" x14ac:dyDescent="0.25">
      <c r="A766" s="362"/>
      <c r="B766" s="440"/>
      <c r="C766" s="440"/>
      <c r="D766" s="440"/>
      <c r="E766" s="440"/>
      <c r="F766" s="441"/>
      <c r="G766" s="440"/>
      <c r="H766" s="440"/>
      <c r="I766" s="440"/>
      <c r="J766" s="440"/>
      <c r="K766" s="441"/>
      <c r="L766" s="440"/>
      <c r="M766" s="440"/>
      <c r="N766" s="440"/>
      <c r="O766" s="440"/>
    </row>
    <row r="767" spans="1:15" s="351" customFormat="1" x14ac:dyDescent="0.25">
      <c r="A767" s="357" t="s">
        <v>32</v>
      </c>
      <c r="B767" s="450">
        <f>SUM(B757:B765)</f>
        <v>171.44999999972077</v>
      </c>
      <c r="C767" s="450">
        <f t="shared" ref="C767:E767" si="333">SUM(C757:C765)</f>
        <v>17.398000000102947</v>
      </c>
      <c r="D767" s="450">
        <f t="shared" si="333"/>
        <v>26.174999999898798</v>
      </c>
      <c r="E767" s="450">
        <f t="shared" si="333"/>
        <v>215.02299999972251</v>
      </c>
      <c r="F767" s="450"/>
      <c r="G767" s="450">
        <f t="shared" ref="G767:J767" si="334">SUM(G757:G765)</f>
        <v>178.35999999853965</v>
      </c>
      <c r="H767" s="450">
        <f t="shared" si="334"/>
        <v>14.136000000177329</v>
      </c>
      <c r="I767" s="450">
        <f t="shared" si="334"/>
        <v>18.918999999687944</v>
      </c>
      <c r="J767" s="450">
        <f t="shared" si="334"/>
        <v>211.41499999840494</v>
      </c>
      <c r="K767" s="450"/>
      <c r="L767" s="450">
        <f t="shared" ref="L767:O767" si="335">SUM(L757:L765)</f>
        <v>173.9379999995796</v>
      </c>
      <c r="M767" s="450">
        <f t="shared" si="335"/>
        <v>25.876000000310594</v>
      </c>
      <c r="N767" s="450">
        <f t="shared" si="335"/>
        <v>23.745999999742068</v>
      </c>
      <c r="O767" s="450">
        <f t="shared" si="335"/>
        <v>223.55999999963223</v>
      </c>
    </row>
    <row r="768" spans="1:15" s="351" customFormat="1" x14ac:dyDescent="0.25">
      <c r="A768" s="348"/>
      <c r="B768" s="348"/>
      <c r="C768" s="348"/>
      <c r="D768" s="348"/>
      <c r="E768" s="348"/>
      <c r="F768" s="348"/>
      <c r="G768" s="348"/>
      <c r="H768" s="348"/>
      <c r="I768" s="348"/>
      <c r="J768" s="348"/>
      <c r="K768" s="348"/>
      <c r="L768" s="348"/>
      <c r="M768" s="348"/>
      <c r="N768" s="353"/>
    </row>
    <row r="769" spans="1:15" s="351" customFormat="1" x14ac:dyDescent="0.25">
      <c r="A769" s="348"/>
      <c r="B769" s="348"/>
      <c r="C769" s="348"/>
      <c r="D769" s="348"/>
      <c r="E769" s="348"/>
      <c r="F769" s="348"/>
      <c r="G769" s="348"/>
      <c r="H769" s="348"/>
      <c r="I769" s="348"/>
      <c r="J769" s="348"/>
      <c r="K769" s="348"/>
      <c r="L769" s="348"/>
      <c r="M769" s="348"/>
      <c r="N769" s="353"/>
      <c r="O769" s="367" t="s">
        <v>35</v>
      </c>
    </row>
    <row r="770" spans="1:15" s="351" customFormat="1" x14ac:dyDescent="0.25">
      <c r="A770" s="355"/>
      <c r="B770" s="355"/>
      <c r="C770" s="355"/>
      <c r="D770" s="355"/>
      <c r="E770" s="355"/>
      <c r="F770" s="355"/>
      <c r="G770" s="355"/>
      <c r="H770" s="355"/>
      <c r="I770" s="355"/>
      <c r="J770" s="355"/>
      <c r="K770" s="355"/>
      <c r="L770" s="355"/>
      <c r="M770" s="355"/>
      <c r="N770" s="355"/>
      <c r="O770" s="355"/>
    </row>
    <row r="771" spans="1:15" s="351" customFormat="1" x14ac:dyDescent="0.25">
      <c r="A771" s="354" t="str">
        <f>name!A48</f>
        <v>Computing services</v>
      </c>
      <c r="B771" s="517">
        <f>$B$6</f>
        <v>2007</v>
      </c>
      <c r="C771" s="517"/>
      <c r="D771" s="517"/>
      <c r="E771" s="517"/>
      <c r="F771" s="380"/>
      <c r="G771" s="517">
        <f>$G$6</f>
        <v>2017</v>
      </c>
      <c r="H771" s="517"/>
      <c r="I771" s="517"/>
      <c r="J771" s="517"/>
      <c r="K771" s="380"/>
      <c r="L771" s="517">
        <f>$L$6</f>
        <v>2027</v>
      </c>
      <c r="M771" s="517"/>
      <c r="N771" s="517"/>
      <c r="O771" s="517"/>
    </row>
    <row r="772" spans="1:15" s="351" customFormat="1" x14ac:dyDescent="0.25">
      <c r="A772" s="370"/>
      <c r="B772" s="388" t="str">
        <f>$B$7</f>
        <v>FT</v>
      </c>
      <c r="C772" s="388" t="str">
        <f>$C$7</f>
        <v>PT</v>
      </c>
      <c r="D772" s="388" t="str">
        <f>$D$7</f>
        <v>SE</v>
      </c>
      <c r="E772" s="388" t="str">
        <f>$E$7</f>
        <v>Total</v>
      </c>
      <c r="F772" s="388"/>
      <c r="G772" s="388" t="str">
        <f>$G$7</f>
        <v>FT</v>
      </c>
      <c r="H772" s="388" t="str">
        <f>$H$7</f>
        <v>PT</v>
      </c>
      <c r="I772" s="388" t="str">
        <f>$I$7</f>
        <v>SE</v>
      </c>
      <c r="J772" s="388" t="str">
        <f>$J$7</f>
        <v>Total</v>
      </c>
      <c r="K772" s="388"/>
      <c r="L772" s="388" t="str">
        <f>$L$7</f>
        <v>FT</v>
      </c>
      <c r="M772" s="388" t="str">
        <f>$M$7</f>
        <v>PT</v>
      </c>
      <c r="N772" s="388" t="str">
        <f>$N$7</f>
        <v>SE</v>
      </c>
      <c r="O772" s="388" t="str">
        <f>$O$7</f>
        <v>Total</v>
      </c>
    </row>
    <row r="773" spans="1:15" s="351" customFormat="1" x14ac:dyDescent="0.25">
      <c r="A773" s="374"/>
      <c r="B773" s="350"/>
      <c r="C773" s="350"/>
      <c r="D773" s="350"/>
      <c r="E773" s="350"/>
      <c r="F773" s="350"/>
      <c r="G773" s="350"/>
      <c r="H773" s="350"/>
      <c r="I773" s="350"/>
      <c r="J773" s="350"/>
      <c r="K773" s="350"/>
      <c r="L773" s="350"/>
      <c r="M773" s="350"/>
      <c r="N773" s="350"/>
      <c r="O773" s="350"/>
    </row>
    <row r="774" spans="1:15" s="351" customFormat="1" x14ac:dyDescent="0.25">
      <c r="A774" s="362" t="str">
        <f>name!E$4</f>
        <v>Managers, directors and senior officials</v>
      </c>
      <c r="B774" s="440">
        <v>66.152338334061753</v>
      </c>
      <c r="C774" s="440">
        <v>8.4777102295131197</v>
      </c>
      <c r="D774" s="440">
        <v>14.436668448747941</v>
      </c>
      <c r="E774" s="440">
        <f>SUM(B774:D774)</f>
        <v>89.066717012322812</v>
      </c>
      <c r="F774" s="441"/>
      <c r="G774" s="440">
        <v>97.788920619631654</v>
      </c>
      <c r="H774" s="440">
        <v>12.319631559104058</v>
      </c>
      <c r="I774" s="440">
        <v>13.810143077072169</v>
      </c>
      <c r="J774" s="440">
        <f>SUM(G774:I774)</f>
        <v>123.91869525580788</v>
      </c>
      <c r="K774" s="441"/>
      <c r="L774" s="440">
        <v>103.44292458207161</v>
      </c>
      <c r="M774" s="440">
        <v>25.381738913121076</v>
      </c>
      <c r="N774" s="440">
        <v>15.439877073173886</v>
      </c>
      <c r="O774" s="440">
        <f>SUM(L774:N774)</f>
        <v>144.26454056836656</v>
      </c>
    </row>
    <row r="775" spans="1:15" s="351" customFormat="1" x14ac:dyDescent="0.25">
      <c r="A775" s="362" t="str">
        <f>name!E$5</f>
        <v>Professional occupations</v>
      </c>
      <c r="B775" s="440">
        <v>193.07327403978408</v>
      </c>
      <c r="C775" s="440">
        <v>11.922253184359025</v>
      </c>
      <c r="D775" s="440">
        <v>28.888564380526695</v>
      </c>
      <c r="E775" s="440">
        <f t="shared" ref="E775:E782" si="336">SUM(B775:D775)</f>
        <v>233.88409160466981</v>
      </c>
      <c r="F775" s="441"/>
      <c r="G775" s="440">
        <v>309.38120570398132</v>
      </c>
      <c r="H775" s="440">
        <v>16.896445270877653</v>
      </c>
      <c r="I775" s="440">
        <v>31.962661651767807</v>
      </c>
      <c r="J775" s="440">
        <f t="shared" ref="J775:J777" si="337">SUM(G775:I775)</f>
        <v>358.2403126266268</v>
      </c>
      <c r="K775" s="441"/>
      <c r="L775" s="440">
        <v>310.54139712163072</v>
      </c>
      <c r="M775" s="440">
        <v>34.886978310189484</v>
      </c>
      <c r="N775" s="440">
        <v>36.386595157378061</v>
      </c>
      <c r="O775" s="440">
        <f t="shared" ref="O775:O782" si="338">SUM(L775:N775)</f>
        <v>381.81497058919825</v>
      </c>
    </row>
    <row r="776" spans="1:15" s="351" customFormat="1" x14ac:dyDescent="0.25">
      <c r="A776" s="362" t="str">
        <f>name!E$6</f>
        <v>Associate professional and technical</v>
      </c>
      <c r="B776" s="440">
        <v>108.92982863287456</v>
      </c>
      <c r="C776" s="440">
        <v>11.150605529738691</v>
      </c>
      <c r="D776" s="440">
        <v>11.529126751594266</v>
      </c>
      <c r="E776" s="440">
        <f t="shared" si="336"/>
        <v>131.60956091420752</v>
      </c>
      <c r="F776" s="441"/>
      <c r="G776" s="440">
        <v>141.19319336934424</v>
      </c>
      <c r="H776" s="440">
        <v>14.336925887088174</v>
      </c>
      <c r="I776" s="440">
        <v>18.3035821845295</v>
      </c>
      <c r="J776" s="440">
        <f t="shared" si="337"/>
        <v>173.8337014409619</v>
      </c>
      <c r="K776" s="441"/>
      <c r="L776" s="440">
        <v>139.88303662639802</v>
      </c>
      <c r="M776" s="440">
        <v>28.158709135290483</v>
      </c>
      <c r="N776" s="440">
        <v>17.809507110220974</v>
      </c>
      <c r="O776" s="440">
        <f t="shared" si="338"/>
        <v>185.85125287190948</v>
      </c>
    </row>
    <row r="777" spans="1:15" s="351" customFormat="1" x14ac:dyDescent="0.25">
      <c r="A777" s="362" t="str">
        <f>name!E$7</f>
        <v>Administrative and secretarial</v>
      </c>
      <c r="B777" s="440">
        <v>31.625153747218953</v>
      </c>
      <c r="C777" s="440">
        <v>25.351217518917149</v>
      </c>
      <c r="D777" s="440">
        <v>1.2330162951667007</v>
      </c>
      <c r="E777" s="440">
        <f t="shared" si="336"/>
        <v>58.209387561302798</v>
      </c>
      <c r="F777" s="441"/>
      <c r="G777" s="440">
        <v>36.981850783375918</v>
      </c>
      <c r="H777" s="440">
        <v>19.979459732417698</v>
      </c>
      <c r="I777" s="440">
        <v>1.5798718311027926</v>
      </c>
      <c r="J777" s="440">
        <f t="shared" si="337"/>
        <v>58.541182346896406</v>
      </c>
      <c r="K777" s="441"/>
      <c r="L777" s="440">
        <v>29.416253844594735</v>
      </c>
      <c r="M777" s="440">
        <v>27.368045185130434</v>
      </c>
      <c r="N777" s="440">
        <v>0.86866289620098802</v>
      </c>
      <c r="O777" s="440">
        <f t="shared" si="338"/>
        <v>57.652961925926157</v>
      </c>
    </row>
    <row r="778" spans="1:15" s="351" customFormat="1" x14ac:dyDescent="0.25">
      <c r="A778" s="362" t="str">
        <f>name!E$8</f>
        <v>Skilled trades occupations</v>
      </c>
      <c r="B778" s="440">
        <v>28.801862976884756</v>
      </c>
      <c r="C778" s="440">
        <v>1.9299389346466918</v>
      </c>
      <c r="D778" s="440">
        <v>11.01082483868562</v>
      </c>
      <c r="E778" s="440">
        <f t="shared" si="336"/>
        <v>41.74262675021707</v>
      </c>
      <c r="F778" s="441"/>
      <c r="G778" s="440">
        <v>25.898134912543821</v>
      </c>
      <c r="H778" s="440">
        <v>2.0214057908114427</v>
      </c>
      <c r="I778" s="440">
        <v>8.987451038703524</v>
      </c>
      <c r="J778" s="440">
        <f>SUM(G778:I778)</f>
        <v>36.906991742058786</v>
      </c>
      <c r="K778" s="441"/>
      <c r="L778" s="440">
        <v>20.472182873246712</v>
      </c>
      <c r="M778" s="440">
        <v>3.4748431164756326</v>
      </c>
      <c r="N778" s="440">
        <v>12.097373869770864</v>
      </c>
      <c r="O778" s="440">
        <f t="shared" si="338"/>
        <v>36.044399859493211</v>
      </c>
    </row>
    <row r="779" spans="1:15" s="351" customFormat="1" x14ac:dyDescent="0.25">
      <c r="A779" s="362" t="str">
        <f>name!E$9</f>
        <v>Caring, leisure and other service</v>
      </c>
      <c r="B779" s="440">
        <v>7.2252065088208939</v>
      </c>
      <c r="C779" s="440">
        <v>1.6331164379419352</v>
      </c>
      <c r="D779" s="440">
        <v>1.0750054082054408</v>
      </c>
      <c r="E779" s="440">
        <f t="shared" si="336"/>
        <v>9.9333283549682694</v>
      </c>
      <c r="F779" s="441"/>
      <c r="G779" s="440">
        <v>11.491797415175267</v>
      </c>
      <c r="H779" s="440">
        <v>2.2533842292597428</v>
      </c>
      <c r="I779" s="440">
        <v>1.3950682774729035</v>
      </c>
      <c r="J779" s="440">
        <f t="shared" ref="J779:J782" si="339">SUM(G779:I779)</f>
        <v>15.140249921907913</v>
      </c>
      <c r="K779" s="441"/>
      <c r="L779" s="440">
        <v>13.763389983195562</v>
      </c>
      <c r="M779" s="440">
        <v>5.0505174673038677</v>
      </c>
      <c r="N779" s="440">
        <v>1.1346112425307695</v>
      </c>
      <c r="O779" s="440">
        <f t="shared" si="338"/>
        <v>19.948518693030199</v>
      </c>
    </row>
    <row r="780" spans="1:15" s="351" customFormat="1" x14ac:dyDescent="0.25">
      <c r="A780" s="362" t="str">
        <f>name!E$10</f>
        <v>Sales and customer service</v>
      </c>
      <c r="B780" s="440">
        <v>15.885450704757165</v>
      </c>
      <c r="C780" s="440">
        <v>3.7999176240887378</v>
      </c>
      <c r="D780" s="440">
        <v>0.56537155040025544</v>
      </c>
      <c r="E780" s="440">
        <f t="shared" si="336"/>
        <v>20.250739879246158</v>
      </c>
      <c r="F780" s="441"/>
      <c r="G780" s="440">
        <v>14.538157584781295</v>
      </c>
      <c r="H780" s="440">
        <v>4.6400680845195881</v>
      </c>
      <c r="I780" s="440">
        <v>0.82478806283271511</v>
      </c>
      <c r="J780" s="440">
        <f t="shared" si="339"/>
        <v>20.003013732133599</v>
      </c>
      <c r="K780" s="441"/>
      <c r="L780" s="440">
        <v>14.372072384701285</v>
      </c>
      <c r="M780" s="440">
        <v>8.7084656892735701</v>
      </c>
      <c r="N780" s="440">
        <v>0.66540801713472797</v>
      </c>
      <c r="O780" s="440">
        <f t="shared" si="338"/>
        <v>23.745946091109584</v>
      </c>
    </row>
    <row r="781" spans="1:15" s="351" customFormat="1" x14ac:dyDescent="0.25">
      <c r="A781" s="362" t="str">
        <f>name!E$11</f>
        <v>Process, plant and machine operatives</v>
      </c>
      <c r="B781" s="440">
        <v>1.8856084526216355</v>
      </c>
      <c r="C781" s="440">
        <v>1.529590836568449</v>
      </c>
      <c r="D781" s="440">
        <v>4.6549709320264849</v>
      </c>
      <c r="E781" s="440">
        <f t="shared" si="336"/>
        <v>8.0701702212165696</v>
      </c>
      <c r="F781" s="441"/>
      <c r="G781" s="440">
        <v>2.3793723199270036</v>
      </c>
      <c r="H781" s="440">
        <v>1.9136498438034175</v>
      </c>
      <c r="I781" s="440">
        <v>3.8779456651680246</v>
      </c>
      <c r="J781" s="440">
        <f t="shared" si="339"/>
        <v>8.170967828898446</v>
      </c>
      <c r="K781" s="441"/>
      <c r="L781" s="440">
        <v>2.0345196633825759</v>
      </c>
      <c r="M781" s="440">
        <v>3.3568439758775215</v>
      </c>
      <c r="N781" s="440">
        <v>4.2904156654076449</v>
      </c>
      <c r="O781" s="440">
        <f t="shared" si="338"/>
        <v>9.6817793046677423</v>
      </c>
    </row>
    <row r="782" spans="1:15" s="351" customFormat="1" x14ac:dyDescent="0.25">
      <c r="A782" s="362" t="str">
        <f>name!E$12</f>
        <v>Elementary occupations</v>
      </c>
      <c r="B782" s="440">
        <v>1.3732766029588499</v>
      </c>
      <c r="C782" s="440">
        <v>1.3126497040998852</v>
      </c>
      <c r="D782" s="440">
        <v>1.4774513941074157</v>
      </c>
      <c r="E782" s="440">
        <f t="shared" si="336"/>
        <v>4.1633777011661506</v>
      </c>
      <c r="F782" s="441"/>
      <c r="G782" s="440">
        <v>2.8763672854314333</v>
      </c>
      <c r="H782" s="440">
        <v>1.2200296016406964</v>
      </c>
      <c r="I782" s="440">
        <v>2.426488210430128</v>
      </c>
      <c r="J782" s="440">
        <f t="shared" si="339"/>
        <v>6.5228850975022574</v>
      </c>
      <c r="K782" s="441"/>
      <c r="L782" s="440">
        <v>2.4412229183880552</v>
      </c>
      <c r="M782" s="440">
        <v>2.0468582076427486</v>
      </c>
      <c r="N782" s="440">
        <v>1.8035489668860207</v>
      </c>
      <c r="O782" s="440">
        <f t="shared" si="338"/>
        <v>6.2916300929168241</v>
      </c>
    </row>
    <row r="783" spans="1:15" s="351" customFormat="1" x14ac:dyDescent="0.25">
      <c r="A783" s="362"/>
      <c r="B783" s="440"/>
      <c r="C783" s="440"/>
      <c r="D783" s="440"/>
      <c r="E783" s="440"/>
      <c r="F783" s="441"/>
      <c r="G783" s="440"/>
      <c r="H783" s="440"/>
      <c r="I783" s="440"/>
      <c r="J783" s="440"/>
      <c r="K783" s="441"/>
      <c r="L783" s="440"/>
      <c r="M783" s="440"/>
      <c r="N783" s="440"/>
      <c r="O783" s="440"/>
    </row>
    <row r="784" spans="1:15" s="351" customFormat="1" x14ac:dyDescent="0.25">
      <c r="A784" s="357" t="s">
        <v>32</v>
      </c>
      <c r="B784" s="450">
        <f>SUM(B774:B782)</f>
        <v>454.95199999998266</v>
      </c>
      <c r="C784" s="450">
        <f t="shared" ref="C784:E784" si="340">SUM(C774:C782)</f>
        <v>67.106999999873679</v>
      </c>
      <c r="D784" s="450">
        <f t="shared" si="340"/>
        <v>74.870999999460821</v>
      </c>
      <c r="E784" s="450">
        <f t="shared" si="340"/>
        <v>596.92999999931703</v>
      </c>
      <c r="F784" s="450"/>
      <c r="G784" s="450">
        <f t="shared" ref="G784:J784" si="341">SUM(G774:G782)</f>
        <v>642.52899999419196</v>
      </c>
      <c r="H784" s="450">
        <f t="shared" si="341"/>
        <v>75.580999999522447</v>
      </c>
      <c r="I784" s="450">
        <f t="shared" si="341"/>
        <v>83.167999999079555</v>
      </c>
      <c r="J784" s="450">
        <f t="shared" si="341"/>
        <v>801.27799999279409</v>
      </c>
      <c r="K784" s="450"/>
      <c r="L784" s="450">
        <f t="shared" ref="L784:O784" si="342">SUM(L774:L782)</f>
        <v>636.36699999760924</v>
      </c>
      <c r="M784" s="450">
        <f t="shared" si="342"/>
        <v>138.43300000030482</v>
      </c>
      <c r="N784" s="450">
        <f t="shared" si="342"/>
        <v>90.495999998703937</v>
      </c>
      <c r="O784" s="450">
        <f t="shared" si="342"/>
        <v>865.29599999661821</v>
      </c>
    </row>
    <row r="785" spans="1:15" s="351" customFormat="1" x14ac:dyDescent="0.25">
      <c r="A785" s="348"/>
      <c r="B785" s="348"/>
      <c r="C785" s="348"/>
      <c r="D785" s="348"/>
      <c r="E785" s="348"/>
      <c r="F785" s="348"/>
      <c r="G785" s="348"/>
      <c r="H785" s="348"/>
      <c r="I785" s="348"/>
      <c r="J785" s="348"/>
      <c r="K785" s="348"/>
      <c r="L785" s="348"/>
      <c r="M785" s="348"/>
      <c r="N785" s="353"/>
    </row>
    <row r="786" spans="1:15" s="351" customFormat="1" x14ac:dyDescent="0.25">
      <c r="A786" s="348"/>
      <c r="B786" s="348"/>
      <c r="C786" s="348"/>
      <c r="D786" s="348"/>
      <c r="E786" s="348"/>
      <c r="F786" s="348"/>
      <c r="G786" s="348"/>
      <c r="H786" s="348"/>
      <c r="I786" s="348"/>
      <c r="J786" s="348"/>
      <c r="K786" s="348"/>
      <c r="L786" s="348"/>
      <c r="M786" s="348"/>
      <c r="N786" s="353"/>
      <c r="O786" s="367" t="s">
        <v>35</v>
      </c>
    </row>
    <row r="787" spans="1:15" s="351" customFormat="1" x14ac:dyDescent="0.25">
      <c r="A787" s="355"/>
      <c r="B787" s="355"/>
      <c r="C787" s="355"/>
      <c r="D787" s="355"/>
      <c r="E787" s="355"/>
      <c r="F787" s="355"/>
      <c r="G787" s="355"/>
      <c r="H787" s="355"/>
      <c r="I787" s="355"/>
      <c r="J787" s="355"/>
      <c r="K787" s="355"/>
      <c r="L787" s="355"/>
      <c r="M787" s="355"/>
      <c r="N787" s="355"/>
      <c r="O787" s="355"/>
    </row>
    <row r="788" spans="1:15" s="351" customFormat="1" x14ac:dyDescent="0.25">
      <c r="A788" s="354" t="str">
        <f>name!A49</f>
        <v>Information services</v>
      </c>
      <c r="B788" s="517">
        <f>$B$6</f>
        <v>2007</v>
      </c>
      <c r="C788" s="517"/>
      <c r="D788" s="517"/>
      <c r="E788" s="517"/>
      <c r="F788" s="380"/>
      <c r="G788" s="517">
        <f>$G$6</f>
        <v>2017</v>
      </c>
      <c r="H788" s="517"/>
      <c r="I788" s="517"/>
      <c r="J788" s="517"/>
      <c r="K788" s="380"/>
      <c r="L788" s="517">
        <f>$L$6</f>
        <v>2027</v>
      </c>
      <c r="M788" s="517"/>
      <c r="N788" s="517"/>
      <c r="O788" s="517"/>
    </row>
    <row r="789" spans="1:15" s="351" customFormat="1" x14ac:dyDescent="0.25">
      <c r="A789" s="370"/>
      <c r="B789" s="388" t="str">
        <f>$B$7</f>
        <v>FT</v>
      </c>
      <c r="C789" s="388" t="str">
        <f>$C$7</f>
        <v>PT</v>
      </c>
      <c r="D789" s="388" t="str">
        <f>$D$7</f>
        <v>SE</v>
      </c>
      <c r="E789" s="388" t="str">
        <f>$E$7</f>
        <v>Total</v>
      </c>
      <c r="F789" s="388"/>
      <c r="G789" s="388" t="str">
        <f>$G$7</f>
        <v>FT</v>
      </c>
      <c r="H789" s="388" t="str">
        <f>$H$7</f>
        <v>PT</v>
      </c>
      <c r="I789" s="388" t="str">
        <f>$I$7</f>
        <v>SE</v>
      </c>
      <c r="J789" s="388" t="str">
        <f>$J$7</f>
        <v>Total</v>
      </c>
      <c r="K789" s="388"/>
      <c r="L789" s="388" t="str">
        <f>$L$7</f>
        <v>FT</v>
      </c>
      <c r="M789" s="388" t="str">
        <f>$M$7</f>
        <v>PT</v>
      </c>
      <c r="N789" s="388" t="str">
        <f>$N$7</f>
        <v>SE</v>
      </c>
      <c r="O789" s="388" t="str">
        <f>$O$7</f>
        <v>Total</v>
      </c>
    </row>
    <row r="790" spans="1:15" s="351" customFormat="1" x14ac:dyDescent="0.25">
      <c r="A790" s="374"/>
      <c r="B790" s="350"/>
      <c r="C790" s="350"/>
      <c r="D790" s="350"/>
      <c r="E790" s="350"/>
      <c r="F790" s="350"/>
      <c r="G790" s="350"/>
      <c r="H790" s="350"/>
      <c r="I790" s="350"/>
      <c r="J790" s="350"/>
      <c r="K790" s="350"/>
      <c r="L790" s="350"/>
      <c r="M790" s="350"/>
      <c r="N790" s="350"/>
      <c r="O790" s="350"/>
    </row>
    <row r="791" spans="1:15" s="351" customFormat="1" x14ac:dyDescent="0.25">
      <c r="A791" s="362" t="str">
        <f>name!E$4</f>
        <v>Managers, directors and senior officials</v>
      </c>
      <c r="B791" s="440">
        <v>7.6031454312955917</v>
      </c>
      <c r="C791" s="440">
        <v>0.4414215897990722</v>
      </c>
      <c r="D791" s="440">
        <v>2.143974172200942</v>
      </c>
      <c r="E791" s="440">
        <f>SUM(B791:D791)</f>
        <v>10.188541193295606</v>
      </c>
      <c r="F791" s="441"/>
      <c r="G791" s="440">
        <v>10.952334272922428</v>
      </c>
      <c r="H791" s="440">
        <v>0.54289108149779819</v>
      </c>
      <c r="I791" s="440">
        <v>1.5026829993313191</v>
      </c>
      <c r="J791" s="440">
        <f>SUM(G791:I791)</f>
        <v>12.997908353751544</v>
      </c>
      <c r="K791" s="441"/>
      <c r="L791" s="440">
        <v>12.152388841989888</v>
      </c>
      <c r="M791" s="440">
        <v>1.1536352662501621</v>
      </c>
      <c r="N791" s="440">
        <v>1.9073436038146843</v>
      </c>
      <c r="O791" s="440">
        <f>SUM(L791:N791)</f>
        <v>15.213367712054735</v>
      </c>
    </row>
    <row r="792" spans="1:15" s="351" customFormat="1" x14ac:dyDescent="0.25">
      <c r="A792" s="362" t="str">
        <f>name!E$5</f>
        <v>Professional occupations</v>
      </c>
      <c r="B792" s="440">
        <v>17.860192706354731</v>
      </c>
      <c r="C792" s="440">
        <v>0.66016454701506044</v>
      </c>
      <c r="D792" s="440">
        <v>3.2164493164407704</v>
      </c>
      <c r="E792" s="440">
        <f t="shared" ref="E792:E799" si="343">SUM(B792:D792)</f>
        <v>21.736806569810561</v>
      </c>
      <c r="F792" s="441"/>
      <c r="G792" s="440">
        <v>26.426456049824395</v>
      </c>
      <c r="H792" s="440">
        <v>0.73471865908329337</v>
      </c>
      <c r="I792" s="440">
        <v>2.0891321416222777</v>
      </c>
      <c r="J792" s="440">
        <f t="shared" ref="J792:J794" si="344">SUM(G792:I792)</f>
        <v>29.250306850529967</v>
      </c>
      <c r="K792" s="441"/>
      <c r="L792" s="440">
        <v>28.016902303262459</v>
      </c>
      <c r="M792" s="440">
        <v>1.5613892100592999</v>
      </c>
      <c r="N792" s="440">
        <v>2.5751076215449635</v>
      </c>
      <c r="O792" s="440">
        <f t="shared" ref="O792:O799" si="345">SUM(L792:N792)</f>
        <v>32.153399134866724</v>
      </c>
    </row>
    <row r="793" spans="1:15" s="351" customFormat="1" x14ac:dyDescent="0.25">
      <c r="A793" s="362" t="str">
        <f>name!E$6</f>
        <v>Associate professional and technical</v>
      </c>
      <c r="B793" s="440">
        <v>14.409313546218154</v>
      </c>
      <c r="C793" s="440">
        <v>0.75518094469321873</v>
      </c>
      <c r="D793" s="440">
        <v>2.8827755512456159</v>
      </c>
      <c r="E793" s="440">
        <f t="shared" si="343"/>
        <v>18.047270042156988</v>
      </c>
      <c r="F793" s="441"/>
      <c r="G793" s="440">
        <v>16.320690843181122</v>
      </c>
      <c r="H793" s="440">
        <v>0.76761349799612233</v>
      </c>
      <c r="I793" s="440">
        <v>2.0909981969462641</v>
      </c>
      <c r="J793" s="440">
        <f t="shared" si="344"/>
        <v>19.179302538123508</v>
      </c>
      <c r="K793" s="441"/>
      <c r="L793" s="440">
        <v>16.804053592191963</v>
      </c>
      <c r="M793" s="440">
        <v>1.6202492307655183</v>
      </c>
      <c r="N793" s="440">
        <v>2.5380691344669812</v>
      </c>
      <c r="O793" s="440">
        <f t="shared" si="345"/>
        <v>20.962371957424462</v>
      </c>
    </row>
    <row r="794" spans="1:15" s="351" customFormat="1" x14ac:dyDescent="0.25">
      <c r="A794" s="362" t="str">
        <f>name!E$7</f>
        <v>Administrative and secretarial</v>
      </c>
      <c r="B794" s="440">
        <v>6.5517547609101427</v>
      </c>
      <c r="C794" s="440">
        <v>1.7199726149726913</v>
      </c>
      <c r="D794" s="440">
        <v>0.53424625886508437</v>
      </c>
      <c r="E794" s="440">
        <f t="shared" si="343"/>
        <v>8.8059736347479181</v>
      </c>
      <c r="F794" s="441"/>
      <c r="G794" s="440">
        <v>5.9436591574609778</v>
      </c>
      <c r="H794" s="440">
        <v>0.96119770228473278</v>
      </c>
      <c r="I794" s="440">
        <v>0.24014076591917757</v>
      </c>
      <c r="J794" s="440">
        <f t="shared" si="344"/>
        <v>7.1449976256648879</v>
      </c>
      <c r="K794" s="441"/>
      <c r="L794" s="440">
        <v>4.655655503191154</v>
      </c>
      <c r="M794" s="440">
        <v>1.4609368366693589</v>
      </c>
      <c r="N794" s="440">
        <v>0.21056050830736858</v>
      </c>
      <c r="O794" s="440">
        <f t="shared" si="345"/>
        <v>6.3271528481678816</v>
      </c>
    </row>
    <row r="795" spans="1:15" s="351" customFormat="1" x14ac:dyDescent="0.25">
      <c r="A795" s="362" t="str">
        <f>name!E$8</f>
        <v>Skilled trades occupations</v>
      </c>
      <c r="B795" s="440">
        <v>3.1367726252307557</v>
      </c>
      <c r="C795" s="440">
        <v>0.13310052576653383</v>
      </c>
      <c r="D795" s="440">
        <v>1.2306343241024869</v>
      </c>
      <c r="E795" s="440">
        <f t="shared" si="343"/>
        <v>4.5005074750997762</v>
      </c>
      <c r="F795" s="441"/>
      <c r="G795" s="440">
        <v>2.4789451975515373</v>
      </c>
      <c r="H795" s="440">
        <v>0.10936863564309773</v>
      </c>
      <c r="I795" s="440">
        <v>0.80990307351489288</v>
      </c>
      <c r="J795" s="440">
        <f>SUM(G795:I795)</f>
        <v>3.3982169067095276</v>
      </c>
      <c r="K795" s="441"/>
      <c r="L795" s="440">
        <v>2.0810609015712909</v>
      </c>
      <c r="M795" s="440">
        <v>0.19864704069183295</v>
      </c>
      <c r="N795" s="440">
        <v>1.0592101426334684</v>
      </c>
      <c r="O795" s="440">
        <f t="shared" si="345"/>
        <v>3.338918084896592</v>
      </c>
    </row>
    <row r="796" spans="1:15" s="351" customFormat="1" x14ac:dyDescent="0.25">
      <c r="A796" s="362" t="str">
        <f>name!E$9</f>
        <v>Caring, leisure and other service</v>
      </c>
      <c r="B796" s="440">
        <v>1.6518903759259258</v>
      </c>
      <c r="C796" s="440">
        <v>0.29189583633706995</v>
      </c>
      <c r="D796" s="440">
        <v>0.38235667699198417</v>
      </c>
      <c r="E796" s="440">
        <f t="shared" si="343"/>
        <v>2.3261428892549798</v>
      </c>
      <c r="F796" s="441"/>
      <c r="G796" s="440">
        <v>2.5801369577981439</v>
      </c>
      <c r="H796" s="440">
        <v>0.45842951311929742</v>
      </c>
      <c r="I796" s="440">
        <v>0.48100424155000221</v>
      </c>
      <c r="J796" s="440">
        <f t="shared" ref="J796:J799" si="346">SUM(G796:I796)</f>
        <v>3.5195707124674436</v>
      </c>
      <c r="K796" s="441"/>
      <c r="L796" s="440">
        <v>3.2212109559611322</v>
      </c>
      <c r="M796" s="440">
        <v>1.0648271798030251</v>
      </c>
      <c r="N796" s="440">
        <v>0.63456781062976853</v>
      </c>
      <c r="O796" s="440">
        <f t="shared" si="345"/>
        <v>4.9206059463939251</v>
      </c>
    </row>
    <row r="797" spans="1:15" s="351" customFormat="1" x14ac:dyDescent="0.25">
      <c r="A797" s="362" t="str">
        <f>name!E$10</f>
        <v>Sales and customer service</v>
      </c>
      <c r="B797" s="440">
        <v>2.8064724429950876</v>
      </c>
      <c r="C797" s="440">
        <v>0.47185081606416823</v>
      </c>
      <c r="D797" s="440">
        <v>0.19855667688733186</v>
      </c>
      <c r="E797" s="440">
        <f t="shared" si="343"/>
        <v>3.4768799359465876</v>
      </c>
      <c r="F797" s="441"/>
      <c r="G797" s="440">
        <v>3.141391299861223</v>
      </c>
      <c r="H797" s="440">
        <v>0.38843410938583101</v>
      </c>
      <c r="I797" s="440">
        <v>0.10276138199922036</v>
      </c>
      <c r="J797" s="440">
        <f t="shared" si="346"/>
        <v>3.6325867912462741</v>
      </c>
      <c r="K797" s="441"/>
      <c r="L797" s="440">
        <v>3.0944258814984424</v>
      </c>
      <c r="M797" s="440">
        <v>0.76545244325356154</v>
      </c>
      <c r="N797" s="440">
        <v>0.1201868564124033</v>
      </c>
      <c r="O797" s="440">
        <f t="shared" si="345"/>
        <v>3.9800651811644072</v>
      </c>
    </row>
    <row r="798" spans="1:15" s="351" customFormat="1" x14ac:dyDescent="0.25">
      <c r="A798" s="362" t="str">
        <f>name!E$11</f>
        <v>Process, plant and machine operatives</v>
      </c>
      <c r="B798" s="440">
        <v>1.2718115337135865</v>
      </c>
      <c r="C798" s="440">
        <v>0.19659425197769717</v>
      </c>
      <c r="D798" s="440">
        <v>0.50033845199608806</v>
      </c>
      <c r="E798" s="440">
        <f t="shared" si="343"/>
        <v>1.9687442376873716</v>
      </c>
      <c r="F798" s="441"/>
      <c r="G798" s="440">
        <v>0.92723535766815512</v>
      </c>
      <c r="H798" s="440">
        <v>0.19790532266690486</v>
      </c>
      <c r="I798" s="440">
        <v>0.30918469430438333</v>
      </c>
      <c r="J798" s="440">
        <f t="shared" si="346"/>
        <v>1.4343253746394433</v>
      </c>
      <c r="K798" s="441"/>
      <c r="L798" s="440">
        <v>0.80355483339067624</v>
      </c>
      <c r="M798" s="440">
        <v>0.34861793227092058</v>
      </c>
      <c r="N798" s="440">
        <v>0.3505621723581096</v>
      </c>
      <c r="O798" s="440">
        <f t="shared" si="345"/>
        <v>1.5027349380197064</v>
      </c>
    </row>
    <row r="799" spans="1:15" s="351" customFormat="1" x14ac:dyDescent="0.25">
      <c r="A799" s="362" t="str">
        <f>name!E$12</f>
        <v>Elementary occupations</v>
      </c>
      <c r="B799" s="440">
        <v>5.5906465771805305</v>
      </c>
      <c r="C799" s="440">
        <v>3.541818873389813</v>
      </c>
      <c r="D799" s="440">
        <v>1.9516685712533461</v>
      </c>
      <c r="E799" s="440">
        <f t="shared" si="343"/>
        <v>11.08413402182369</v>
      </c>
      <c r="F799" s="441"/>
      <c r="G799" s="440">
        <v>6.2121508632738225</v>
      </c>
      <c r="H799" s="440">
        <v>2.0564414783360285</v>
      </c>
      <c r="I799" s="440">
        <v>1.2811925047854773</v>
      </c>
      <c r="J799" s="440">
        <f t="shared" si="346"/>
        <v>9.5497848463953297</v>
      </c>
      <c r="K799" s="441"/>
      <c r="L799" s="440">
        <v>5.9687471865390425</v>
      </c>
      <c r="M799" s="440">
        <v>3.3312448602399201</v>
      </c>
      <c r="N799" s="440">
        <v>1.7873921497486016</v>
      </c>
      <c r="O799" s="440">
        <f t="shared" si="345"/>
        <v>11.087384196527564</v>
      </c>
    </row>
    <row r="800" spans="1:15" s="351" customFormat="1" x14ac:dyDescent="0.25">
      <c r="A800" s="362"/>
      <c r="B800" s="440"/>
      <c r="C800" s="440"/>
      <c r="D800" s="440"/>
      <c r="E800" s="440"/>
      <c r="F800" s="441"/>
      <c r="G800" s="440"/>
      <c r="H800" s="440"/>
      <c r="I800" s="440"/>
      <c r="J800" s="440"/>
      <c r="K800" s="441"/>
      <c r="L800" s="440"/>
      <c r="M800" s="440"/>
      <c r="N800" s="440"/>
      <c r="O800" s="440"/>
    </row>
    <row r="801" spans="1:15" s="351" customFormat="1" x14ac:dyDescent="0.25">
      <c r="A801" s="357" t="s">
        <v>32</v>
      </c>
      <c r="B801" s="450">
        <f>SUM(B791:B799)</f>
        <v>60.881999999824501</v>
      </c>
      <c r="C801" s="450">
        <f t="shared" ref="C801:E801" si="347">SUM(C791:C799)</f>
        <v>8.2120000000153244</v>
      </c>
      <c r="D801" s="450">
        <f t="shared" si="347"/>
        <v>13.040999999983651</v>
      </c>
      <c r="E801" s="450">
        <f t="shared" si="347"/>
        <v>82.134999999823464</v>
      </c>
      <c r="F801" s="450"/>
      <c r="G801" s="450">
        <f t="shared" ref="G801:J801" si="348">SUM(G791:G799)</f>
        <v>74.982999999541804</v>
      </c>
      <c r="H801" s="450">
        <f t="shared" si="348"/>
        <v>6.2170000000131065</v>
      </c>
      <c r="I801" s="450">
        <f t="shared" si="348"/>
        <v>8.9069999999730136</v>
      </c>
      <c r="J801" s="450">
        <f t="shared" si="348"/>
        <v>90.106999999527901</v>
      </c>
      <c r="K801" s="450"/>
      <c r="L801" s="450">
        <f t="shared" ref="L801:O801" si="349">SUM(L791:L799)</f>
        <v>76.797999999596044</v>
      </c>
      <c r="M801" s="450">
        <f t="shared" si="349"/>
        <v>11.5050000000036</v>
      </c>
      <c r="N801" s="450">
        <f t="shared" si="349"/>
        <v>11.182999999916348</v>
      </c>
      <c r="O801" s="450">
        <f t="shared" si="349"/>
        <v>99.485999999515982</v>
      </c>
    </row>
    <row r="802" spans="1:15" s="351" customFormat="1" x14ac:dyDescent="0.25">
      <c r="A802" s="348"/>
      <c r="B802" s="348"/>
      <c r="C802" s="348"/>
      <c r="D802" s="348"/>
      <c r="E802" s="348"/>
      <c r="F802" s="348"/>
      <c r="G802" s="348"/>
      <c r="H802" s="348"/>
      <c r="I802" s="348"/>
      <c r="J802" s="348"/>
      <c r="K802" s="348"/>
      <c r="L802" s="348"/>
      <c r="M802" s="348"/>
      <c r="N802" s="353"/>
    </row>
    <row r="803" spans="1:15" s="351" customFormat="1" x14ac:dyDescent="0.25">
      <c r="A803" s="348"/>
      <c r="B803" s="348"/>
      <c r="C803" s="348"/>
      <c r="D803" s="348"/>
      <c r="E803" s="348"/>
      <c r="F803" s="348"/>
      <c r="G803" s="348"/>
      <c r="H803" s="348"/>
      <c r="I803" s="348"/>
      <c r="J803" s="348"/>
      <c r="K803" s="348"/>
      <c r="L803" s="348"/>
      <c r="M803" s="348"/>
      <c r="N803" s="353"/>
      <c r="O803" s="367" t="s">
        <v>35</v>
      </c>
    </row>
    <row r="804" spans="1:15" s="351" customFormat="1" x14ac:dyDescent="0.25">
      <c r="A804" s="355"/>
      <c r="B804" s="355"/>
      <c r="C804" s="355"/>
      <c r="D804" s="355"/>
      <c r="E804" s="355"/>
      <c r="F804" s="355"/>
      <c r="G804" s="355"/>
      <c r="H804" s="355"/>
      <c r="I804" s="355"/>
      <c r="J804" s="355"/>
      <c r="K804" s="355"/>
      <c r="L804" s="355"/>
      <c r="M804" s="355"/>
      <c r="N804" s="355"/>
      <c r="O804" s="355"/>
    </row>
    <row r="805" spans="1:15" s="351" customFormat="1" x14ac:dyDescent="0.25">
      <c r="A805" s="354" t="str">
        <f>name!A50</f>
        <v>Financial services</v>
      </c>
      <c r="B805" s="517">
        <f>$B$6</f>
        <v>2007</v>
      </c>
      <c r="C805" s="517"/>
      <c r="D805" s="517"/>
      <c r="E805" s="517"/>
      <c r="F805" s="380"/>
      <c r="G805" s="517">
        <f>$G$6</f>
        <v>2017</v>
      </c>
      <c r="H805" s="517"/>
      <c r="I805" s="517"/>
      <c r="J805" s="517"/>
      <c r="K805" s="380"/>
      <c r="L805" s="517">
        <f>$L$6</f>
        <v>2027</v>
      </c>
      <c r="M805" s="517"/>
      <c r="N805" s="517"/>
      <c r="O805" s="517"/>
    </row>
    <row r="806" spans="1:15" s="351" customFormat="1" x14ac:dyDescent="0.25">
      <c r="A806" s="370"/>
      <c r="B806" s="388" t="str">
        <f>$B$7</f>
        <v>FT</v>
      </c>
      <c r="C806" s="388" t="str">
        <f>$C$7</f>
        <v>PT</v>
      </c>
      <c r="D806" s="388" t="str">
        <f>$D$7</f>
        <v>SE</v>
      </c>
      <c r="E806" s="388" t="str">
        <f>$E$7</f>
        <v>Total</v>
      </c>
      <c r="F806" s="388"/>
      <c r="G806" s="388" t="str">
        <f>$G$7</f>
        <v>FT</v>
      </c>
      <c r="H806" s="388" t="str">
        <f>$H$7</f>
        <v>PT</v>
      </c>
      <c r="I806" s="388" t="str">
        <f>$I$7</f>
        <v>SE</v>
      </c>
      <c r="J806" s="388" t="str">
        <f>$J$7</f>
        <v>Total</v>
      </c>
      <c r="K806" s="388"/>
      <c r="L806" s="388" t="str">
        <f>$L$7</f>
        <v>FT</v>
      </c>
      <c r="M806" s="388" t="str">
        <f>$M$7</f>
        <v>PT</v>
      </c>
      <c r="N806" s="388" t="str">
        <f>$N$7</f>
        <v>SE</v>
      </c>
      <c r="O806" s="388" t="str">
        <f>$O$7</f>
        <v>Total</v>
      </c>
    </row>
    <row r="807" spans="1:15" s="351" customFormat="1" x14ac:dyDescent="0.25">
      <c r="A807" s="374"/>
      <c r="B807" s="350"/>
      <c r="C807" s="350"/>
      <c r="D807" s="350"/>
      <c r="E807" s="350"/>
      <c r="F807" s="350"/>
      <c r="G807" s="350"/>
      <c r="H807" s="350"/>
      <c r="I807" s="350"/>
      <c r="J807" s="350"/>
      <c r="K807" s="350"/>
      <c r="L807" s="350"/>
      <c r="M807" s="350"/>
      <c r="N807" s="350"/>
      <c r="O807" s="350"/>
    </row>
    <row r="808" spans="1:15" s="351" customFormat="1" x14ac:dyDescent="0.25">
      <c r="A808" s="362" t="str">
        <f>name!E$4</f>
        <v>Managers, directors and senior officials</v>
      </c>
      <c r="B808" s="440">
        <v>80.831387869949637</v>
      </c>
      <c r="C808" s="440">
        <v>6.200786048918582</v>
      </c>
      <c r="D808" s="440">
        <v>6.0271838335175838</v>
      </c>
      <c r="E808" s="440">
        <f>SUM(B808:D808)</f>
        <v>93.059357752385807</v>
      </c>
      <c r="F808" s="441"/>
      <c r="G808" s="440">
        <v>82.036615067462577</v>
      </c>
      <c r="H808" s="440">
        <v>8.1972602704686732</v>
      </c>
      <c r="I808" s="440">
        <v>3.0110032800705597</v>
      </c>
      <c r="J808" s="440">
        <f>SUM(G808:I808)</f>
        <v>93.244878618001806</v>
      </c>
      <c r="K808" s="441"/>
      <c r="L808" s="440">
        <v>90.41240356260893</v>
      </c>
      <c r="M808" s="440">
        <v>10.104663677995786</v>
      </c>
      <c r="N808" s="440">
        <v>3.0215129906738802</v>
      </c>
      <c r="O808" s="440">
        <f>SUM(L808:N808)</f>
        <v>103.5385802312786</v>
      </c>
    </row>
    <row r="809" spans="1:15" s="351" customFormat="1" x14ac:dyDescent="0.25">
      <c r="A809" s="362" t="str">
        <f>name!E$5</f>
        <v>Professional occupations</v>
      </c>
      <c r="B809" s="440">
        <v>82.431810113237731</v>
      </c>
      <c r="C809" s="440">
        <v>4.5127658979879568</v>
      </c>
      <c r="D809" s="440">
        <v>4.6084397150443523</v>
      </c>
      <c r="E809" s="440">
        <f t="shared" ref="E809:E816" si="350">SUM(B809:D809)</f>
        <v>91.553015726270047</v>
      </c>
      <c r="F809" s="441"/>
      <c r="G809" s="440">
        <v>82.069250593154507</v>
      </c>
      <c r="H809" s="440">
        <v>3.2544807518978387</v>
      </c>
      <c r="I809" s="440">
        <v>2.4785570138855615</v>
      </c>
      <c r="J809" s="440">
        <f t="shared" ref="J809:J811" si="351">SUM(G809:I809)</f>
        <v>87.802288358937915</v>
      </c>
      <c r="K809" s="441"/>
      <c r="L809" s="440">
        <v>87.607482367485446</v>
      </c>
      <c r="M809" s="440">
        <v>3.7019356552080986</v>
      </c>
      <c r="N809" s="440">
        <v>2.4143582162492092</v>
      </c>
      <c r="O809" s="440">
        <f t="shared" ref="O809:O816" si="352">SUM(L809:N809)</f>
        <v>93.723776238942762</v>
      </c>
    </row>
    <row r="810" spans="1:15" s="351" customFormat="1" x14ac:dyDescent="0.25">
      <c r="A810" s="362" t="str">
        <f>name!E$6</f>
        <v>Associate professional and technical</v>
      </c>
      <c r="B810" s="440">
        <v>124.84105762025641</v>
      </c>
      <c r="C810" s="440">
        <v>14.806138727332254</v>
      </c>
      <c r="D810" s="440">
        <v>7.0370632599559375</v>
      </c>
      <c r="E810" s="440">
        <f t="shared" si="350"/>
        <v>146.68425960754459</v>
      </c>
      <c r="F810" s="441"/>
      <c r="G810" s="440">
        <v>104.98532161038256</v>
      </c>
      <c r="H810" s="440">
        <v>10.988646849563986</v>
      </c>
      <c r="I810" s="440">
        <v>2.8849163631105221</v>
      </c>
      <c r="J810" s="440">
        <f t="shared" si="351"/>
        <v>118.85888482305707</v>
      </c>
      <c r="K810" s="441"/>
      <c r="L810" s="440">
        <v>109.49642977592742</v>
      </c>
      <c r="M810" s="440">
        <v>12.323404310080042</v>
      </c>
      <c r="N810" s="440">
        <v>2.7416336384669697</v>
      </c>
      <c r="O810" s="440">
        <f t="shared" si="352"/>
        <v>124.56146772447443</v>
      </c>
    </row>
    <row r="811" spans="1:15" s="351" customFormat="1" x14ac:dyDescent="0.25">
      <c r="A811" s="362" t="str">
        <f>name!E$7</f>
        <v>Administrative and secretarial</v>
      </c>
      <c r="B811" s="440">
        <v>146.72413420481129</v>
      </c>
      <c r="C811" s="440">
        <v>73.068125112455505</v>
      </c>
      <c r="D811" s="440">
        <v>0.88181410194560783</v>
      </c>
      <c r="E811" s="440">
        <f t="shared" si="350"/>
        <v>220.67407341921239</v>
      </c>
      <c r="F811" s="441"/>
      <c r="G811" s="440">
        <v>106.87191173229473</v>
      </c>
      <c r="H811" s="440">
        <v>49.819443521760988</v>
      </c>
      <c r="I811" s="440">
        <v>0.42778566050828476</v>
      </c>
      <c r="J811" s="440">
        <f t="shared" si="351"/>
        <v>157.11914091456401</v>
      </c>
      <c r="K811" s="441"/>
      <c r="L811" s="440">
        <v>90.824448534436925</v>
      </c>
      <c r="M811" s="440">
        <v>40.929760307793927</v>
      </c>
      <c r="N811" s="440">
        <v>0.37359337125518877</v>
      </c>
      <c r="O811" s="440">
        <f t="shared" si="352"/>
        <v>132.12780221348606</v>
      </c>
    </row>
    <row r="812" spans="1:15" s="351" customFormat="1" x14ac:dyDescent="0.25">
      <c r="A812" s="362" t="str">
        <f>name!E$8</f>
        <v>Skilled trades occupations</v>
      </c>
      <c r="B812" s="440">
        <v>3.5404419691898181</v>
      </c>
      <c r="C812" s="440">
        <v>0.4146908766057229</v>
      </c>
      <c r="D812" s="440">
        <v>1.2973052728040988</v>
      </c>
      <c r="E812" s="440">
        <f t="shared" si="350"/>
        <v>5.25243811859964</v>
      </c>
      <c r="F812" s="441"/>
      <c r="G812" s="440">
        <v>4.5829197018959285</v>
      </c>
      <c r="H812" s="440">
        <v>0.28857866052629655</v>
      </c>
      <c r="I812" s="440">
        <v>0.4484707682314012</v>
      </c>
      <c r="J812" s="440">
        <f>SUM(G812:I812)</f>
        <v>5.3199691306536261</v>
      </c>
      <c r="K812" s="441"/>
      <c r="L812" s="440">
        <v>4.2502594379257683</v>
      </c>
      <c r="M812" s="440">
        <v>0.25969626567013132</v>
      </c>
      <c r="N812" s="440">
        <v>0.39058028842063736</v>
      </c>
      <c r="O812" s="440">
        <f t="shared" si="352"/>
        <v>4.900535992016537</v>
      </c>
    </row>
    <row r="813" spans="1:15" s="351" customFormat="1" x14ac:dyDescent="0.25">
      <c r="A813" s="362" t="str">
        <f>name!E$9</f>
        <v>Caring, leisure and other service</v>
      </c>
      <c r="B813" s="440">
        <v>1.0300721859159512</v>
      </c>
      <c r="C813" s="440">
        <v>0.32448771045225411</v>
      </c>
      <c r="D813" s="440">
        <v>0.63980244862796232</v>
      </c>
      <c r="E813" s="440">
        <f t="shared" si="350"/>
        <v>1.9943623449961676</v>
      </c>
      <c r="F813" s="441"/>
      <c r="G813" s="440">
        <v>0.79843139819323961</v>
      </c>
      <c r="H813" s="440">
        <v>0.22160578916126814</v>
      </c>
      <c r="I813" s="440">
        <v>0.31882983493565437</v>
      </c>
      <c r="J813" s="440">
        <f t="shared" ref="J813:J816" si="353">SUM(G813:I813)</f>
        <v>1.3388670222901622</v>
      </c>
      <c r="K813" s="441"/>
      <c r="L813" s="440">
        <v>0.86454383112341116</v>
      </c>
      <c r="M813" s="440">
        <v>0.22839301905749618</v>
      </c>
      <c r="N813" s="440">
        <v>0.30061584290267196</v>
      </c>
      <c r="O813" s="440">
        <f t="shared" si="352"/>
        <v>1.3935526930835793</v>
      </c>
    </row>
    <row r="814" spans="1:15" s="351" customFormat="1" x14ac:dyDescent="0.25">
      <c r="A814" s="362" t="str">
        <f>name!E$10</f>
        <v>Sales and customer service</v>
      </c>
      <c r="B814" s="440">
        <v>41.653339440973177</v>
      </c>
      <c r="C814" s="440">
        <v>18.845203162824081</v>
      </c>
      <c r="D814" s="440">
        <v>5.9882646434281588</v>
      </c>
      <c r="E814" s="440">
        <f t="shared" si="350"/>
        <v>66.486807247225414</v>
      </c>
      <c r="F814" s="441"/>
      <c r="G814" s="440">
        <v>27.003256664993408</v>
      </c>
      <c r="H814" s="440">
        <v>14.035405504618167</v>
      </c>
      <c r="I814" s="440">
        <v>3.7193372522181409</v>
      </c>
      <c r="J814" s="440">
        <f t="shared" si="353"/>
        <v>44.757999421829716</v>
      </c>
      <c r="K814" s="441"/>
      <c r="L814" s="440">
        <v>26.884032668317612</v>
      </c>
      <c r="M814" s="440">
        <v>14.867496357149539</v>
      </c>
      <c r="N814" s="440">
        <v>3.7086427596122284</v>
      </c>
      <c r="O814" s="440">
        <f t="shared" si="352"/>
        <v>45.460171785079382</v>
      </c>
    </row>
    <row r="815" spans="1:15" s="351" customFormat="1" x14ac:dyDescent="0.25">
      <c r="A815" s="362" t="str">
        <f>name!E$11</f>
        <v>Process, plant and machine operatives</v>
      </c>
      <c r="B815" s="440">
        <v>2.0333483428854198</v>
      </c>
      <c r="C815" s="440">
        <v>0.40523026565481335</v>
      </c>
      <c r="D815" s="440">
        <v>0.70500493701863365</v>
      </c>
      <c r="E815" s="440">
        <f t="shared" si="350"/>
        <v>3.1435835455588665</v>
      </c>
      <c r="F815" s="441"/>
      <c r="G815" s="440">
        <v>1.4707862753656145</v>
      </c>
      <c r="H815" s="440">
        <v>0.27318672313514569</v>
      </c>
      <c r="I815" s="440">
        <v>0.19625359966570741</v>
      </c>
      <c r="J815" s="440">
        <f t="shared" si="353"/>
        <v>1.9402265981664675</v>
      </c>
      <c r="K815" s="441"/>
      <c r="L815" s="440">
        <v>1.5515496305091352</v>
      </c>
      <c r="M815" s="440">
        <v>0.25723429038652196</v>
      </c>
      <c r="N815" s="440">
        <v>0.17170728791253009</v>
      </c>
      <c r="O815" s="440">
        <f t="shared" si="352"/>
        <v>1.9804912088081872</v>
      </c>
    </row>
    <row r="816" spans="1:15" s="351" customFormat="1" x14ac:dyDescent="0.25">
      <c r="A816" s="362" t="str">
        <f>name!E$12</f>
        <v>Elementary occupations</v>
      </c>
      <c r="B816" s="440">
        <v>4.5234082519069139</v>
      </c>
      <c r="C816" s="440">
        <v>3.6155721977903212</v>
      </c>
      <c r="D816" s="440">
        <v>1.4141217875946068</v>
      </c>
      <c r="E816" s="440">
        <f t="shared" si="350"/>
        <v>9.5531022372918422</v>
      </c>
      <c r="F816" s="441"/>
      <c r="G816" s="440">
        <v>2.5585069524818644</v>
      </c>
      <c r="H816" s="440">
        <v>0.49239192933978437</v>
      </c>
      <c r="I816" s="440">
        <v>0.53584622731231613</v>
      </c>
      <c r="J816" s="440">
        <f t="shared" si="353"/>
        <v>3.5867451091339646</v>
      </c>
      <c r="K816" s="441"/>
      <c r="L816" s="440">
        <v>2.472850188314053</v>
      </c>
      <c r="M816" s="440">
        <v>0.5114161171090259</v>
      </c>
      <c r="N816" s="440">
        <v>0.48135560443788722</v>
      </c>
      <c r="O816" s="440">
        <f t="shared" si="352"/>
        <v>3.4656219098609657</v>
      </c>
    </row>
    <row r="817" spans="1:15" s="351" customFormat="1" x14ac:dyDescent="0.25">
      <c r="A817" s="362"/>
      <c r="B817" s="440"/>
      <c r="C817" s="440"/>
      <c r="D817" s="440"/>
      <c r="E817" s="440"/>
      <c r="F817" s="441"/>
      <c r="G817" s="440"/>
      <c r="H817" s="440"/>
      <c r="I817" s="440"/>
      <c r="J817" s="440"/>
      <c r="K817" s="441"/>
      <c r="L817" s="440"/>
      <c r="M817" s="440"/>
      <c r="N817" s="440"/>
      <c r="O817" s="440"/>
    </row>
    <row r="818" spans="1:15" s="351" customFormat="1" x14ac:dyDescent="0.25">
      <c r="A818" s="357" t="s">
        <v>32</v>
      </c>
      <c r="B818" s="450">
        <f>SUM(B808:B816)</f>
        <v>487.60899999912641</v>
      </c>
      <c r="C818" s="450">
        <f t="shared" ref="C818:E818" si="354">SUM(C808:C816)</f>
        <v>122.19300000002147</v>
      </c>
      <c r="D818" s="450">
        <f t="shared" si="354"/>
        <v>28.59899999993694</v>
      </c>
      <c r="E818" s="450">
        <f t="shared" si="354"/>
        <v>638.40099999908477</v>
      </c>
      <c r="F818" s="450"/>
      <c r="G818" s="450">
        <f t="shared" ref="G818:J818" si="355">SUM(G808:G816)</f>
        <v>412.37699999622447</v>
      </c>
      <c r="H818" s="450">
        <f t="shared" si="355"/>
        <v>87.571000000472154</v>
      </c>
      <c r="I818" s="450">
        <f t="shared" si="355"/>
        <v>14.020999999938146</v>
      </c>
      <c r="J818" s="450">
        <f t="shared" si="355"/>
        <v>513.96899999663469</v>
      </c>
      <c r="K818" s="450"/>
      <c r="L818" s="450">
        <f t="shared" ref="L818:O818" si="356">SUM(L808:L816)</f>
        <v>414.36399999664872</v>
      </c>
      <c r="M818" s="450">
        <f t="shared" si="356"/>
        <v>83.184000000450553</v>
      </c>
      <c r="N818" s="450">
        <f t="shared" si="356"/>
        <v>13.603999999931203</v>
      </c>
      <c r="O818" s="450">
        <f t="shared" si="356"/>
        <v>511.15199999703054</v>
      </c>
    </row>
    <row r="819" spans="1:15" s="351" customFormat="1" x14ac:dyDescent="0.25">
      <c r="A819" s="348"/>
      <c r="B819" s="348"/>
      <c r="C819" s="348"/>
      <c r="D819" s="348"/>
      <c r="E819" s="348"/>
      <c r="F819" s="348"/>
      <c r="G819" s="348"/>
      <c r="H819" s="348"/>
      <c r="I819" s="348"/>
      <c r="J819" s="348"/>
      <c r="K819" s="348"/>
      <c r="L819" s="348"/>
      <c r="M819" s="348"/>
      <c r="N819" s="353"/>
    </row>
    <row r="820" spans="1:15" s="351" customFormat="1" x14ac:dyDescent="0.25">
      <c r="A820" s="348"/>
      <c r="B820" s="348"/>
      <c r="C820" s="348"/>
      <c r="D820" s="348"/>
      <c r="E820" s="348"/>
      <c r="F820" s="348"/>
      <c r="G820" s="348"/>
      <c r="H820" s="348"/>
      <c r="I820" s="348"/>
      <c r="J820" s="348"/>
      <c r="K820" s="348"/>
      <c r="L820" s="348"/>
      <c r="M820" s="348"/>
      <c r="N820" s="353"/>
      <c r="O820" s="367" t="s">
        <v>35</v>
      </c>
    </row>
    <row r="821" spans="1:15" s="351" customFormat="1" x14ac:dyDescent="0.25">
      <c r="A821" s="355"/>
      <c r="B821" s="355"/>
      <c r="C821" s="355"/>
      <c r="D821" s="355"/>
      <c r="E821" s="355"/>
      <c r="F821" s="355"/>
      <c r="G821" s="355"/>
      <c r="H821" s="355"/>
      <c r="I821" s="355"/>
      <c r="J821" s="355"/>
      <c r="K821" s="355"/>
      <c r="L821" s="355"/>
      <c r="M821" s="355"/>
      <c r="N821" s="355"/>
      <c r="O821" s="355"/>
    </row>
    <row r="822" spans="1:15" s="351" customFormat="1" x14ac:dyDescent="0.25">
      <c r="A822" s="354" t="str">
        <f>name!A51</f>
        <v>Insurance and pensions</v>
      </c>
      <c r="B822" s="517">
        <f>$B$6</f>
        <v>2007</v>
      </c>
      <c r="C822" s="517"/>
      <c r="D822" s="517"/>
      <c r="E822" s="517"/>
      <c r="F822" s="380"/>
      <c r="G822" s="517">
        <f>$G$6</f>
        <v>2017</v>
      </c>
      <c r="H822" s="517"/>
      <c r="I822" s="517"/>
      <c r="J822" s="517"/>
      <c r="K822" s="380"/>
      <c r="L822" s="517">
        <f>$L$6</f>
        <v>2027</v>
      </c>
      <c r="M822" s="517"/>
      <c r="N822" s="517"/>
      <c r="O822" s="517"/>
    </row>
    <row r="823" spans="1:15" s="351" customFormat="1" x14ac:dyDescent="0.25">
      <c r="A823" s="370"/>
      <c r="B823" s="388" t="str">
        <f>$B$7</f>
        <v>FT</v>
      </c>
      <c r="C823" s="388" t="str">
        <f>$C$7</f>
        <v>PT</v>
      </c>
      <c r="D823" s="388" t="str">
        <f>$D$7</f>
        <v>SE</v>
      </c>
      <c r="E823" s="388" t="str">
        <f>$E$7</f>
        <v>Total</v>
      </c>
      <c r="F823" s="388"/>
      <c r="G823" s="388" t="str">
        <f>$G$7</f>
        <v>FT</v>
      </c>
      <c r="H823" s="388" t="str">
        <f>$H$7</f>
        <v>PT</v>
      </c>
      <c r="I823" s="388" t="str">
        <f>$I$7</f>
        <v>SE</v>
      </c>
      <c r="J823" s="388" t="str">
        <f>$J$7</f>
        <v>Total</v>
      </c>
      <c r="K823" s="388"/>
      <c r="L823" s="388" t="str">
        <f>$L$7</f>
        <v>FT</v>
      </c>
      <c r="M823" s="388" t="str">
        <f>$M$7</f>
        <v>PT</v>
      </c>
      <c r="N823" s="388" t="str">
        <f>$N$7</f>
        <v>SE</v>
      </c>
      <c r="O823" s="388" t="str">
        <f>$O$7</f>
        <v>Total</v>
      </c>
    </row>
    <row r="824" spans="1:15" s="351" customFormat="1" x14ac:dyDescent="0.25">
      <c r="A824" s="374"/>
      <c r="B824" s="350"/>
      <c r="C824" s="350"/>
      <c r="D824" s="350"/>
      <c r="E824" s="350"/>
      <c r="F824" s="350"/>
      <c r="G824" s="350"/>
      <c r="H824" s="350"/>
      <c r="I824" s="350"/>
      <c r="J824" s="350"/>
      <c r="K824" s="350"/>
      <c r="L824" s="350"/>
      <c r="M824" s="350"/>
      <c r="N824" s="350"/>
      <c r="O824" s="350"/>
    </row>
    <row r="825" spans="1:15" s="351" customFormat="1" x14ac:dyDescent="0.25">
      <c r="A825" s="362" t="str">
        <f>name!E$4</f>
        <v>Managers, directors and senior officials</v>
      </c>
      <c r="B825" s="440">
        <v>11.331381132200821</v>
      </c>
      <c r="C825" s="440">
        <v>0.95996239850838616</v>
      </c>
      <c r="D825" s="440">
        <v>1.0667901459585036</v>
      </c>
      <c r="E825" s="440">
        <f>SUM(B825:D825)</f>
        <v>13.358133676667711</v>
      </c>
      <c r="F825" s="441"/>
      <c r="G825" s="440">
        <v>10.195210286592104</v>
      </c>
      <c r="H825" s="440">
        <v>0.89750154976108909</v>
      </c>
      <c r="I825" s="440">
        <v>1.2380532969241609</v>
      </c>
      <c r="J825" s="440">
        <f>SUM(G825:I825)</f>
        <v>12.330765133277353</v>
      </c>
      <c r="K825" s="441"/>
      <c r="L825" s="440">
        <v>11.307989785763338</v>
      </c>
      <c r="M825" s="440">
        <v>1.0260109092540766</v>
      </c>
      <c r="N825" s="440">
        <v>0.91130044682213418</v>
      </c>
      <c r="O825" s="440">
        <f>SUM(L825:N825)</f>
        <v>13.245301141839548</v>
      </c>
    </row>
    <row r="826" spans="1:15" s="351" customFormat="1" x14ac:dyDescent="0.25">
      <c r="A826" s="362" t="str">
        <f>name!E$5</f>
        <v>Professional occupations</v>
      </c>
      <c r="B826" s="440">
        <v>22.058528515289414</v>
      </c>
      <c r="C826" s="440">
        <v>1.4087326101174753</v>
      </c>
      <c r="D826" s="440">
        <v>0.39853956461418233</v>
      </c>
      <c r="E826" s="440">
        <f t="shared" ref="E826:E833" si="357">SUM(B826:D826)</f>
        <v>23.865800690021072</v>
      </c>
      <c r="F826" s="441"/>
      <c r="G826" s="440">
        <v>18.679101515284522</v>
      </c>
      <c r="H826" s="440">
        <v>0.98501110593979957</v>
      </c>
      <c r="I826" s="440">
        <v>0.54541151158284074</v>
      </c>
      <c r="J826" s="440">
        <f t="shared" ref="J826:J828" si="358">SUM(G826:I826)</f>
        <v>20.209524132807164</v>
      </c>
      <c r="K826" s="441"/>
      <c r="L826" s="440">
        <v>20.50535647614435</v>
      </c>
      <c r="M826" s="440">
        <v>1.0747334947970968</v>
      </c>
      <c r="N826" s="440">
        <v>0.42616849889775216</v>
      </c>
      <c r="O826" s="440">
        <f t="shared" ref="O826:O833" si="359">SUM(L826:N826)</f>
        <v>22.006258469839199</v>
      </c>
    </row>
    <row r="827" spans="1:15" s="351" customFormat="1" x14ac:dyDescent="0.25">
      <c r="A827" s="362" t="str">
        <f>name!E$6</f>
        <v>Associate professional and technical</v>
      </c>
      <c r="B827" s="440">
        <v>32.629776574407543</v>
      </c>
      <c r="C827" s="440">
        <v>3.8195783640367971</v>
      </c>
      <c r="D827" s="440">
        <v>2.0637746887436021</v>
      </c>
      <c r="E827" s="440">
        <f t="shared" si="357"/>
        <v>38.513129627187944</v>
      </c>
      <c r="F827" s="441"/>
      <c r="G827" s="440">
        <v>24.804403436760683</v>
      </c>
      <c r="H827" s="440">
        <v>2.8840487365891332</v>
      </c>
      <c r="I827" s="440">
        <v>2.3267779604397756</v>
      </c>
      <c r="J827" s="440">
        <f t="shared" si="358"/>
        <v>30.015230133789593</v>
      </c>
      <c r="K827" s="441"/>
      <c r="L827" s="440">
        <v>25.741585168568395</v>
      </c>
      <c r="M827" s="440">
        <v>3.064699075530088</v>
      </c>
      <c r="N827" s="440">
        <v>1.5944085473718863</v>
      </c>
      <c r="O827" s="440">
        <f t="shared" si="359"/>
        <v>30.400692791470373</v>
      </c>
    </row>
    <row r="828" spans="1:15" s="351" customFormat="1" x14ac:dyDescent="0.25">
      <c r="A828" s="362" t="str">
        <f>name!E$7</f>
        <v>Administrative and secretarial</v>
      </c>
      <c r="B828" s="440">
        <v>35.83459345624928</v>
      </c>
      <c r="C828" s="440">
        <v>7.8899709656536059</v>
      </c>
      <c r="D828" s="440">
        <v>0.54071455786718237</v>
      </c>
      <c r="E828" s="440">
        <f t="shared" si="357"/>
        <v>44.265278979770066</v>
      </c>
      <c r="F828" s="441"/>
      <c r="G828" s="440">
        <v>24.437996669995698</v>
      </c>
      <c r="H828" s="440">
        <v>3.6003243670244198</v>
      </c>
      <c r="I828" s="440">
        <v>0.4941082569823782</v>
      </c>
      <c r="J828" s="440">
        <f t="shared" si="358"/>
        <v>28.532429294002497</v>
      </c>
      <c r="K828" s="441"/>
      <c r="L828" s="440">
        <v>19.924550532486766</v>
      </c>
      <c r="M828" s="440">
        <v>2.686135945473739</v>
      </c>
      <c r="N828" s="440">
        <v>0.32745995367745273</v>
      </c>
      <c r="O828" s="440">
        <f t="shared" si="359"/>
        <v>22.938146431637961</v>
      </c>
    </row>
    <row r="829" spans="1:15" s="351" customFormat="1" x14ac:dyDescent="0.25">
      <c r="A829" s="362" t="str">
        <f>name!E$8</f>
        <v>Skilled trades occupations</v>
      </c>
      <c r="B829" s="440">
        <v>1.9076733942139641</v>
      </c>
      <c r="C829" s="440">
        <v>0.18855205749886567</v>
      </c>
      <c r="D829" s="440">
        <v>1.5447821434870468</v>
      </c>
      <c r="E829" s="440">
        <f t="shared" si="357"/>
        <v>3.6410075951998766</v>
      </c>
      <c r="F829" s="441"/>
      <c r="G829" s="440">
        <v>1.139439541578755</v>
      </c>
      <c r="H829" s="440">
        <v>0.11092168053174949</v>
      </c>
      <c r="I829" s="440">
        <v>1.1693289899482637</v>
      </c>
      <c r="J829" s="440">
        <f>SUM(G829:I829)</f>
        <v>2.419690212058768</v>
      </c>
      <c r="K829" s="441"/>
      <c r="L829" s="440">
        <v>1.0783954850881641</v>
      </c>
      <c r="M829" s="440">
        <v>8.1926695726199261E-2</v>
      </c>
      <c r="N829" s="440">
        <v>0.89539854477557856</v>
      </c>
      <c r="O829" s="440">
        <f t="shared" si="359"/>
        <v>2.0557207255899419</v>
      </c>
    </row>
    <row r="830" spans="1:15" s="351" customFormat="1" x14ac:dyDescent="0.25">
      <c r="A830" s="362" t="str">
        <f>name!E$9</f>
        <v>Caring, leisure and other service</v>
      </c>
      <c r="B830" s="440">
        <v>3.6060712178996486</v>
      </c>
      <c r="C830" s="440">
        <v>0.12987962013219831</v>
      </c>
      <c r="D830" s="440">
        <v>0.14730631757561446</v>
      </c>
      <c r="E830" s="440">
        <f t="shared" si="357"/>
        <v>3.8832571556074615</v>
      </c>
      <c r="F830" s="441"/>
      <c r="G830" s="440">
        <v>3.3069146745476994</v>
      </c>
      <c r="H830" s="440">
        <v>8.2860889027247503E-2</v>
      </c>
      <c r="I830" s="440">
        <v>0.3460301038305712</v>
      </c>
      <c r="J830" s="440">
        <f t="shared" ref="J830:J833" si="360">SUM(G830:I830)</f>
        <v>3.735805667405518</v>
      </c>
      <c r="K830" s="441"/>
      <c r="L830" s="440">
        <v>3.742363602361185</v>
      </c>
      <c r="M830" s="440">
        <v>7.8628178194894982E-2</v>
      </c>
      <c r="N830" s="440">
        <v>0.21701727467611795</v>
      </c>
      <c r="O830" s="440">
        <f t="shared" si="359"/>
        <v>4.0380090552321981</v>
      </c>
    </row>
    <row r="831" spans="1:15" s="351" customFormat="1" x14ac:dyDescent="0.25">
      <c r="A831" s="362" t="str">
        <f>name!E$10</f>
        <v>Sales and customer service</v>
      </c>
      <c r="B831" s="440">
        <v>14.010970740679042</v>
      </c>
      <c r="C831" s="440">
        <v>3.779570891690498</v>
      </c>
      <c r="D831" s="440">
        <v>0.71336566524916634</v>
      </c>
      <c r="E831" s="440">
        <f t="shared" si="357"/>
        <v>18.503907297618706</v>
      </c>
      <c r="F831" s="441"/>
      <c r="G831" s="440">
        <v>12.666748914658367</v>
      </c>
      <c r="H831" s="440">
        <v>2.8460905987298557</v>
      </c>
      <c r="I831" s="440">
        <v>0.44437790581582232</v>
      </c>
      <c r="J831" s="440">
        <f t="shared" si="360"/>
        <v>15.957217419204044</v>
      </c>
      <c r="K831" s="441"/>
      <c r="L831" s="440">
        <v>12.164416767079791</v>
      </c>
      <c r="M831" s="440">
        <v>2.7805781870890631</v>
      </c>
      <c r="N831" s="440">
        <v>0.30673678764537121</v>
      </c>
      <c r="O831" s="440">
        <f t="shared" si="359"/>
        <v>15.251731741814226</v>
      </c>
    </row>
    <row r="832" spans="1:15" s="351" customFormat="1" x14ac:dyDescent="0.25">
      <c r="A832" s="362" t="str">
        <f>name!E$11</f>
        <v>Process, plant and machine operatives</v>
      </c>
      <c r="B832" s="440">
        <v>0.67159920746600865</v>
      </c>
      <c r="C832" s="440">
        <v>0.10630438174619604</v>
      </c>
      <c r="D832" s="440">
        <v>0.18431789940419857</v>
      </c>
      <c r="E832" s="440">
        <f t="shared" si="357"/>
        <v>0.96222148861640333</v>
      </c>
      <c r="F832" s="441"/>
      <c r="G832" s="440">
        <v>0.45898678313659036</v>
      </c>
      <c r="H832" s="440">
        <v>6.4101990526385502E-2</v>
      </c>
      <c r="I832" s="440">
        <v>0.18432826568798363</v>
      </c>
      <c r="J832" s="440">
        <f t="shared" si="360"/>
        <v>0.70741703935095956</v>
      </c>
      <c r="K832" s="441"/>
      <c r="L832" s="440">
        <v>0.44993909201392607</v>
      </c>
      <c r="M832" s="440">
        <v>5.3044053124394565E-2</v>
      </c>
      <c r="N832" s="440">
        <v>0.12878693718131981</v>
      </c>
      <c r="O832" s="440">
        <f t="shared" si="359"/>
        <v>0.63177008231964049</v>
      </c>
    </row>
    <row r="833" spans="1:15" s="351" customFormat="1" x14ac:dyDescent="0.25">
      <c r="A833" s="362" t="str">
        <f>name!E$12</f>
        <v>Elementary occupations</v>
      </c>
      <c r="B833" s="440">
        <v>1.2254057610818054</v>
      </c>
      <c r="C833" s="440">
        <v>0.40644871060110382</v>
      </c>
      <c r="D833" s="440">
        <v>0.20640901706886963</v>
      </c>
      <c r="E833" s="440">
        <f t="shared" si="357"/>
        <v>1.838263488751779</v>
      </c>
      <c r="F833" s="441"/>
      <c r="G833" s="440">
        <v>0.90219817668600433</v>
      </c>
      <c r="H833" s="440">
        <v>0.28113908192385184</v>
      </c>
      <c r="I833" s="440">
        <v>0.25458370874551189</v>
      </c>
      <c r="J833" s="440">
        <f t="shared" si="360"/>
        <v>1.4379209673553679</v>
      </c>
      <c r="K833" s="441"/>
      <c r="L833" s="440">
        <v>0.85340309013294091</v>
      </c>
      <c r="M833" s="440">
        <v>0.26524346086225559</v>
      </c>
      <c r="N833" s="440">
        <v>0.18272300893372423</v>
      </c>
      <c r="O833" s="440">
        <f t="shared" si="359"/>
        <v>1.3013695599289208</v>
      </c>
    </row>
    <row r="834" spans="1:15" s="351" customFormat="1" x14ac:dyDescent="0.25">
      <c r="A834" s="362"/>
      <c r="B834" s="440"/>
      <c r="C834" s="440"/>
      <c r="D834" s="440"/>
      <c r="E834" s="440"/>
      <c r="F834" s="441"/>
      <c r="G834" s="440"/>
      <c r="H834" s="440"/>
      <c r="I834" s="440"/>
      <c r="J834" s="440"/>
      <c r="K834" s="441"/>
      <c r="L834" s="440"/>
      <c r="M834" s="440"/>
      <c r="N834" s="440"/>
      <c r="O834" s="440"/>
    </row>
    <row r="835" spans="1:15" s="351" customFormat="1" x14ac:dyDescent="0.25">
      <c r="A835" s="357" t="s">
        <v>32</v>
      </c>
      <c r="B835" s="450">
        <f>SUM(B825:B833)</f>
        <v>123.27599999948752</v>
      </c>
      <c r="C835" s="450">
        <f t="shared" ref="C835:E835" si="361">SUM(C825:C833)</f>
        <v>18.688999999985125</v>
      </c>
      <c r="D835" s="450">
        <f t="shared" si="361"/>
        <v>6.8659999999683654</v>
      </c>
      <c r="E835" s="450">
        <f t="shared" si="361"/>
        <v>148.83099999944102</v>
      </c>
      <c r="F835" s="450"/>
      <c r="G835" s="450">
        <f t="shared" ref="G835:J835" si="362">SUM(G825:G833)</f>
        <v>96.590999999240424</v>
      </c>
      <c r="H835" s="450">
        <f t="shared" si="362"/>
        <v>11.752000000053531</v>
      </c>
      <c r="I835" s="450">
        <f t="shared" si="362"/>
        <v>7.0029999999573098</v>
      </c>
      <c r="J835" s="450">
        <f t="shared" si="362"/>
        <v>115.34599999925125</v>
      </c>
      <c r="K835" s="450"/>
      <c r="L835" s="450">
        <f t="shared" ref="L835:O835" si="363">SUM(L825:L833)</f>
        <v>95.767999999638846</v>
      </c>
      <c r="M835" s="450">
        <f t="shared" si="363"/>
        <v>11.111000000051808</v>
      </c>
      <c r="N835" s="450">
        <f t="shared" si="363"/>
        <v>4.9899999999813369</v>
      </c>
      <c r="O835" s="450">
        <f t="shared" si="363"/>
        <v>111.868999999672</v>
      </c>
    </row>
    <row r="836" spans="1:15" s="351" customFormat="1" x14ac:dyDescent="0.25">
      <c r="A836" s="348"/>
      <c r="B836" s="348"/>
      <c r="C836" s="348"/>
      <c r="D836" s="348"/>
      <c r="E836" s="348"/>
      <c r="F836" s="348"/>
      <c r="G836" s="348"/>
      <c r="H836" s="348"/>
      <c r="I836" s="348"/>
      <c r="J836" s="348"/>
      <c r="K836" s="348"/>
      <c r="L836" s="348"/>
      <c r="M836" s="348"/>
      <c r="N836" s="353"/>
    </row>
    <row r="837" spans="1:15" s="351" customFormat="1" x14ac:dyDescent="0.25">
      <c r="A837" s="348"/>
      <c r="B837" s="348"/>
      <c r="C837" s="348"/>
      <c r="D837" s="348"/>
      <c r="E837" s="348"/>
      <c r="F837" s="348"/>
      <c r="G837" s="348"/>
      <c r="H837" s="348"/>
      <c r="I837" s="348"/>
      <c r="J837" s="348"/>
      <c r="K837" s="348"/>
      <c r="L837" s="348"/>
      <c r="M837" s="348"/>
      <c r="N837" s="353"/>
      <c r="O837" s="367" t="s">
        <v>35</v>
      </c>
    </row>
    <row r="838" spans="1:15" s="351" customFormat="1" x14ac:dyDescent="0.25">
      <c r="A838" s="355"/>
      <c r="B838" s="355"/>
      <c r="C838" s="355"/>
      <c r="D838" s="355"/>
      <c r="E838" s="355"/>
      <c r="F838" s="355"/>
      <c r="G838" s="355"/>
      <c r="H838" s="355"/>
      <c r="I838" s="355"/>
      <c r="J838" s="355"/>
      <c r="K838" s="355"/>
      <c r="L838" s="355"/>
      <c r="M838" s="355"/>
      <c r="N838" s="355"/>
      <c r="O838" s="355"/>
    </row>
    <row r="839" spans="1:15" s="351" customFormat="1" x14ac:dyDescent="0.25">
      <c r="A839" s="354" t="str">
        <f>name!A52</f>
        <v>Auxiliary financial services</v>
      </c>
      <c r="B839" s="517">
        <f>$B$6</f>
        <v>2007</v>
      </c>
      <c r="C839" s="517"/>
      <c r="D839" s="517"/>
      <c r="E839" s="517"/>
      <c r="F839" s="380"/>
      <c r="G839" s="517">
        <f>$G$6</f>
        <v>2017</v>
      </c>
      <c r="H839" s="517"/>
      <c r="I839" s="517"/>
      <c r="J839" s="517"/>
      <c r="K839" s="380"/>
      <c r="L839" s="517">
        <f>$L$6</f>
        <v>2027</v>
      </c>
      <c r="M839" s="517"/>
      <c r="N839" s="517"/>
      <c r="O839" s="517"/>
    </row>
    <row r="840" spans="1:15" s="351" customFormat="1" x14ac:dyDescent="0.25">
      <c r="A840" s="370"/>
      <c r="B840" s="388" t="str">
        <f>$B$7</f>
        <v>FT</v>
      </c>
      <c r="C840" s="388" t="str">
        <f>$C$7</f>
        <v>PT</v>
      </c>
      <c r="D840" s="388" t="str">
        <f>$D$7</f>
        <v>SE</v>
      </c>
      <c r="E840" s="388" t="str">
        <f>$E$7</f>
        <v>Total</v>
      </c>
      <c r="F840" s="388"/>
      <c r="G840" s="388" t="str">
        <f>$G$7</f>
        <v>FT</v>
      </c>
      <c r="H840" s="388" t="str">
        <f>$H$7</f>
        <v>PT</v>
      </c>
      <c r="I840" s="388" t="str">
        <f>$I$7</f>
        <v>SE</v>
      </c>
      <c r="J840" s="388" t="str">
        <f>$J$7</f>
        <v>Total</v>
      </c>
      <c r="K840" s="388"/>
      <c r="L840" s="388" t="str">
        <f>$L$7</f>
        <v>FT</v>
      </c>
      <c r="M840" s="388" t="str">
        <f>$M$7</f>
        <v>PT</v>
      </c>
      <c r="N840" s="388" t="str">
        <f>$N$7</f>
        <v>SE</v>
      </c>
      <c r="O840" s="388" t="str">
        <f>$O$7</f>
        <v>Total</v>
      </c>
    </row>
    <row r="841" spans="1:15" s="351" customFormat="1" x14ac:dyDescent="0.25">
      <c r="A841" s="374"/>
      <c r="B841" s="350"/>
      <c r="C841" s="350"/>
      <c r="D841" s="350"/>
      <c r="E841" s="350"/>
      <c r="F841" s="350"/>
      <c r="G841" s="350"/>
      <c r="H841" s="350"/>
      <c r="I841" s="350"/>
      <c r="J841" s="350"/>
      <c r="K841" s="350"/>
      <c r="L841" s="350"/>
      <c r="M841" s="350"/>
      <c r="N841" s="350"/>
      <c r="O841" s="350"/>
    </row>
    <row r="842" spans="1:15" s="351" customFormat="1" x14ac:dyDescent="0.25">
      <c r="A842" s="362" t="str">
        <f>name!E$4</f>
        <v>Managers, directors and senior officials</v>
      </c>
      <c r="B842" s="440">
        <v>38.828721829502157</v>
      </c>
      <c r="C842" s="440">
        <v>3.4300312743777157</v>
      </c>
      <c r="D842" s="440">
        <v>2.7199010287965377</v>
      </c>
      <c r="E842" s="440">
        <f>SUM(B842:D842)</f>
        <v>44.978654132676411</v>
      </c>
      <c r="F842" s="441"/>
      <c r="G842" s="440">
        <v>66.351314099508201</v>
      </c>
      <c r="H842" s="440">
        <v>6.4242366226353651</v>
      </c>
      <c r="I842" s="440">
        <v>6.9478205192215734</v>
      </c>
      <c r="J842" s="440">
        <f>SUM(G842:I842)</f>
        <v>79.723371241365143</v>
      </c>
      <c r="K842" s="441"/>
      <c r="L842" s="440">
        <v>73.087005217337634</v>
      </c>
      <c r="M842" s="440">
        <v>7.3956658733387108</v>
      </c>
      <c r="N842" s="440">
        <v>7.1698278524762582</v>
      </c>
      <c r="O842" s="440">
        <f>SUM(L842:N842)</f>
        <v>87.652498943152608</v>
      </c>
    </row>
    <row r="843" spans="1:15" s="351" customFormat="1" x14ac:dyDescent="0.25">
      <c r="A843" s="362" t="str">
        <f>name!E$5</f>
        <v>Professional occupations</v>
      </c>
      <c r="B843" s="440">
        <v>48.110414148457444</v>
      </c>
      <c r="C843" s="440">
        <v>2.5148858628046336</v>
      </c>
      <c r="D843" s="440">
        <v>1.6317736361022834</v>
      </c>
      <c r="E843" s="440">
        <f t="shared" ref="E843:E850" si="364">SUM(B843:D843)</f>
        <v>52.257073647364358</v>
      </c>
      <c r="F843" s="441"/>
      <c r="G843" s="440">
        <v>76.061115669889702</v>
      </c>
      <c r="H843" s="440">
        <v>4.3005106312256549</v>
      </c>
      <c r="I843" s="440">
        <v>4.3448046103388016</v>
      </c>
      <c r="J843" s="440">
        <f t="shared" ref="J843:J845" si="365">SUM(G843:I843)</f>
        <v>84.706430911454149</v>
      </c>
      <c r="K843" s="441"/>
      <c r="L843" s="440">
        <v>82.228240537870477</v>
      </c>
      <c r="M843" s="440">
        <v>4.6577328014460271</v>
      </c>
      <c r="N843" s="440">
        <v>4.3092177297284886</v>
      </c>
      <c r="O843" s="440">
        <f t="shared" ref="O843:O850" si="366">SUM(L843:N843)</f>
        <v>91.195191069044995</v>
      </c>
    </row>
    <row r="844" spans="1:15" s="351" customFormat="1" x14ac:dyDescent="0.25">
      <c r="A844" s="362" t="str">
        <f>name!E$6</f>
        <v>Associate professional and technical</v>
      </c>
      <c r="B844" s="440">
        <v>104.59125081750642</v>
      </c>
      <c r="C844" s="440">
        <v>7.3413638759380637</v>
      </c>
      <c r="D844" s="440">
        <v>7.7845273770535135</v>
      </c>
      <c r="E844" s="440">
        <f t="shared" si="364"/>
        <v>119.71714207049799</v>
      </c>
      <c r="F844" s="441"/>
      <c r="G844" s="440">
        <v>140.95913027607554</v>
      </c>
      <c r="H844" s="440">
        <v>11.738769033565269</v>
      </c>
      <c r="I844" s="440">
        <v>20.270776983765863</v>
      </c>
      <c r="J844" s="440">
        <f t="shared" si="365"/>
        <v>172.96867629340667</v>
      </c>
      <c r="K844" s="441"/>
      <c r="L844" s="440">
        <v>146.66833153713043</v>
      </c>
      <c r="M844" s="440">
        <v>13.268686045738194</v>
      </c>
      <c r="N844" s="440">
        <v>20.869936098080963</v>
      </c>
      <c r="O844" s="440">
        <f t="shared" si="366"/>
        <v>180.80695368094959</v>
      </c>
    </row>
    <row r="845" spans="1:15" s="351" customFormat="1" x14ac:dyDescent="0.25">
      <c r="A845" s="362" t="str">
        <f>name!E$7</f>
        <v>Administrative and secretarial</v>
      </c>
      <c r="B845" s="440">
        <v>93.822111242195632</v>
      </c>
      <c r="C845" s="440">
        <v>26.233539968524664</v>
      </c>
      <c r="D845" s="440">
        <v>1.2953082348526896</v>
      </c>
      <c r="E845" s="440">
        <f t="shared" si="364"/>
        <v>121.35095944557298</v>
      </c>
      <c r="F845" s="441"/>
      <c r="G845" s="440">
        <v>82.266307468598725</v>
      </c>
      <c r="H845" s="440">
        <v>29.009549570102738</v>
      </c>
      <c r="I845" s="440">
        <v>2.6875321572198767</v>
      </c>
      <c r="J845" s="440">
        <f t="shared" si="365"/>
        <v>113.96338919592134</v>
      </c>
      <c r="K845" s="441"/>
      <c r="L845" s="440">
        <v>62.783492911731265</v>
      </c>
      <c r="M845" s="440">
        <v>22.786578456707566</v>
      </c>
      <c r="N845" s="440">
        <v>2.2003120156653022</v>
      </c>
      <c r="O845" s="440">
        <f t="shared" si="366"/>
        <v>87.770383384104136</v>
      </c>
    </row>
    <row r="846" spans="1:15" s="351" customFormat="1" x14ac:dyDescent="0.25">
      <c r="A846" s="362" t="str">
        <f>name!E$8</f>
        <v>Skilled trades occupations</v>
      </c>
      <c r="B846" s="440">
        <v>1.8098147069837518</v>
      </c>
      <c r="C846" s="440">
        <v>1.6862366481044133</v>
      </c>
      <c r="D846" s="440">
        <v>1.2354761971185757</v>
      </c>
      <c r="E846" s="440">
        <f t="shared" si="364"/>
        <v>4.7315275522067406</v>
      </c>
      <c r="F846" s="441"/>
      <c r="G846" s="440">
        <v>3.7339767178379928</v>
      </c>
      <c r="H846" s="440">
        <v>1.2515428625137739</v>
      </c>
      <c r="I846" s="440">
        <v>2.2316663142119562</v>
      </c>
      <c r="J846" s="440">
        <f>SUM(G846:I846)</f>
        <v>7.2171858945637233</v>
      </c>
      <c r="K846" s="441"/>
      <c r="L846" s="440">
        <v>3.4667668968358996</v>
      </c>
      <c r="M846" s="440">
        <v>0.88756766208495697</v>
      </c>
      <c r="N846" s="440">
        <v>2.1023101561065509</v>
      </c>
      <c r="O846" s="440">
        <f t="shared" si="366"/>
        <v>6.4566447150274078</v>
      </c>
    </row>
    <row r="847" spans="1:15" s="351" customFormat="1" x14ac:dyDescent="0.25">
      <c r="A847" s="362" t="str">
        <f>name!E$9</f>
        <v>Caring, leisure and other service</v>
      </c>
      <c r="B847" s="440">
        <v>0.64745560338846608</v>
      </c>
      <c r="C847" s="440">
        <v>0.2012130855518168</v>
      </c>
      <c r="D847" s="440">
        <v>0.42349552447867589</v>
      </c>
      <c r="E847" s="440">
        <f t="shared" si="364"/>
        <v>1.2721642134189588</v>
      </c>
      <c r="F847" s="441"/>
      <c r="G847" s="440">
        <v>1.0759962578823696</v>
      </c>
      <c r="H847" s="440">
        <v>0.37158921547607676</v>
      </c>
      <c r="I847" s="440">
        <v>1.1769600829673157</v>
      </c>
      <c r="J847" s="440">
        <f t="shared" ref="J847:J850" si="367">SUM(G847:I847)</f>
        <v>2.6245455563257618</v>
      </c>
      <c r="K847" s="441"/>
      <c r="L847" s="440">
        <v>1.242146594411728</v>
      </c>
      <c r="M847" s="440">
        <v>0.36959548320662522</v>
      </c>
      <c r="N847" s="440">
        <v>1.1116240461219471</v>
      </c>
      <c r="O847" s="440">
        <f t="shared" si="366"/>
        <v>2.7233661237403002</v>
      </c>
    </row>
    <row r="848" spans="1:15" s="351" customFormat="1" x14ac:dyDescent="0.25">
      <c r="A848" s="362" t="str">
        <f>name!E$10</f>
        <v>Sales and customer service</v>
      </c>
      <c r="B848" s="440">
        <v>31.544767955641255</v>
      </c>
      <c r="C848" s="440">
        <v>7.0629878855593589</v>
      </c>
      <c r="D848" s="440">
        <v>1.3538602401918047</v>
      </c>
      <c r="E848" s="440">
        <f t="shared" si="364"/>
        <v>39.961616081392421</v>
      </c>
      <c r="F848" s="441"/>
      <c r="G848" s="440">
        <v>22.705767901272935</v>
      </c>
      <c r="H848" s="440">
        <v>6.6931816063547247</v>
      </c>
      <c r="I848" s="440">
        <v>1.5958425992479024</v>
      </c>
      <c r="J848" s="440">
        <f t="shared" si="367"/>
        <v>30.994792106875561</v>
      </c>
      <c r="K848" s="441"/>
      <c r="L848" s="440">
        <v>22.381674853853767</v>
      </c>
      <c r="M848" s="440">
        <v>6.8251005071204043</v>
      </c>
      <c r="N848" s="440">
        <v>1.5375307153356561</v>
      </c>
      <c r="O848" s="440">
        <f t="shared" si="366"/>
        <v>30.744306076309826</v>
      </c>
    </row>
    <row r="849" spans="1:15" s="351" customFormat="1" x14ac:dyDescent="0.25">
      <c r="A849" s="362" t="str">
        <f>name!E$11</f>
        <v>Process, plant and machine operatives</v>
      </c>
      <c r="B849" s="440">
        <v>2.066355370881046</v>
      </c>
      <c r="C849" s="440">
        <v>0.26816562715266262</v>
      </c>
      <c r="D849" s="440">
        <v>1.4314142518033866</v>
      </c>
      <c r="E849" s="440">
        <f t="shared" si="364"/>
        <v>3.7659352498370948</v>
      </c>
      <c r="F849" s="441"/>
      <c r="G849" s="440">
        <v>2.4814720360430629</v>
      </c>
      <c r="H849" s="440">
        <v>0.37788726152000179</v>
      </c>
      <c r="I849" s="440">
        <v>2.5635392468441025</v>
      </c>
      <c r="J849" s="440">
        <f t="shared" si="367"/>
        <v>5.4228985444071673</v>
      </c>
      <c r="K849" s="441"/>
      <c r="L849" s="440">
        <v>2.6034172705244076</v>
      </c>
      <c r="M849" s="440">
        <v>0.36068991576808612</v>
      </c>
      <c r="N849" s="440">
        <v>2.4795723637552221</v>
      </c>
      <c r="O849" s="440">
        <f t="shared" si="366"/>
        <v>5.4436795500477153</v>
      </c>
    </row>
    <row r="850" spans="1:15" s="351" customFormat="1" x14ac:dyDescent="0.25">
      <c r="A850" s="362" t="str">
        <f>name!E$12</f>
        <v>Elementary occupations</v>
      </c>
      <c r="B850" s="440">
        <v>2.5981083248029244</v>
      </c>
      <c r="C850" s="440">
        <v>1.478575771968244</v>
      </c>
      <c r="D850" s="440">
        <v>0.65724350954902011</v>
      </c>
      <c r="E850" s="440">
        <f t="shared" si="364"/>
        <v>4.7339276063201883</v>
      </c>
      <c r="F850" s="441"/>
      <c r="G850" s="440">
        <v>4.4619195688573177</v>
      </c>
      <c r="H850" s="440">
        <v>1.4857331967775684</v>
      </c>
      <c r="I850" s="440">
        <v>1.1550574860397289</v>
      </c>
      <c r="J850" s="440">
        <f t="shared" si="367"/>
        <v>7.1027102516746146</v>
      </c>
      <c r="K850" s="441"/>
      <c r="L850" s="440">
        <v>4.2919241771471963</v>
      </c>
      <c r="M850" s="440">
        <v>1.3883832548314459</v>
      </c>
      <c r="N850" s="440">
        <v>1.1376690222523784</v>
      </c>
      <c r="O850" s="440">
        <f t="shared" si="366"/>
        <v>6.8179764542310206</v>
      </c>
    </row>
    <row r="851" spans="1:15" s="351" customFormat="1" x14ac:dyDescent="0.25">
      <c r="A851" s="362"/>
      <c r="B851" s="440"/>
      <c r="C851" s="440"/>
      <c r="D851" s="440"/>
      <c r="E851" s="440"/>
      <c r="F851" s="441"/>
      <c r="G851" s="440"/>
      <c r="H851" s="440"/>
      <c r="I851" s="440"/>
      <c r="J851" s="440"/>
      <c r="K851" s="441"/>
      <c r="L851" s="440"/>
      <c r="M851" s="440"/>
      <c r="N851" s="440"/>
      <c r="O851" s="440"/>
    </row>
    <row r="852" spans="1:15" s="351" customFormat="1" x14ac:dyDescent="0.25">
      <c r="A852" s="357" t="s">
        <v>32</v>
      </c>
      <c r="B852" s="450">
        <f>SUM(B842:B850)</f>
        <v>324.01899999935915</v>
      </c>
      <c r="C852" s="450">
        <f t="shared" ref="C852:E852" si="368">SUM(C842:C850)</f>
        <v>50.216999999981567</v>
      </c>
      <c r="D852" s="450">
        <f t="shared" si="368"/>
        <v>18.532999999946487</v>
      </c>
      <c r="E852" s="450">
        <f t="shared" si="368"/>
        <v>392.76899999928713</v>
      </c>
      <c r="F852" s="450"/>
      <c r="G852" s="450">
        <f t="shared" ref="G852:J852" si="369">SUM(G842:G850)</f>
        <v>400.09699999596575</v>
      </c>
      <c r="H852" s="450">
        <f t="shared" si="369"/>
        <v>61.653000000171168</v>
      </c>
      <c r="I852" s="450">
        <f t="shared" si="369"/>
        <v>42.973999999857114</v>
      </c>
      <c r="J852" s="450">
        <f t="shared" si="369"/>
        <v>504.72399999599418</v>
      </c>
      <c r="K852" s="450"/>
      <c r="L852" s="450">
        <f t="shared" ref="L852:O852" si="370">SUM(L842:L850)</f>
        <v>398.75299999684285</v>
      </c>
      <c r="M852" s="450">
        <f t="shared" si="370"/>
        <v>57.940000000242009</v>
      </c>
      <c r="N852" s="450">
        <f t="shared" si="370"/>
        <v>42.917999999522763</v>
      </c>
      <c r="O852" s="450">
        <f t="shared" si="370"/>
        <v>499.61099999660757</v>
      </c>
    </row>
    <row r="853" spans="1:15" s="351" customFormat="1" x14ac:dyDescent="0.25">
      <c r="A853" s="348"/>
      <c r="B853" s="348"/>
      <c r="C853" s="348"/>
      <c r="D853" s="348"/>
      <c r="E853" s="348"/>
      <c r="F853" s="348"/>
      <c r="G853" s="348"/>
      <c r="H853" s="348"/>
      <c r="I853" s="348"/>
      <c r="J853" s="348"/>
      <c r="K853" s="348"/>
      <c r="L853" s="348"/>
      <c r="M853" s="348"/>
      <c r="N853" s="353"/>
    </row>
    <row r="854" spans="1:15" s="351" customFormat="1" x14ac:dyDescent="0.25">
      <c r="A854" s="348"/>
      <c r="B854" s="348"/>
      <c r="C854" s="348"/>
      <c r="D854" s="348"/>
      <c r="E854" s="348"/>
      <c r="F854" s="348"/>
      <c r="G854" s="348"/>
      <c r="H854" s="348"/>
      <c r="I854" s="348"/>
      <c r="J854" s="348"/>
      <c r="K854" s="348"/>
      <c r="L854" s="348"/>
      <c r="M854" s="348"/>
      <c r="N854" s="353"/>
      <c r="O854" s="367" t="s">
        <v>35</v>
      </c>
    </row>
    <row r="855" spans="1:15" s="351" customFormat="1" x14ac:dyDescent="0.25">
      <c r="A855" s="355"/>
      <c r="B855" s="355"/>
      <c r="C855" s="355"/>
      <c r="D855" s="355"/>
      <c r="E855" s="355"/>
      <c r="F855" s="355"/>
      <c r="G855" s="355"/>
      <c r="H855" s="355"/>
      <c r="I855" s="355"/>
      <c r="J855" s="355"/>
      <c r="K855" s="355"/>
      <c r="L855" s="355"/>
      <c r="M855" s="355"/>
      <c r="N855" s="355"/>
      <c r="O855" s="355"/>
    </row>
    <row r="856" spans="1:15" s="351" customFormat="1" x14ac:dyDescent="0.25">
      <c r="A856" s="354" t="str">
        <f>name!A53</f>
        <v>Real estate</v>
      </c>
      <c r="B856" s="517">
        <f>$B$6</f>
        <v>2007</v>
      </c>
      <c r="C856" s="517"/>
      <c r="D856" s="517"/>
      <c r="E856" s="517"/>
      <c r="F856" s="380"/>
      <c r="G856" s="517">
        <f>$G$6</f>
        <v>2017</v>
      </c>
      <c r="H856" s="517"/>
      <c r="I856" s="517"/>
      <c r="J856" s="517"/>
      <c r="K856" s="380"/>
      <c r="L856" s="517">
        <f>$L$6</f>
        <v>2027</v>
      </c>
      <c r="M856" s="517"/>
      <c r="N856" s="517"/>
      <c r="O856" s="517"/>
    </row>
    <row r="857" spans="1:15" s="351" customFormat="1" x14ac:dyDescent="0.25">
      <c r="A857" s="370"/>
      <c r="B857" s="388" t="str">
        <f>$B$7</f>
        <v>FT</v>
      </c>
      <c r="C857" s="388" t="str">
        <f>$C$7</f>
        <v>PT</v>
      </c>
      <c r="D857" s="388" t="str">
        <f>$D$7</f>
        <v>SE</v>
      </c>
      <c r="E857" s="388" t="str">
        <f>$E$7</f>
        <v>Total</v>
      </c>
      <c r="F857" s="388"/>
      <c r="G857" s="388" t="str">
        <f>$G$7</f>
        <v>FT</v>
      </c>
      <c r="H857" s="388" t="str">
        <f>$H$7</f>
        <v>PT</v>
      </c>
      <c r="I857" s="388" t="str">
        <f>$I$7</f>
        <v>SE</v>
      </c>
      <c r="J857" s="388" t="str">
        <f>$J$7</f>
        <v>Total</v>
      </c>
      <c r="K857" s="388"/>
      <c r="L857" s="388" t="str">
        <f>$L$7</f>
        <v>FT</v>
      </c>
      <c r="M857" s="388" t="str">
        <f>$M$7</f>
        <v>PT</v>
      </c>
      <c r="N857" s="388" t="str">
        <f>$N$7</f>
        <v>SE</v>
      </c>
      <c r="O857" s="388" t="str">
        <f>$O$7</f>
        <v>Total</v>
      </c>
    </row>
    <row r="858" spans="1:15" s="351" customFormat="1" x14ac:dyDescent="0.25">
      <c r="A858" s="374"/>
      <c r="B858" s="350"/>
      <c r="C858" s="350"/>
      <c r="D858" s="350"/>
      <c r="E858" s="350"/>
      <c r="F858" s="350"/>
      <c r="G858" s="350"/>
      <c r="H858" s="350"/>
      <c r="I858" s="350"/>
      <c r="J858" s="350"/>
      <c r="K858" s="350"/>
      <c r="L858" s="350"/>
      <c r="M858" s="350"/>
      <c r="N858" s="350"/>
      <c r="O858" s="350"/>
    </row>
    <row r="859" spans="1:15" s="351" customFormat="1" x14ac:dyDescent="0.25">
      <c r="A859" s="362" t="str">
        <f>name!E$4</f>
        <v>Managers, directors and senior officials</v>
      </c>
      <c r="B859" s="440">
        <v>45.598688767026815</v>
      </c>
      <c r="C859" s="440">
        <v>10.852011743730415</v>
      </c>
      <c r="D859" s="440">
        <v>27.164973776893099</v>
      </c>
      <c r="E859" s="440">
        <f>SUM(B859:D859)</f>
        <v>83.615674287650336</v>
      </c>
      <c r="F859" s="441"/>
      <c r="G859" s="440">
        <v>66.990690296019721</v>
      </c>
      <c r="H859" s="440">
        <v>17.395707989234637</v>
      </c>
      <c r="I859" s="440">
        <v>31.522578419897336</v>
      </c>
      <c r="J859" s="440">
        <f>SUM(G859:I859)</f>
        <v>115.9089767051517</v>
      </c>
      <c r="K859" s="441"/>
      <c r="L859" s="440">
        <v>78.242916672686306</v>
      </c>
      <c r="M859" s="440">
        <v>19.398569646447243</v>
      </c>
      <c r="N859" s="440">
        <v>31.96860856459892</v>
      </c>
      <c r="O859" s="440">
        <f>SUM(L859:N859)</f>
        <v>129.61009488373247</v>
      </c>
    </row>
    <row r="860" spans="1:15" s="351" customFormat="1" x14ac:dyDescent="0.25">
      <c r="A860" s="362" t="str">
        <f>name!E$5</f>
        <v>Professional occupations</v>
      </c>
      <c r="B860" s="440">
        <v>60.767114608007439</v>
      </c>
      <c r="C860" s="440">
        <v>7.4293809540680611</v>
      </c>
      <c r="D860" s="440">
        <v>3.9406278238986396</v>
      </c>
      <c r="E860" s="440">
        <f t="shared" ref="E860:E867" si="371">SUM(B860:D860)</f>
        <v>72.137123385974135</v>
      </c>
      <c r="F860" s="441"/>
      <c r="G860" s="440">
        <v>63.546373970962549</v>
      </c>
      <c r="H860" s="440">
        <v>12.003837681155238</v>
      </c>
      <c r="I860" s="440">
        <v>4.7695883403203005</v>
      </c>
      <c r="J860" s="440">
        <f t="shared" ref="J860:J862" si="372">SUM(G860:I860)</f>
        <v>80.319799992438078</v>
      </c>
      <c r="K860" s="441"/>
      <c r="L860" s="440">
        <v>70.954515030670422</v>
      </c>
      <c r="M860" s="440">
        <v>13.718680882964101</v>
      </c>
      <c r="N860" s="440">
        <v>4.7311921760373554</v>
      </c>
      <c r="O860" s="440">
        <f t="shared" ref="O860:O867" si="373">SUM(L860:N860)</f>
        <v>89.404388089671869</v>
      </c>
    </row>
    <row r="861" spans="1:15" s="351" customFormat="1" x14ac:dyDescent="0.25">
      <c r="A861" s="362" t="str">
        <f>name!E$6</f>
        <v>Associate professional and technical</v>
      </c>
      <c r="B861" s="440">
        <v>59.523325738656439</v>
      </c>
      <c r="C861" s="440">
        <v>10.349630828001658</v>
      </c>
      <c r="D861" s="440">
        <v>5.4016650876572845</v>
      </c>
      <c r="E861" s="440">
        <f t="shared" si="371"/>
        <v>75.274621654315382</v>
      </c>
      <c r="F861" s="441"/>
      <c r="G861" s="440">
        <v>74.512176881303361</v>
      </c>
      <c r="H861" s="440">
        <v>16.597683811642678</v>
      </c>
      <c r="I861" s="440">
        <v>7.6772892069539669</v>
      </c>
      <c r="J861" s="440">
        <f t="shared" si="372"/>
        <v>98.787149899900015</v>
      </c>
      <c r="K861" s="441"/>
      <c r="L861" s="440">
        <v>83.714356347294157</v>
      </c>
      <c r="M861" s="440">
        <v>19.115366355359093</v>
      </c>
      <c r="N861" s="440">
        <v>8.0787074356502107</v>
      </c>
      <c r="O861" s="440">
        <f t="shared" si="373"/>
        <v>110.90843013830346</v>
      </c>
    </row>
    <row r="862" spans="1:15" s="351" customFormat="1" x14ac:dyDescent="0.25">
      <c r="A862" s="362" t="str">
        <f>name!E$7</f>
        <v>Administrative and secretarial</v>
      </c>
      <c r="B862" s="440">
        <v>59.738710765990355</v>
      </c>
      <c r="C862" s="440">
        <v>33.602244000527087</v>
      </c>
      <c r="D862" s="440">
        <v>1.9988915714113018</v>
      </c>
      <c r="E862" s="440">
        <f t="shared" si="371"/>
        <v>95.339846337928748</v>
      </c>
      <c r="F862" s="441"/>
      <c r="G862" s="440">
        <v>56.583406130789626</v>
      </c>
      <c r="H862" s="440">
        <v>43.279970574496417</v>
      </c>
      <c r="I862" s="440">
        <v>3.4943184886364262</v>
      </c>
      <c r="J862" s="440">
        <f t="shared" si="372"/>
        <v>103.35769519392247</v>
      </c>
      <c r="K862" s="441"/>
      <c r="L862" s="440">
        <v>45.634399974926119</v>
      </c>
      <c r="M862" s="440">
        <v>36.3489072983146</v>
      </c>
      <c r="N862" s="440">
        <v>3.1903439116440722</v>
      </c>
      <c r="O862" s="440">
        <f t="shared" si="373"/>
        <v>85.17365118488479</v>
      </c>
    </row>
    <row r="863" spans="1:15" s="351" customFormat="1" x14ac:dyDescent="0.25">
      <c r="A863" s="362" t="str">
        <f>name!E$8</f>
        <v>Skilled trades occupations</v>
      </c>
      <c r="B863" s="440">
        <v>15.835864852309445</v>
      </c>
      <c r="C863" s="440">
        <v>2.1059650686975848</v>
      </c>
      <c r="D863" s="440">
        <v>11.676811847779293</v>
      </c>
      <c r="E863" s="440">
        <f t="shared" si="371"/>
        <v>29.618641768786325</v>
      </c>
      <c r="F863" s="441"/>
      <c r="G863" s="440">
        <v>20.341442634708823</v>
      </c>
      <c r="H863" s="440">
        <v>3.0988350361145485</v>
      </c>
      <c r="I863" s="440">
        <v>14.52197327581429</v>
      </c>
      <c r="J863" s="440">
        <f>SUM(G863:I863)</f>
        <v>37.96225094663766</v>
      </c>
      <c r="K863" s="441"/>
      <c r="L863" s="440">
        <v>22.58721520799137</v>
      </c>
      <c r="M863" s="440">
        <v>4.2505004705965197</v>
      </c>
      <c r="N863" s="440">
        <v>16.433546576416354</v>
      </c>
      <c r="O863" s="440">
        <f t="shared" si="373"/>
        <v>43.271262255004245</v>
      </c>
    </row>
    <row r="864" spans="1:15" s="351" customFormat="1" x14ac:dyDescent="0.25">
      <c r="A864" s="362" t="str">
        <f>name!E$9</f>
        <v>Caring, leisure and other service</v>
      </c>
      <c r="B864" s="440">
        <v>15.687394830063335</v>
      </c>
      <c r="C864" s="440">
        <v>4.2934347296109978</v>
      </c>
      <c r="D864" s="440">
        <v>0.98556392898622258</v>
      </c>
      <c r="E864" s="440">
        <f t="shared" si="371"/>
        <v>20.966393488660557</v>
      </c>
      <c r="F864" s="441"/>
      <c r="G864" s="440">
        <v>10.424337382389176</v>
      </c>
      <c r="H864" s="440">
        <v>4.5361038835188774</v>
      </c>
      <c r="I864" s="440">
        <v>1.9126326729017586</v>
      </c>
      <c r="J864" s="440">
        <f t="shared" ref="J864:J867" si="374">SUM(G864:I864)</f>
        <v>16.87307393880981</v>
      </c>
      <c r="K864" s="441"/>
      <c r="L864" s="440">
        <v>12.113084971718767</v>
      </c>
      <c r="M864" s="440">
        <v>4.9590471243082686</v>
      </c>
      <c r="N864" s="440">
        <v>2.2566628082287408</v>
      </c>
      <c r="O864" s="440">
        <f t="shared" si="373"/>
        <v>19.328794904255773</v>
      </c>
    </row>
    <row r="865" spans="1:15" s="351" customFormat="1" x14ac:dyDescent="0.25">
      <c r="A865" s="362" t="str">
        <f>name!E$10</f>
        <v>Sales and customer service</v>
      </c>
      <c r="B865" s="440">
        <v>26.587107079495176</v>
      </c>
      <c r="C865" s="440">
        <v>13.922147716575294</v>
      </c>
      <c r="D865" s="440">
        <v>1.0540129572447288</v>
      </c>
      <c r="E865" s="440">
        <f t="shared" si="371"/>
        <v>41.563267753315202</v>
      </c>
      <c r="F865" s="441"/>
      <c r="G865" s="440">
        <v>42.741497619661402</v>
      </c>
      <c r="H865" s="440">
        <v>16.857533436185214</v>
      </c>
      <c r="I865" s="440">
        <v>1.5474464552003755</v>
      </c>
      <c r="J865" s="440">
        <f t="shared" si="374"/>
        <v>61.146477511046989</v>
      </c>
      <c r="K865" s="441"/>
      <c r="L865" s="440">
        <v>41.112948835168453</v>
      </c>
      <c r="M865" s="440">
        <v>17.975195311488182</v>
      </c>
      <c r="N865" s="440">
        <v>1.5196259953283489</v>
      </c>
      <c r="O865" s="440">
        <f t="shared" si="373"/>
        <v>60.607770141984979</v>
      </c>
    </row>
    <row r="866" spans="1:15" s="351" customFormat="1" x14ac:dyDescent="0.25">
      <c r="A866" s="362" t="str">
        <f>name!E$11</f>
        <v>Process, plant and machine operatives</v>
      </c>
      <c r="B866" s="440">
        <v>3.2294669455069998</v>
      </c>
      <c r="C866" s="440">
        <v>0.76017181927121757</v>
      </c>
      <c r="D866" s="440">
        <v>0.64398622213362777</v>
      </c>
      <c r="E866" s="440">
        <f t="shared" si="371"/>
        <v>4.6336249869118449</v>
      </c>
      <c r="F866" s="441"/>
      <c r="G866" s="440">
        <v>6.3992010253576028</v>
      </c>
      <c r="H866" s="440">
        <v>0.8756965106546738</v>
      </c>
      <c r="I866" s="440">
        <v>0.72715465811061619</v>
      </c>
      <c r="J866" s="440">
        <f t="shared" si="374"/>
        <v>8.0020521941228928</v>
      </c>
      <c r="K866" s="441"/>
      <c r="L866" s="440">
        <v>6.787883962632379</v>
      </c>
      <c r="M866" s="440">
        <v>0.78552792428171248</v>
      </c>
      <c r="N866" s="440">
        <v>0.71280714263100076</v>
      </c>
      <c r="O866" s="440">
        <f t="shared" si="373"/>
        <v>8.2862190295450926</v>
      </c>
    </row>
    <row r="867" spans="1:15" s="351" customFormat="1" x14ac:dyDescent="0.25">
      <c r="A867" s="362" t="str">
        <f>name!E$12</f>
        <v>Elementary occupations</v>
      </c>
      <c r="B867" s="440">
        <v>8.8063264120659763</v>
      </c>
      <c r="C867" s="440">
        <v>9.9100131397039419</v>
      </c>
      <c r="D867" s="440">
        <v>1.1314667841274841</v>
      </c>
      <c r="E867" s="440">
        <f t="shared" si="371"/>
        <v>19.847806335897403</v>
      </c>
      <c r="F867" s="441"/>
      <c r="G867" s="440">
        <v>9.6088740566757433</v>
      </c>
      <c r="H867" s="440">
        <v>8.2226310777305684</v>
      </c>
      <c r="I867" s="440">
        <v>5.8300184823728847</v>
      </c>
      <c r="J867" s="440">
        <f t="shared" si="374"/>
        <v>23.661523616779199</v>
      </c>
      <c r="K867" s="441"/>
      <c r="L867" s="440">
        <v>9.7836789952660403</v>
      </c>
      <c r="M867" s="440">
        <v>7.151204986934534</v>
      </c>
      <c r="N867" s="440">
        <v>6.5835053899696012</v>
      </c>
      <c r="O867" s="440">
        <f t="shared" si="373"/>
        <v>23.518389372170176</v>
      </c>
    </row>
    <row r="868" spans="1:15" s="351" customFormat="1" x14ac:dyDescent="0.25">
      <c r="A868" s="362"/>
      <c r="B868" s="440"/>
      <c r="C868" s="440"/>
      <c r="D868" s="440"/>
      <c r="E868" s="440"/>
      <c r="F868" s="441"/>
      <c r="G868" s="440"/>
      <c r="H868" s="440"/>
      <c r="I868" s="440"/>
      <c r="J868" s="440"/>
      <c r="K868" s="441"/>
      <c r="L868" s="440"/>
      <c r="M868" s="440"/>
      <c r="N868" s="440"/>
      <c r="O868" s="440"/>
    </row>
    <row r="869" spans="1:15" s="351" customFormat="1" x14ac:dyDescent="0.25">
      <c r="A869" s="357" t="s">
        <v>32</v>
      </c>
      <c r="B869" s="450">
        <f>SUM(B859:B867)</f>
        <v>295.773999999122</v>
      </c>
      <c r="C869" s="450">
        <f t="shared" ref="C869:E869" si="375">SUM(C859:C867)</f>
        <v>93.22500000018627</v>
      </c>
      <c r="D869" s="450">
        <f t="shared" si="375"/>
        <v>53.998000000131675</v>
      </c>
      <c r="E869" s="450">
        <f t="shared" si="375"/>
        <v>442.99699999943994</v>
      </c>
      <c r="F869" s="450"/>
      <c r="G869" s="450">
        <f t="shared" ref="G869:J869" si="376">SUM(G859:G867)</f>
        <v>351.14799999786806</v>
      </c>
      <c r="H869" s="450">
        <f t="shared" si="376"/>
        <v>122.86800000073285</v>
      </c>
      <c r="I869" s="450">
        <f t="shared" si="376"/>
        <v>72.003000000207948</v>
      </c>
      <c r="J869" s="450">
        <f t="shared" si="376"/>
        <v>546.01899999880879</v>
      </c>
      <c r="K869" s="450"/>
      <c r="L869" s="450">
        <f t="shared" ref="L869:O869" si="377">SUM(L859:L867)</f>
        <v>370.93099999835408</v>
      </c>
      <c r="M869" s="450">
        <f t="shared" si="377"/>
        <v>123.70300000069425</v>
      </c>
      <c r="N869" s="450">
        <f t="shared" si="377"/>
        <v>75.475000000504622</v>
      </c>
      <c r="O869" s="450">
        <f t="shared" si="377"/>
        <v>570.10899999955279</v>
      </c>
    </row>
    <row r="870" spans="1:15" s="351" customFormat="1" x14ac:dyDescent="0.25">
      <c r="A870" s="348"/>
      <c r="B870" s="348"/>
      <c r="C870" s="348"/>
      <c r="D870" s="348"/>
      <c r="E870" s="348"/>
      <c r="F870" s="348"/>
      <c r="G870" s="348"/>
      <c r="H870" s="348"/>
      <c r="I870" s="348"/>
      <c r="J870" s="348"/>
      <c r="K870" s="348"/>
      <c r="L870" s="348"/>
      <c r="M870" s="348"/>
      <c r="N870" s="353"/>
    </row>
    <row r="871" spans="1:15" s="351" customFormat="1" x14ac:dyDescent="0.25">
      <c r="A871" s="348"/>
      <c r="B871" s="348"/>
      <c r="C871" s="348"/>
      <c r="D871" s="348"/>
      <c r="E871" s="348"/>
      <c r="F871" s="348"/>
      <c r="G871" s="348"/>
      <c r="H871" s="348"/>
      <c r="I871" s="348"/>
      <c r="J871" s="348"/>
      <c r="K871" s="348"/>
      <c r="L871" s="348"/>
      <c r="M871" s="348"/>
      <c r="N871" s="353"/>
      <c r="O871" s="367" t="s">
        <v>35</v>
      </c>
    </row>
    <row r="872" spans="1:15" s="351" customFormat="1" x14ac:dyDescent="0.25">
      <c r="A872" s="355"/>
      <c r="B872" s="355"/>
      <c r="C872" s="355"/>
      <c r="D872" s="355"/>
      <c r="E872" s="355"/>
      <c r="F872" s="355"/>
      <c r="G872" s="355"/>
      <c r="H872" s="355"/>
      <c r="I872" s="355"/>
      <c r="J872" s="355"/>
      <c r="K872" s="355"/>
      <c r="L872" s="355"/>
      <c r="M872" s="355"/>
      <c r="N872" s="355"/>
      <c r="O872" s="355"/>
    </row>
    <row r="873" spans="1:15" s="351" customFormat="1" x14ac:dyDescent="0.25">
      <c r="A873" s="354" t="str">
        <f>name!A54</f>
        <v>Legal and accounting</v>
      </c>
      <c r="B873" s="517">
        <f>$B$6</f>
        <v>2007</v>
      </c>
      <c r="C873" s="517"/>
      <c r="D873" s="517"/>
      <c r="E873" s="517"/>
      <c r="F873" s="380"/>
      <c r="G873" s="517">
        <f>$G$6</f>
        <v>2017</v>
      </c>
      <c r="H873" s="517"/>
      <c r="I873" s="517"/>
      <c r="J873" s="517"/>
      <c r="K873" s="380"/>
      <c r="L873" s="517">
        <f>$L$6</f>
        <v>2027</v>
      </c>
      <c r="M873" s="517"/>
      <c r="N873" s="517"/>
      <c r="O873" s="517"/>
    </row>
    <row r="874" spans="1:15" s="351" customFormat="1" x14ac:dyDescent="0.25">
      <c r="A874" s="370"/>
      <c r="B874" s="388" t="str">
        <f>$B$7</f>
        <v>FT</v>
      </c>
      <c r="C874" s="388" t="str">
        <f>$C$7</f>
        <v>PT</v>
      </c>
      <c r="D874" s="388" t="str">
        <f>$D$7</f>
        <v>SE</v>
      </c>
      <c r="E874" s="388" t="str">
        <f>$E$7</f>
        <v>Total</v>
      </c>
      <c r="F874" s="388"/>
      <c r="G874" s="388" t="str">
        <f>$G$7</f>
        <v>FT</v>
      </c>
      <c r="H874" s="388" t="str">
        <f>$H$7</f>
        <v>PT</v>
      </c>
      <c r="I874" s="388" t="str">
        <f>$I$7</f>
        <v>SE</v>
      </c>
      <c r="J874" s="388" t="str">
        <f>$J$7</f>
        <v>Total</v>
      </c>
      <c r="K874" s="388"/>
      <c r="L874" s="388" t="str">
        <f>$L$7</f>
        <v>FT</v>
      </c>
      <c r="M874" s="388" t="str">
        <f>$M$7</f>
        <v>PT</v>
      </c>
      <c r="N874" s="388" t="str">
        <f>$N$7</f>
        <v>SE</v>
      </c>
      <c r="O874" s="388" t="str">
        <f>$O$7</f>
        <v>Total</v>
      </c>
    </row>
    <row r="875" spans="1:15" s="351" customFormat="1" x14ac:dyDescent="0.25">
      <c r="A875" s="374"/>
      <c r="B875" s="350"/>
      <c r="C875" s="350"/>
      <c r="D875" s="350"/>
      <c r="E875" s="350"/>
      <c r="F875" s="350"/>
      <c r="G875" s="350"/>
      <c r="H875" s="350"/>
      <c r="I875" s="350"/>
      <c r="J875" s="350"/>
      <c r="K875" s="350"/>
      <c r="L875" s="350"/>
      <c r="M875" s="350"/>
      <c r="N875" s="350"/>
      <c r="O875" s="350"/>
    </row>
    <row r="876" spans="1:15" s="351" customFormat="1" x14ac:dyDescent="0.25">
      <c r="A876" s="362" t="str">
        <f>name!E$4</f>
        <v>Managers, directors and senior officials</v>
      </c>
      <c r="B876" s="440">
        <v>44.152194602171583</v>
      </c>
      <c r="C876" s="440">
        <v>10.258224405105684</v>
      </c>
      <c r="D876" s="440">
        <v>19.360632860330355</v>
      </c>
      <c r="E876" s="440">
        <f>SUM(B876:D876)</f>
        <v>73.771051867607625</v>
      </c>
      <c r="F876" s="441"/>
      <c r="G876" s="440">
        <v>64.122931084107989</v>
      </c>
      <c r="H876" s="440">
        <v>13.818495274966935</v>
      </c>
      <c r="I876" s="440">
        <v>20.729156127991466</v>
      </c>
      <c r="J876" s="440">
        <f>SUM(G876:I876)</f>
        <v>98.670582487066383</v>
      </c>
      <c r="K876" s="441"/>
      <c r="L876" s="440">
        <v>77.237437710164428</v>
      </c>
      <c r="M876" s="440">
        <v>16.777362630748812</v>
      </c>
      <c r="N876" s="440">
        <v>24.042176862002567</v>
      </c>
      <c r="O876" s="440">
        <f>SUM(L876:N876)</f>
        <v>118.0569772029158</v>
      </c>
    </row>
    <row r="877" spans="1:15" s="351" customFormat="1" x14ac:dyDescent="0.25">
      <c r="A877" s="362" t="str">
        <f>name!E$5</f>
        <v>Professional occupations</v>
      </c>
      <c r="B877" s="440">
        <v>160.94311682282986</v>
      </c>
      <c r="C877" s="440">
        <v>18.974721412868</v>
      </c>
      <c r="D877" s="440">
        <v>52.14889318894668</v>
      </c>
      <c r="E877" s="440">
        <f t="shared" ref="E877:E884" si="378">SUM(B877:D877)</f>
        <v>232.06673142464456</v>
      </c>
      <c r="F877" s="441"/>
      <c r="G877" s="440">
        <v>196.1217154173128</v>
      </c>
      <c r="H877" s="440">
        <v>25.228315543429833</v>
      </c>
      <c r="I877" s="440">
        <v>47.815090309937069</v>
      </c>
      <c r="J877" s="440">
        <f t="shared" ref="J877:J879" si="379">SUM(G877:I877)</f>
        <v>269.16512127067972</v>
      </c>
      <c r="K877" s="441"/>
      <c r="L877" s="440">
        <v>224.91577234098384</v>
      </c>
      <c r="M877" s="440">
        <v>30.038296077131783</v>
      </c>
      <c r="N877" s="440">
        <v>50.550800878691327</v>
      </c>
      <c r="O877" s="440">
        <f t="shared" ref="O877:O884" si="380">SUM(L877:N877)</f>
        <v>305.50486929680693</v>
      </c>
    </row>
    <row r="878" spans="1:15" s="351" customFormat="1" x14ac:dyDescent="0.25">
      <c r="A878" s="362" t="str">
        <f>name!E$6</f>
        <v>Associate professional and technical</v>
      </c>
      <c r="B878" s="440">
        <v>98.236489575182816</v>
      </c>
      <c r="C878" s="440">
        <v>16.251254459271593</v>
      </c>
      <c r="D878" s="440">
        <v>28.90874912242932</v>
      </c>
      <c r="E878" s="440">
        <f t="shared" si="378"/>
        <v>143.39649315688374</v>
      </c>
      <c r="F878" s="441"/>
      <c r="G878" s="440">
        <v>124.73616236248763</v>
      </c>
      <c r="H878" s="440">
        <v>20.99400858950969</v>
      </c>
      <c r="I878" s="440">
        <v>29.111705316008539</v>
      </c>
      <c r="J878" s="440">
        <f t="shared" si="379"/>
        <v>174.84187626800585</v>
      </c>
      <c r="K878" s="441"/>
      <c r="L878" s="440">
        <v>141.6438930522628</v>
      </c>
      <c r="M878" s="440">
        <v>24.889075408854819</v>
      </c>
      <c r="N878" s="440">
        <v>32.108653961567093</v>
      </c>
      <c r="O878" s="440">
        <f t="shared" si="380"/>
        <v>198.64162242268469</v>
      </c>
    </row>
    <row r="879" spans="1:15" s="351" customFormat="1" x14ac:dyDescent="0.25">
      <c r="A879" s="362" t="str">
        <f>name!E$7</f>
        <v>Administrative and secretarial</v>
      </c>
      <c r="B879" s="440">
        <v>101.1695605792695</v>
      </c>
      <c r="C879" s="440">
        <v>66.39871274085101</v>
      </c>
      <c r="D879" s="440">
        <v>12.313246798111457</v>
      </c>
      <c r="E879" s="440">
        <f t="shared" si="378"/>
        <v>179.88152011823198</v>
      </c>
      <c r="F879" s="441"/>
      <c r="G879" s="440">
        <v>96.152558117210106</v>
      </c>
      <c r="H879" s="440">
        <v>55.336231129547002</v>
      </c>
      <c r="I879" s="440">
        <v>10.981106293052459</v>
      </c>
      <c r="J879" s="440">
        <f t="shared" si="379"/>
        <v>162.46989553980956</v>
      </c>
      <c r="K879" s="441"/>
      <c r="L879" s="440">
        <v>69.197056448612457</v>
      </c>
      <c r="M879" s="440">
        <v>45.392371272211371</v>
      </c>
      <c r="N879" s="440">
        <v>9.0579703481606817</v>
      </c>
      <c r="O879" s="440">
        <f t="shared" si="380"/>
        <v>123.64739806898451</v>
      </c>
    </row>
    <row r="880" spans="1:15" s="351" customFormat="1" x14ac:dyDescent="0.25">
      <c r="A880" s="362" t="str">
        <f>name!E$8</f>
        <v>Skilled trades occupations</v>
      </c>
      <c r="B880" s="440">
        <v>9.1625824417458599</v>
      </c>
      <c r="C880" s="440">
        <v>2.4927105743021167</v>
      </c>
      <c r="D880" s="440">
        <v>3.8629116674354727</v>
      </c>
      <c r="E880" s="440">
        <f t="shared" si="378"/>
        <v>15.51820468348345</v>
      </c>
      <c r="F880" s="441"/>
      <c r="G880" s="440">
        <v>12.1564292129982</v>
      </c>
      <c r="H880" s="440">
        <v>2.0976279810397291</v>
      </c>
      <c r="I880" s="440">
        <v>3.1066253831629709</v>
      </c>
      <c r="J880" s="440">
        <f>SUM(G880:I880)</f>
        <v>17.360682577200897</v>
      </c>
      <c r="K880" s="441"/>
      <c r="L880" s="440">
        <v>12.043825495970287</v>
      </c>
      <c r="M880" s="440">
        <v>1.8808538295064186</v>
      </c>
      <c r="N880" s="440">
        <v>3.4011750013669246</v>
      </c>
      <c r="O880" s="440">
        <f t="shared" si="380"/>
        <v>17.325854326843633</v>
      </c>
    </row>
    <row r="881" spans="1:15" s="351" customFormat="1" x14ac:dyDescent="0.25">
      <c r="A881" s="362" t="str">
        <f>name!E$9</f>
        <v>Caring, leisure and other service</v>
      </c>
      <c r="B881" s="440">
        <v>0.86853566364147261</v>
      </c>
      <c r="C881" s="440">
        <v>0.40389411006901765</v>
      </c>
      <c r="D881" s="440">
        <v>1.5082613175297028</v>
      </c>
      <c r="E881" s="440">
        <f t="shared" si="378"/>
        <v>2.7806910912401932</v>
      </c>
      <c r="F881" s="441"/>
      <c r="G881" s="440">
        <v>1.4792104232114411</v>
      </c>
      <c r="H881" s="440">
        <v>0.50761916871257262</v>
      </c>
      <c r="I881" s="440">
        <v>1.4354885435384555</v>
      </c>
      <c r="J881" s="440">
        <f t="shared" ref="J881:J884" si="381">SUM(G881:I881)</f>
        <v>3.4223181354624694</v>
      </c>
      <c r="K881" s="441"/>
      <c r="L881" s="440">
        <v>1.6420029732951842</v>
      </c>
      <c r="M881" s="440">
        <v>0.55929739173845117</v>
      </c>
      <c r="N881" s="440">
        <v>1.590280726641178</v>
      </c>
      <c r="O881" s="440">
        <f t="shared" si="380"/>
        <v>3.7915810916748134</v>
      </c>
    </row>
    <row r="882" spans="1:15" s="351" customFormat="1" x14ac:dyDescent="0.25">
      <c r="A882" s="362" t="str">
        <f>name!E$10</f>
        <v>Sales and customer service</v>
      </c>
      <c r="B882" s="440">
        <v>8.3338625166088018</v>
      </c>
      <c r="C882" s="440">
        <v>6.1939448191452433</v>
      </c>
      <c r="D882" s="440">
        <v>1.6314851489891125</v>
      </c>
      <c r="E882" s="440">
        <f t="shared" si="378"/>
        <v>16.159292484743158</v>
      </c>
      <c r="F882" s="441"/>
      <c r="G882" s="440">
        <v>20.578583297433902</v>
      </c>
      <c r="H882" s="440">
        <v>9.0674800019738324</v>
      </c>
      <c r="I882" s="440">
        <v>2.6394415044613395</v>
      </c>
      <c r="J882" s="440">
        <f t="shared" si="381"/>
        <v>32.285504803869074</v>
      </c>
      <c r="K882" s="441"/>
      <c r="L882" s="440">
        <v>20.152373453014224</v>
      </c>
      <c r="M882" s="440">
        <v>9.2835204773070732</v>
      </c>
      <c r="N882" s="440">
        <v>2.3226215870482707</v>
      </c>
      <c r="O882" s="440">
        <f t="shared" si="380"/>
        <v>31.75851551736957</v>
      </c>
    </row>
    <row r="883" spans="1:15" s="351" customFormat="1" x14ac:dyDescent="0.25">
      <c r="A883" s="362" t="str">
        <f>name!E$11</f>
        <v>Process, plant and machine operatives</v>
      </c>
      <c r="B883" s="440">
        <v>3.8767820333483414</v>
      </c>
      <c r="C883" s="440">
        <v>2.0610718439257307</v>
      </c>
      <c r="D883" s="440">
        <v>1.7010786097285833</v>
      </c>
      <c r="E883" s="440">
        <f t="shared" si="378"/>
        <v>7.6389324870026556</v>
      </c>
      <c r="F883" s="441"/>
      <c r="G883" s="440">
        <v>4.5751160822302799</v>
      </c>
      <c r="H883" s="440">
        <v>2.0276430096217846</v>
      </c>
      <c r="I883" s="440">
        <v>1.1752921124242783</v>
      </c>
      <c r="J883" s="440">
        <f t="shared" si="381"/>
        <v>7.778051204276343</v>
      </c>
      <c r="K883" s="441"/>
      <c r="L883" s="440">
        <v>4.3979298607812005</v>
      </c>
      <c r="M883" s="440">
        <v>1.8389606112782773</v>
      </c>
      <c r="N883" s="440">
        <v>1.1406772680739103</v>
      </c>
      <c r="O883" s="440">
        <f t="shared" si="380"/>
        <v>7.3775677401333883</v>
      </c>
    </row>
    <row r="884" spans="1:15" s="351" customFormat="1" x14ac:dyDescent="0.25">
      <c r="A884" s="362" t="str">
        <f>name!E$12</f>
        <v>Elementary occupations</v>
      </c>
      <c r="B884" s="440">
        <v>4.2568757651492959</v>
      </c>
      <c r="C884" s="440">
        <v>4.9654656344778019</v>
      </c>
      <c r="D884" s="440">
        <v>0.93274128548844604</v>
      </c>
      <c r="E884" s="440">
        <f t="shared" si="378"/>
        <v>10.155082685115543</v>
      </c>
      <c r="F884" s="441"/>
      <c r="G884" s="440">
        <v>6.8842939967821541</v>
      </c>
      <c r="H884" s="440">
        <v>3.8725793009230851</v>
      </c>
      <c r="I884" s="440">
        <v>1.2420944076775708</v>
      </c>
      <c r="J884" s="440">
        <f t="shared" si="381"/>
        <v>11.99896770538281</v>
      </c>
      <c r="K884" s="441"/>
      <c r="L884" s="440">
        <v>5.8917086623412711</v>
      </c>
      <c r="M884" s="440">
        <v>3.9262623018484506</v>
      </c>
      <c r="N884" s="440">
        <v>1.4286433649138346</v>
      </c>
      <c r="O884" s="440">
        <f t="shared" si="380"/>
        <v>11.246614329103558</v>
      </c>
    </row>
    <row r="885" spans="1:15" s="351" customFormat="1" x14ac:dyDescent="0.25">
      <c r="A885" s="362"/>
      <c r="B885" s="440"/>
      <c r="C885" s="440"/>
      <c r="D885" s="440"/>
      <c r="E885" s="440"/>
      <c r="F885" s="441"/>
      <c r="G885" s="440"/>
      <c r="H885" s="440"/>
      <c r="I885" s="440"/>
      <c r="J885" s="440"/>
      <c r="K885" s="441"/>
      <c r="L885" s="440"/>
      <c r="M885" s="440"/>
      <c r="N885" s="440"/>
      <c r="O885" s="440"/>
    </row>
    <row r="886" spans="1:15" s="351" customFormat="1" x14ac:dyDescent="0.25">
      <c r="A886" s="357" t="s">
        <v>32</v>
      </c>
      <c r="B886" s="450">
        <f>SUM(B876:B884)</f>
        <v>430.99999999994753</v>
      </c>
      <c r="C886" s="450">
        <f t="shared" ref="C886:E886" si="382">SUM(C876:C884)</f>
        <v>128.0000000000162</v>
      </c>
      <c r="D886" s="450">
        <f t="shared" si="382"/>
        <v>122.36799999898915</v>
      </c>
      <c r="E886" s="450">
        <f t="shared" si="382"/>
        <v>681.36799999895277</v>
      </c>
      <c r="F886" s="450"/>
      <c r="G886" s="450">
        <f t="shared" ref="G886:J886" si="383">SUM(G876:G884)</f>
        <v>526.80699999377441</v>
      </c>
      <c r="H886" s="450">
        <f t="shared" si="383"/>
        <v>132.94999999972447</v>
      </c>
      <c r="I886" s="450">
        <f t="shared" si="383"/>
        <v>118.23599999825416</v>
      </c>
      <c r="J886" s="450">
        <f t="shared" si="383"/>
        <v>777.99299999175321</v>
      </c>
      <c r="K886" s="450"/>
      <c r="L886" s="450">
        <f t="shared" ref="L886:O886" si="384">SUM(L876:L884)</f>
        <v>557.12199999742575</v>
      </c>
      <c r="M886" s="450">
        <f t="shared" si="384"/>
        <v>134.58600000062546</v>
      </c>
      <c r="N886" s="450">
        <f t="shared" si="384"/>
        <v>125.6429999984658</v>
      </c>
      <c r="O886" s="450">
        <f t="shared" si="384"/>
        <v>817.35099999651698</v>
      </c>
    </row>
    <row r="887" spans="1:15" s="351" customFormat="1" x14ac:dyDescent="0.25">
      <c r="A887" s="348"/>
      <c r="B887" s="348"/>
      <c r="C887" s="348"/>
      <c r="D887" s="348"/>
      <c r="E887" s="348"/>
      <c r="F887" s="348"/>
      <c r="G887" s="348"/>
      <c r="H887" s="348"/>
      <c r="I887" s="348"/>
      <c r="J887" s="348"/>
      <c r="K887" s="348"/>
      <c r="L887" s="348"/>
      <c r="M887" s="348"/>
      <c r="N887" s="353"/>
    </row>
    <row r="888" spans="1:15" s="351" customFormat="1" x14ac:dyDescent="0.25">
      <c r="A888" s="348"/>
      <c r="B888" s="348"/>
      <c r="C888" s="348"/>
      <c r="D888" s="348"/>
      <c r="E888" s="348"/>
      <c r="F888" s="348"/>
      <c r="G888" s="348"/>
      <c r="H888" s="348"/>
      <c r="I888" s="348"/>
      <c r="J888" s="348"/>
      <c r="K888" s="348"/>
      <c r="L888" s="348"/>
      <c r="M888" s="348"/>
      <c r="N888" s="353"/>
      <c r="O888" s="367" t="s">
        <v>35</v>
      </c>
    </row>
    <row r="889" spans="1:15" s="351" customFormat="1" x14ac:dyDescent="0.25">
      <c r="A889" s="355"/>
      <c r="B889" s="355"/>
      <c r="C889" s="355"/>
      <c r="D889" s="355"/>
      <c r="E889" s="355"/>
      <c r="F889" s="355"/>
      <c r="G889" s="355"/>
      <c r="H889" s="355"/>
      <c r="I889" s="355"/>
      <c r="J889" s="355"/>
      <c r="K889" s="355"/>
      <c r="L889" s="355"/>
      <c r="M889" s="355"/>
      <c r="N889" s="355"/>
      <c r="O889" s="355"/>
    </row>
    <row r="890" spans="1:15" s="351" customFormat="1" x14ac:dyDescent="0.25">
      <c r="A890" s="354" t="str">
        <f>name!A55</f>
        <v>Head offices, etc</v>
      </c>
      <c r="B890" s="517">
        <f>$B$6</f>
        <v>2007</v>
      </c>
      <c r="C890" s="517"/>
      <c r="D890" s="517"/>
      <c r="E890" s="517"/>
      <c r="F890" s="380"/>
      <c r="G890" s="517">
        <f>$G$6</f>
        <v>2017</v>
      </c>
      <c r="H890" s="517"/>
      <c r="I890" s="517"/>
      <c r="J890" s="517"/>
      <c r="K890" s="380"/>
      <c r="L890" s="517">
        <f>$L$6</f>
        <v>2027</v>
      </c>
      <c r="M890" s="517"/>
      <c r="N890" s="517"/>
      <c r="O890" s="517"/>
    </row>
    <row r="891" spans="1:15" s="351" customFormat="1" x14ac:dyDescent="0.25">
      <c r="A891" s="370"/>
      <c r="B891" s="388" t="str">
        <f>$B$7</f>
        <v>FT</v>
      </c>
      <c r="C891" s="388" t="str">
        <f>$C$7</f>
        <v>PT</v>
      </c>
      <c r="D891" s="388" t="str">
        <f>$D$7</f>
        <v>SE</v>
      </c>
      <c r="E891" s="388" t="str">
        <f>$E$7</f>
        <v>Total</v>
      </c>
      <c r="F891" s="388"/>
      <c r="G891" s="388" t="str">
        <f>$G$7</f>
        <v>FT</v>
      </c>
      <c r="H891" s="388" t="str">
        <f>$H$7</f>
        <v>PT</v>
      </c>
      <c r="I891" s="388" t="str">
        <f>$I$7</f>
        <v>SE</v>
      </c>
      <c r="J891" s="388" t="str">
        <f>$J$7</f>
        <v>Total</v>
      </c>
      <c r="K891" s="388"/>
      <c r="L891" s="388" t="str">
        <f>$L$7</f>
        <v>FT</v>
      </c>
      <c r="M891" s="388" t="str">
        <f>$M$7</f>
        <v>PT</v>
      </c>
      <c r="N891" s="388" t="str">
        <f>$N$7</f>
        <v>SE</v>
      </c>
      <c r="O891" s="388" t="str">
        <f>$O$7</f>
        <v>Total</v>
      </c>
    </row>
    <row r="892" spans="1:15" s="351" customFormat="1" x14ac:dyDescent="0.25">
      <c r="A892" s="374"/>
      <c r="B892" s="350"/>
      <c r="C892" s="350"/>
      <c r="D892" s="350"/>
      <c r="E892" s="350"/>
      <c r="F892" s="350"/>
      <c r="G892" s="350"/>
      <c r="H892" s="350"/>
      <c r="I892" s="350"/>
      <c r="J892" s="350"/>
      <c r="K892" s="350"/>
      <c r="L892" s="350"/>
      <c r="M892" s="350"/>
      <c r="N892" s="350"/>
      <c r="O892" s="350"/>
    </row>
    <row r="893" spans="1:15" s="351" customFormat="1" x14ac:dyDescent="0.25">
      <c r="A893" s="362" t="str">
        <f>name!E$4</f>
        <v>Managers, directors and senior officials</v>
      </c>
      <c r="B893" s="440">
        <v>37.244684994518828</v>
      </c>
      <c r="C893" s="440">
        <v>9.8401859020451532</v>
      </c>
      <c r="D893" s="440">
        <v>7.6376168841272705</v>
      </c>
      <c r="E893" s="440">
        <f>SUM(B893:D893)</f>
        <v>54.722487780691253</v>
      </c>
      <c r="F893" s="441"/>
      <c r="G893" s="440">
        <v>80.277747741939137</v>
      </c>
      <c r="H893" s="440">
        <v>19.189670912268006</v>
      </c>
      <c r="I893" s="440">
        <v>15.992895644156084</v>
      </c>
      <c r="J893" s="440">
        <f>SUM(G893:I893)</f>
        <v>115.46031429836322</v>
      </c>
      <c r="K893" s="441"/>
      <c r="L893" s="440">
        <v>93.741031128795242</v>
      </c>
      <c r="M893" s="440">
        <v>23.172211150078503</v>
      </c>
      <c r="N893" s="440">
        <v>18.512123423356847</v>
      </c>
      <c r="O893" s="440">
        <f>SUM(L893:N893)</f>
        <v>135.42536570223061</v>
      </c>
    </row>
    <row r="894" spans="1:15" s="351" customFormat="1" x14ac:dyDescent="0.25">
      <c r="A894" s="362" t="str">
        <f>name!E$5</f>
        <v>Professional occupations</v>
      </c>
      <c r="B894" s="440">
        <v>131.11616331576522</v>
      </c>
      <c r="C894" s="440">
        <v>17.95633306809377</v>
      </c>
      <c r="D894" s="440">
        <v>18.533742160195096</v>
      </c>
      <c r="E894" s="440">
        <f t="shared" ref="E894:E901" si="385">SUM(B894:D894)</f>
        <v>167.60623854405409</v>
      </c>
      <c r="F894" s="441"/>
      <c r="G894" s="440">
        <v>233.32060259972837</v>
      </c>
      <c r="H894" s="440">
        <v>35.803266615185706</v>
      </c>
      <c r="I894" s="440">
        <v>36.458971598653761</v>
      </c>
      <c r="J894" s="440">
        <f t="shared" ref="J894:J896" si="386">SUM(G894:I894)</f>
        <v>305.58284081356783</v>
      </c>
      <c r="K894" s="441"/>
      <c r="L894" s="440">
        <v>259.30712843504358</v>
      </c>
      <c r="M894" s="440">
        <v>42.555735320096872</v>
      </c>
      <c r="N894" s="440">
        <v>38.109439435900278</v>
      </c>
      <c r="O894" s="440">
        <f t="shared" ref="O894:O901" si="387">SUM(L894:N894)</f>
        <v>339.97230319104074</v>
      </c>
    </row>
    <row r="895" spans="1:15" s="351" customFormat="1" x14ac:dyDescent="0.25">
      <c r="A895" s="362" t="str">
        <f>name!E$6</f>
        <v>Associate professional and technical</v>
      </c>
      <c r="B895" s="440">
        <v>80.195249281531119</v>
      </c>
      <c r="C895" s="440">
        <v>15.115105436010815</v>
      </c>
      <c r="D895" s="440">
        <v>11.236788364486616</v>
      </c>
      <c r="E895" s="440">
        <f t="shared" si="385"/>
        <v>106.54714308202855</v>
      </c>
      <c r="F895" s="441"/>
      <c r="G895" s="440">
        <v>142.87856039694475</v>
      </c>
      <c r="H895" s="440">
        <v>29.07762282102351</v>
      </c>
      <c r="I895" s="440">
        <v>21.490747696268127</v>
      </c>
      <c r="J895" s="440">
        <f t="shared" si="386"/>
        <v>193.44693091423639</v>
      </c>
      <c r="K895" s="441"/>
      <c r="L895" s="440">
        <v>158.91477920741667</v>
      </c>
      <c r="M895" s="440">
        <v>34.408285538003703</v>
      </c>
      <c r="N895" s="440">
        <v>23.604494146865733</v>
      </c>
      <c r="O895" s="440">
        <f t="shared" si="387"/>
        <v>216.9275588922861</v>
      </c>
    </row>
    <row r="896" spans="1:15" s="351" customFormat="1" x14ac:dyDescent="0.25">
      <c r="A896" s="362" t="str">
        <f>name!E$7</f>
        <v>Administrative and secretarial</v>
      </c>
      <c r="B896" s="440">
        <v>77.325895696782126</v>
      </c>
      <c r="C896" s="440">
        <v>57.433996740247125</v>
      </c>
      <c r="D896" s="440">
        <v>5.4654687573342677</v>
      </c>
      <c r="E896" s="440">
        <f t="shared" si="385"/>
        <v>140.2253611943635</v>
      </c>
      <c r="F896" s="441"/>
      <c r="G896" s="440">
        <v>81.955099958259552</v>
      </c>
      <c r="H896" s="440">
        <v>69.469515435751774</v>
      </c>
      <c r="I896" s="440">
        <v>7.4259797084785495</v>
      </c>
      <c r="J896" s="440">
        <f t="shared" si="386"/>
        <v>158.85059510248985</v>
      </c>
      <c r="K896" s="441"/>
      <c r="L896" s="440">
        <v>61.900008914646556</v>
      </c>
      <c r="M896" s="440">
        <v>57.948485915148311</v>
      </c>
      <c r="N896" s="440">
        <v>6.1722975346297488</v>
      </c>
      <c r="O896" s="440">
        <f t="shared" si="387"/>
        <v>126.02079236442462</v>
      </c>
    </row>
    <row r="897" spans="1:15" s="351" customFormat="1" x14ac:dyDescent="0.25">
      <c r="A897" s="362" t="str">
        <f>name!E$8</f>
        <v>Skilled trades occupations</v>
      </c>
      <c r="B897" s="440">
        <v>7.5054045271450169</v>
      </c>
      <c r="C897" s="440">
        <v>2.4178594747734112</v>
      </c>
      <c r="D897" s="440">
        <v>1.3407716968737149</v>
      </c>
      <c r="E897" s="440">
        <f t="shared" si="385"/>
        <v>11.264035698792142</v>
      </c>
      <c r="F897" s="441"/>
      <c r="G897" s="440">
        <v>16.544858907479682</v>
      </c>
      <c r="H897" s="440">
        <v>3.0797250041243993</v>
      </c>
      <c r="I897" s="440">
        <v>2.2868570771421544</v>
      </c>
      <c r="J897" s="440">
        <f>SUM(G897:I897)</f>
        <v>21.911440988746236</v>
      </c>
      <c r="K897" s="441"/>
      <c r="L897" s="440">
        <v>15.602427996168148</v>
      </c>
      <c r="M897" s="440">
        <v>2.7663246879661521</v>
      </c>
      <c r="N897" s="440">
        <v>2.5067498407840643</v>
      </c>
      <c r="O897" s="440">
        <f t="shared" si="387"/>
        <v>20.875502524918364</v>
      </c>
    </row>
    <row r="898" spans="1:15" s="351" customFormat="1" x14ac:dyDescent="0.25">
      <c r="A898" s="362" t="str">
        <f>name!E$9</f>
        <v>Caring, leisure and other service</v>
      </c>
      <c r="B898" s="440">
        <v>0.68550657054203379</v>
      </c>
      <c r="C898" s="440">
        <v>0.38270105521222209</v>
      </c>
      <c r="D898" s="440">
        <v>0.56311270496980559</v>
      </c>
      <c r="E898" s="440">
        <f t="shared" si="385"/>
        <v>1.6313203307240616</v>
      </c>
      <c r="F898" s="441"/>
      <c r="G898" s="440">
        <v>1.47929247385248</v>
      </c>
      <c r="H898" s="440">
        <v>0.70210144504207006</v>
      </c>
      <c r="I898" s="440">
        <v>1.0439735730404915</v>
      </c>
      <c r="J898" s="440">
        <f t="shared" ref="J898:J901" si="388">SUM(G898:I898)</f>
        <v>3.2253674919350415</v>
      </c>
      <c r="K898" s="441"/>
      <c r="L898" s="440">
        <v>1.657358581794933</v>
      </c>
      <c r="M898" s="440">
        <v>0.78493290296554818</v>
      </c>
      <c r="N898" s="440">
        <v>1.1517636529741822</v>
      </c>
      <c r="O898" s="440">
        <f t="shared" si="387"/>
        <v>3.5940551377346632</v>
      </c>
    </row>
    <row r="899" spans="1:15" s="351" customFormat="1" x14ac:dyDescent="0.25">
      <c r="A899" s="362" t="str">
        <f>name!E$10</f>
        <v>Sales and customer service</v>
      </c>
      <c r="B899" s="440">
        <v>6.5886983772389467</v>
      </c>
      <c r="C899" s="440">
        <v>5.484376515322821</v>
      </c>
      <c r="D899" s="440">
        <v>0.70450723738065335</v>
      </c>
      <c r="E899" s="440">
        <f t="shared" si="385"/>
        <v>12.77758212994242</v>
      </c>
      <c r="F899" s="441"/>
      <c r="G899" s="440">
        <v>18.470220959053332</v>
      </c>
      <c r="H899" s="440">
        <v>11.607413225929783</v>
      </c>
      <c r="I899" s="440">
        <v>1.7806195620515792</v>
      </c>
      <c r="J899" s="440">
        <f t="shared" si="388"/>
        <v>31.858253747034695</v>
      </c>
      <c r="K899" s="441"/>
      <c r="L899" s="440">
        <v>18.401007840362194</v>
      </c>
      <c r="M899" s="440">
        <v>12.02017323347221</v>
      </c>
      <c r="N899" s="440">
        <v>1.5864376721771765</v>
      </c>
      <c r="O899" s="440">
        <f t="shared" si="387"/>
        <v>32.00761874601158</v>
      </c>
    </row>
    <row r="900" spans="1:15" s="351" customFormat="1" x14ac:dyDescent="0.25">
      <c r="A900" s="362" t="str">
        <f>name!E$11</f>
        <v>Process, plant and machine operatives</v>
      </c>
      <c r="B900" s="440">
        <v>3.0520638427269686</v>
      </c>
      <c r="C900" s="440">
        <v>1.9743407663902934</v>
      </c>
      <c r="D900" s="440">
        <v>0.55972713194616808</v>
      </c>
      <c r="E900" s="440">
        <f t="shared" si="385"/>
        <v>5.5861317410634301</v>
      </c>
      <c r="F900" s="441"/>
      <c r="G900" s="440">
        <v>5.9886708179380745</v>
      </c>
      <c r="H900" s="440">
        <v>2.9399974260988704</v>
      </c>
      <c r="I900" s="440">
        <v>0.84641336233676878</v>
      </c>
      <c r="J900" s="440">
        <f t="shared" si="388"/>
        <v>9.775081606373714</v>
      </c>
      <c r="K900" s="441"/>
      <c r="L900" s="440">
        <v>5.6514313458267242</v>
      </c>
      <c r="M900" s="440">
        <v>2.6910495159012737</v>
      </c>
      <c r="N900" s="440">
        <v>0.82567951650551152</v>
      </c>
      <c r="O900" s="440">
        <f t="shared" si="387"/>
        <v>9.1681603782335088</v>
      </c>
    </row>
    <row r="901" spans="1:15" s="351" customFormat="1" x14ac:dyDescent="0.25">
      <c r="A901" s="362" t="str">
        <f>name!E$12</f>
        <v>Elementary occupations</v>
      </c>
      <c r="B901" s="440">
        <v>3.286333393595064</v>
      </c>
      <c r="C901" s="440">
        <v>4.3951010419406762</v>
      </c>
      <c r="D901" s="440">
        <v>0.3562650623575066</v>
      </c>
      <c r="E901" s="440">
        <f t="shared" si="385"/>
        <v>8.0376994978932466</v>
      </c>
      <c r="F901" s="441"/>
      <c r="G901" s="440">
        <v>6.8679461378251769</v>
      </c>
      <c r="H901" s="440">
        <v>5.0676871141421751</v>
      </c>
      <c r="I901" s="440">
        <v>0.84854177638936024</v>
      </c>
      <c r="J901" s="440">
        <f t="shared" si="388"/>
        <v>12.784175028356714</v>
      </c>
      <c r="K901" s="441"/>
      <c r="L901" s="440">
        <v>6.1448265467330909</v>
      </c>
      <c r="M901" s="440">
        <v>5.2498017370970844</v>
      </c>
      <c r="N901" s="440">
        <v>1.0030147756216281</v>
      </c>
      <c r="O901" s="440">
        <f t="shared" si="387"/>
        <v>12.397643059451804</v>
      </c>
    </row>
    <row r="902" spans="1:15" s="351" customFormat="1" x14ac:dyDescent="0.25">
      <c r="A902" s="362"/>
      <c r="B902" s="440"/>
      <c r="C902" s="440"/>
      <c r="D902" s="440"/>
      <c r="E902" s="440"/>
      <c r="F902" s="441"/>
      <c r="G902" s="440"/>
      <c r="H902" s="440"/>
      <c r="I902" s="440"/>
      <c r="J902" s="440"/>
      <c r="K902" s="441"/>
      <c r="L902" s="440"/>
      <c r="M902" s="440"/>
      <c r="N902" s="440"/>
      <c r="O902" s="440"/>
    </row>
    <row r="903" spans="1:15" s="351" customFormat="1" x14ac:dyDescent="0.25">
      <c r="A903" s="357" t="s">
        <v>32</v>
      </c>
      <c r="B903" s="450">
        <f>SUM(B893:B901)</f>
        <v>346.99999999984527</v>
      </c>
      <c r="C903" s="450">
        <f t="shared" ref="C903:E903" si="389">SUM(C893:C901)</f>
        <v>115.00000000003629</v>
      </c>
      <c r="D903" s="450">
        <f t="shared" si="389"/>
        <v>46.3979999996711</v>
      </c>
      <c r="E903" s="450">
        <f t="shared" si="389"/>
        <v>508.39799999955261</v>
      </c>
      <c r="F903" s="450"/>
      <c r="G903" s="450">
        <f t="shared" ref="G903:J903" si="390">SUM(G893:G901)</f>
        <v>587.78299999302067</v>
      </c>
      <c r="H903" s="450">
        <f t="shared" si="390"/>
        <v>176.9369999995663</v>
      </c>
      <c r="I903" s="450">
        <f t="shared" si="390"/>
        <v>88.174999998516881</v>
      </c>
      <c r="J903" s="450">
        <f t="shared" si="390"/>
        <v>852.89499999110365</v>
      </c>
      <c r="K903" s="450"/>
      <c r="L903" s="450">
        <f t="shared" ref="L903:O903" si="391">SUM(L893:L901)</f>
        <v>621.31999999678715</v>
      </c>
      <c r="M903" s="450">
        <f t="shared" si="391"/>
        <v>181.59700000072965</v>
      </c>
      <c r="N903" s="450">
        <f t="shared" si="391"/>
        <v>93.471999998815178</v>
      </c>
      <c r="O903" s="450">
        <f t="shared" si="391"/>
        <v>896.38899999633202</v>
      </c>
    </row>
    <row r="904" spans="1:15" s="351" customFormat="1" x14ac:dyDescent="0.25">
      <c r="A904" s="348"/>
      <c r="B904" s="348"/>
      <c r="C904" s="348"/>
      <c r="D904" s="348"/>
      <c r="E904" s="348"/>
      <c r="F904" s="348"/>
      <c r="G904" s="348"/>
      <c r="H904" s="348"/>
      <c r="I904" s="348"/>
      <c r="J904" s="348"/>
      <c r="K904" s="348"/>
      <c r="L904" s="348"/>
      <c r="M904" s="348"/>
      <c r="N904" s="353"/>
    </row>
    <row r="905" spans="1:15" s="351" customFormat="1" x14ac:dyDescent="0.25">
      <c r="A905" s="348"/>
      <c r="B905" s="348"/>
      <c r="C905" s="348"/>
      <c r="D905" s="348"/>
      <c r="E905" s="348"/>
      <c r="F905" s="348"/>
      <c r="G905" s="348"/>
      <c r="H905" s="348"/>
      <c r="I905" s="348"/>
      <c r="J905" s="348"/>
      <c r="K905" s="348"/>
      <c r="L905" s="348"/>
      <c r="M905" s="348"/>
      <c r="N905" s="353"/>
      <c r="O905" s="367" t="s">
        <v>35</v>
      </c>
    </row>
    <row r="906" spans="1:15" s="351" customFormat="1" x14ac:dyDescent="0.25">
      <c r="A906" s="355"/>
      <c r="B906" s="355"/>
      <c r="C906" s="355"/>
      <c r="D906" s="355"/>
      <c r="E906" s="355"/>
      <c r="F906" s="355"/>
      <c r="G906" s="355"/>
      <c r="H906" s="355"/>
      <c r="I906" s="355"/>
      <c r="J906" s="355"/>
      <c r="K906" s="355"/>
      <c r="L906" s="355"/>
      <c r="M906" s="355"/>
      <c r="N906" s="355"/>
      <c r="O906" s="355"/>
    </row>
    <row r="907" spans="1:15" s="351" customFormat="1" x14ac:dyDescent="0.25">
      <c r="A907" s="354" t="str">
        <f>name!A56</f>
        <v>Architectural and related</v>
      </c>
      <c r="B907" s="517">
        <f>$B$6</f>
        <v>2007</v>
      </c>
      <c r="C907" s="517"/>
      <c r="D907" s="517"/>
      <c r="E907" s="517"/>
      <c r="F907" s="380"/>
      <c r="G907" s="517">
        <f>$G$6</f>
        <v>2017</v>
      </c>
      <c r="H907" s="517"/>
      <c r="I907" s="517"/>
      <c r="J907" s="517"/>
      <c r="K907" s="380"/>
      <c r="L907" s="517">
        <f>$L$6</f>
        <v>2027</v>
      </c>
      <c r="M907" s="517"/>
      <c r="N907" s="517"/>
      <c r="O907" s="517"/>
    </row>
    <row r="908" spans="1:15" s="351" customFormat="1" x14ac:dyDescent="0.25">
      <c r="A908" s="370"/>
      <c r="B908" s="388" t="str">
        <f>$B$7</f>
        <v>FT</v>
      </c>
      <c r="C908" s="388" t="str">
        <f>$C$7</f>
        <v>PT</v>
      </c>
      <c r="D908" s="388" t="str">
        <f>$D$7</f>
        <v>SE</v>
      </c>
      <c r="E908" s="388" t="str">
        <f>$E$7</f>
        <v>Total</v>
      </c>
      <c r="F908" s="388"/>
      <c r="G908" s="388" t="str">
        <f>$G$7</f>
        <v>FT</v>
      </c>
      <c r="H908" s="388" t="str">
        <f>$H$7</f>
        <v>PT</v>
      </c>
      <c r="I908" s="388" t="str">
        <f>$I$7</f>
        <v>SE</v>
      </c>
      <c r="J908" s="388" t="str">
        <f>$J$7</f>
        <v>Total</v>
      </c>
      <c r="K908" s="388"/>
      <c r="L908" s="388" t="str">
        <f>$L$7</f>
        <v>FT</v>
      </c>
      <c r="M908" s="388" t="str">
        <f>$M$7</f>
        <v>PT</v>
      </c>
      <c r="N908" s="388" t="str">
        <f>$N$7</f>
        <v>SE</v>
      </c>
      <c r="O908" s="388" t="str">
        <f>$O$7</f>
        <v>Total</v>
      </c>
    </row>
    <row r="909" spans="1:15" s="351" customFormat="1" x14ac:dyDescent="0.25">
      <c r="A909" s="374"/>
      <c r="B909" s="350"/>
      <c r="C909" s="350"/>
      <c r="D909" s="350"/>
      <c r="E909" s="350"/>
      <c r="F909" s="350"/>
      <c r="G909" s="350"/>
      <c r="H909" s="350"/>
      <c r="I909" s="350"/>
      <c r="J909" s="350"/>
      <c r="K909" s="350"/>
      <c r="L909" s="350"/>
      <c r="M909" s="350"/>
      <c r="N909" s="350"/>
      <c r="O909" s="350"/>
    </row>
    <row r="910" spans="1:15" s="351" customFormat="1" x14ac:dyDescent="0.25">
      <c r="A910" s="362" t="str">
        <f>name!E$4</f>
        <v>Managers, directors and senior officials</v>
      </c>
      <c r="B910" s="440">
        <v>35.309678121797134</v>
      </c>
      <c r="C910" s="440">
        <v>6.5422620235681395</v>
      </c>
      <c r="D910" s="440">
        <v>11.137618345993546</v>
      </c>
      <c r="E910" s="440">
        <f>SUM(B910:D910)</f>
        <v>52.989558491358821</v>
      </c>
      <c r="F910" s="441"/>
      <c r="G910" s="440">
        <v>63.080966752550374</v>
      </c>
      <c r="H910" s="440">
        <v>6.7912372804371151</v>
      </c>
      <c r="I910" s="440">
        <v>15.504052851459308</v>
      </c>
      <c r="J910" s="440">
        <f>SUM(G910:I910)</f>
        <v>85.376256884446789</v>
      </c>
      <c r="K910" s="441"/>
      <c r="L910" s="440">
        <v>73.620820534261995</v>
      </c>
      <c r="M910" s="440">
        <v>8.8360009441169272</v>
      </c>
      <c r="N910" s="440">
        <v>18.33195874421757</v>
      </c>
      <c r="O910" s="440">
        <f>SUM(L910:N910)</f>
        <v>100.7887802225965</v>
      </c>
    </row>
    <row r="911" spans="1:15" s="351" customFormat="1" x14ac:dyDescent="0.25">
      <c r="A911" s="362" t="str">
        <f>name!E$5</f>
        <v>Professional occupations</v>
      </c>
      <c r="B911" s="440">
        <v>119.10035521440724</v>
      </c>
      <c r="C911" s="440">
        <v>11.759499750348464</v>
      </c>
      <c r="D911" s="440">
        <v>30.481504668914052</v>
      </c>
      <c r="E911" s="440">
        <f t="shared" ref="E911:E918" si="392">SUM(B911:D911)</f>
        <v>161.34135963366975</v>
      </c>
      <c r="F911" s="441"/>
      <c r="G911" s="440">
        <v>180.25940619758339</v>
      </c>
      <c r="H911" s="440">
        <v>12.021555236457321</v>
      </c>
      <c r="I911" s="440">
        <v>36.550027765193299</v>
      </c>
      <c r="J911" s="440">
        <f t="shared" ref="J911:J913" si="393">SUM(G911:I911)</f>
        <v>228.83098919923401</v>
      </c>
      <c r="K911" s="441"/>
      <c r="L911" s="440">
        <v>200.02335966676685</v>
      </c>
      <c r="M911" s="440">
        <v>15.322968855262385</v>
      </c>
      <c r="N911" s="440">
        <v>37.588961633031879</v>
      </c>
      <c r="O911" s="440">
        <f t="shared" ref="O911:O918" si="394">SUM(L911:N911)</f>
        <v>252.93529015506113</v>
      </c>
    </row>
    <row r="912" spans="1:15" s="351" customFormat="1" x14ac:dyDescent="0.25">
      <c r="A912" s="362" t="str">
        <f>name!E$6</f>
        <v>Associate professional and technical</v>
      </c>
      <c r="B912" s="440">
        <v>72.863831470461918</v>
      </c>
      <c r="C912" s="440">
        <v>10.138749930659014</v>
      </c>
      <c r="D912" s="440">
        <v>15.858127583305182</v>
      </c>
      <c r="E912" s="440">
        <f t="shared" si="392"/>
        <v>98.860708984426111</v>
      </c>
      <c r="F912" s="441"/>
      <c r="G912" s="440">
        <v>107.39075153675164</v>
      </c>
      <c r="H912" s="440">
        <v>10.115698376177406</v>
      </c>
      <c r="I912" s="440">
        <v>20.205563814216411</v>
      </c>
      <c r="J912" s="440">
        <f t="shared" si="393"/>
        <v>137.71201372714546</v>
      </c>
      <c r="K912" s="441"/>
      <c r="L912" s="440">
        <v>120.11554559612672</v>
      </c>
      <c r="M912" s="440">
        <v>12.907713451937623</v>
      </c>
      <c r="N912" s="440">
        <v>22.206833036566817</v>
      </c>
      <c r="O912" s="440">
        <f t="shared" si="394"/>
        <v>155.23009208463117</v>
      </c>
    </row>
    <row r="913" spans="1:15" s="351" customFormat="1" x14ac:dyDescent="0.25">
      <c r="A913" s="362" t="str">
        <f>name!E$7</f>
        <v>Administrative and secretarial</v>
      </c>
      <c r="B913" s="440">
        <v>64.653620415232936</v>
      </c>
      <c r="C913" s="440">
        <v>40.637056993775161</v>
      </c>
      <c r="D913" s="440">
        <v>5.3821728875144466</v>
      </c>
      <c r="E913" s="440">
        <f t="shared" si="392"/>
        <v>110.67285029652254</v>
      </c>
      <c r="F913" s="441"/>
      <c r="G913" s="440">
        <v>57.831148620654538</v>
      </c>
      <c r="H913" s="440">
        <v>26.031716397739189</v>
      </c>
      <c r="I913" s="440">
        <v>5.6328514745636573</v>
      </c>
      <c r="J913" s="440">
        <f t="shared" si="393"/>
        <v>89.495716492957385</v>
      </c>
      <c r="K913" s="441"/>
      <c r="L913" s="440">
        <v>52.306672371345378</v>
      </c>
      <c r="M913" s="440">
        <v>23.692490412071884</v>
      </c>
      <c r="N913" s="440">
        <v>5.2445285498542562</v>
      </c>
      <c r="O913" s="440">
        <f t="shared" si="394"/>
        <v>81.243691333271514</v>
      </c>
    </row>
    <row r="914" spans="1:15" s="351" customFormat="1" x14ac:dyDescent="0.25">
      <c r="A914" s="362" t="str">
        <f>name!E$8</f>
        <v>Skilled trades occupations</v>
      </c>
      <c r="B914" s="440">
        <v>8.9051485330702</v>
      </c>
      <c r="C914" s="440">
        <v>1.8053869567979495</v>
      </c>
      <c r="D914" s="440">
        <v>2.5779357583845521</v>
      </c>
      <c r="E914" s="440">
        <f t="shared" si="392"/>
        <v>13.288471248252701</v>
      </c>
      <c r="F914" s="441"/>
      <c r="G914" s="440">
        <v>16.945046198976232</v>
      </c>
      <c r="H914" s="440">
        <v>1.1966652420905548</v>
      </c>
      <c r="I914" s="440">
        <v>3.0192161584581059</v>
      </c>
      <c r="J914" s="440">
        <f>SUM(G914:I914)</f>
        <v>21.160927599524893</v>
      </c>
      <c r="K914" s="441"/>
      <c r="L914" s="440">
        <v>15.796059425719802</v>
      </c>
      <c r="M914" s="440">
        <v>1.156700537898615</v>
      </c>
      <c r="N914" s="440">
        <v>3.4264911454212652</v>
      </c>
      <c r="O914" s="440">
        <f t="shared" si="394"/>
        <v>20.379251109039682</v>
      </c>
    </row>
    <row r="915" spans="1:15" s="351" customFormat="1" x14ac:dyDescent="0.25">
      <c r="A915" s="362" t="str">
        <f>name!E$9</f>
        <v>Caring, leisure and other service</v>
      </c>
      <c r="B915" s="440">
        <v>0.62904745929237971</v>
      </c>
      <c r="C915" s="440">
        <v>0.28002905248506471</v>
      </c>
      <c r="D915" s="440">
        <v>0.94769261762735069</v>
      </c>
      <c r="E915" s="440">
        <f t="shared" si="392"/>
        <v>1.8567691294047952</v>
      </c>
      <c r="F915" s="441"/>
      <c r="G915" s="440">
        <v>1.0770205219479327</v>
      </c>
      <c r="H915" s="440">
        <v>0.26603183977302514</v>
      </c>
      <c r="I915" s="440">
        <v>1.2271607104965188</v>
      </c>
      <c r="J915" s="440">
        <f t="shared" ref="J915:J918" si="395">SUM(G915:I915)</f>
        <v>2.5702130722174763</v>
      </c>
      <c r="K915" s="441"/>
      <c r="L915" s="440">
        <v>1.256988614662925</v>
      </c>
      <c r="M915" s="440">
        <v>0.31869171320549777</v>
      </c>
      <c r="N915" s="440">
        <v>1.4335614004625215</v>
      </c>
      <c r="O915" s="440">
        <f t="shared" si="394"/>
        <v>3.0092417283309443</v>
      </c>
    </row>
    <row r="916" spans="1:15" s="351" customFormat="1" x14ac:dyDescent="0.25">
      <c r="A916" s="362" t="str">
        <f>name!E$10</f>
        <v>Sales and customer service</v>
      </c>
      <c r="B916" s="440">
        <v>6.19980621724992</v>
      </c>
      <c r="C916" s="440">
        <v>4.0970802429625852</v>
      </c>
      <c r="D916" s="440">
        <v>0.75794463854120253</v>
      </c>
      <c r="E916" s="440">
        <f t="shared" si="392"/>
        <v>11.054831098753708</v>
      </c>
      <c r="F916" s="441"/>
      <c r="G916" s="440">
        <v>13.199709064304948</v>
      </c>
      <c r="H916" s="440">
        <v>4.3817349977350748</v>
      </c>
      <c r="I916" s="440">
        <v>1.3200729821921187</v>
      </c>
      <c r="J916" s="440">
        <f t="shared" si="395"/>
        <v>18.90151704423214</v>
      </c>
      <c r="K916" s="441"/>
      <c r="L916" s="440">
        <v>14.127128885129443</v>
      </c>
      <c r="M916" s="440">
        <v>4.8899588051911413</v>
      </c>
      <c r="N916" s="440">
        <v>1.2965215463033739</v>
      </c>
      <c r="O916" s="440">
        <f t="shared" si="394"/>
        <v>20.313609236623957</v>
      </c>
    </row>
    <row r="917" spans="1:15" s="351" customFormat="1" x14ac:dyDescent="0.25">
      <c r="A917" s="362" t="str">
        <f>name!E$11</f>
        <v>Process, plant and machine operatives</v>
      </c>
      <c r="B917" s="440">
        <v>3.9553966748194669</v>
      </c>
      <c r="C917" s="440">
        <v>1.468994635830029</v>
      </c>
      <c r="D917" s="440">
        <v>1.1106678698677301</v>
      </c>
      <c r="E917" s="440">
        <f t="shared" si="392"/>
        <v>6.5350591805172256</v>
      </c>
      <c r="F917" s="441"/>
      <c r="G917" s="440">
        <v>7.2032584332850496</v>
      </c>
      <c r="H917" s="440">
        <v>1.1696976654607667</v>
      </c>
      <c r="I917" s="440">
        <v>1.0355061202453271</v>
      </c>
      <c r="J917" s="440">
        <f t="shared" si="395"/>
        <v>9.4084622189911435</v>
      </c>
      <c r="K917" s="441"/>
      <c r="L917" s="440">
        <v>6.8872640260934297</v>
      </c>
      <c r="M917" s="440">
        <v>1.1554173240759551</v>
      </c>
      <c r="N917" s="440">
        <v>1.0337105715215702</v>
      </c>
      <c r="O917" s="440">
        <f t="shared" si="394"/>
        <v>9.0763919216909557</v>
      </c>
    </row>
    <row r="918" spans="1:15" s="351" customFormat="1" x14ac:dyDescent="0.25">
      <c r="A918" s="362" t="str">
        <f>name!E$12</f>
        <v>Elementary occupations</v>
      </c>
      <c r="B918" s="440">
        <v>3.382115893610659</v>
      </c>
      <c r="C918" s="440">
        <v>3.2679404136016781</v>
      </c>
      <c r="D918" s="440">
        <v>0.47433562893767101</v>
      </c>
      <c r="E918" s="440">
        <f t="shared" si="392"/>
        <v>7.1243919361500074</v>
      </c>
      <c r="F918" s="441"/>
      <c r="G918" s="440">
        <v>5.8466926699091744</v>
      </c>
      <c r="H918" s="440">
        <v>2.0016629639902068</v>
      </c>
      <c r="I918" s="440">
        <v>0.6765481214173058</v>
      </c>
      <c r="J918" s="440">
        <f t="shared" si="395"/>
        <v>8.5249037553166858</v>
      </c>
      <c r="K918" s="441"/>
      <c r="L918" s="440">
        <v>5.8411608795515892</v>
      </c>
      <c r="M918" s="440">
        <v>2.2310579565787143</v>
      </c>
      <c r="N918" s="440">
        <v>0.79143337111493905</v>
      </c>
      <c r="O918" s="440">
        <f t="shared" si="394"/>
        <v>8.8636522072452433</v>
      </c>
    </row>
    <row r="919" spans="1:15" s="351" customFormat="1" x14ac:dyDescent="0.25">
      <c r="A919" s="362"/>
      <c r="B919" s="440"/>
      <c r="C919" s="440"/>
      <c r="D919" s="440"/>
      <c r="E919" s="440"/>
      <c r="F919" s="441"/>
      <c r="G919" s="440"/>
      <c r="H919" s="440"/>
      <c r="I919" s="440"/>
      <c r="J919" s="440"/>
      <c r="K919" s="441"/>
      <c r="L919" s="440"/>
      <c r="M919" s="440"/>
      <c r="N919" s="440"/>
      <c r="O919" s="440"/>
    </row>
    <row r="920" spans="1:15" s="351" customFormat="1" x14ac:dyDescent="0.25">
      <c r="A920" s="357" t="s">
        <v>32</v>
      </c>
      <c r="B920" s="450">
        <f>SUM(B910:B918)</f>
        <v>314.99899999994187</v>
      </c>
      <c r="C920" s="450">
        <f t="shared" ref="C920:E920" si="396">SUM(C910:C918)</f>
        <v>79.997000000028081</v>
      </c>
      <c r="D920" s="450">
        <f t="shared" si="396"/>
        <v>68.727999999085739</v>
      </c>
      <c r="E920" s="450">
        <f t="shared" si="396"/>
        <v>463.72399999905559</v>
      </c>
      <c r="F920" s="450"/>
      <c r="G920" s="450">
        <f t="shared" ref="G920:J920" si="397">SUM(G910:G918)</f>
        <v>452.83399999596327</v>
      </c>
      <c r="H920" s="450">
        <f t="shared" si="397"/>
        <v>63.975999999860655</v>
      </c>
      <c r="I920" s="450">
        <f t="shared" si="397"/>
        <v>85.170999998242053</v>
      </c>
      <c r="J920" s="450">
        <f t="shared" si="397"/>
        <v>601.98099999406611</v>
      </c>
      <c r="K920" s="450"/>
      <c r="L920" s="450">
        <f t="shared" ref="L920:O920" si="398">SUM(L910:L918)</f>
        <v>489.97499999965811</v>
      </c>
      <c r="M920" s="450">
        <f t="shared" si="398"/>
        <v>70.51100000033874</v>
      </c>
      <c r="N920" s="450">
        <f t="shared" si="398"/>
        <v>91.353999998494174</v>
      </c>
      <c r="O920" s="450">
        <f t="shared" si="398"/>
        <v>651.83999999849118</v>
      </c>
    </row>
    <row r="921" spans="1:15" s="351" customFormat="1" x14ac:dyDescent="0.25">
      <c r="A921" s="348"/>
      <c r="B921" s="348"/>
      <c r="C921" s="348"/>
      <c r="D921" s="348"/>
      <c r="E921" s="348"/>
      <c r="F921" s="348"/>
      <c r="G921" s="348"/>
      <c r="H921" s="348"/>
      <c r="I921" s="348"/>
      <c r="J921" s="348"/>
      <c r="K921" s="348"/>
      <c r="L921" s="348"/>
      <c r="M921" s="348"/>
      <c r="N921" s="353"/>
    </row>
    <row r="922" spans="1:15" s="351" customFormat="1" x14ac:dyDescent="0.25">
      <c r="A922" s="348"/>
      <c r="B922" s="348"/>
      <c r="C922" s="348"/>
      <c r="D922" s="348"/>
      <c r="E922" s="348"/>
      <c r="F922" s="348"/>
      <c r="G922" s="348"/>
      <c r="H922" s="348"/>
      <c r="I922" s="348"/>
      <c r="J922" s="348"/>
      <c r="K922" s="348"/>
      <c r="L922" s="348"/>
      <c r="M922" s="348"/>
      <c r="N922" s="353"/>
      <c r="O922" s="367" t="s">
        <v>35</v>
      </c>
    </row>
    <row r="923" spans="1:15" s="351" customFormat="1" x14ac:dyDescent="0.25">
      <c r="A923" s="355"/>
      <c r="B923" s="355"/>
      <c r="C923" s="355"/>
      <c r="D923" s="355"/>
      <c r="E923" s="355"/>
      <c r="F923" s="355"/>
      <c r="G923" s="355"/>
      <c r="H923" s="355"/>
      <c r="I923" s="355"/>
      <c r="J923" s="355"/>
      <c r="K923" s="355"/>
      <c r="L923" s="355"/>
      <c r="M923" s="355"/>
      <c r="N923" s="355"/>
      <c r="O923" s="355"/>
    </row>
    <row r="924" spans="1:15" s="351" customFormat="1" x14ac:dyDescent="0.25">
      <c r="A924" s="354" t="str">
        <f>name!A57</f>
        <v>Scientific research and development</v>
      </c>
      <c r="B924" s="517">
        <f>$B$6</f>
        <v>2007</v>
      </c>
      <c r="C924" s="517"/>
      <c r="D924" s="517"/>
      <c r="E924" s="517"/>
      <c r="F924" s="380"/>
      <c r="G924" s="517">
        <f>$G$6</f>
        <v>2017</v>
      </c>
      <c r="H924" s="517"/>
      <c r="I924" s="517"/>
      <c r="J924" s="517"/>
      <c r="K924" s="380"/>
      <c r="L924" s="517">
        <f>$L$6</f>
        <v>2027</v>
      </c>
      <c r="M924" s="517"/>
      <c r="N924" s="517"/>
      <c r="O924" s="517"/>
    </row>
    <row r="925" spans="1:15" s="351" customFormat="1" x14ac:dyDescent="0.25">
      <c r="A925" s="370"/>
      <c r="B925" s="388" t="str">
        <f>$B$7</f>
        <v>FT</v>
      </c>
      <c r="C925" s="388" t="str">
        <f>$C$7</f>
        <v>PT</v>
      </c>
      <c r="D925" s="388" t="str">
        <f>$D$7</f>
        <v>SE</v>
      </c>
      <c r="E925" s="388" t="str">
        <f>$E$7</f>
        <v>Total</v>
      </c>
      <c r="F925" s="388"/>
      <c r="G925" s="388" t="str">
        <f>$G$7</f>
        <v>FT</v>
      </c>
      <c r="H925" s="388" t="str">
        <f>$H$7</f>
        <v>PT</v>
      </c>
      <c r="I925" s="388" t="str">
        <f>$I$7</f>
        <v>SE</v>
      </c>
      <c r="J925" s="388" t="str">
        <f>$J$7</f>
        <v>Total</v>
      </c>
      <c r="K925" s="388"/>
      <c r="L925" s="388" t="str">
        <f>$L$7</f>
        <v>FT</v>
      </c>
      <c r="M925" s="388" t="str">
        <f>$M$7</f>
        <v>PT</v>
      </c>
      <c r="N925" s="388" t="str">
        <f>$N$7</f>
        <v>SE</v>
      </c>
      <c r="O925" s="388" t="str">
        <f>$O$7</f>
        <v>Total</v>
      </c>
    </row>
    <row r="926" spans="1:15" s="351" customFormat="1" x14ac:dyDescent="0.25">
      <c r="A926" s="374"/>
      <c r="B926" s="350"/>
      <c r="C926" s="350"/>
      <c r="D926" s="350"/>
      <c r="E926" s="350"/>
      <c r="F926" s="350"/>
      <c r="G926" s="350"/>
      <c r="H926" s="350"/>
      <c r="I926" s="350"/>
      <c r="J926" s="350"/>
      <c r="K926" s="350"/>
      <c r="L926" s="350"/>
      <c r="M926" s="350"/>
      <c r="N926" s="350"/>
      <c r="O926" s="350"/>
    </row>
    <row r="927" spans="1:15" s="351" customFormat="1" x14ac:dyDescent="0.25">
      <c r="A927" s="362" t="str">
        <f>name!E$4</f>
        <v>Managers, directors and senior officials</v>
      </c>
      <c r="B927" s="440">
        <v>7.7122229093655932</v>
      </c>
      <c r="C927" s="440">
        <v>0.5299875305454953</v>
      </c>
      <c r="D927" s="440">
        <v>6.0486424755695447</v>
      </c>
      <c r="E927" s="440">
        <f>SUM(B927:D927)</f>
        <v>14.290852915480635</v>
      </c>
      <c r="F927" s="441"/>
      <c r="G927" s="440">
        <v>10.191266305414501</v>
      </c>
      <c r="H927" s="440">
        <v>0.9252402437962528</v>
      </c>
      <c r="I927" s="440">
        <v>6.6842761803497819</v>
      </c>
      <c r="J927" s="440">
        <f>SUM(G927:I927)</f>
        <v>17.800782729560538</v>
      </c>
      <c r="K927" s="441"/>
      <c r="L927" s="440">
        <v>12.050486744088774</v>
      </c>
      <c r="M927" s="440">
        <v>1.1283997349275399</v>
      </c>
      <c r="N927" s="440">
        <v>7.5763326488917322</v>
      </c>
      <c r="O927" s="440">
        <f>SUM(L927:N927)</f>
        <v>20.755219127908045</v>
      </c>
    </row>
    <row r="928" spans="1:15" s="351" customFormat="1" x14ac:dyDescent="0.25">
      <c r="A928" s="362" t="str">
        <f>name!E$5</f>
        <v>Professional occupations</v>
      </c>
      <c r="B928" s="440">
        <v>44.328895508830712</v>
      </c>
      <c r="C928" s="440">
        <v>3.1278598422221493</v>
      </c>
      <c r="D928" s="440">
        <v>15.490071773992954</v>
      </c>
      <c r="E928" s="440">
        <f t="shared" ref="E928:E935" si="399">SUM(B928:D928)</f>
        <v>62.946827125045814</v>
      </c>
      <c r="F928" s="441"/>
      <c r="G928" s="440">
        <v>50.87295753720921</v>
      </c>
      <c r="H928" s="440">
        <v>5.536230514408393</v>
      </c>
      <c r="I928" s="440">
        <v>24.142700918664026</v>
      </c>
      <c r="J928" s="440">
        <f t="shared" ref="J928:J930" si="400">SUM(G928:I928)</f>
        <v>80.551888970281624</v>
      </c>
      <c r="K928" s="441"/>
      <c r="L928" s="440">
        <v>61.090645086694856</v>
      </c>
      <c r="M928" s="440">
        <v>6.6567398579692076</v>
      </c>
      <c r="N928" s="440">
        <v>27.306672888756431</v>
      </c>
      <c r="O928" s="440">
        <f t="shared" ref="O928:O935" si="401">SUM(L928:N928)</f>
        <v>95.054057833420501</v>
      </c>
    </row>
    <row r="929" spans="1:15" s="351" customFormat="1" x14ac:dyDescent="0.25">
      <c r="A929" s="362" t="str">
        <f>name!E$6</f>
        <v>Associate professional and technical</v>
      </c>
      <c r="B929" s="440">
        <v>15.460440414446174</v>
      </c>
      <c r="C929" s="440">
        <v>1.4344845072563204</v>
      </c>
      <c r="D929" s="440">
        <v>3.7274995378984133</v>
      </c>
      <c r="E929" s="440">
        <f t="shared" si="399"/>
        <v>20.622424459600907</v>
      </c>
      <c r="F929" s="441"/>
      <c r="G929" s="440">
        <v>17.319968817338768</v>
      </c>
      <c r="H929" s="440">
        <v>2.2377987033080893</v>
      </c>
      <c r="I929" s="440">
        <v>5.3102260107981945</v>
      </c>
      <c r="J929" s="440">
        <f t="shared" si="400"/>
        <v>24.867993531445052</v>
      </c>
      <c r="K929" s="441"/>
      <c r="L929" s="440">
        <v>19.173105276736301</v>
      </c>
      <c r="M929" s="440">
        <v>2.4877549983178451</v>
      </c>
      <c r="N929" s="440">
        <v>5.6052725123930838</v>
      </c>
      <c r="O929" s="440">
        <f t="shared" si="401"/>
        <v>27.266132787447233</v>
      </c>
    </row>
    <row r="930" spans="1:15" s="351" customFormat="1" x14ac:dyDescent="0.25">
      <c r="A930" s="362" t="str">
        <f>name!E$7</f>
        <v>Administrative and secretarial</v>
      </c>
      <c r="B930" s="440">
        <v>6.9032333848144347</v>
      </c>
      <c r="C930" s="440">
        <v>2.6200939039542974</v>
      </c>
      <c r="D930" s="440">
        <v>1.5595927011209725</v>
      </c>
      <c r="E930" s="440">
        <f t="shared" si="399"/>
        <v>11.082919989889705</v>
      </c>
      <c r="F930" s="441"/>
      <c r="G930" s="440">
        <v>5.5439823060940681</v>
      </c>
      <c r="H930" s="440">
        <v>2.812349339250245</v>
      </c>
      <c r="I930" s="440">
        <v>2.883725887094525</v>
      </c>
      <c r="J930" s="440">
        <f t="shared" si="400"/>
        <v>11.240057532438836</v>
      </c>
      <c r="K930" s="441"/>
      <c r="L930" s="440">
        <v>4.8157949354876877</v>
      </c>
      <c r="M930" s="440">
        <v>2.3877736727609418</v>
      </c>
      <c r="N930" s="440">
        <v>2.1826317671158928</v>
      </c>
      <c r="O930" s="440">
        <f t="shared" si="401"/>
        <v>9.3862003753645222</v>
      </c>
    </row>
    <row r="931" spans="1:15" s="351" customFormat="1" x14ac:dyDescent="0.25">
      <c r="A931" s="362" t="str">
        <f>name!E$8</f>
        <v>Skilled trades occupations</v>
      </c>
      <c r="B931" s="440">
        <v>3.8818518950420748</v>
      </c>
      <c r="C931" s="440">
        <v>0.3953214044145692</v>
      </c>
      <c r="D931" s="440">
        <v>2.3886640102200016</v>
      </c>
      <c r="E931" s="440">
        <f t="shared" si="399"/>
        <v>6.665837309676645</v>
      </c>
      <c r="F931" s="441"/>
      <c r="G931" s="440">
        <v>3.4727440965322129</v>
      </c>
      <c r="H931" s="440">
        <v>0.5221771903110165</v>
      </c>
      <c r="I931" s="440">
        <v>1.8913263382504497</v>
      </c>
      <c r="J931" s="440">
        <f>SUM(G931:I931)</f>
        <v>5.886247625093679</v>
      </c>
      <c r="K931" s="441"/>
      <c r="L931" s="440">
        <v>3.1746226015238723</v>
      </c>
      <c r="M931" s="440">
        <v>0.49917215804627108</v>
      </c>
      <c r="N931" s="440">
        <v>1.9556645852307213</v>
      </c>
      <c r="O931" s="440">
        <f t="shared" si="401"/>
        <v>5.6294593448008641</v>
      </c>
    </row>
    <row r="932" spans="1:15" s="351" customFormat="1" x14ac:dyDescent="0.25">
      <c r="A932" s="362" t="str">
        <f>name!E$9</f>
        <v>Caring, leisure and other service</v>
      </c>
      <c r="B932" s="440">
        <v>1.7921724538105441</v>
      </c>
      <c r="C932" s="440">
        <v>0.26116204138216209</v>
      </c>
      <c r="D932" s="440">
        <v>0.89402047435849485</v>
      </c>
      <c r="E932" s="440">
        <f t="shared" si="399"/>
        <v>2.9473549695512014</v>
      </c>
      <c r="F932" s="441"/>
      <c r="G932" s="440">
        <v>2.2171594900776999</v>
      </c>
      <c r="H932" s="440">
        <v>0.51405720114998121</v>
      </c>
      <c r="I932" s="440">
        <v>1.8198339152259755</v>
      </c>
      <c r="J932" s="440">
        <f t="shared" ref="J932:J935" si="402">SUM(G932:I932)</f>
        <v>4.5510506064536571</v>
      </c>
      <c r="K932" s="441"/>
      <c r="L932" s="440">
        <v>2.5753178811189765</v>
      </c>
      <c r="M932" s="440">
        <v>0.61427673356772539</v>
      </c>
      <c r="N932" s="440">
        <v>1.6375853007852841</v>
      </c>
      <c r="O932" s="440">
        <f t="shared" si="401"/>
        <v>4.8271799154719863</v>
      </c>
    </row>
    <row r="933" spans="1:15" s="351" customFormat="1" x14ac:dyDescent="0.25">
      <c r="A933" s="362" t="str">
        <f>name!E$10</f>
        <v>Sales and customer service</v>
      </c>
      <c r="B933" s="440">
        <v>1.274924924801869</v>
      </c>
      <c r="C933" s="440">
        <v>0.86046303463856699</v>
      </c>
      <c r="D933" s="440">
        <v>0.94419529017999471</v>
      </c>
      <c r="E933" s="440">
        <f t="shared" si="399"/>
        <v>3.079583249620431</v>
      </c>
      <c r="F933" s="441"/>
      <c r="G933" s="440">
        <v>1.6299204057589773</v>
      </c>
      <c r="H933" s="440">
        <v>1.3658938665725169</v>
      </c>
      <c r="I933" s="440">
        <v>1.552347965010189</v>
      </c>
      <c r="J933" s="440">
        <f t="shared" si="402"/>
        <v>4.5481622373416837</v>
      </c>
      <c r="K933" s="441"/>
      <c r="L933" s="440">
        <v>1.9490930714186239</v>
      </c>
      <c r="M933" s="440">
        <v>1.3345884651129887</v>
      </c>
      <c r="N933" s="440">
        <v>1.4909919051798293</v>
      </c>
      <c r="O933" s="440">
        <f t="shared" si="401"/>
        <v>4.7746734417114416</v>
      </c>
    </row>
    <row r="934" spans="1:15" s="351" customFormat="1" x14ac:dyDescent="0.25">
      <c r="A934" s="362" t="str">
        <f>name!E$11</f>
        <v>Process, plant and machine operatives</v>
      </c>
      <c r="B934" s="440">
        <v>1.2175591730351167</v>
      </c>
      <c r="C934" s="440">
        <v>0.55677649909853721</v>
      </c>
      <c r="D934" s="440">
        <v>1.2950436334048194</v>
      </c>
      <c r="E934" s="440">
        <f t="shared" si="399"/>
        <v>3.0693793055384733</v>
      </c>
      <c r="F934" s="441"/>
      <c r="G934" s="440">
        <v>1.2846565777446715</v>
      </c>
      <c r="H934" s="440">
        <v>0.78464871896422439</v>
      </c>
      <c r="I934" s="440">
        <v>1.1303839156492586</v>
      </c>
      <c r="J934" s="440">
        <f t="shared" si="402"/>
        <v>3.1996892123581544</v>
      </c>
      <c r="K934" s="441"/>
      <c r="L934" s="440">
        <v>1.2245564690533506</v>
      </c>
      <c r="M934" s="440">
        <v>0.68881621295467532</v>
      </c>
      <c r="N934" s="440">
        <v>1.1222180870308056</v>
      </c>
      <c r="O934" s="440">
        <f t="shared" si="401"/>
        <v>3.0355907690388317</v>
      </c>
    </row>
    <row r="935" spans="1:15" s="351" customFormat="1" x14ac:dyDescent="0.25">
      <c r="A935" s="362" t="str">
        <f>name!E$12</f>
        <v>Elementary occupations</v>
      </c>
      <c r="B935" s="440">
        <v>0.8106993367256109</v>
      </c>
      <c r="C935" s="440">
        <v>0.19085123654557912</v>
      </c>
      <c r="D935" s="440">
        <v>1.4312701029672343</v>
      </c>
      <c r="E935" s="440">
        <f t="shared" si="399"/>
        <v>2.4328206762384244</v>
      </c>
      <c r="F935" s="441"/>
      <c r="G935" s="440">
        <v>0.93234446366738022</v>
      </c>
      <c r="H935" s="440">
        <v>0.31360422217095485</v>
      </c>
      <c r="I935" s="440">
        <v>2.766178868370289</v>
      </c>
      <c r="J935" s="440">
        <f t="shared" si="402"/>
        <v>4.0121275542086243</v>
      </c>
      <c r="K935" s="441"/>
      <c r="L935" s="440">
        <v>0.93537793523963741</v>
      </c>
      <c r="M935" s="440">
        <v>0.36747816641121878</v>
      </c>
      <c r="N935" s="440">
        <v>2.6926303043395556</v>
      </c>
      <c r="O935" s="440">
        <f t="shared" si="401"/>
        <v>3.9954864059904116</v>
      </c>
    </row>
    <row r="936" spans="1:15" s="351" customFormat="1" x14ac:dyDescent="0.25">
      <c r="A936" s="362"/>
      <c r="B936" s="440"/>
      <c r="C936" s="440"/>
      <c r="D936" s="440"/>
      <c r="E936" s="440"/>
      <c r="F936" s="441"/>
      <c r="G936" s="440"/>
      <c r="H936" s="440"/>
      <c r="I936" s="440"/>
      <c r="J936" s="440"/>
      <c r="K936" s="441"/>
      <c r="L936" s="440"/>
      <c r="M936" s="440"/>
      <c r="N936" s="440"/>
      <c r="O936" s="440"/>
    </row>
    <row r="937" spans="1:15" s="351" customFormat="1" x14ac:dyDescent="0.25">
      <c r="A937" s="357" t="s">
        <v>32</v>
      </c>
      <c r="B937" s="450">
        <f>SUM(B927:B935)</f>
        <v>83.382000000872111</v>
      </c>
      <c r="C937" s="450">
        <f t="shared" ref="C937:E937" si="403">SUM(C927:C935)</f>
        <v>9.9770000000576768</v>
      </c>
      <c r="D937" s="450">
        <f t="shared" si="403"/>
        <v>33.778999999712426</v>
      </c>
      <c r="E937" s="450">
        <f t="shared" si="403"/>
        <v>127.13800000064222</v>
      </c>
      <c r="F937" s="450"/>
      <c r="G937" s="450">
        <f t="shared" ref="G937:J937" si="404">SUM(G927:G935)</f>
        <v>93.464999999837488</v>
      </c>
      <c r="H937" s="450">
        <f t="shared" si="404"/>
        <v>15.011999999931673</v>
      </c>
      <c r="I937" s="450">
        <f t="shared" si="404"/>
        <v>48.180999999412705</v>
      </c>
      <c r="J937" s="450">
        <f t="shared" si="404"/>
        <v>156.65799999918184</v>
      </c>
      <c r="K937" s="450"/>
      <c r="L937" s="450">
        <f t="shared" ref="L937:O937" si="405">SUM(L927:L935)</f>
        <v>106.98900000136211</v>
      </c>
      <c r="M937" s="450">
        <f t="shared" si="405"/>
        <v>16.165000000068414</v>
      </c>
      <c r="N937" s="450">
        <f t="shared" si="405"/>
        <v>51.569999999723336</v>
      </c>
      <c r="O937" s="450">
        <f t="shared" si="405"/>
        <v>174.72400000115383</v>
      </c>
    </row>
    <row r="938" spans="1:15" s="351" customFormat="1" x14ac:dyDescent="0.25">
      <c r="A938" s="348"/>
      <c r="B938" s="348"/>
      <c r="C938" s="348"/>
      <c r="D938" s="348"/>
      <c r="E938" s="348"/>
      <c r="F938" s="348"/>
      <c r="G938" s="348"/>
      <c r="H938" s="348"/>
      <c r="I938" s="348"/>
      <c r="J938" s="348"/>
      <c r="K938" s="348"/>
      <c r="L938" s="348"/>
      <c r="M938" s="348"/>
      <c r="N938" s="353"/>
    </row>
    <row r="939" spans="1:15" s="351" customFormat="1" x14ac:dyDescent="0.25">
      <c r="A939" s="348"/>
      <c r="B939" s="348"/>
      <c r="C939" s="348"/>
      <c r="D939" s="348"/>
      <c r="E939" s="348"/>
      <c r="F939" s="348"/>
      <c r="G939" s="348"/>
      <c r="H939" s="348"/>
      <c r="I939" s="348"/>
      <c r="J939" s="348"/>
      <c r="K939" s="348"/>
      <c r="L939" s="348"/>
      <c r="M939" s="348"/>
      <c r="N939" s="353"/>
      <c r="O939" s="367" t="s">
        <v>35</v>
      </c>
    </row>
    <row r="940" spans="1:15" s="351" customFormat="1" x14ac:dyDescent="0.25">
      <c r="A940" s="355"/>
      <c r="B940" s="355"/>
      <c r="C940" s="355"/>
      <c r="D940" s="355"/>
      <c r="E940" s="355"/>
      <c r="F940" s="355"/>
      <c r="G940" s="355"/>
      <c r="H940" s="355"/>
      <c r="I940" s="355"/>
      <c r="J940" s="355"/>
      <c r="K940" s="355"/>
      <c r="L940" s="355"/>
      <c r="M940" s="355"/>
      <c r="N940" s="355"/>
      <c r="O940" s="355"/>
    </row>
    <row r="941" spans="1:15" s="351" customFormat="1" x14ac:dyDescent="0.25">
      <c r="A941" s="354" t="str">
        <f>name!A58</f>
        <v>Advertising, etc</v>
      </c>
      <c r="B941" s="517">
        <f>$B$6</f>
        <v>2007</v>
      </c>
      <c r="C941" s="517"/>
      <c r="D941" s="517"/>
      <c r="E941" s="517"/>
      <c r="F941" s="380"/>
      <c r="G941" s="517">
        <f>$G$6</f>
        <v>2017</v>
      </c>
      <c r="H941" s="517"/>
      <c r="I941" s="517"/>
      <c r="J941" s="517"/>
      <c r="K941" s="380"/>
      <c r="L941" s="517">
        <f>$L$6</f>
        <v>2027</v>
      </c>
      <c r="M941" s="517"/>
      <c r="N941" s="517"/>
      <c r="O941" s="517"/>
    </row>
    <row r="942" spans="1:15" s="351" customFormat="1" x14ac:dyDescent="0.25">
      <c r="A942" s="370"/>
      <c r="B942" s="388" t="str">
        <f>$B$7</f>
        <v>FT</v>
      </c>
      <c r="C942" s="388" t="str">
        <f>$C$7</f>
        <v>PT</v>
      </c>
      <c r="D942" s="388" t="str">
        <f>$D$7</f>
        <v>SE</v>
      </c>
      <c r="E942" s="388" t="str">
        <f>$E$7</f>
        <v>Total</v>
      </c>
      <c r="F942" s="388"/>
      <c r="G942" s="388" t="str">
        <f>$G$7</f>
        <v>FT</v>
      </c>
      <c r="H942" s="388" t="str">
        <f>$H$7</f>
        <v>PT</v>
      </c>
      <c r="I942" s="388" t="str">
        <f>$I$7</f>
        <v>SE</v>
      </c>
      <c r="J942" s="388" t="str">
        <f>$J$7</f>
        <v>Total</v>
      </c>
      <c r="K942" s="388"/>
      <c r="L942" s="388" t="str">
        <f>$L$7</f>
        <v>FT</v>
      </c>
      <c r="M942" s="388" t="str">
        <f>$M$7</f>
        <v>PT</v>
      </c>
      <c r="N942" s="388" t="str">
        <f>$N$7</f>
        <v>SE</v>
      </c>
      <c r="O942" s="388" t="str">
        <f>$O$7</f>
        <v>Total</v>
      </c>
    </row>
    <row r="943" spans="1:15" s="351" customFormat="1" x14ac:dyDescent="0.25">
      <c r="A943" s="374"/>
      <c r="B943" s="350"/>
      <c r="C943" s="350"/>
      <c r="D943" s="350"/>
      <c r="E943" s="350"/>
      <c r="F943" s="350"/>
      <c r="G943" s="350"/>
      <c r="H943" s="350"/>
      <c r="I943" s="350"/>
      <c r="J943" s="350"/>
      <c r="K943" s="350"/>
      <c r="L943" s="350"/>
      <c r="M943" s="350"/>
      <c r="N943" s="350"/>
      <c r="O943" s="350"/>
    </row>
    <row r="944" spans="1:15" s="351" customFormat="1" x14ac:dyDescent="0.25">
      <c r="A944" s="362" t="str">
        <f>name!E$4</f>
        <v>Managers, directors and senior officials</v>
      </c>
      <c r="B944" s="440">
        <v>11.760170398651244</v>
      </c>
      <c r="C944" s="440">
        <v>4.762275161744383</v>
      </c>
      <c r="D944" s="440">
        <v>5.7108247227703011</v>
      </c>
      <c r="E944" s="440">
        <f>SUM(B944:D944)</f>
        <v>22.233270283165929</v>
      </c>
      <c r="F944" s="441"/>
      <c r="G944" s="440">
        <v>21.974782666921801</v>
      </c>
      <c r="H944" s="440">
        <v>4.6770729136322338</v>
      </c>
      <c r="I944" s="440">
        <v>11.466203307694084</v>
      </c>
      <c r="J944" s="440">
        <f>SUM(G944:I944)</f>
        <v>38.118058888248115</v>
      </c>
      <c r="K944" s="441"/>
      <c r="L944" s="440">
        <v>27.8142637686956</v>
      </c>
      <c r="M944" s="440">
        <v>6.1080163973197283</v>
      </c>
      <c r="N944" s="440">
        <v>13.118900654085856</v>
      </c>
      <c r="O944" s="440">
        <f>SUM(L944:N944)</f>
        <v>47.041180820101182</v>
      </c>
    </row>
    <row r="945" spans="1:15" s="351" customFormat="1" x14ac:dyDescent="0.25">
      <c r="A945" s="362" t="str">
        <f>name!E$5</f>
        <v>Professional occupations</v>
      </c>
      <c r="B945" s="440">
        <v>44.952425038076136</v>
      </c>
      <c r="C945" s="440">
        <v>9.0348553574732051</v>
      </c>
      <c r="D945" s="440">
        <v>15.29135440747098</v>
      </c>
      <c r="E945" s="440">
        <f t="shared" ref="E945:E952" si="406">SUM(B945:D945)</f>
        <v>69.278634803020324</v>
      </c>
      <c r="F945" s="441"/>
      <c r="G945" s="440">
        <v>68.160925015134055</v>
      </c>
      <c r="H945" s="440">
        <v>8.9419984818203258</v>
      </c>
      <c r="I945" s="440">
        <v>25.633211179845571</v>
      </c>
      <c r="J945" s="440">
        <f t="shared" ref="J945:J947" si="407">SUM(G945:I945)</f>
        <v>102.73613467679995</v>
      </c>
      <c r="K945" s="441"/>
      <c r="L945" s="440">
        <v>82.207167284032721</v>
      </c>
      <c r="M945" s="440">
        <v>11.472684274192266</v>
      </c>
      <c r="N945" s="440">
        <v>28.139186540410584</v>
      </c>
      <c r="O945" s="440">
        <f t="shared" ref="O945:O952" si="408">SUM(L945:N945)</f>
        <v>121.81903809863556</v>
      </c>
    </row>
    <row r="946" spans="1:15" s="351" customFormat="1" x14ac:dyDescent="0.25">
      <c r="A946" s="362" t="str">
        <f>name!E$6</f>
        <v>Associate professional and technical</v>
      </c>
      <c r="B946" s="440">
        <v>27.698494500853631</v>
      </c>
      <c r="C946" s="440">
        <v>7.6337460518160718</v>
      </c>
      <c r="D946" s="440">
        <v>8.7498765691563882</v>
      </c>
      <c r="E946" s="440">
        <f t="shared" si="406"/>
        <v>44.082117121826087</v>
      </c>
      <c r="F946" s="441"/>
      <c r="G946" s="440">
        <v>42.876428178254429</v>
      </c>
      <c r="H946" s="440">
        <v>6.9176312494370817</v>
      </c>
      <c r="I946" s="440">
        <v>16.966112024976674</v>
      </c>
      <c r="J946" s="440">
        <f t="shared" si="407"/>
        <v>66.760171452668175</v>
      </c>
      <c r="K946" s="441"/>
      <c r="L946" s="440">
        <v>51.349879565503421</v>
      </c>
      <c r="M946" s="440">
        <v>8.8335696483212818</v>
      </c>
      <c r="N946" s="440">
        <v>18.605216192900262</v>
      </c>
      <c r="O946" s="440">
        <f t="shared" si="408"/>
        <v>78.788665406724959</v>
      </c>
    </row>
    <row r="947" spans="1:15" s="351" customFormat="1" x14ac:dyDescent="0.25">
      <c r="A947" s="362" t="str">
        <f>name!E$7</f>
        <v>Administrative and secretarial</v>
      </c>
      <c r="B947" s="440">
        <v>31.527376856111399</v>
      </c>
      <c r="C947" s="440">
        <v>29.846491653685895</v>
      </c>
      <c r="D947" s="440">
        <v>3.8194803497355743</v>
      </c>
      <c r="E947" s="440">
        <f t="shared" si="406"/>
        <v>65.193348859532861</v>
      </c>
      <c r="F947" s="441"/>
      <c r="G947" s="440">
        <v>26.59369398082643</v>
      </c>
      <c r="H947" s="440">
        <v>14.997768043665253</v>
      </c>
      <c r="I947" s="440">
        <v>6.7123650117968765</v>
      </c>
      <c r="J947" s="440">
        <f t="shared" si="407"/>
        <v>48.30382703628856</v>
      </c>
      <c r="K947" s="441"/>
      <c r="L947" s="440">
        <v>19.950078555367643</v>
      </c>
      <c r="M947" s="440">
        <v>13.104088629497628</v>
      </c>
      <c r="N947" s="440">
        <v>5.0973746678638863</v>
      </c>
      <c r="O947" s="440">
        <f t="shared" si="408"/>
        <v>38.15154185272916</v>
      </c>
    </row>
    <row r="948" spans="1:15" s="351" customFormat="1" x14ac:dyDescent="0.25">
      <c r="A948" s="362" t="str">
        <f>name!E$8</f>
        <v>Skilled trades occupations</v>
      </c>
      <c r="B948" s="440">
        <v>2.0506236249953069</v>
      </c>
      <c r="C948" s="440">
        <v>0.92071180034510991</v>
      </c>
      <c r="D948" s="440">
        <v>0.98062456242431573</v>
      </c>
      <c r="E948" s="440">
        <f t="shared" si="406"/>
        <v>3.9519599877647327</v>
      </c>
      <c r="F948" s="441"/>
      <c r="G948" s="440">
        <v>3.616770359403445</v>
      </c>
      <c r="H948" s="440">
        <v>0.6135117485829833</v>
      </c>
      <c r="I948" s="440">
        <v>1.3161317470077518</v>
      </c>
      <c r="J948" s="440">
        <f>SUM(G948:I948)</f>
        <v>5.5464138549941806</v>
      </c>
      <c r="K948" s="441"/>
      <c r="L948" s="440">
        <v>3.7787346000791113</v>
      </c>
      <c r="M948" s="440">
        <v>0.59244821750902821</v>
      </c>
      <c r="N948" s="440">
        <v>1.4888313440359964</v>
      </c>
      <c r="O948" s="440">
        <f t="shared" si="408"/>
        <v>5.8600141616241359</v>
      </c>
    </row>
    <row r="949" spans="1:15" s="351" customFormat="1" x14ac:dyDescent="0.25">
      <c r="A949" s="362" t="str">
        <f>name!E$9</f>
        <v>Caring, leisure and other service</v>
      </c>
      <c r="B949" s="440">
        <v>0.2565043487426345</v>
      </c>
      <c r="C949" s="440">
        <v>0.15866709555690639</v>
      </c>
      <c r="D949" s="440">
        <v>0.41093240370944251</v>
      </c>
      <c r="E949" s="440">
        <f t="shared" si="406"/>
        <v>0.8261038480089834</v>
      </c>
      <c r="F949" s="441"/>
      <c r="G949" s="440">
        <v>0.46770670410304804</v>
      </c>
      <c r="H949" s="440">
        <v>0.15331524081682713</v>
      </c>
      <c r="I949" s="440">
        <v>0.66948945740329624</v>
      </c>
      <c r="J949" s="440">
        <f t="shared" ref="J949:J952" si="409">SUM(G949:I949)</f>
        <v>1.2905114023231714</v>
      </c>
      <c r="K949" s="441"/>
      <c r="L949" s="440">
        <v>0.55655041136811112</v>
      </c>
      <c r="M949" s="440">
        <v>0.18313158520347922</v>
      </c>
      <c r="N949" s="440">
        <v>0.73337006552456208</v>
      </c>
      <c r="O949" s="440">
        <f t="shared" si="408"/>
        <v>1.4730520620961525</v>
      </c>
    </row>
    <row r="950" spans="1:15" s="351" customFormat="1" x14ac:dyDescent="0.25">
      <c r="A950" s="362" t="str">
        <f>name!E$10</f>
        <v>Sales and customer service</v>
      </c>
      <c r="B950" s="440">
        <v>2.2957956389804486</v>
      </c>
      <c r="C950" s="440">
        <v>2.5083076327508071</v>
      </c>
      <c r="D950" s="440">
        <v>0.49629641217598475</v>
      </c>
      <c r="E950" s="440">
        <f t="shared" si="406"/>
        <v>5.3003996839072407</v>
      </c>
      <c r="F950" s="441"/>
      <c r="G950" s="440">
        <v>5.8841431921667953</v>
      </c>
      <c r="H950" s="440">
        <v>2.3382038869894912</v>
      </c>
      <c r="I950" s="440">
        <v>1.617246988417925</v>
      </c>
      <c r="J950" s="440">
        <f t="shared" si="409"/>
        <v>9.8395940675742111</v>
      </c>
      <c r="K950" s="441"/>
      <c r="L950" s="440">
        <v>6.142554632416199</v>
      </c>
      <c r="M950" s="440">
        <v>2.6272293519759056</v>
      </c>
      <c r="N950" s="440">
        <v>1.3170180442707735</v>
      </c>
      <c r="O950" s="440">
        <f t="shared" si="408"/>
        <v>10.086802028662877</v>
      </c>
    </row>
    <row r="951" spans="1:15" s="351" customFormat="1" x14ac:dyDescent="0.25">
      <c r="A951" s="362" t="str">
        <f>name!E$11</f>
        <v>Process, plant and machine operatives</v>
      </c>
      <c r="B951" s="440">
        <v>0.78555790269571546</v>
      </c>
      <c r="C951" s="440">
        <v>0.77526308149602297</v>
      </c>
      <c r="D951" s="440">
        <v>0.44829633330734475</v>
      </c>
      <c r="E951" s="440">
        <f t="shared" si="406"/>
        <v>2.0091173174990833</v>
      </c>
      <c r="F951" s="441"/>
      <c r="G951" s="440">
        <v>1.1982299640673784</v>
      </c>
      <c r="H951" s="440">
        <v>0.5921403641535592</v>
      </c>
      <c r="I951" s="440">
        <v>0.53872556938581173</v>
      </c>
      <c r="J951" s="440">
        <f t="shared" si="409"/>
        <v>2.3290958976067495</v>
      </c>
      <c r="K951" s="441"/>
      <c r="L951" s="440">
        <v>1.2335101468195171</v>
      </c>
      <c r="M951" s="440">
        <v>0.57855901903960616</v>
      </c>
      <c r="N951" s="440">
        <v>0.53272113139330468</v>
      </c>
      <c r="O951" s="440">
        <f t="shared" si="408"/>
        <v>2.3447902972524277</v>
      </c>
    </row>
    <row r="952" spans="1:15" s="351" customFormat="1" x14ac:dyDescent="0.25">
      <c r="A952" s="362" t="str">
        <f>name!E$12</f>
        <v>Elementary occupations</v>
      </c>
      <c r="B952" s="440">
        <v>1.1340516907683003</v>
      </c>
      <c r="C952" s="440">
        <v>2.0256821651618058</v>
      </c>
      <c r="D952" s="440">
        <v>0.23531423910655491</v>
      </c>
      <c r="E952" s="440">
        <f t="shared" si="406"/>
        <v>3.3950480950366608</v>
      </c>
      <c r="F952" s="441"/>
      <c r="G952" s="440">
        <v>1.8393199366911523</v>
      </c>
      <c r="H952" s="440">
        <v>1.1403580707359249</v>
      </c>
      <c r="I952" s="440">
        <v>0.76751471260616722</v>
      </c>
      <c r="J952" s="440">
        <f t="shared" si="409"/>
        <v>3.7471927200332447</v>
      </c>
      <c r="K952" s="441"/>
      <c r="L952" s="440">
        <v>1.6442610340966899</v>
      </c>
      <c r="M952" s="440">
        <v>1.2652728770984771</v>
      </c>
      <c r="N952" s="440">
        <v>0.86438135876878275</v>
      </c>
      <c r="O952" s="440">
        <f t="shared" si="408"/>
        <v>3.7739152699639495</v>
      </c>
    </row>
    <row r="953" spans="1:15" s="351" customFormat="1" x14ac:dyDescent="0.25">
      <c r="A953" s="362"/>
      <c r="B953" s="440"/>
      <c r="C953" s="440"/>
      <c r="D953" s="440"/>
      <c r="E953" s="440"/>
      <c r="F953" s="441"/>
      <c r="G953" s="440"/>
      <c r="H953" s="440"/>
      <c r="I953" s="440"/>
      <c r="J953" s="440"/>
      <c r="K953" s="441"/>
      <c r="L953" s="440"/>
      <c r="M953" s="440"/>
      <c r="N953" s="440"/>
      <c r="O953" s="440"/>
    </row>
    <row r="954" spans="1:15" s="351" customFormat="1" x14ac:dyDescent="0.25">
      <c r="A954" s="357" t="s">
        <v>32</v>
      </c>
      <c r="B954" s="450">
        <f>SUM(B944:B952)</f>
        <v>122.46099999987483</v>
      </c>
      <c r="C954" s="450">
        <f t="shared" ref="C954:E954" si="410">SUM(C944:C952)</f>
        <v>57.666000000030202</v>
      </c>
      <c r="D954" s="450">
        <f t="shared" si="410"/>
        <v>36.142999999856897</v>
      </c>
      <c r="E954" s="450">
        <f t="shared" si="410"/>
        <v>216.26999999976192</v>
      </c>
      <c r="F954" s="450"/>
      <c r="G954" s="450">
        <f t="shared" ref="G954:J954" si="411">SUM(G944:G952)</f>
        <v>172.61199999756849</v>
      </c>
      <c r="H954" s="450">
        <f t="shared" si="411"/>
        <v>40.371999999833683</v>
      </c>
      <c r="I954" s="450">
        <f t="shared" si="411"/>
        <v>65.686999999134173</v>
      </c>
      <c r="J954" s="450">
        <f t="shared" si="411"/>
        <v>278.67099999653635</v>
      </c>
      <c r="K954" s="450"/>
      <c r="L954" s="450">
        <f t="shared" ref="L954:O954" si="412">SUM(L944:L952)</f>
        <v>194.67699999837902</v>
      </c>
      <c r="M954" s="450">
        <f t="shared" si="412"/>
        <v>44.7650000001574</v>
      </c>
      <c r="N954" s="450">
        <f t="shared" si="412"/>
        <v>69.896999999254007</v>
      </c>
      <c r="O954" s="450">
        <f t="shared" si="412"/>
        <v>309.33899999779032</v>
      </c>
    </row>
    <row r="955" spans="1:15" s="351" customFormat="1" x14ac:dyDescent="0.25">
      <c r="A955" s="348"/>
      <c r="B955" s="348"/>
      <c r="C955" s="348"/>
      <c r="D955" s="348"/>
      <c r="E955" s="348"/>
      <c r="F955" s="348"/>
      <c r="G955" s="348"/>
      <c r="H955" s="348"/>
      <c r="I955" s="348"/>
      <c r="J955" s="348"/>
      <c r="K955" s="348"/>
      <c r="L955" s="348"/>
      <c r="M955" s="348"/>
      <c r="N955" s="353"/>
    </row>
    <row r="956" spans="1:15" s="351" customFormat="1" x14ac:dyDescent="0.25">
      <c r="A956" s="348"/>
      <c r="B956" s="348"/>
      <c r="C956" s="348"/>
      <c r="D956" s="348"/>
      <c r="E956" s="348"/>
      <c r="F956" s="348"/>
      <c r="G956" s="348"/>
      <c r="H956" s="348"/>
      <c r="I956" s="348"/>
      <c r="J956" s="348"/>
      <c r="K956" s="348"/>
      <c r="L956" s="348"/>
      <c r="M956" s="348"/>
      <c r="N956" s="353"/>
      <c r="O956" s="367" t="s">
        <v>35</v>
      </c>
    </row>
    <row r="957" spans="1:15" s="351" customFormat="1" x14ac:dyDescent="0.25">
      <c r="A957" s="355"/>
      <c r="B957" s="355"/>
      <c r="C957" s="355"/>
      <c r="D957" s="355"/>
      <c r="E957" s="355"/>
      <c r="F957" s="355"/>
      <c r="G957" s="355"/>
      <c r="H957" s="355"/>
      <c r="I957" s="355"/>
      <c r="J957" s="355"/>
      <c r="K957" s="355"/>
      <c r="L957" s="355"/>
      <c r="M957" s="355"/>
      <c r="N957" s="355"/>
      <c r="O957" s="355"/>
    </row>
    <row r="958" spans="1:15" s="351" customFormat="1" x14ac:dyDescent="0.25">
      <c r="A958" s="354" t="str">
        <f>name!A59</f>
        <v>Other professional</v>
      </c>
      <c r="B958" s="517">
        <f>$B$6</f>
        <v>2007</v>
      </c>
      <c r="C958" s="517"/>
      <c r="D958" s="517"/>
      <c r="E958" s="517"/>
      <c r="F958" s="380"/>
      <c r="G958" s="517">
        <f>$G$6</f>
        <v>2017</v>
      </c>
      <c r="H958" s="517"/>
      <c r="I958" s="517"/>
      <c r="J958" s="517"/>
      <c r="K958" s="380"/>
      <c r="L958" s="517">
        <f>$L$6</f>
        <v>2027</v>
      </c>
      <c r="M958" s="517"/>
      <c r="N958" s="517"/>
      <c r="O958" s="517"/>
    </row>
    <row r="959" spans="1:15" s="351" customFormat="1" x14ac:dyDescent="0.25">
      <c r="A959" s="370"/>
      <c r="B959" s="388" t="str">
        <f>$B$7</f>
        <v>FT</v>
      </c>
      <c r="C959" s="388" t="str">
        <f>$C$7</f>
        <v>PT</v>
      </c>
      <c r="D959" s="388" t="str">
        <f>$D$7</f>
        <v>SE</v>
      </c>
      <c r="E959" s="388" t="str">
        <f>$E$7</f>
        <v>Total</v>
      </c>
      <c r="F959" s="388"/>
      <c r="G959" s="388" t="str">
        <f>$G$7</f>
        <v>FT</v>
      </c>
      <c r="H959" s="388" t="str">
        <f>$H$7</f>
        <v>PT</v>
      </c>
      <c r="I959" s="388" t="str">
        <f>$I$7</f>
        <v>SE</v>
      </c>
      <c r="J959" s="388" t="str">
        <f>$J$7</f>
        <v>Total</v>
      </c>
      <c r="K959" s="388"/>
      <c r="L959" s="388" t="str">
        <f>$L$7</f>
        <v>FT</v>
      </c>
      <c r="M959" s="388" t="str">
        <f>$M$7</f>
        <v>PT</v>
      </c>
      <c r="N959" s="388" t="str">
        <f>$N$7</f>
        <v>SE</v>
      </c>
      <c r="O959" s="388" t="str">
        <f>$O$7</f>
        <v>Total</v>
      </c>
    </row>
    <row r="960" spans="1:15" s="351" customFormat="1" x14ac:dyDescent="0.25">
      <c r="A960" s="374"/>
      <c r="B960" s="350"/>
      <c r="C960" s="350"/>
      <c r="D960" s="350"/>
      <c r="E960" s="350"/>
      <c r="F960" s="350"/>
      <c r="G960" s="350"/>
      <c r="H960" s="350"/>
      <c r="I960" s="350"/>
      <c r="J960" s="350"/>
      <c r="K960" s="350"/>
      <c r="L960" s="350"/>
      <c r="M960" s="350"/>
      <c r="N960" s="350"/>
      <c r="O960" s="350"/>
    </row>
    <row r="961" spans="1:15" s="351" customFormat="1" x14ac:dyDescent="0.25">
      <c r="A961" s="362" t="str">
        <f>name!E$4</f>
        <v>Managers, directors and senior officials</v>
      </c>
      <c r="B961" s="440">
        <v>12.676407093627185</v>
      </c>
      <c r="C961" s="440">
        <v>2.02732734785147</v>
      </c>
      <c r="D961" s="440">
        <v>7.8190930972217147</v>
      </c>
      <c r="E961" s="440">
        <f>SUM(B961:D961)</f>
        <v>22.522827538700369</v>
      </c>
      <c r="F961" s="441"/>
      <c r="G961" s="440">
        <v>18.345347913127078</v>
      </c>
      <c r="H961" s="440">
        <v>3.0309774691428202</v>
      </c>
      <c r="I961" s="440">
        <v>11.825246498849527</v>
      </c>
      <c r="J961" s="440">
        <f>SUM(G961:I961)</f>
        <v>33.20157188111942</v>
      </c>
      <c r="K961" s="441"/>
      <c r="L961" s="440">
        <v>23.274862449861338</v>
      </c>
      <c r="M961" s="440">
        <v>4.0511929330958303</v>
      </c>
      <c r="N961" s="440">
        <v>13.989721418345281</v>
      </c>
      <c r="O961" s="440">
        <f>SUM(L961:N961)</f>
        <v>41.315776801302448</v>
      </c>
    </row>
    <row r="962" spans="1:15" s="351" customFormat="1" x14ac:dyDescent="0.25">
      <c r="A962" s="362" t="str">
        <f>name!E$5</f>
        <v>Professional occupations</v>
      </c>
      <c r="B962" s="440">
        <v>31.966745531561354</v>
      </c>
      <c r="C962" s="440">
        <v>3.7679708060765513</v>
      </c>
      <c r="D962" s="440">
        <v>14.382887598477597</v>
      </c>
      <c r="E962" s="440">
        <f t="shared" ref="E962:E969" si="413">SUM(B962:D962)</f>
        <v>50.117603936115501</v>
      </c>
      <c r="F962" s="441"/>
      <c r="G962" s="440">
        <v>43.933796669227306</v>
      </c>
      <c r="H962" s="440">
        <v>5.1748982244003034</v>
      </c>
      <c r="I962" s="440">
        <v>21.690820132087978</v>
      </c>
      <c r="J962" s="440">
        <f t="shared" ref="J962:J964" si="414">SUM(G962:I962)</f>
        <v>70.799515025715579</v>
      </c>
      <c r="K962" s="441"/>
      <c r="L962" s="440">
        <v>54.376370679759432</v>
      </c>
      <c r="M962" s="440">
        <v>6.8402485087490987</v>
      </c>
      <c r="N962" s="440">
        <v>24.470173889750203</v>
      </c>
      <c r="O962" s="440">
        <f t="shared" ref="O962:O969" si="415">SUM(L962:N962)</f>
        <v>85.686793078258731</v>
      </c>
    </row>
    <row r="963" spans="1:15" s="351" customFormat="1" x14ac:dyDescent="0.25">
      <c r="A963" s="362" t="str">
        <f>name!E$6</f>
        <v>Associate professional and technical</v>
      </c>
      <c r="B963" s="440">
        <v>27.720280538817491</v>
      </c>
      <c r="C963" s="440">
        <v>3.8176027129185397</v>
      </c>
      <c r="D963" s="440">
        <v>11.439968078385327</v>
      </c>
      <c r="E963" s="440">
        <f t="shared" si="413"/>
        <v>42.977851330121354</v>
      </c>
      <c r="F963" s="441"/>
      <c r="G963" s="440">
        <v>33.137922678526039</v>
      </c>
      <c r="H963" s="440">
        <v>4.9104553078812492</v>
      </c>
      <c r="I963" s="440">
        <v>17.97610384654849</v>
      </c>
      <c r="J963" s="440">
        <f t="shared" si="414"/>
        <v>56.024481832955779</v>
      </c>
      <c r="K963" s="441"/>
      <c r="L963" s="440">
        <v>39.667582264370886</v>
      </c>
      <c r="M963" s="440">
        <v>6.4605246380242169</v>
      </c>
      <c r="N963" s="440">
        <v>19.476378259262084</v>
      </c>
      <c r="O963" s="440">
        <f t="shared" si="415"/>
        <v>65.60448516165718</v>
      </c>
    </row>
    <row r="964" spans="1:15" s="351" customFormat="1" x14ac:dyDescent="0.25">
      <c r="A964" s="362" t="str">
        <f>name!E$7</f>
        <v>Administrative and secretarial</v>
      </c>
      <c r="B964" s="440">
        <v>24.109040669364209</v>
      </c>
      <c r="C964" s="440">
        <v>13.547689236360929</v>
      </c>
      <c r="D964" s="440">
        <v>3.0233665242421583</v>
      </c>
      <c r="E964" s="440">
        <f t="shared" si="413"/>
        <v>40.680096429967293</v>
      </c>
      <c r="F964" s="441"/>
      <c r="G964" s="440">
        <v>18.66989653388471</v>
      </c>
      <c r="H964" s="440">
        <v>10.051037318873835</v>
      </c>
      <c r="I964" s="440">
        <v>4.8019795412887047</v>
      </c>
      <c r="J964" s="440">
        <f t="shared" si="414"/>
        <v>33.522913394047251</v>
      </c>
      <c r="K964" s="441"/>
      <c r="L964" s="440">
        <v>15.943434487970045</v>
      </c>
      <c r="M964" s="440">
        <v>10.021928281632146</v>
      </c>
      <c r="N964" s="440">
        <v>4.1944353191311405</v>
      </c>
      <c r="O964" s="440">
        <f t="shared" si="415"/>
        <v>30.159798088733332</v>
      </c>
    </row>
    <row r="965" spans="1:15" s="351" customFormat="1" x14ac:dyDescent="0.25">
      <c r="A965" s="362" t="str">
        <f>name!E$8</f>
        <v>Skilled trades occupations</v>
      </c>
      <c r="B965" s="440">
        <v>3.7771799036149045</v>
      </c>
      <c r="C965" s="440">
        <v>0.6251740095906464</v>
      </c>
      <c r="D965" s="440">
        <v>2.5044215569171469</v>
      </c>
      <c r="E965" s="440">
        <f t="shared" si="413"/>
        <v>6.9067754701226978</v>
      </c>
      <c r="F965" s="441"/>
      <c r="G965" s="440">
        <v>4.1143220267328768</v>
      </c>
      <c r="H965" s="440">
        <v>0.59194746881063776</v>
      </c>
      <c r="I965" s="440">
        <v>2.7553895746847514</v>
      </c>
      <c r="J965" s="440">
        <f>SUM(G965:I965)</f>
        <v>7.4616590702282659</v>
      </c>
      <c r="K965" s="441"/>
      <c r="L965" s="440">
        <v>4.2439606072461391</v>
      </c>
      <c r="M965" s="440">
        <v>0.62468949499442239</v>
      </c>
      <c r="N965" s="440">
        <v>3.0034336659498369</v>
      </c>
      <c r="O965" s="440">
        <f t="shared" si="415"/>
        <v>7.8720837681903983</v>
      </c>
    </row>
    <row r="966" spans="1:15" s="351" customFormat="1" x14ac:dyDescent="0.25">
      <c r="A966" s="362" t="str">
        <f>name!E$9</f>
        <v>Caring, leisure and other service</v>
      </c>
      <c r="B966" s="440">
        <v>2.2425818914635101</v>
      </c>
      <c r="C966" s="440">
        <v>1.0520810561131668</v>
      </c>
      <c r="D966" s="440">
        <v>0.87638664402864597</v>
      </c>
      <c r="E966" s="440">
        <f t="shared" si="413"/>
        <v>4.171049591605323</v>
      </c>
      <c r="F966" s="441"/>
      <c r="G966" s="440">
        <v>2.7831918004261231</v>
      </c>
      <c r="H966" s="440">
        <v>2.2907062235956497</v>
      </c>
      <c r="I966" s="440">
        <v>2.8240840787851851</v>
      </c>
      <c r="J966" s="440">
        <f t="shared" ref="J966:J969" si="416">SUM(G966:I966)</f>
        <v>7.8979821028069583</v>
      </c>
      <c r="K966" s="441"/>
      <c r="L966" s="440">
        <v>3.4891784444520613</v>
      </c>
      <c r="M966" s="440">
        <v>3.0762408159174948</v>
      </c>
      <c r="N966" s="440">
        <v>2.6750222779800308</v>
      </c>
      <c r="O966" s="440">
        <f t="shared" si="415"/>
        <v>9.2404415383495859</v>
      </c>
    </row>
    <row r="967" spans="1:15" s="351" customFormat="1" x14ac:dyDescent="0.25">
      <c r="A967" s="362" t="str">
        <f>name!E$10</f>
        <v>Sales and customer service</v>
      </c>
      <c r="B967" s="440">
        <v>4.5456180199273275</v>
      </c>
      <c r="C967" s="440">
        <v>2.3405809730931355</v>
      </c>
      <c r="D967" s="440">
        <v>0.77235929893860678</v>
      </c>
      <c r="E967" s="440">
        <f t="shared" si="413"/>
        <v>7.6585582919590696</v>
      </c>
      <c r="F967" s="441"/>
      <c r="G967" s="440">
        <v>7.1144493309999248</v>
      </c>
      <c r="H967" s="440">
        <v>2.6684964080809963</v>
      </c>
      <c r="I967" s="440">
        <v>1.2620870413899785</v>
      </c>
      <c r="J967" s="440">
        <f t="shared" si="416"/>
        <v>11.045032780470899</v>
      </c>
      <c r="K967" s="441"/>
      <c r="L967" s="440">
        <v>7.8087182936696227</v>
      </c>
      <c r="M967" s="440">
        <v>3.1104447053774011</v>
      </c>
      <c r="N967" s="440">
        <v>1.2181333411202551</v>
      </c>
      <c r="O967" s="440">
        <f t="shared" si="415"/>
        <v>12.13729634016728</v>
      </c>
    </row>
    <row r="968" spans="1:15" s="351" customFormat="1" x14ac:dyDescent="0.25">
      <c r="A968" s="362" t="str">
        <f>name!E$11</f>
        <v>Process, plant and machine operatives</v>
      </c>
      <c r="B968" s="440">
        <v>3.4106398547519619</v>
      </c>
      <c r="C968" s="440">
        <v>0.83620264901578134</v>
      </c>
      <c r="D968" s="440">
        <v>0.84257408309717718</v>
      </c>
      <c r="E968" s="440">
        <f t="shared" si="413"/>
        <v>5.0894165868649202</v>
      </c>
      <c r="F968" s="441"/>
      <c r="G968" s="440">
        <v>2.8169388513251086</v>
      </c>
      <c r="H968" s="440">
        <v>0.93056671477907682</v>
      </c>
      <c r="I968" s="440">
        <v>0.74426892177250692</v>
      </c>
      <c r="J968" s="440">
        <f t="shared" si="416"/>
        <v>4.4917744878766923</v>
      </c>
      <c r="K968" s="441"/>
      <c r="L968" s="440">
        <v>3.0055136597132543</v>
      </c>
      <c r="M968" s="440">
        <v>0.82893708368130592</v>
      </c>
      <c r="N968" s="440">
        <v>0.74177291245862198</v>
      </c>
      <c r="O968" s="440">
        <f t="shared" si="415"/>
        <v>4.5762236558531821</v>
      </c>
    </row>
    <row r="969" spans="1:15" s="351" customFormat="1" x14ac:dyDescent="0.25">
      <c r="A969" s="362" t="str">
        <f>name!E$12</f>
        <v>Elementary occupations</v>
      </c>
      <c r="B969" s="440">
        <v>14.851506496707122</v>
      </c>
      <c r="C969" s="440">
        <v>15.244371209051925</v>
      </c>
      <c r="D969" s="440">
        <v>5.8499431183411597</v>
      </c>
      <c r="E969" s="440">
        <f t="shared" si="413"/>
        <v>35.94582082410021</v>
      </c>
      <c r="F969" s="441"/>
      <c r="G969" s="440">
        <v>14.700134194147607</v>
      </c>
      <c r="H969" s="440">
        <v>11.724914864528857</v>
      </c>
      <c r="I969" s="440">
        <v>8.9370203637618868</v>
      </c>
      <c r="J969" s="440">
        <f t="shared" si="416"/>
        <v>35.362069422438353</v>
      </c>
      <c r="K969" s="441"/>
      <c r="L969" s="440">
        <v>15.10137911169466</v>
      </c>
      <c r="M969" s="440">
        <v>10.86179353867983</v>
      </c>
      <c r="N969" s="440">
        <v>8.7329289149878893</v>
      </c>
      <c r="O969" s="440">
        <f t="shared" si="415"/>
        <v>34.696101565362376</v>
      </c>
    </row>
    <row r="970" spans="1:15" s="351" customFormat="1" x14ac:dyDescent="0.25">
      <c r="A970" s="362"/>
      <c r="B970" s="440"/>
      <c r="C970" s="440"/>
      <c r="D970" s="440"/>
      <c r="E970" s="440"/>
      <c r="F970" s="441"/>
      <c r="G970" s="440"/>
      <c r="H970" s="440"/>
      <c r="I970" s="440"/>
      <c r="J970" s="440"/>
      <c r="K970" s="441"/>
      <c r="L970" s="440"/>
      <c r="M970" s="440"/>
      <c r="N970" s="440"/>
      <c r="O970" s="440"/>
    </row>
    <row r="971" spans="1:15" s="351" customFormat="1" x14ac:dyDescent="0.25">
      <c r="A971" s="357" t="s">
        <v>32</v>
      </c>
      <c r="B971" s="450">
        <f>SUM(B961:B969)</f>
        <v>125.29999999983508</v>
      </c>
      <c r="C971" s="450">
        <f t="shared" ref="C971:E971" si="417">SUM(C961:C969)</f>
        <v>43.259000000072149</v>
      </c>
      <c r="D971" s="450">
        <f t="shared" si="417"/>
        <v>47.510999999649528</v>
      </c>
      <c r="E971" s="450">
        <f t="shared" si="417"/>
        <v>216.06999999955679</v>
      </c>
      <c r="F971" s="450"/>
      <c r="G971" s="450">
        <f t="shared" ref="G971:J971" si="418">SUM(G961:G969)</f>
        <v>145.6159999983968</v>
      </c>
      <c r="H971" s="450">
        <f t="shared" si="418"/>
        <v>41.374000000093424</v>
      </c>
      <c r="I971" s="450">
        <f t="shared" si="418"/>
        <v>72.816999999168999</v>
      </c>
      <c r="J971" s="450">
        <f t="shared" si="418"/>
        <v>259.8069999976592</v>
      </c>
      <c r="K971" s="450"/>
      <c r="L971" s="450">
        <f t="shared" ref="L971:O971" si="419">SUM(L961:L969)</f>
        <v>166.91099999873742</v>
      </c>
      <c r="M971" s="450">
        <f t="shared" si="419"/>
        <v>45.876000000151748</v>
      </c>
      <c r="N971" s="450">
        <f t="shared" si="419"/>
        <v>78.501999998985355</v>
      </c>
      <c r="O971" s="450">
        <f t="shared" si="419"/>
        <v>291.2889999978745</v>
      </c>
    </row>
    <row r="972" spans="1:15" s="351" customFormat="1" x14ac:dyDescent="0.25">
      <c r="A972" s="348"/>
      <c r="B972" s="348"/>
      <c r="C972" s="348"/>
      <c r="D972" s="348"/>
      <c r="E972" s="348"/>
      <c r="F972" s="348"/>
      <c r="G972" s="348"/>
      <c r="H972" s="348"/>
      <c r="I972" s="348"/>
      <c r="J972" s="348"/>
      <c r="K972" s="348"/>
      <c r="L972" s="348"/>
      <c r="M972" s="348"/>
      <c r="N972" s="353"/>
    </row>
    <row r="973" spans="1:15" s="351" customFormat="1" x14ac:dyDescent="0.25">
      <c r="A973" s="348"/>
      <c r="B973" s="348"/>
      <c r="C973" s="348"/>
      <c r="D973" s="348"/>
      <c r="E973" s="348"/>
      <c r="F973" s="348"/>
      <c r="G973" s="348"/>
      <c r="H973" s="348"/>
      <c r="I973" s="348"/>
      <c r="J973" s="348"/>
      <c r="K973" s="348"/>
      <c r="L973" s="348"/>
      <c r="M973" s="348"/>
      <c r="N973" s="353"/>
      <c r="O973" s="367" t="s">
        <v>35</v>
      </c>
    </row>
    <row r="974" spans="1:15" s="351" customFormat="1" x14ac:dyDescent="0.25">
      <c r="A974" s="355"/>
      <c r="B974" s="355"/>
      <c r="C974" s="355"/>
      <c r="D974" s="355"/>
      <c r="E974" s="355"/>
      <c r="F974" s="355"/>
      <c r="G974" s="355"/>
      <c r="H974" s="355"/>
      <c r="I974" s="355"/>
      <c r="J974" s="355"/>
      <c r="K974" s="355"/>
      <c r="L974" s="355"/>
      <c r="M974" s="355"/>
      <c r="N974" s="355"/>
      <c r="O974" s="355"/>
    </row>
    <row r="975" spans="1:15" s="351" customFormat="1" x14ac:dyDescent="0.25">
      <c r="A975" s="354" t="str">
        <f>name!A60</f>
        <v>Veterinary</v>
      </c>
      <c r="B975" s="517">
        <f>$B$6</f>
        <v>2007</v>
      </c>
      <c r="C975" s="517"/>
      <c r="D975" s="517"/>
      <c r="E975" s="517"/>
      <c r="F975" s="380"/>
      <c r="G975" s="517">
        <f>$G$6</f>
        <v>2017</v>
      </c>
      <c r="H975" s="517"/>
      <c r="I975" s="517"/>
      <c r="J975" s="517"/>
      <c r="K975" s="380"/>
      <c r="L975" s="517">
        <f>$L$6</f>
        <v>2027</v>
      </c>
      <c r="M975" s="517"/>
      <c r="N975" s="517"/>
      <c r="O975" s="517"/>
    </row>
    <row r="976" spans="1:15" s="351" customFormat="1" x14ac:dyDescent="0.25">
      <c r="A976" s="370"/>
      <c r="B976" s="388" t="str">
        <f>$B$7</f>
        <v>FT</v>
      </c>
      <c r="C976" s="388" t="str">
        <f>$C$7</f>
        <v>PT</v>
      </c>
      <c r="D976" s="388" t="str">
        <f>$D$7</f>
        <v>SE</v>
      </c>
      <c r="E976" s="388" t="str">
        <f>$E$7</f>
        <v>Total</v>
      </c>
      <c r="F976" s="388"/>
      <c r="G976" s="388" t="str">
        <f>$G$7</f>
        <v>FT</v>
      </c>
      <c r="H976" s="388" t="str">
        <f>$H$7</f>
        <v>PT</v>
      </c>
      <c r="I976" s="388" t="str">
        <f>$I$7</f>
        <v>SE</v>
      </c>
      <c r="J976" s="388" t="str">
        <f>$J$7</f>
        <v>Total</v>
      </c>
      <c r="K976" s="388"/>
      <c r="L976" s="388" t="str">
        <f>$L$7</f>
        <v>FT</v>
      </c>
      <c r="M976" s="388" t="str">
        <f>$M$7</f>
        <v>PT</v>
      </c>
      <c r="N976" s="388" t="str">
        <f>$N$7</f>
        <v>SE</v>
      </c>
      <c r="O976" s="388" t="str">
        <f>$O$7</f>
        <v>Total</v>
      </c>
    </row>
    <row r="977" spans="1:15" s="351" customFormat="1" x14ac:dyDescent="0.25">
      <c r="A977" s="374"/>
      <c r="B977" s="350"/>
      <c r="C977" s="350"/>
      <c r="D977" s="350"/>
      <c r="E977" s="350"/>
      <c r="F977" s="350"/>
      <c r="G977" s="350"/>
      <c r="H977" s="350"/>
      <c r="I977" s="350"/>
      <c r="J977" s="350"/>
      <c r="K977" s="350"/>
      <c r="L977" s="350"/>
      <c r="M977" s="350"/>
      <c r="N977" s="350"/>
      <c r="O977" s="350"/>
    </row>
    <row r="978" spans="1:15" s="351" customFormat="1" x14ac:dyDescent="0.25">
      <c r="A978" s="362" t="str">
        <f>name!E$4</f>
        <v>Managers, directors and senior officials</v>
      </c>
      <c r="B978" s="440">
        <v>1.3826435528198475</v>
      </c>
      <c r="C978" s="440">
        <v>0.51451492116429054</v>
      </c>
      <c r="D978" s="440">
        <v>0.82579967021031364</v>
      </c>
      <c r="E978" s="440">
        <f>SUM(B978:D978)</f>
        <v>2.7229581441944517</v>
      </c>
      <c r="F978" s="441"/>
      <c r="G978" s="440">
        <v>2.5809583472037034</v>
      </c>
      <c r="H978" s="440">
        <v>0.572312919024205</v>
      </c>
      <c r="I978" s="440">
        <v>1.59414416652866</v>
      </c>
      <c r="J978" s="440">
        <f>SUM(G978:I978)</f>
        <v>4.7474154327565685</v>
      </c>
      <c r="K978" s="441"/>
      <c r="L978" s="440">
        <v>2.9924473965834295</v>
      </c>
      <c r="M978" s="440">
        <v>0.62095849153378679</v>
      </c>
      <c r="N978" s="440">
        <v>1.5347451703629951</v>
      </c>
      <c r="O978" s="440">
        <f>SUM(L978:N978)</f>
        <v>5.1481510584802113</v>
      </c>
    </row>
    <row r="979" spans="1:15" s="351" customFormat="1" x14ac:dyDescent="0.25">
      <c r="A979" s="362" t="str">
        <f>name!E$5</f>
        <v>Professional occupations</v>
      </c>
      <c r="B979" s="440">
        <v>9.4340170925990563</v>
      </c>
      <c r="C979" s="440">
        <v>4.3027108806372487</v>
      </c>
      <c r="D979" s="440">
        <v>3.091129767075572</v>
      </c>
      <c r="E979" s="440">
        <f t="shared" ref="E979:E986" si="420">SUM(B979:D979)</f>
        <v>16.827857740311877</v>
      </c>
      <c r="F979" s="441"/>
      <c r="G979" s="440">
        <v>14.922355289817608</v>
      </c>
      <c r="H979" s="440">
        <v>4.9377885276459423</v>
      </c>
      <c r="I979" s="440">
        <v>8.0882213735431332</v>
      </c>
      <c r="J979" s="440">
        <f t="shared" ref="J979:J981" si="421">SUM(G979:I979)</f>
        <v>27.948365191006687</v>
      </c>
      <c r="K979" s="441"/>
      <c r="L979" s="440">
        <v>17.294879536534285</v>
      </c>
      <c r="M979" s="440">
        <v>5.9337850114133941</v>
      </c>
      <c r="N979" s="440">
        <v>8.7928219100747036</v>
      </c>
      <c r="O979" s="440">
        <f t="shared" ref="O979:O986" si="422">SUM(L979:N979)</f>
        <v>32.02148645802238</v>
      </c>
    </row>
    <row r="980" spans="1:15" s="351" customFormat="1" x14ac:dyDescent="0.25">
      <c r="A980" s="362" t="str">
        <f>name!E$6</f>
        <v>Associate professional and technical</v>
      </c>
      <c r="B980" s="440">
        <v>3.9594627817442123</v>
      </c>
      <c r="C980" s="440">
        <v>1.9769657701997982</v>
      </c>
      <c r="D980" s="440">
        <v>1.2081514468776706</v>
      </c>
      <c r="E980" s="440">
        <f t="shared" si="420"/>
        <v>7.1445799988216816</v>
      </c>
      <c r="F980" s="441"/>
      <c r="G980" s="440">
        <v>6.6248992878252464</v>
      </c>
      <c r="H980" s="440">
        <v>2.1086702223297151</v>
      </c>
      <c r="I980" s="440">
        <v>3.1992050930324658</v>
      </c>
      <c r="J980" s="440">
        <f t="shared" si="421"/>
        <v>11.932774603187427</v>
      </c>
      <c r="K980" s="441"/>
      <c r="L980" s="440">
        <v>7.831827876811996</v>
      </c>
      <c r="M980" s="440">
        <v>2.4258584261795333</v>
      </c>
      <c r="N980" s="440">
        <v>3.340023110113894</v>
      </c>
      <c r="O980" s="440">
        <f t="shared" si="422"/>
        <v>13.597709413105424</v>
      </c>
    </row>
    <row r="981" spans="1:15" s="351" customFormat="1" x14ac:dyDescent="0.25">
      <c r="A981" s="362" t="str">
        <f>name!E$7</f>
        <v>Administrative and secretarial</v>
      </c>
      <c r="B981" s="440">
        <v>1.8277451201006629</v>
      </c>
      <c r="C981" s="440">
        <v>3.2590252872889645</v>
      </c>
      <c r="D981" s="440">
        <v>0.17004574426340535</v>
      </c>
      <c r="E981" s="440">
        <f t="shared" si="420"/>
        <v>5.256816151653033</v>
      </c>
      <c r="F981" s="441"/>
      <c r="G981" s="440">
        <v>3.0853870325859396</v>
      </c>
      <c r="H981" s="440">
        <v>2.5487936477492474</v>
      </c>
      <c r="I981" s="440">
        <v>0.57400778075130554</v>
      </c>
      <c r="J981" s="440">
        <f t="shared" si="421"/>
        <v>6.2081884610864924</v>
      </c>
      <c r="K981" s="441"/>
      <c r="L981" s="440">
        <v>2.5212692808780091</v>
      </c>
      <c r="M981" s="440">
        <v>1.5672324594381948</v>
      </c>
      <c r="N981" s="440">
        <v>0.22152699242445903</v>
      </c>
      <c r="O981" s="440">
        <f t="shared" si="422"/>
        <v>4.3100287327406628</v>
      </c>
    </row>
    <row r="982" spans="1:15" s="351" customFormat="1" x14ac:dyDescent="0.25">
      <c r="A982" s="362" t="str">
        <f>name!E$8</f>
        <v>Skilled trades occupations</v>
      </c>
      <c r="B982" s="440">
        <v>0.74735607178319241</v>
      </c>
      <c r="C982" s="440">
        <v>0.49321776773994525</v>
      </c>
      <c r="D982" s="440">
        <v>0.23276646843916118</v>
      </c>
      <c r="E982" s="440">
        <f t="shared" si="420"/>
        <v>1.4733403079622989</v>
      </c>
      <c r="F982" s="441"/>
      <c r="G982" s="440">
        <v>0.68750129584643871</v>
      </c>
      <c r="H982" s="440">
        <v>0.29499621068194509</v>
      </c>
      <c r="I982" s="440">
        <v>0.28938837562768088</v>
      </c>
      <c r="J982" s="440">
        <f>SUM(G982:I982)</f>
        <v>1.2718858821560648</v>
      </c>
      <c r="K982" s="441"/>
      <c r="L982" s="440">
        <v>0.5144247746274303</v>
      </c>
      <c r="M982" s="440">
        <v>0.21166632925734355</v>
      </c>
      <c r="N982" s="440">
        <v>0.30623587515138245</v>
      </c>
      <c r="O982" s="440">
        <f t="shared" si="422"/>
        <v>1.0323269790361562</v>
      </c>
    </row>
    <row r="983" spans="1:15" s="351" customFormat="1" x14ac:dyDescent="0.25">
      <c r="A983" s="362" t="str">
        <f>name!E$9</f>
        <v>Caring, leisure and other service</v>
      </c>
      <c r="B983" s="440">
        <v>8.9839458325203339</v>
      </c>
      <c r="C983" s="440">
        <v>5.7196633270250841</v>
      </c>
      <c r="D983" s="440">
        <v>3.1782845545106664</v>
      </c>
      <c r="E983" s="440">
        <f t="shared" si="420"/>
        <v>17.881893714056083</v>
      </c>
      <c r="F983" s="441"/>
      <c r="G983" s="440">
        <v>13.185673857528233</v>
      </c>
      <c r="H983" s="440">
        <v>8.229509791798991</v>
      </c>
      <c r="I983" s="440">
        <v>8.5245371113562154</v>
      </c>
      <c r="J983" s="440">
        <f t="shared" ref="J983:J986" si="423">SUM(G983:I983)</f>
        <v>29.939720760683443</v>
      </c>
      <c r="K983" s="441"/>
      <c r="L983" s="440">
        <v>15.894840023602372</v>
      </c>
      <c r="M983" s="440">
        <v>10.582609818106212</v>
      </c>
      <c r="N983" s="440">
        <v>9.2156394668245163</v>
      </c>
      <c r="O983" s="440">
        <f t="shared" si="422"/>
        <v>35.693089308533104</v>
      </c>
    </row>
    <row r="984" spans="1:15" s="351" customFormat="1" x14ac:dyDescent="0.25">
      <c r="A984" s="362" t="str">
        <f>name!E$10</f>
        <v>Sales and customer service</v>
      </c>
      <c r="B984" s="440">
        <v>0.30113365049709523</v>
      </c>
      <c r="C984" s="440">
        <v>0.30414193758181624</v>
      </c>
      <c r="D984" s="440">
        <v>6.6478065485237131E-2</v>
      </c>
      <c r="E984" s="440">
        <f t="shared" si="420"/>
        <v>0.67175365356414862</v>
      </c>
      <c r="F984" s="441"/>
      <c r="G984" s="440">
        <v>0.51495486539942148</v>
      </c>
      <c r="H984" s="440">
        <v>0.35906197520910466</v>
      </c>
      <c r="I984" s="440">
        <v>0.19599673119444749</v>
      </c>
      <c r="J984" s="440">
        <f t="shared" si="423"/>
        <v>1.0700135718029737</v>
      </c>
      <c r="K984" s="441"/>
      <c r="L984" s="440">
        <v>0.53230939518855391</v>
      </c>
      <c r="M984" s="440">
        <v>0.32359669748494829</v>
      </c>
      <c r="N984" s="440">
        <v>0.18089714213110783</v>
      </c>
      <c r="O984" s="440">
        <f t="shared" si="422"/>
        <v>1.0368032348046101</v>
      </c>
    </row>
    <row r="985" spans="1:15" s="351" customFormat="1" x14ac:dyDescent="0.25">
      <c r="A985" s="362" t="str">
        <f>name!E$11</f>
        <v>Process, plant and machine operatives</v>
      </c>
      <c r="B985" s="440">
        <v>0.33079778504983898</v>
      </c>
      <c r="C985" s="440">
        <v>0.33224852631388863</v>
      </c>
      <c r="D985" s="440">
        <v>6.882576709814478E-2</v>
      </c>
      <c r="E985" s="440">
        <f t="shared" si="420"/>
        <v>0.73187207846187241</v>
      </c>
      <c r="F985" s="441"/>
      <c r="G985" s="440">
        <v>0.19661967533358077</v>
      </c>
      <c r="H985" s="440">
        <v>0.31747680041620957</v>
      </c>
      <c r="I985" s="440">
        <v>8.526134820593044E-2</v>
      </c>
      <c r="J985" s="440">
        <f t="shared" si="423"/>
        <v>0.59935782395572079</v>
      </c>
      <c r="K985" s="441"/>
      <c r="L985" s="440">
        <v>0.15560393971974285</v>
      </c>
      <c r="M985" s="440">
        <v>0.22579205103975886</v>
      </c>
      <c r="N985" s="440">
        <v>7.8122568299833772E-2</v>
      </c>
      <c r="O985" s="440">
        <f t="shared" si="422"/>
        <v>0.45951855905933547</v>
      </c>
    </row>
    <row r="986" spans="1:15" s="351" customFormat="1" x14ac:dyDescent="0.25">
      <c r="A986" s="362" t="str">
        <f>name!E$12</f>
        <v>Elementary occupations</v>
      </c>
      <c r="B986" s="440">
        <v>0.92189811295308355</v>
      </c>
      <c r="C986" s="440">
        <v>2.1675115818754205</v>
      </c>
      <c r="D986" s="440">
        <v>0.23051851556067213</v>
      </c>
      <c r="E986" s="440">
        <f t="shared" si="420"/>
        <v>3.3199282103891758</v>
      </c>
      <c r="F986" s="441"/>
      <c r="G986" s="440">
        <v>0.79565034849088778</v>
      </c>
      <c r="H986" s="440">
        <v>1.3883899048784369</v>
      </c>
      <c r="I986" s="440">
        <v>0.18123801823027064</v>
      </c>
      <c r="J986" s="440">
        <f t="shared" si="423"/>
        <v>2.3652782715995953</v>
      </c>
      <c r="K986" s="441"/>
      <c r="L986" s="440">
        <v>0.66739777646509268</v>
      </c>
      <c r="M986" s="440">
        <v>1.1595007153665764</v>
      </c>
      <c r="N986" s="440">
        <v>0.13298776325911393</v>
      </c>
      <c r="O986" s="440">
        <f t="shared" si="422"/>
        <v>1.959886255090783</v>
      </c>
    </row>
    <row r="987" spans="1:15" s="351" customFormat="1" x14ac:dyDescent="0.25">
      <c r="A987" s="362"/>
      <c r="B987" s="440"/>
      <c r="C987" s="440"/>
      <c r="D987" s="440"/>
      <c r="E987" s="440"/>
      <c r="F987" s="441"/>
      <c r="G987" s="440"/>
      <c r="H987" s="440"/>
      <c r="I987" s="440"/>
      <c r="J987" s="440"/>
      <c r="K987" s="441"/>
      <c r="L987" s="440"/>
      <c r="M987" s="440"/>
      <c r="N987" s="440"/>
      <c r="O987" s="440"/>
    </row>
    <row r="988" spans="1:15" s="351" customFormat="1" x14ac:dyDescent="0.25">
      <c r="A988" s="357" t="s">
        <v>32</v>
      </c>
      <c r="B988" s="450">
        <f>SUM(B978:B986)</f>
        <v>27.889000000067323</v>
      </c>
      <c r="C988" s="450">
        <f t="shared" ref="C988:E988" si="424">SUM(C978:C986)</f>
        <v>19.069999999826461</v>
      </c>
      <c r="D988" s="450">
        <f t="shared" si="424"/>
        <v>9.0719999995208429</v>
      </c>
      <c r="E988" s="450">
        <f t="shared" si="424"/>
        <v>56.030999999414618</v>
      </c>
      <c r="F988" s="450"/>
      <c r="G988" s="450">
        <f t="shared" ref="G988:J988" si="425">SUM(G978:G986)</f>
        <v>42.594000000031059</v>
      </c>
      <c r="H988" s="450">
        <f t="shared" si="425"/>
        <v>20.756999999733797</v>
      </c>
      <c r="I988" s="450">
        <f t="shared" si="425"/>
        <v>22.731999998470108</v>
      </c>
      <c r="J988" s="450">
        <f t="shared" si="425"/>
        <v>86.082999998234953</v>
      </c>
      <c r="K988" s="450"/>
      <c r="L988" s="450">
        <f t="shared" ref="L988:O988" si="426">SUM(L978:L986)</f>
        <v>48.405000000410908</v>
      </c>
      <c r="M988" s="450">
        <f t="shared" si="426"/>
        <v>23.050999999819744</v>
      </c>
      <c r="N988" s="450">
        <f t="shared" si="426"/>
        <v>23.802999998642004</v>
      </c>
      <c r="O988" s="450">
        <f t="shared" si="426"/>
        <v>95.258999998872653</v>
      </c>
    </row>
    <row r="989" spans="1:15" s="351" customFormat="1" x14ac:dyDescent="0.25">
      <c r="A989" s="348"/>
      <c r="B989" s="348"/>
      <c r="C989" s="348"/>
      <c r="D989" s="348"/>
      <c r="E989" s="348"/>
      <c r="F989" s="348"/>
      <c r="G989" s="348"/>
      <c r="H989" s="348"/>
      <c r="I989" s="348"/>
      <c r="J989" s="348"/>
      <c r="K989" s="348"/>
      <c r="L989" s="348"/>
      <c r="M989" s="348"/>
      <c r="N989" s="353"/>
    </row>
    <row r="990" spans="1:15" s="351" customFormat="1" x14ac:dyDescent="0.25">
      <c r="A990" s="348"/>
      <c r="B990" s="348"/>
      <c r="C990" s="348"/>
      <c r="D990" s="348"/>
      <c r="E990" s="348"/>
      <c r="F990" s="348"/>
      <c r="G990" s="348"/>
      <c r="H990" s="348"/>
      <c r="I990" s="348"/>
      <c r="J990" s="348"/>
      <c r="K990" s="348"/>
      <c r="L990" s="348"/>
      <c r="M990" s="348"/>
      <c r="N990" s="353"/>
      <c r="O990" s="367" t="s">
        <v>35</v>
      </c>
    </row>
    <row r="991" spans="1:15" s="351" customFormat="1" x14ac:dyDescent="0.25">
      <c r="A991" s="355"/>
      <c r="B991" s="355"/>
      <c r="C991" s="355"/>
      <c r="D991" s="355"/>
      <c r="E991" s="355"/>
      <c r="F991" s="355"/>
      <c r="G991" s="355"/>
      <c r="H991" s="355"/>
      <c r="I991" s="355"/>
      <c r="J991" s="355"/>
      <c r="K991" s="355"/>
      <c r="L991" s="355"/>
      <c r="M991" s="355"/>
      <c r="N991" s="355"/>
      <c r="O991" s="355"/>
    </row>
    <row r="992" spans="1:15" s="351" customFormat="1" x14ac:dyDescent="0.25">
      <c r="A992" s="354" t="str">
        <f>name!A61</f>
        <v>Rental and leasing</v>
      </c>
      <c r="B992" s="517">
        <f>$B$6</f>
        <v>2007</v>
      </c>
      <c r="C992" s="517"/>
      <c r="D992" s="517"/>
      <c r="E992" s="517"/>
      <c r="F992" s="380"/>
      <c r="G992" s="517">
        <f>$G$6</f>
        <v>2017</v>
      </c>
      <c r="H992" s="517"/>
      <c r="I992" s="517"/>
      <c r="J992" s="517"/>
      <c r="K992" s="380"/>
      <c r="L992" s="517">
        <f>$L$6</f>
        <v>2027</v>
      </c>
      <c r="M992" s="517"/>
      <c r="N992" s="517"/>
      <c r="O992" s="517"/>
    </row>
    <row r="993" spans="1:15" s="351" customFormat="1" x14ac:dyDescent="0.25">
      <c r="A993" s="370"/>
      <c r="B993" s="388" t="str">
        <f>$B$7</f>
        <v>FT</v>
      </c>
      <c r="C993" s="388" t="str">
        <f>$C$7</f>
        <v>PT</v>
      </c>
      <c r="D993" s="388" t="str">
        <f>$D$7</f>
        <v>SE</v>
      </c>
      <c r="E993" s="388" t="str">
        <f>$E$7</f>
        <v>Total</v>
      </c>
      <c r="F993" s="388"/>
      <c r="G993" s="388" t="str">
        <f>$G$7</f>
        <v>FT</v>
      </c>
      <c r="H993" s="388" t="str">
        <f>$H$7</f>
        <v>PT</v>
      </c>
      <c r="I993" s="388" t="str">
        <f>$I$7</f>
        <v>SE</v>
      </c>
      <c r="J993" s="388" t="str">
        <f>$J$7</f>
        <v>Total</v>
      </c>
      <c r="K993" s="388"/>
      <c r="L993" s="388" t="str">
        <f>$L$7</f>
        <v>FT</v>
      </c>
      <c r="M993" s="388" t="str">
        <f>$M$7</f>
        <v>PT</v>
      </c>
      <c r="N993" s="388" t="str">
        <f>$N$7</f>
        <v>SE</v>
      </c>
      <c r="O993" s="388" t="str">
        <f>$O$7</f>
        <v>Total</v>
      </c>
    </row>
    <row r="994" spans="1:15" s="351" customFormat="1" x14ac:dyDescent="0.25">
      <c r="A994" s="374"/>
      <c r="B994" s="350"/>
      <c r="C994" s="350"/>
      <c r="D994" s="350"/>
      <c r="E994" s="350"/>
      <c r="F994" s="350"/>
      <c r="G994" s="350"/>
      <c r="H994" s="350"/>
      <c r="I994" s="350"/>
      <c r="J994" s="350"/>
      <c r="K994" s="350"/>
      <c r="L994" s="350"/>
      <c r="M994" s="350"/>
      <c r="N994" s="350"/>
      <c r="O994" s="350"/>
    </row>
    <row r="995" spans="1:15" s="351" customFormat="1" x14ac:dyDescent="0.25">
      <c r="A995" s="362" t="str">
        <f>name!E$4</f>
        <v>Managers, directors and senior officials</v>
      </c>
      <c r="B995" s="440">
        <v>19.311043937527934</v>
      </c>
      <c r="C995" s="440">
        <v>1.0182100441202377</v>
      </c>
      <c r="D995" s="440">
        <v>6.4412170588523825</v>
      </c>
      <c r="E995" s="440">
        <f>SUM(B995:D995)</f>
        <v>26.770471040500553</v>
      </c>
      <c r="F995" s="441"/>
      <c r="G995" s="440">
        <v>20.3455833570255</v>
      </c>
      <c r="H995" s="440">
        <v>1.2566011292176862</v>
      </c>
      <c r="I995" s="440">
        <v>6.8341803083437576</v>
      </c>
      <c r="J995" s="440">
        <f>SUM(G995:I995)</f>
        <v>28.436364794586943</v>
      </c>
      <c r="K995" s="441"/>
      <c r="L995" s="440">
        <v>24.181398515683728</v>
      </c>
      <c r="M995" s="440">
        <v>1.5387077181964128</v>
      </c>
      <c r="N995" s="440">
        <v>6.9431796067180303</v>
      </c>
      <c r="O995" s="440">
        <f>SUM(L995:N995)</f>
        <v>32.663285840598171</v>
      </c>
    </row>
    <row r="996" spans="1:15" s="351" customFormat="1" x14ac:dyDescent="0.25">
      <c r="A996" s="362" t="str">
        <f>name!E$5</f>
        <v>Professional occupations</v>
      </c>
      <c r="B996" s="440">
        <v>16.362873605213714</v>
      </c>
      <c r="C996" s="440">
        <v>0.99119533482673594</v>
      </c>
      <c r="D996" s="440">
        <v>1.1682969016596696</v>
      </c>
      <c r="E996" s="440">
        <f t="shared" ref="E996:E1003" si="427">SUM(B996:D996)</f>
        <v>18.522365841700118</v>
      </c>
      <c r="F996" s="441"/>
      <c r="G996" s="440">
        <v>18.797586452981335</v>
      </c>
      <c r="H996" s="440">
        <v>1.1965962673534822</v>
      </c>
      <c r="I996" s="440">
        <v>1.7162414126016992</v>
      </c>
      <c r="J996" s="440">
        <f t="shared" ref="J996:J998" si="428">SUM(G996:I996)</f>
        <v>21.710424132936517</v>
      </c>
      <c r="K996" s="441"/>
      <c r="L996" s="440">
        <v>22.818223273497857</v>
      </c>
      <c r="M996" s="440">
        <v>1.4340898174796448</v>
      </c>
      <c r="N996" s="440">
        <v>1.6988540967767269</v>
      </c>
      <c r="O996" s="440">
        <f t="shared" ref="O996:O1003" si="429">SUM(L996:N996)</f>
        <v>25.95116718775423</v>
      </c>
    </row>
    <row r="997" spans="1:15" s="351" customFormat="1" x14ac:dyDescent="0.25">
      <c r="A997" s="362" t="str">
        <f>name!E$6</f>
        <v>Associate professional and technical</v>
      </c>
      <c r="B997" s="440">
        <v>18.872203697775511</v>
      </c>
      <c r="C997" s="440">
        <v>1.7064956049465254</v>
      </c>
      <c r="D997" s="440">
        <v>1.5091839763614734</v>
      </c>
      <c r="E997" s="440">
        <f t="shared" si="427"/>
        <v>22.08788327908351</v>
      </c>
      <c r="F997" s="441"/>
      <c r="G997" s="440">
        <v>17.626042362723808</v>
      </c>
      <c r="H997" s="440">
        <v>1.9514569084475224</v>
      </c>
      <c r="I997" s="440">
        <v>2.2734434306122675</v>
      </c>
      <c r="J997" s="440">
        <f t="shared" si="428"/>
        <v>21.850942701783598</v>
      </c>
      <c r="K997" s="441"/>
      <c r="L997" s="440">
        <v>19.479321392388986</v>
      </c>
      <c r="M997" s="440">
        <v>2.393558153864479</v>
      </c>
      <c r="N997" s="440">
        <v>2.2056575981984641</v>
      </c>
      <c r="O997" s="440">
        <f t="shared" si="429"/>
        <v>24.078537144451928</v>
      </c>
    </row>
    <row r="998" spans="1:15" s="351" customFormat="1" x14ac:dyDescent="0.25">
      <c r="A998" s="362" t="str">
        <f>name!E$7</f>
        <v>Administrative and secretarial</v>
      </c>
      <c r="B998" s="440">
        <v>14.455236582423677</v>
      </c>
      <c r="C998" s="440">
        <v>4.6284272266235096</v>
      </c>
      <c r="D998" s="440">
        <v>0.41421359124164636</v>
      </c>
      <c r="E998" s="440">
        <f t="shared" si="427"/>
        <v>19.497877400288836</v>
      </c>
      <c r="F998" s="441"/>
      <c r="G998" s="440">
        <v>14.314625682036484</v>
      </c>
      <c r="H998" s="440">
        <v>3.7290921399687162</v>
      </c>
      <c r="I998" s="440">
        <v>0.8332796078365341</v>
      </c>
      <c r="J998" s="440">
        <f t="shared" si="428"/>
        <v>18.876997429841733</v>
      </c>
      <c r="K998" s="441"/>
      <c r="L998" s="440">
        <v>14.161390835349209</v>
      </c>
      <c r="M998" s="440">
        <v>3.4615137521509998</v>
      </c>
      <c r="N998" s="440">
        <v>0.692530640385291</v>
      </c>
      <c r="O998" s="440">
        <f t="shared" si="429"/>
        <v>18.315435227885498</v>
      </c>
    </row>
    <row r="999" spans="1:15" s="351" customFormat="1" x14ac:dyDescent="0.25">
      <c r="A999" s="362" t="str">
        <f>name!E$8</f>
        <v>Skilled trades occupations</v>
      </c>
      <c r="B999" s="440">
        <v>19.874896961266639</v>
      </c>
      <c r="C999" s="440">
        <v>0.66645288955036452</v>
      </c>
      <c r="D999" s="440">
        <v>2.0208058029435536</v>
      </c>
      <c r="E999" s="440">
        <f t="shared" si="427"/>
        <v>22.562155653760556</v>
      </c>
      <c r="F999" s="441"/>
      <c r="G999" s="440">
        <v>13.570940251894458</v>
      </c>
      <c r="H999" s="440">
        <v>0.59549306534736379</v>
      </c>
      <c r="I999" s="440">
        <v>1.9452514194770998</v>
      </c>
      <c r="J999" s="440">
        <f>SUM(G999:I999)</f>
        <v>16.111684736718921</v>
      </c>
      <c r="K999" s="441"/>
      <c r="L999" s="440">
        <v>12.571682150646852</v>
      </c>
      <c r="M999" s="440">
        <v>0.61256326338580358</v>
      </c>
      <c r="N999" s="440">
        <v>1.8625426734513209</v>
      </c>
      <c r="O999" s="440">
        <f t="shared" si="429"/>
        <v>15.046788087483977</v>
      </c>
    </row>
    <row r="1000" spans="1:15" s="351" customFormat="1" x14ac:dyDescent="0.25">
      <c r="A1000" s="362" t="str">
        <f>name!E$9</f>
        <v>Caring, leisure and other service</v>
      </c>
      <c r="B1000" s="440">
        <v>2.1801470886053167</v>
      </c>
      <c r="C1000" s="440">
        <v>0.64900456008475449</v>
      </c>
      <c r="D1000" s="440">
        <v>0.44721500414421367</v>
      </c>
      <c r="E1000" s="440">
        <f t="shared" si="427"/>
        <v>3.2763666528342847</v>
      </c>
      <c r="F1000" s="441"/>
      <c r="G1000" s="440">
        <v>2.7801349718569064</v>
      </c>
      <c r="H1000" s="440">
        <v>0.82551022277550967</v>
      </c>
      <c r="I1000" s="440">
        <v>0.90340757792953352</v>
      </c>
      <c r="J1000" s="440">
        <f t="shared" ref="J1000:J1003" si="430">SUM(G1000:I1000)</f>
        <v>4.5090527725619491</v>
      </c>
      <c r="K1000" s="441"/>
      <c r="L1000" s="440">
        <v>3.6497191217596283</v>
      </c>
      <c r="M1000" s="440">
        <v>1.0974643164590892</v>
      </c>
      <c r="N1000" s="440">
        <v>1.0582511946709861</v>
      </c>
      <c r="O1000" s="440">
        <f t="shared" si="429"/>
        <v>5.8054346328897042</v>
      </c>
    </row>
    <row r="1001" spans="1:15" s="351" customFormat="1" x14ac:dyDescent="0.25">
      <c r="A1001" s="362" t="str">
        <f>name!E$10</f>
        <v>Sales and customer service</v>
      </c>
      <c r="B1001" s="440">
        <v>10.653205271870453</v>
      </c>
      <c r="C1001" s="440">
        <v>6.0606337698256816</v>
      </c>
      <c r="D1001" s="440">
        <v>1.1119812346890294</v>
      </c>
      <c r="E1001" s="440">
        <f t="shared" si="427"/>
        <v>17.825820276385162</v>
      </c>
      <c r="F1001" s="441"/>
      <c r="G1001" s="440">
        <v>7.8611901340769146</v>
      </c>
      <c r="H1001" s="440">
        <v>4.9920102790092926</v>
      </c>
      <c r="I1001" s="440">
        <v>1.4198090126942693</v>
      </c>
      <c r="J1001" s="440">
        <f t="shared" si="430"/>
        <v>14.273009425780476</v>
      </c>
      <c r="K1001" s="441"/>
      <c r="L1001" s="440">
        <v>7.7927969831894712</v>
      </c>
      <c r="M1001" s="440">
        <v>5.1739021693246849</v>
      </c>
      <c r="N1001" s="440">
        <v>1.1816088525272486</v>
      </c>
      <c r="O1001" s="440">
        <f t="shared" si="429"/>
        <v>14.148308005041404</v>
      </c>
    </row>
    <row r="1002" spans="1:15" s="351" customFormat="1" x14ac:dyDescent="0.25">
      <c r="A1002" s="362" t="str">
        <f>name!E$11</f>
        <v>Process, plant and machine operatives</v>
      </c>
      <c r="B1002" s="440">
        <v>17.683826985155818</v>
      </c>
      <c r="C1002" s="440">
        <v>4.2798266892761641</v>
      </c>
      <c r="D1002" s="440">
        <v>2.0569295499864739</v>
      </c>
      <c r="E1002" s="440">
        <f t="shared" si="427"/>
        <v>24.020583224418456</v>
      </c>
      <c r="F1002" s="441"/>
      <c r="G1002" s="440">
        <v>14.071167466744967</v>
      </c>
      <c r="H1002" s="440">
        <v>5.1485377965367496</v>
      </c>
      <c r="I1002" s="440">
        <v>1.7493200054850735</v>
      </c>
      <c r="J1002" s="440">
        <f t="shared" si="430"/>
        <v>20.969025268766792</v>
      </c>
      <c r="K1002" s="441"/>
      <c r="L1002" s="440">
        <v>15.763354628615975</v>
      </c>
      <c r="M1002" s="440">
        <v>5.4984981445985213</v>
      </c>
      <c r="N1002" s="440">
        <v>1.3550500690000424</v>
      </c>
      <c r="O1002" s="440">
        <f t="shared" si="429"/>
        <v>22.61690284221454</v>
      </c>
    </row>
    <row r="1003" spans="1:15" s="351" customFormat="1" x14ac:dyDescent="0.25">
      <c r="A1003" s="362" t="str">
        <f>name!E$12</f>
        <v>Elementary occupations</v>
      </c>
      <c r="B1003" s="440">
        <v>4.4165658697821089</v>
      </c>
      <c r="C1003" s="440">
        <v>1.6607538807913977</v>
      </c>
      <c r="D1003" s="440">
        <v>0.58215688005384048</v>
      </c>
      <c r="E1003" s="440">
        <f t="shared" si="427"/>
        <v>6.6594766306273474</v>
      </c>
      <c r="F1003" s="441"/>
      <c r="G1003" s="440">
        <v>2.2547293203485013</v>
      </c>
      <c r="H1003" s="440">
        <v>1.1207021915232942</v>
      </c>
      <c r="I1003" s="440">
        <v>1.7760672250430187</v>
      </c>
      <c r="J1003" s="440">
        <f t="shared" si="430"/>
        <v>5.1514987369148137</v>
      </c>
      <c r="K1003" s="441"/>
      <c r="L1003" s="440">
        <v>2.3171130984664434</v>
      </c>
      <c r="M1003" s="440">
        <v>1.1517026646387927</v>
      </c>
      <c r="N1003" s="440">
        <v>1.7473252681466187</v>
      </c>
      <c r="O1003" s="440">
        <f t="shared" si="429"/>
        <v>5.2161410312518548</v>
      </c>
    </row>
    <row r="1004" spans="1:15" s="351" customFormat="1" x14ac:dyDescent="0.25">
      <c r="A1004" s="362"/>
      <c r="B1004" s="440"/>
      <c r="C1004" s="440"/>
      <c r="D1004" s="440"/>
      <c r="E1004" s="440"/>
      <c r="F1004" s="441"/>
      <c r="G1004" s="440"/>
      <c r="H1004" s="440"/>
      <c r="I1004" s="440"/>
      <c r="J1004" s="440"/>
      <c r="K1004" s="441"/>
      <c r="L1004" s="440"/>
      <c r="M1004" s="440"/>
      <c r="N1004" s="440"/>
      <c r="O1004" s="440"/>
    </row>
    <row r="1005" spans="1:15" s="351" customFormat="1" x14ac:dyDescent="0.25">
      <c r="A1005" s="357" t="s">
        <v>32</v>
      </c>
      <c r="B1005" s="450">
        <f>SUM(B995:B1003)</f>
        <v>123.80999999962116</v>
      </c>
      <c r="C1005" s="450">
        <f t="shared" ref="C1005:E1005" si="431">SUM(C995:C1003)</f>
        <v>21.66100000004537</v>
      </c>
      <c r="D1005" s="450">
        <f t="shared" si="431"/>
        <v>15.751999999932282</v>
      </c>
      <c r="E1005" s="450">
        <f t="shared" si="431"/>
        <v>161.22299999959884</v>
      </c>
      <c r="F1005" s="450"/>
      <c r="G1005" s="450">
        <f t="shared" ref="G1005:J1005" si="432">SUM(G995:G1003)</f>
        <v>111.62199999968888</v>
      </c>
      <c r="H1005" s="450">
        <f t="shared" si="432"/>
        <v>20.816000000179613</v>
      </c>
      <c r="I1005" s="450">
        <f t="shared" si="432"/>
        <v>19.451000000023253</v>
      </c>
      <c r="J1005" s="450">
        <f t="shared" si="432"/>
        <v>151.88899999989175</v>
      </c>
      <c r="K1005" s="450"/>
      <c r="L1005" s="450">
        <f t="shared" ref="L1005:O1005" si="433">SUM(L995:L1003)</f>
        <v>122.73499999959816</v>
      </c>
      <c r="M1005" s="450">
        <f t="shared" si="433"/>
        <v>22.36200000009843</v>
      </c>
      <c r="N1005" s="450">
        <f t="shared" si="433"/>
        <v>18.744999999874729</v>
      </c>
      <c r="O1005" s="450">
        <f t="shared" si="433"/>
        <v>163.8419999995713</v>
      </c>
    </row>
    <row r="1006" spans="1:15" s="351" customFormat="1" x14ac:dyDescent="0.25">
      <c r="A1006" s="348"/>
      <c r="B1006" s="348"/>
      <c r="C1006" s="348"/>
      <c r="D1006" s="348"/>
      <c r="E1006" s="348"/>
      <c r="F1006" s="348"/>
      <c r="G1006" s="348"/>
      <c r="H1006" s="348"/>
      <c r="I1006" s="348"/>
      <c r="J1006" s="348"/>
      <c r="K1006" s="348"/>
      <c r="L1006" s="348"/>
      <c r="M1006" s="348"/>
      <c r="N1006" s="353"/>
    </row>
    <row r="1007" spans="1:15" s="351" customFormat="1" x14ac:dyDescent="0.25">
      <c r="A1007" s="348"/>
      <c r="B1007" s="348"/>
      <c r="C1007" s="348"/>
      <c r="D1007" s="348"/>
      <c r="E1007" s="348"/>
      <c r="F1007" s="348"/>
      <c r="G1007" s="348"/>
      <c r="H1007" s="348"/>
      <c r="I1007" s="348"/>
      <c r="J1007" s="348"/>
      <c r="K1007" s="348"/>
      <c r="L1007" s="348"/>
      <c r="M1007" s="348"/>
      <c r="N1007" s="353"/>
      <c r="O1007" s="367" t="s">
        <v>35</v>
      </c>
    </row>
    <row r="1008" spans="1:15" s="351" customFormat="1" x14ac:dyDescent="0.25">
      <c r="A1008" s="355"/>
      <c r="B1008" s="355"/>
      <c r="C1008" s="355"/>
      <c r="D1008" s="355"/>
      <c r="E1008" s="355"/>
      <c r="F1008" s="355"/>
      <c r="G1008" s="355"/>
      <c r="H1008" s="355"/>
      <c r="I1008" s="355"/>
      <c r="J1008" s="355"/>
      <c r="K1008" s="355"/>
      <c r="L1008" s="355"/>
      <c r="M1008" s="355"/>
      <c r="N1008" s="355"/>
      <c r="O1008" s="355"/>
    </row>
    <row r="1009" spans="1:15" s="351" customFormat="1" x14ac:dyDescent="0.25">
      <c r="A1009" s="354" t="str">
        <f>name!A62</f>
        <v>Employment activities</v>
      </c>
      <c r="B1009" s="517">
        <f>$B$6</f>
        <v>2007</v>
      </c>
      <c r="C1009" s="517"/>
      <c r="D1009" s="517"/>
      <c r="E1009" s="517"/>
      <c r="F1009" s="380"/>
      <c r="G1009" s="517">
        <f>$G$6</f>
        <v>2017</v>
      </c>
      <c r="H1009" s="517"/>
      <c r="I1009" s="517"/>
      <c r="J1009" s="517"/>
      <c r="K1009" s="380"/>
      <c r="L1009" s="517">
        <f>$L$6</f>
        <v>2027</v>
      </c>
      <c r="M1009" s="517"/>
      <c r="N1009" s="517"/>
      <c r="O1009" s="517"/>
    </row>
    <row r="1010" spans="1:15" s="351" customFormat="1" x14ac:dyDescent="0.25">
      <c r="A1010" s="370"/>
      <c r="B1010" s="388" t="str">
        <f>$B$7</f>
        <v>FT</v>
      </c>
      <c r="C1010" s="388" t="str">
        <f>$C$7</f>
        <v>PT</v>
      </c>
      <c r="D1010" s="388" t="str">
        <f>$D$7</f>
        <v>SE</v>
      </c>
      <c r="E1010" s="388" t="str">
        <f>$E$7</f>
        <v>Total</v>
      </c>
      <c r="F1010" s="388"/>
      <c r="G1010" s="388" t="str">
        <f>$G$7</f>
        <v>FT</v>
      </c>
      <c r="H1010" s="388" t="str">
        <f>$H$7</f>
        <v>PT</v>
      </c>
      <c r="I1010" s="388" t="str">
        <f>$I$7</f>
        <v>SE</v>
      </c>
      <c r="J1010" s="388" t="str">
        <f>$J$7</f>
        <v>Total</v>
      </c>
      <c r="K1010" s="388"/>
      <c r="L1010" s="388" t="str">
        <f>$L$7</f>
        <v>FT</v>
      </c>
      <c r="M1010" s="388" t="str">
        <f>$M$7</f>
        <v>PT</v>
      </c>
      <c r="N1010" s="388" t="str">
        <f>$N$7</f>
        <v>SE</v>
      </c>
      <c r="O1010" s="388" t="str">
        <f>$O$7</f>
        <v>Total</v>
      </c>
    </row>
    <row r="1011" spans="1:15" s="351" customFormat="1" x14ac:dyDescent="0.25">
      <c r="A1011" s="374"/>
      <c r="B1011" s="350"/>
      <c r="C1011" s="350"/>
      <c r="D1011" s="350"/>
      <c r="E1011" s="350"/>
      <c r="F1011" s="350"/>
      <c r="G1011" s="350"/>
      <c r="H1011" s="350"/>
      <c r="I1011" s="350"/>
      <c r="J1011" s="350"/>
      <c r="K1011" s="350"/>
      <c r="L1011" s="350"/>
      <c r="M1011" s="350"/>
      <c r="N1011" s="350"/>
      <c r="O1011" s="350"/>
    </row>
    <row r="1012" spans="1:15" s="351" customFormat="1" x14ac:dyDescent="0.25">
      <c r="A1012" s="362" t="str">
        <f>name!E$4</f>
        <v>Managers, directors and senior officials</v>
      </c>
      <c r="B1012" s="440">
        <v>67.219395110842115</v>
      </c>
      <c r="C1012" s="440">
        <v>5.3262217349783141</v>
      </c>
      <c r="D1012" s="440">
        <v>12.59933321670054</v>
      </c>
      <c r="E1012" s="440">
        <f>SUM(B1012:D1012)</f>
        <v>85.144950062520977</v>
      </c>
      <c r="F1012" s="441"/>
      <c r="G1012" s="440">
        <v>76.507510458029202</v>
      </c>
      <c r="H1012" s="440">
        <v>15.620076071964473</v>
      </c>
      <c r="I1012" s="440">
        <v>18.355311788431148</v>
      </c>
      <c r="J1012" s="440">
        <f>SUM(G1012:I1012)</f>
        <v>110.48289831842483</v>
      </c>
      <c r="K1012" s="441"/>
      <c r="L1012" s="440">
        <v>88.908551405091885</v>
      </c>
      <c r="M1012" s="440">
        <v>18.95293070082208</v>
      </c>
      <c r="N1012" s="440">
        <v>18.714309459868172</v>
      </c>
      <c r="O1012" s="440">
        <f>SUM(L1012:N1012)</f>
        <v>126.57579156578214</v>
      </c>
    </row>
    <row r="1013" spans="1:15" s="351" customFormat="1" x14ac:dyDescent="0.25">
      <c r="A1013" s="362" t="str">
        <f>name!E$5</f>
        <v>Professional occupations</v>
      </c>
      <c r="B1013" s="440">
        <v>59.194781110256734</v>
      </c>
      <c r="C1013" s="440">
        <v>8.4086829488118831</v>
      </c>
      <c r="D1013" s="440">
        <v>5.7382016914439919</v>
      </c>
      <c r="E1013" s="440">
        <f t="shared" ref="E1013:E1020" si="434">SUM(B1013:D1013)</f>
        <v>73.341665750512604</v>
      </c>
      <c r="F1013" s="441"/>
      <c r="G1013" s="440">
        <v>77.453520641818329</v>
      </c>
      <c r="H1013" s="440">
        <v>18.265231557575262</v>
      </c>
      <c r="I1013" s="440">
        <v>9.5544348475267835</v>
      </c>
      <c r="J1013" s="440">
        <f t="shared" ref="J1013:J1015" si="435">SUM(G1013:I1013)</f>
        <v>105.27318704692037</v>
      </c>
      <c r="K1013" s="441"/>
      <c r="L1013" s="440">
        <v>92.670145388766031</v>
      </c>
      <c r="M1013" s="440">
        <v>22.997843513824623</v>
      </c>
      <c r="N1013" s="440">
        <v>9.9870605620038582</v>
      </c>
      <c r="O1013" s="440">
        <f t="shared" ref="O1013:O1020" si="436">SUM(L1013:N1013)</f>
        <v>125.65504946459451</v>
      </c>
    </row>
    <row r="1014" spans="1:15" s="351" customFormat="1" x14ac:dyDescent="0.25">
      <c r="A1014" s="362" t="str">
        <f>name!E$6</f>
        <v>Associate professional and technical</v>
      </c>
      <c r="B1014" s="440">
        <v>146.50205727219722</v>
      </c>
      <c r="C1014" s="440">
        <v>15.600225066548367</v>
      </c>
      <c r="D1014" s="440">
        <v>26.634183830738625</v>
      </c>
      <c r="E1014" s="440">
        <f t="shared" si="434"/>
        <v>188.73646616948423</v>
      </c>
      <c r="F1014" s="441"/>
      <c r="G1014" s="440">
        <v>142.66175592547708</v>
      </c>
      <c r="H1014" s="440">
        <v>28.158742726436568</v>
      </c>
      <c r="I1014" s="440">
        <v>44.883087649982883</v>
      </c>
      <c r="J1014" s="440">
        <f t="shared" si="435"/>
        <v>215.70358630189654</v>
      </c>
      <c r="K1014" s="441"/>
      <c r="L1014" s="440">
        <v>154.96071013385182</v>
      </c>
      <c r="M1014" s="440">
        <v>34.451814341214771</v>
      </c>
      <c r="N1014" s="440">
        <v>44.395438160354836</v>
      </c>
      <c r="O1014" s="440">
        <f t="shared" si="436"/>
        <v>233.80796263542143</v>
      </c>
    </row>
    <row r="1015" spans="1:15" s="351" customFormat="1" x14ac:dyDescent="0.25">
      <c r="A1015" s="362" t="str">
        <f>name!E$7</f>
        <v>Administrative and secretarial</v>
      </c>
      <c r="B1015" s="440">
        <v>94.125114149421151</v>
      </c>
      <c r="C1015" s="440">
        <v>24.392529563509452</v>
      </c>
      <c r="D1015" s="440">
        <v>2.1452585175270462</v>
      </c>
      <c r="E1015" s="440">
        <f t="shared" si="434"/>
        <v>120.66290223045765</v>
      </c>
      <c r="F1015" s="441"/>
      <c r="G1015" s="440">
        <v>82.024836241306772</v>
      </c>
      <c r="H1015" s="440">
        <v>31.742277988558921</v>
      </c>
      <c r="I1015" s="440">
        <v>4.6153455548465807</v>
      </c>
      <c r="J1015" s="440">
        <f t="shared" si="435"/>
        <v>118.38245978471228</v>
      </c>
      <c r="K1015" s="441"/>
      <c r="L1015" s="440">
        <v>71.364967722053947</v>
      </c>
      <c r="M1015" s="440">
        <v>30.869802399555446</v>
      </c>
      <c r="N1015" s="440">
        <v>3.9481559560910022</v>
      </c>
      <c r="O1015" s="440">
        <f t="shared" si="436"/>
        <v>106.18292607770039</v>
      </c>
    </row>
    <row r="1016" spans="1:15" s="351" customFormat="1" x14ac:dyDescent="0.25">
      <c r="A1016" s="362" t="str">
        <f>name!E$8</f>
        <v>Skilled trades occupations</v>
      </c>
      <c r="B1016" s="440">
        <v>33.049696372531486</v>
      </c>
      <c r="C1016" s="440">
        <v>3.8561059116255967</v>
      </c>
      <c r="D1016" s="440">
        <v>7.131062190189712</v>
      </c>
      <c r="E1016" s="440">
        <f t="shared" si="434"/>
        <v>44.036864474346793</v>
      </c>
      <c r="F1016" s="441"/>
      <c r="G1016" s="440">
        <v>22.438179896861786</v>
      </c>
      <c r="H1016" s="440">
        <v>6.7469803795869288</v>
      </c>
      <c r="I1016" s="440">
        <v>9.4621068365124916</v>
      </c>
      <c r="J1016" s="440">
        <f>SUM(G1016:I1016)</f>
        <v>38.64726711296121</v>
      </c>
      <c r="K1016" s="441"/>
      <c r="L1016" s="440">
        <v>21.713953780103907</v>
      </c>
      <c r="M1016" s="440">
        <v>7.3063961590782123</v>
      </c>
      <c r="N1016" s="440">
        <v>8.0912095325851734</v>
      </c>
      <c r="O1016" s="440">
        <f t="shared" si="436"/>
        <v>37.111559471767293</v>
      </c>
    </row>
    <row r="1017" spans="1:15" s="351" customFormat="1" x14ac:dyDescent="0.25">
      <c r="A1017" s="362" t="str">
        <f>name!E$9</f>
        <v>Caring, leisure and other service</v>
      </c>
      <c r="B1017" s="440">
        <v>28.664740868813759</v>
      </c>
      <c r="C1017" s="440">
        <v>12.140655305093048</v>
      </c>
      <c r="D1017" s="440">
        <v>2.0021227477562329</v>
      </c>
      <c r="E1017" s="440">
        <f t="shared" si="434"/>
        <v>42.807518921663039</v>
      </c>
      <c r="F1017" s="441"/>
      <c r="G1017" s="440">
        <v>37.083552603628533</v>
      </c>
      <c r="H1017" s="440">
        <v>28.648594103554515</v>
      </c>
      <c r="I1017" s="440">
        <v>10.159460377110863</v>
      </c>
      <c r="J1017" s="440">
        <f t="shared" ref="J1017:J1020" si="437">SUM(G1017:I1017)</f>
        <v>75.891607084293909</v>
      </c>
      <c r="K1017" s="441"/>
      <c r="L1017" s="440">
        <v>43.442932522212772</v>
      </c>
      <c r="M1017" s="440">
        <v>36.284762602151481</v>
      </c>
      <c r="N1017" s="440">
        <v>10.010900572081328</v>
      </c>
      <c r="O1017" s="440">
        <f t="shared" si="436"/>
        <v>89.738595696445586</v>
      </c>
    </row>
    <row r="1018" spans="1:15" s="351" customFormat="1" x14ac:dyDescent="0.25">
      <c r="A1018" s="362" t="str">
        <f>name!E$10</f>
        <v>Sales and customer service</v>
      </c>
      <c r="B1018" s="440">
        <v>39.450396502566832</v>
      </c>
      <c r="C1018" s="440">
        <v>13.150177331693751</v>
      </c>
      <c r="D1018" s="440">
        <v>1.5418159089895735</v>
      </c>
      <c r="E1018" s="440">
        <f t="shared" si="434"/>
        <v>54.142389743250163</v>
      </c>
      <c r="F1018" s="441"/>
      <c r="G1018" s="440">
        <v>58.730483664022252</v>
      </c>
      <c r="H1018" s="440">
        <v>21.660320654610935</v>
      </c>
      <c r="I1018" s="440">
        <v>1.7327949670487466</v>
      </c>
      <c r="J1018" s="440">
        <f t="shared" si="437"/>
        <v>82.123599285681934</v>
      </c>
      <c r="K1018" s="441"/>
      <c r="L1018" s="440">
        <v>62.030878381178013</v>
      </c>
      <c r="M1018" s="440">
        <v>23.455250357922505</v>
      </c>
      <c r="N1018" s="440">
        <v>1.5348682182084514</v>
      </c>
      <c r="O1018" s="440">
        <f t="shared" si="436"/>
        <v>87.020996957308967</v>
      </c>
    </row>
    <row r="1019" spans="1:15" s="351" customFormat="1" x14ac:dyDescent="0.25">
      <c r="A1019" s="362" t="str">
        <f>name!E$11</f>
        <v>Process, plant and machine operatives</v>
      </c>
      <c r="B1019" s="440">
        <v>35.52237044045286</v>
      </c>
      <c r="C1019" s="440">
        <v>7.7264851742836926</v>
      </c>
      <c r="D1019" s="440">
        <v>1.5488545795478312</v>
      </c>
      <c r="E1019" s="440">
        <f t="shared" si="434"/>
        <v>44.797710194284384</v>
      </c>
      <c r="F1019" s="441"/>
      <c r="G1019" s="440">
        <v>23.593711982857226</v>
      </c>
      <c r="H1019" s="440">
        <v>14.294006847124056</v>
      </c>
      <c r="I1019" s="440">
        <v>1.5493735531967432</v>
      </c>
      <c r="J1019" s="440">
        <f t="shared" si="437"/>
        <v>39.437092383178026</v>
      </c>
      <c r="K1019" s="441"/>
      <c r="L1019" s="440">
        <v>23.469689377702206</v>
      </c>
      <c r="M1019" s="440">
        <v>13.446490917748262</v>
      </c>
      <c r="N1019" s="440">
        <v>1.1949149043371887</v>
      </c>
      <c r="O1019" s="440">
        <f t="shared" si="436"/>
        <v>38.111095199787655</v>
      </c>
    </row>
    <row r="1020" spans="1:15" s="351" customFormat="1" x14ac:dyDescent="0.25">
      <c r="A1020" s="362" t="str">
        <f>name!E$12</f>
        <v>Elementary occupations</v>
      </c>
      <c r="B1020" s="440">
        <v>174.52044816921307</v>
      </c>
      <c r="C1020" s="440">
        <v>115.10191696313395</v>
      </c>
      <c r="D1020" s="440">
        <v>19.458167316793787</v>
      </c>
      <c r="E1020" s="440">
        <f t="shared" si="434"/>
        <v>309.08053244914078</v>
      </c>
      <c r="F1020" s="441"/>
      <c r="G1020" s="440">
        <v>169.50044858473433</v>
      </c>
      <c r="H1020" s="440">
        <v>144.67676967211557</v>
      </c>
      <c r="I1020" s="440">
        <v>34.895084425561691</v>
      </c>
      <c r="J1020" s="440">
        <f t="shared" si="437"/>
        <v>349.07230268241153</v>
      </c>
      <c r="K1020" s="441"/>
      <c r="L1020" s="440">
        <v>186.5791712870344</v>
      </c>
      <c r="M1020" s="440">
        <v>145.05870900749107</v>
      </c>
      <c r="N1020" s="440">
        <v>34.872142634459237</v>
      </c>
      <c r="O1020" s="440">
        <f t="shared" si="436"/>
        <v>366.51002292898471</v>
      </c>
    </row>
    <row r="1021" spans="1:15" s="351" customFormat="1" x14ac:dyDescent="0.25">
      <c r="A1021" s="362"/>
      <c r="B1021" s="440"/>
      <c r="C1021" s="440"/>
      <c r="D1021" s="440"/>
      <c r="E1021" s="440"/>
      <c r="F1021" s="441"/>
      <c r="G1021" s="440"/>
      <c r="H1021" s="440"/>
      <c r="I1021" s="440"/>
      <c r="J1021" s="440"/>
      <c r="K1021" s="441"/>
      <c r="L1021" s="440"/>
      <c r="M1021" s="440"/>
      <c r="N1021" s="440"/>
      <c r="O1021" s="440"/>
    </row>
    <row r="1022" spans="1:15" s="351" customFormat="1" x14ac:dyDescent="0.25">
      <c r="A1022" s="357" t="s">
        <v>32</v>
      </c>
      <c r="B1022" s="450">
        <f>SUM(B1012:B1020)</f>
        <v>678.2489999962952</v>
      </c>
      <c r="C1022" s="450">
        <f t="shared" ref="C1022:E1022" si="438">SUM(C1012:C1020)</f>
        <v>205.70299999967807</v>
      </c>
      <c r="D1022" s="450">
        <f t="shared" si="438"/>
        <v>78.798999999687339</v>
      </c>
      <c r="E1022" s="450">
        <f t="shared" si="438"/>
        <v>962.75099999566055</v>
      </c>
      <c r="F1022" s="450"/>
      <c r="G1022" s="450">
        <f t="shared" ref="G1022:J1022" si="439">SUM(G1012:G1020)</f>
        <v>689.99399999873549</v>
      </c>
      <c r="H1022" s="450">
        <f t="shared" si="439"/>
        <v>309.81300000152726</v>
      </c>
      <c r="I1022" s="450">
        <f t="shared" si="439"/>
        <v>135.20700000021793</v>
      </c>
      <c r="J1022" s="450">
        <f t="shared" si="439"/>
        <v>1135.0140000004808</v>
      </c>
      <c r="K1022" s="450"/>
      <c r="L1022" s="450">
        <f t="shared" ref="L1022:O1022" si="440">SUM(L1012:L1020)</f>
        <v>745.1409999979951</v>
      </c>
      <c r="M1022" s="450">
        <f t="shared" si="440"/>
        <v>332.82399999980845</v>
      </c>
      <c r="N1022" s="450">
        <f t="shared" si="440"/>
        <v>132.74899999998922</v>
      </c>
      <c r="O1022" s="450">
        <f t="shared" si="440"/>
        <v>1210.7139999977926</v>
      </c>
    </row>
    <row r="1023" spans="1:15" s="351" customFormat="1" x14ac:dyDescent="0.25">
      <c r="A1023" s="348"/>
      <c r="B1023" s="348"/>
      <c r="C1023" s="348"/>
      <c r="D1023" s="348"/>
      <c r="E1023" s="348"/>
      <c r="F1023" s="348"/>
      <c r="G1023" s="348"/>
      <c r="H1023" s="348"/>
      <c r="I1023" s="348"/>
      <c r="J1023" s="348"/>
      <c r="K1023" s="348"/>
      <c r="L1023" s="348"/>
      <c r="M1023" s="348"/>
      <c r="N1023" s="353"/>
    </row>
    <row r="1024" spans="1:15" s="351" customFormat="1" x14ac:dyDescent="0.25">
      <c r="A1024" s="348"/>
      <c r="B1024" s="348"/>
      <c r="C1024" s="348"/>
      <c r="D1024" s="348"/>
      <c r="E1024" s="348"/>
      <c r="F1024" s="348"/>
      <c r="G1024" s="348"/>
      <c r="H1024" s="348"/>
      <c r="I1024" s="348"/>
      <c r="J1024" s="348"/>
      <c r="K1024" s="348"/>
      <c r="L1024" s="348"/>
      <c r="M1024" s="348"/>
      <c r="N1024" s="353"/>
      <c r="O1024" s="367" t="s">
        <v>35</v>
      </c>
    </row>
    <row r="1025" spans="1:15" s="351" customFormat="1" x14ac:dyDescent="0.25">
      <c r="A1025" s="355"/>
      <c r="B1025" s="355"/>
      <c r="C1025" s="355"/>
      <c r="D1025" s="355"/>
      <c r="E1025" s="355"/>
      <c r="F1025" s="355"/>
      <c r="G1025" s="355"/>
      <c r="H1025" s="355"/>
      <c r="I1025" s="355"/>
      <c r="J1025" s="355"/>
      <c r="K1025" s="355"/>
      <c r="L1025" s="355"/>
      <c r="M1025" s="355"/>
      <c r="N1025" s="355"/>
      <c r="O1025" s="355"/>
    </row>
    <row r="1026" spans="1:15" s="351" customFormat="1" x14ac:dyDescent="0.25">
      <c r="A1026" s="354" t="str">
        <f>name!A63</f>
        <v>Travel, etc</v>
      </c>
      <c r="B1026" s="517">
        <f>$B$6</f>
        <v>2007</v>
      </c>
      <c r="C1026" s="517"/>
      <c r="D1026" s="517"/>
      <c r="E1026" s="517"/>
      <c r="F1026" s="380"/>
      <c r="G1026" s="517">
        <f>$G$6</f>
        <v>2017</v>
      </c>
      <c r="H1026" s="517"/>
      <c r="I1026" s="517"/>
      <c r="J1026" s="517"/>
      <c r="K1026" s="380"/>
      <c r="L1026" s="517">
        <f>$L$6</f>
        <v>2027</v>
      </c>
      <c r="M1026" s="517"/>
      <c r="N1026" s="517"/>
      <c r="O1026" s="517"/>
    </row>
    <row r="1027" spans="1:15" s="351" customFormat="1" x14ac:dyDescent="0.25">
      <c r="A1027" s="370"/>
      <c r="B1027" s="388" t="str">
        <f>$B$7</f>
        <v>FT</v>
      </c>
      <c r="C1027" s="388" t="str">
        <f>$C$7</f>
        <v>PT</v>
      </c>
      <c r="D1027" s="388" t="str">
        <f>$D$7</f>
        <v>SE</v>
      </c>
      <c r="E1027" s="388" t="str">
        <f>$E$7</f>
        <v>Total</v>
      </c>
      <c r="F1027" s="388"/>
      <c r="G1027" s="388" t="str">
        <f>$G$7</f>
        <v>FT</v>
      </c>
      <c r="H1027" s="388" t="str">
        <f>$H$7</f>
        <v>PT</v>
      </c>
      <c r="I1027" s="388" t="str">
        <f>$I$7</f>
        <v>SE</v>
      </c>
      <c r="J1027" s="388" t="str">
        <f>$J$7</f>
        <v>Total</v>
      </c>
      <c r="K1027" s="388"/>
      <c r="L1027" s="388" t="str">
        <f>$L$7</f>
        <v>FT</v>
      </c>
      <c r="M1027" s="388" t="str">
        <f>$M$7</f>
        <v>PT</v>
      </c>
      <c r="N1027" s="388" t="str">
        <f>$N$7</f>
        <v>SE</v>
      </c>
      <c r="O1027" s="388" t="str">
        <f>$O$7</f>
        <v>Total</v>
      </c>
    </row>
    <row r="1028" spans="1:15" s="351" customFormat="1" x14ac:dyDescent="0.25">
      <c r="A1028" s="374"/>
      <c r="B1028" s="350"/>
      <c r="C1028" s="350"/>
      <c r="D1028" s="350"/>
      <c r="E1028" s="350"/>
      <c r="F1028" s="350"/>
      <c r="G1028" s="350"/>
      <c r="H1028" s="350"/>
      <c r="I1028" s="350"/>
      <c r="J1028" s="350"/>
      <c r="K1028" s="350"/>
      <c r="L1028" s="350"/>
      <c r="M1028" s="350"/>
      <c r="N1028" s="350"/>
      <c r="O1028" s="350"/>
    </row>
    <row r="1029" spans="1:15" s="351" customFormat="1" x14ac:dyDescent="0.25">
      <c r="A1029" s="362" t="str">
        <f>name!E$4</f>
        <v>Managers, directors and senior officials</v>
      </c>
      <c r="B1029" s="440">
        <v>7.2615568808736786</v>
      </c>
      <c r="C1029" s="440">
        <v>0.94139099807482718</v>
      </c>
      <c r="D1029" s="440">
        <v>1.8024390654144293</v>
      </c>
      <c r="E1029" s="440">
        <f>SUM(B1029:D1029)</f>
        <v>10.005386944362934</v>
      </c>
      <c r="F1029" s="441"/>
      <c r="G1029" s="440">
        <v>7.3599687797666933</v>
      </c>
      <c r="H1029" s="440">
        <v>1.3058725375387035</v>
      </c>
      <c r="I1029" s="440">
        <v>3.0484584169414783</v>
      </c>
      <c r="J1029" s="440">
        <f>SUM(G1029:I1029)</f>
        <v>11.714299734246875</v>
      </c>
      <c r="K1029" s="441"/>
      <c r="L1029" s="440">
        <v>9.037601720245716</v>
      </c>
      <c r="M1029" s="440">
        <v>1.6324367915504288</v>
      </c>
      <c r="N1029" s="440">
        <v>3.47000355759902</v>
      </c>
      <c r="O1029" s="440">
        <f>SUM(L1029:N1029)</f>
        <v>14.140042069395165</v>
      </c>
    </row>
    <row r="1030" spans="1:15" s="351" customFormat="1" x14ac:dyDescent="0.25">
      <c r="A1030" s="362" t="str">
        <f>name!E$5</f>
        <v>Professional occupations</v>
      </c>
      <c r="B1030" s="440">
        <v>4.9644786133316776</v>
      </c>
      <c r="C1030" s="440">
        <v>0.65434607091082397</v>
      </c>
      <c r="D1030" s="440">
        <v>0.27031257332364916</v>
      </c>
      <c r="E1030" s="440">
        <f t="shared" ref="E1030:E1037" si="441">SUM(B1030:D1030)</f>
        <v>5.8891372575661514</v>
      </c>
      <c r="F1030" s="441"/>
      <c r="G1030" s="440">
        <v>4.8180136719226052</v>
      </c>
      <c r="H1030" s="440">
        <v>0.77064990910244391</v>
      </c>
      <c r="I1030" s="440">
        <v>0.4529775029093252</v>
      </c>
      <c r="J1030" s="440">
        <f t="shared" ref="J1030:J1032" si="442">SUM(G1030:I1030)</f>
        <v>6.0416410839343744</v>
      </c>
      <c r="K1030" s="441"/>
      <c r="L1030" s="440">
        <v>5.9134020669326421</v>
      </c>
      <c r="M1030" s="440">
        <v>0.93898163131082113</v>
      </c>
      <c r="N1030" s="440">
        <v>0.5027582410504926</v>
      </c>
      <c r="O1030" s="440">
        <f t="shared" ref="O1030:O1037" si="443">SUM(L1030:N1030)</f>
        <v>7.3551419392939561</v>
      </c>
    </row>
    <row r="1031" spans="1:15" s="351" customFormat="1" x14ac:dyDescent="0.25">
      <c r="A1031" s="362" t="str">
        <f>name!E$6</f>
        <v>Associate professional and technical</v>
      </c>
      <c r="B1031" s="440">
        <v>8.5863823097809799</v>
      </c>
      <c r="C1031" s="440">
        <v>0.88336823680454868</v>
      </c>
      <c r="D1031" s="440">
        <v>0.47353568021474945</v>
      </c>
      <c r="E1031" s="440">
        <f t="shared" si="441"/>
        <v>9.9432862268002786</v>
      </c>
      <c r="F1031" s="441"/>
      <c r="G1031" s="440">
        <v>5.5412778635841278</v>
      </c>
      <c r="H1031" s="440">
        <v>1.0771633828202234</v>
      </c>
      <c r="I1031" s="440">
        <v>0.86284347939493911</v>
      </c>
      <c r="J1031" s="440">
        <f t="shared" si="442"/>
        <v>7.4812847257992896</v>
      </c>
      <c r="K1031" s="441"/>
      <c r="L1031" s="440">
        <v>6.4936744378157023</v>
      </c>
      <c r="M1031" s="440">
        <v>1.2895807797315513</v>
      </c>
      <c r="N1031" s="440">
        <v>0.95360442824518632</v>
      </c>
      <c r="O1031" s="440">
        <f t="shared" si="443"/>
        <v>8.736859645792439</v>
      </c>
    </row>
    <row r="1032" spans="1:15" s="351" customFormat="1" x14ac:dyDescent="0.25">
      <c r="A1032" s="362" t="str">
        <f>name!E$7</f>
        <v>Administrative and secretarial</v>
      </c>
      <c r="B1032" s="440">
        <v>10.446543923397201</v>
      </c>
      <c r="C1032" s="440">
        <v>3.4854206260825245</v>
      </c>
      <c r="D1032" s="440">
        <v>0.3034131022878308</v>
      </c>
      <c r="E1032" s="440">
        <f t="shared" si="441"/>
        <v>14.235377651767555</v>
      </c>
      <c r="F1032" s="441"/>
      <c r="G1032" s="440">
        <v>8.5424855897282406</v>
      </c>
      <c r="H1032" s="440">
        <v>3.6212780728926721</v>
      </c>
      <c r="I1032" s="440">
        <v>0.58785074034387064</v>
      </c>
      <c r="J1032" s="440">
        <f t="shared" si="442"/>
        <v>12.751614402964783</v>
      </c>
      <c r="K1032" s="441"/>
      <c r="L1032" s="440">
        <v>8.2635974020666421</v>
      </c>
      <c r="M1032" s="440">
        <v>3.3685317133714254</v>
      </c>
      <c r="N1032" s="440">
        <v>0.53997052019132141</v>
      </c>
      <c r="O1032" s="440">
        <f t="shared" si="443"/>
        <v>12.172099635629388</v>
      </c>
    </row>
    <row r="1033" spans="1:15" s="351" customFormat="1" x14ac:dyDescent="0.25">
      <c r="A1033" s="362" t="str">
        <f>name!E$8</f>
        <v>Skilled trades occupations</v>
      </c>
      <c r="B1033" s="440">
        <v>3.1057545630333103</v>
      </c>
      <c r="C1033" s="440">
        <v>0.51716601444480725</v>
      </c>
      <c r="D1033" s="440">
        <v>0.31332287277939785</v>
      </c>
      <c r="E1033" s="440">
        <f t="shared" si="441"/>
        <v>3.9362434502575154</v>
      </c>
      <c r="F1033" s="441"/>
      <c r="G1033" s="440">
        <v>1.4741002539312522</v>
      </c>
      <c r="H1033" s="440">
        <v>0.60062708125096098</v>
      </c>
      <c r="I1033" s="440">
        <v>0.34351739606457227</v>
      </c>
      <c r="J1033" s="440">
        <f>SUM(G1033:I1033)</f>
        <v>2.4182447312467854</v>
      </c>
      <c r="K1033" s="441"/>
      <c r="L1033" s="440">
        <v>1.4883285663266306</v>
      </c>
      <c r="M1033" s="440">
        <v>0.67085386528569035</v>
      </c>
      <c r="N1033" s="440">
        <v>0.41179093639294795</v>
      </c>
      <c r="O1033" s="440">
        <f t="shared" si="443"/>
        <v>2.5709733680052689</v>
      </c>
    </row>
    <row r="1034" spans="1:15" s="351" customFormat="1" x14ac:dyDescent="0.25">
      <c r="A1034" s="362" t="str">
        <f>name!E$9</f>
        <v>Caring, leisure and other service</v>
      </c>
      <c r="B1034" s="440">
        <v>7.8489224724388906</v>
      </c>
      <c r="C1034" s="440">
        <v>4.3696249779144107</v>
      </c>
      <c r="D1034" s="440">
        <v>3.386913759313475</v>
      </c>
      <c r="E1034" s="440">
        <f t="shared" si="441"/>
        <v>15.605461209666778</v>
      </c>
      <c r="F1034" s="441"/>
      <c r="G1034" s="440">
        <v>6.2754536721638043</v>
      </c>
      <c r="H1034" s="440">
        <v>5.8113453164738047</v>
      </c>
      <c r="I1034" s="440">
        <v>6.1573115668867828</v>
      </c>
      <c r="J1034" s="440">
        <f t="shared" ref="J1034:J1037" si="444">SUM(G1034:I1034)</f>
        <v>18.244110555524394</v>
      </c>
      <c r="K1034" s="441"/>
      <c r="L1034" s="440">
        <v>6.2857264429357338</v>
      </c>
      <c r="M1034" s="440">
        <v>6.2974546427225278</v>
      </c>
      <c r="N1034" s="440">
        <v>5.8023354754622307</v>
      </c>
      <c r="O1034" s="440">
        <f t="shared" si="443"/>
        <v>18.38551656112049</v>
      </c>
    </row>
    <row r="1035" spans="1:15" s="351" customFormat="1" x14ac:dyDescent="0.25">
      <c r="A1035" s="362" t="str">
        <f>name!E$10</f>
        <v>Sales and customer service</v>
      </c>
      <c r="B1035" s="440">
        <v>3.8002409993452653</v>
      </c>
      <c r="C1035" s="440">
        <v>1.3760608497476283</v>
      </c>
      <c r="D1035" s="440">
        <v>0.22837572750347993</v>
      </c>
      <c r="E1035" s="440">
        <f t="shared" si="441"/>
        <v>5.4046775765963737</v>
      </c>
      <c r="F1035" s="441"/>
      <c r="G1035" s="440">
        <v>4.5740506957088947</v>
      </c>
      <c r="H1035" s="440">
        <v>1.6977467386641019</v>
      </c>
      <c r="I1035" s="440">
        <v>0.42494166686039081</v>
      </c>
      <c r="J1035" s="440">
        <f t="shared" si="444"/>
        <v>6.696739101233387</v>
      </c>
      <c r="K1035" s="441"/>
      <c r="L1035" s="440">
        <v>4.7785417087242079</v>
      </c>
      <c r="M1035" s="440">
        <v>1.8494275066836505</v>
      </c>
      <c r="N1035" s="440">
        <v>0.42177324346629336</v>
      </c>
      <c r="O1035" s="440">
        <f t="shared" si="443"/>
        <v>7.0497424588741522</v>
      </c>
    </row>
    <row r="1036" spans="1:15" s="351" customFormat="1" x14ac:dyDescent="0.25">
      <c r="A1036" s="362" t="str">
        <f>name!E$11</f>
        <v>Process, plant and machine operatives</v>
      </c>
      <c r="B1036" s="440">
        <v>16.67592903704309</v>
      </c>
      <c r="C1036" s="440">
        <v>3.1012967603447503</v>
      </c>
      <c r="D1036" s="440">
        <v>1.0174706995069958</v>
      </c>
      <c r="E1036" s="440">
        <f t="shared" si="441"/>
        <v>20.794696496894836</v>
      </c>
      <c r="F1036" s="441"/>
      <c r="G1036" s="440">
        <v>13.051311625323049</v>
      </c>
      <c r="H1036" s="440">
        <v>3.9935256725933206</v>
      </c>
      <c r="I1036" s="440">
        <v>0.70451585548214946</v>
      </c>
      <c r="J1036" s="440">
        <f t="shared" si="444"/>
        <v>17.74935315339852</v>
      </c>
      <c r="K1036" s="441"/>
      <c r="L1036" s="440">
        <v>15.158612141209225</v>
      </c>
      <c r="M1036" s="440">
        <v>4.262888892476175</v>
      </c>
      <c r="N1036" s="440">
        <v>0.59482967193208947</v>
      </c>
      <c r="O1036" s="440">
        <f t="shared" si="443"/>
        <v>20.016330705617492</v>
      </c>
    </row>
    <row r="1037" spans="1:15" s="351" customFormat="1" x14ac:dyDescent="0.25">
      <c r="A1037" s="362" t="str">
        <f>name!E$12</f>
        <v>Elementary occupations</v>
      </c>
      <c r="B1037" s="440">
        <v>16.973191200152549</v>
      </c>
      <c r="C1037" s="440">
        <v>5.0023254656161917</v>
      </c>
      <c r="D1037" s="440">
        <v>0.25421651970740677</v>
      </c>
      <c r="E1037" s="440">
        <f t="shared" si="441"/>
        <v>22.229733185476146</v>
      </c>
      <c r="F1037" s="441"/>
      <c r="G1037" s="440">
        <v>14.004337847846154</v>
      </c>
      <c r="H1037" s="440">
        <v>4.5877912888303909</v>
      </c>
      <c r="I1037" s="440">
        <v>0.3445833753203027</v>
      </c>
      <c r="J1037" s="440">
        <f t="shared" si="444"/>
        <v>18.936712511996845</v>
      </c>
      <c r="K1037" s="441"/>
      <c r="L1037" s="440">
        <v>14.071515513532836</v>
      </c>
      <c r="M1037" s="440">
        <v>4.9188441769131206</v>
      </c>
      <c r="N1037" s="440">
        <v>0.29493392577287908</v>
      </c>
      <c r="O1037" s="440">
        <f t="shared" si="443"/>
        <v>19.285293616218834</v>
      </c>
    </row>
    <row r="1038" spans="1:15" s="351" customFormat="1" x14ac:dyDescent="0.25">
      <c r="A1038" s="362"/>
      <c r="B1038" s="440"/>
      <c r="C1038" s="440"/>
      <c r="D1038" s="440"/>
      <c r="E1038" s="440"/>
      <c r="F1038" s="441"/>
      <c r="G1038" s="440"/>
      <c r="H1038" s="440"/>
      <c r="I1038" s="440"/>
      <c r="J1038" s="440"/>
      <c r="K1038" s="441"/>
      <c r="L1038" s="440"/>
      <c r="M1038" s="440"/>
      <c r="N1038" s="440"/>
      <c r="O1038" s="440"/>
    </row>
    <row r="1039" spans="1:15" s="351" customFormat="1" x14ac:dyDescent="0.25">
      <c r="A1039" s="357" t="s">
        <v>32</v>
      </c>
      <c r="B1039" s="450">
        <f>SUM(B1029:B1037)</f>
        <v>79.662999999396646</v>
      </c>
      <c r="C1039" s="450">
        <f t="shared" ref="C1039:E1039" si="445">SUM(C1029:C1037)</f>
        <v>20.330999999940513</v>
      </c>
      <c r="D1039" s="450">
        <f t="shared" si="445"/>
        <v>8.0500000000514138</v>
      </c>
      <c r="E1039" s="450">
        <f t="shared" si="445"/>
        <v>108.04399999938856</v>
      </c>
      <c r="F1039" s="450"/>
      <c r="G1039" s="450">
        <f t="shared" ref="G1039:J1039" si="446">SUM(G1029:G1037)</f>
        <v>65.640999999974824</v>
      </c>
      <c r="H1039" s="450">
        <f t="shared" si="446"/>
        <v>23.466000000166623</v>
      </c>
      <c r="I1039" s="450">
        <f t="shared" si="446"/>
        <v>12.927000000203813</v>
      </c>
      <c r="J1039" s="450">
        <f t="shared" si="446"/>
        <v>102.03400000034526</v>
      </c>
      <c r="K1039" s="450"/>
      <c r="L1039" s="450">
        <f t="shared" ref="L1039:O1039" si="447">SUM(L1029:L1037)</f>
        <v>71.490999999789324</v>
      </c>
      <c r="M1039" s="450">
        <f t="shared" si="447"/>
        <v>25.229000000045389</v>
      </c>
      <c r="N1039" s="450">
        <f t="shared" si="447"/>
        <v>12.99200000011246</v>
      </c>
      <c r="O1039" s="450">
        <f t="shared" si="447"/>
        <v>109.7119999999472</v>
      </c>
    </row>
    <row r="1040" spans="1:15" s="351" customFormat="1" x14ac:dyDescent="0.25">
      <c r="A1040" s="348"/>
      <c r="B1040" s="348"/>
      <c r="C1040" s="348"/>
      <c r="D1040" s="348"/>
      <c r="E1040" s="348"/>
      <c r="F1040" s="348"/>
      <c r="G1040" s="348"/>
      <c r="H1040" s="348"/>
      <c r="I1040" s="348"/>
      <c r="J1040" s="348"/>
      <c r="K1040" s="348"/>
      <c r="L1040" s="348"/>
      <c r="M1040" s="348"/>
      <c r="N1040" s="353"/>
    </row>
    <row r="1041" spans="1:15" s="351" customFormat="1" x14ac:dyDescent="0.25">
      <c r="A1041" s="348"/>
      <c r="B1041" s="348"/>
      <c r="C1041" s="348"/>
      <c r="D1041" s="348"/>
      <c r="E1041" s="348"/>
      <c r="F1041" s="348"/>
      <c r="G1041" s="348"/>
      <c r="H1041" s="348"/>
      <c r="I1041" s="348"/>
      <c r="J1041" s="348"/>
      <c r="K1041" s="348"/>
      <c r="L1041" s="348"/>
      <c r="M1041" s="348"/>
      <c r="N1041" s="353"/>
      <c r="O1041" s="367" t="s">
        <v>35</v>
      </c>
    </row>
    <row r="1042" spans="1:15" s="351" customFormat="1" x14ac:dyDescent="0.25">
      <c r="A1042" s="355"/>
      <c r="B1042" s="355"/>
      <c r="C1042" s="355"/>
      <c r="D1042" s="355"/>
      <c r="E1042" s="355"/>
      <c r="F1042" s="355"/>
      <c r="G1042" s="355"/>
      <c r="H1042" s="355"/>
      <c r="I1042" s="355"/>
      <c r="J1042" s="355"/>
      <c r="K1042" s="355"/>
      <c r="L1042" s="355"/>
      <c r="M1042" s="355"/>
      <c r="N1042" s="355"/>
      <c r="O1042" s="355"/>
    </row>
    <row r="1043" spans="1:15" s="351" customFormat="1" x14ac:dyDescent="0.25">
      <c r="A1043" s="354" t="str">
        <f>name!A64</f>
        <v>Security, etc</v>
      </c>
      <c r="B1043" s="517">
        <f>$B$6</f>
        <v>2007</v>
      </c>
      <c r="C1043" s="517"/>
      <c r="D1043" s="517"/>
      <c r="E1043" s="517"/>
      <c r="F1043" s="380"/>
      <c r="G1043" s="517">
        <f>$G$6</f>
        <v>2017</v>
      </c>
      <c r="H1043" s="517"/>
      <c r="I1043" s="517"/>
      <c r="J1043" s="517"/>
      <c r="K1043" s="380"/>
      <c r="L1043" s="517">
        <f>$L$6</f>
        <v>2027</v>
      </c>
      <c r="M1043" s="517"/>
      <c r="N1043" s="517"/>
      <c r="O1043" s="517"/>
    </row>
    <row r="1044" spans="1:15" s="351" customFormat="1" x14ac:dyDescent="0.25">
      <c r="A1044" s="370"/>
      <c r="B1044" s="388" t="str">
        <f>$B$7</f>
        <v>FT</v>
      </c>
      <c r="C1044" s="388" t="str">
        <f>$C$7</f>
        <v>PT</v>
      </c>
      <c r="D1044" s="388" t="str">
        <f>$D$7</f>
        <v>SE</v>
      </c>
      <c r="E1044" s="388" t="str">
        <f>$E$7</f>
        <v>Total</v>
      </c>
      <c r="F1044" s="388"/>
      <c r="G1044" s="388" t="str">
        <f>$G$7</f>
        <v>FT</v>
      </c>
      <c r="H1044" s="388" t="str">
        <f>$H$7</f>
        <v>PT</v>
      </c>
      <c r="I1044" s="388" t="str">
        <f>$I$7</f>
        <v>SE</v>
      </c>
      <c r="J1044" s="388" t="str">
        <f>$J$7</f>
        <v>Total</v>
      </c>
      <c r="K1044" s="388"/>
      <c r="L1044" s="388" t="str">
        <f>$L$7</f>
        <v>FT</v>
      </c>
      <c r="M1044" s="388" t="str">
        <f>$M$7</f>
        <v>PT</v>
      </c>
      <c r="N1044" s="388" t="str">
        <f>$N$7</f>
        <v>SE</v>
      </c>
      <c r="O1044" s="388" t="str">
        <f>$O$7</f>
        <v>Total</v>
      </c>
    </row>
    <row r="1045" spans="1:15" s="351" customFormat="1" x14ac:dyDescent="0.25">
      <c r="A1045" s="374"/>
      <c r="B1045" s="350"/>
      <c r="C1045" s="350"/>
      <c r="D1045" s="350"/>
      <c r="E1045" s="350"/>
      <c r="F1045" s="350"/>
      <c r="G1045" s="350"/>
      <c r="H1045" s="350"/>
      <c r="I1045" s="350"/>
      <c r="J1045" s="350"/>
      <c r="K1045" s="350"/>
      <c r="L1045" s="350"/>
      <c r="M1045" s="350"/>
      <c r="N1045" s="350"/>
      <c r="O1045" s="350"/>
    </row>
    <row r="1046" spans="1:15" s="351" customFormat="1" x14ac:dyDescent="0.25">
      <c r="A1046" s="362" t="str">
        <f>name!E$4</f>
        <v>Managers, directors and senior officials</v>
      </c>
      <c r="B1046" s="440">
        <v>15.417140303417806</v>
      </c>
      <c r="C1046" s="440">
        <v>0.76771394299174256</v>
      </c>
      <c r="D1046" s="440">
        <v>3.774581681760389</v>
      </c>
      <c r="E1046" s="440">
        <f>SUM(B1046:D1046)</f>
        <v>19.959435928169938</v>
      </c>
      <c r="F1046" s="441"/>
      <c r="G1046" s="440">
        <v>15.01629812265927</v>
      </c>
      <c r="H1046" s="440">
        <v>2.0963808652774354</v>
      </c>
      <c r="I1046" s="440">
        <v>4.4524968596414611</v>
      </c>
      <c r="J1046" s="440">
        <f>SUM(G1046:I1046)</f>
        <v>21.565175847578164</v>
      </c>
      <c r="K1046" s="441"/>
      <c r="L1046" s="440">
        <v>17.205368805681001</v>
      </c>
      <c r="M1046" s="440">
        <v>2.4663540713788565</v>
      </c>
      <c r="N1046" s="440">
        <v>4.5407190516203375</v>
      </c>
      <c r="O1046" s="440">
        <f>SUM(L1046:N1046)</f>
        <v>24.212441928680192</v>
      </c>
    </row>
    <row r="1047" spans="1:15" s="351" customFormat="1" x14ac:dyDescent="0.25">
      <c r="A1047" s="362" t="str">
        <f>name!E$5</f>
        <v>Professional occupations</v>
      </c>
      <c r="B1047" s="440">
        <v>12.383304897675597</v>
      </c>
      <c r="C1047" s="440">
        <v>1.0860053447939026</v>
      </c>
      <c r="D1047" s="440">
        <v>1.0610238625658872</v>
      </c>
      <c r="E1047" s="440">
        <f t="shared" ref="E1047:E1054" si="448">SUM(B1047:D1047)</f>
        <v>14.530334105035386</v>
      </c>
      <c r="F1047" s="441"/>
      <c r="G1047" s="440">
        <v>15.28908934498476</v>
      </c>
      <c r="H1047" s="440">
        <v>2.3587722176486712</v>
      </c>
      <c r="I1047" s="440">
        <v>1.6629771843713246</v>
      </c>
      <c r="J1047" s="440">
        <f t="shared" ref="J1047:J1049" si="449">SUM(G1047:I1047)</f>
        <v>19.310838747004755</v>
      </c>
      <c r="K1047" s="441"/>
      <c r="L1047" s="440">
        <v>18.273455909575041</v>
      </c>
      <c r="M1047" s="440">
        <v>2.9372702797553512</v>
      </c>
      <c r="N1047" s="440">
        <v>1.515793605466601</v>
      </c>
      <c r="O1047" s="440">
        <f t="shared" ref="O1047:O1054" si="450">SUM(L1047:N1047)</f>
        <v>22.726519794796996</v>
      </c>
    </row>
    <row r="1048" spans="1:15" s="351" customFormat="1" x14ac:dyDescent="0.25">
      <c r="A1048" s="362" t="str">
        <f>name!E$6</f>
        <v>Associate professional and technical</v>
      </c>
      <c r="B1048" s="440">
        <v>31.268573451698138</v>
      </c>
      <c r="C1048" s="440">
        <v>1.6125531195947547</v>
      </c>
      <c r="D1048" s="440">
        <v>4.4727672037888642</v>
      </c>
      <c r="E1048" s="440">
        <f t="shared" si="448"/>
        <v>37.353893775081758</v>
      </c>
      <c r="F1048" s="441"/>
      <c r="G1048" s="440">
        <v>29.494949269933066</v>
      </c>
      <c r="H1048" s="440">
        <v>3.214837455144631</v>
      </c>
      <c r="I1048" s="440">
        <v>6.806814958430671</v>
      </c>
      <c r="J1048" s="440">
        <f t="shared" si="449"/>
        <v>39.51660168350837</v>
      </c>
      <c r="K1048" s="441"/>
      <c r="L1048" s="440">
        <v>32.00312473016276</v>
      </c>
      <c r="M1048" s="440">
        <v>3.9715001511772132</v>
      </c>
      <c r="N1048" s="440">
        <v>6.3694579669739193</v>
      </c>
      <c r="O1048" s="440">
        <f t="shared" si="450"/>
        <v>42.344082848313889</v>
      </c>
    </row>
    <row r="1049" spans="1:15" s="351" customFormat="1" x14ac:dyDescent="0.25">
      <c r="A1049" s="362" t="str">
        <f>name!E$7</f>
        <v>Administrative and secretarial</v>
      </c>
      <c r="B1049" s="440">
        <v>16.613824730964737</v>
      </c>
      <c r="C1049" s="440">
        <v>3.3624436962611961</v>
      </c>
      <c r="D1049" s="440">
        <v>0.35349622192400609</v>
      </c>
      <c r="E1049" s="440">
        <f t="shared" si="448"/>
        <v>20.329764649149936</v>
      </c>
      <c r="F1049" s="441"/>
      <c r="G1049" s="440">
        <v>14.24490296002044</v>
      </c>
      <c r="H1049" s="440">
        <v>4.3044630140321276</v>
      </c>
      <c r="I1049" s="440">
        <v>0.71363796174590732</v>
      </c>
      <c r="J1049" s="440">
        <f t="shared" si="449"/>
        <v>19.263003935798473</v>
      </c>
      <c r="K1049" s="441"/>
      <c r="L1049" s="440">
        <v>13.008493635751687</v>
      </c>
      <c r="M1049" s="440">
        <v>4.1937325316014125</v>
      </c>
      <c r="N1049" s="440">
        <v>0.63083161085861594</v>
      </c>
      <c r="O1049" s="440">
        <f t="shared" si="450"/>
        <v>17.833057778211717</v>
      </c>
    </row>
    <row r="1050" spans="1:15" s="351" customFormat="1" x14ac:dyDescent="0.25">
      <c r="A1050" s="362" t="str">
        <f>name!E$8</f>
        <v>Skilled trades occupations</v>
      </c>
      <c r="B1050" s="440">
        <v>7.3070965788175588</v>
      </c>
      <c r="C1050" s="440">
        <v>0.47580084533620093</v>
      </c>
      <c r="D1050" s="440">
        <v>1.9320114783969125</v>
      </c>
      <c r="E1050" s="440">
        <f t="shared" si="448"/>
        <v>9.7149089025506719</v>
      </c>
      <c r="F1050" s="441"/>
      <c r="G1050" s="440">
        <v>4.3589933934808336</v>
      </c>
      <c r="H1050" s="440">
        <v>0.79851083620009888</v>
      </c>
      <c r="I1050" s="440">
        <v>2.4473053227379733</v>
      </c>
      <c r="J1050" s="440">
        <f>SUM(G1050:I1050)</f>
        <v>7.6048095524189057</v>
      </c>
      <c r="K1050" s="441"/>
      <c r="L1050" s="440">
        <v>4.1377133707420155</v>
      </c>
      <c r="M1050" s="440">
        <v>0.79729193327031178</v>
      </c>
      <c r="N1050" s="440">
        <v>2.0735184972469476</v>
      </c>
      <c r="O1050" s="440">
        <f t="shared" si="450"/>
        <v>7.0085238012592752</v>
      </c>
    </row>
    <row r="1051" spans="1:15" s="351" customFormat="1" x14ac:dyDescent="0.25">
      <c r="A1051" s="362" t="str">
        <f>name!E$9</f>
        <v>Caring, leisure and other service</v>
      </c>
      <c r="B1051" s="440">
        <v>4.8022881316204034</v>
      </c>
      <c r="C1051" s="440">
        <v>1.1467440456305198</v>
      </c>
      <c r="D1051" s="440">
        <v>0.44559778184544147</v>
      </c>
      <c r="E1051" s="440">
        <f t="shared" si="448"/>
        <v>6.3946299590963642</v>
      </c>
      <c r="F1051" s="441"/>
      <c r="G1051" s="440">
        <v>5.6484362465549944</v>
      </c>
      <c r="H1051" s="440">
        <v>3.7371401937117108</v>
      </c>
      <c r="I1051" s="440">
        <v>1.7135091293393581</v>
      </c>
      <c r="J1051" s="440">
        <f t="shared" ref="J1051:J1054" si="451">SUM(G1051:I1051)</f>
        <v>11.099085569606064</v>
      </c>
      <c r="K1051" s="441"/>
      <c r="L1051" s="440">
        <v>6.669482424800333</v>
      </c>
      <c r="M1051" s="440">
        <v>4.7971613927194046</v>
      </c>
      <c r="N1051" s="440">
        <v>1.6220293890309454</v>
      </c>
      <c r="O1051" s="440">
        <f t="shared" si="450"/>
        <v>13.088673206550684</v>
      </c>
    </row>
    <row r="1052" spans="1:15" s="351" customFormat="1" x14ac:dyDescent="0.25">
      <c r="A1052" s="362" t="str">
        <f>name!E$10</f>
        <v>Sales and customer service</v>
      </c>
      <c r="B1052" s="440">
        <v>8.3933773816111028</v>
      </c>
      <c r="C1052" s="440">
        <v>1.9537955306897106</v>
      </c>
      <c r="D1052" s="440">
        <v>0.44065397556648511</v>
      </c>
      <c r="E1052" s="440">
        <f t="shared" si="448"/>
        <v>10.787826887867299</v>
      </c>
      <c r="F1052" s="441"/>
      <c r="G1052" s="440">
        <v>11.820403444631708</v>
      </c>
      <c r="H1052" s="440">
        <v>3.3260046213033894</v>
      </c>
      <c r="I1052" s="440">
        <v>0.32973229016284245</v>
      </c>
      <c r="J1052" s="440">
        <f t="shared" si="451"/>
        <v>15.476140356097941</v>
      </c>
      <c r="K1052" s="441"/>
      <c r="L1052" s="440">
        <v>12.568065585031578</v>
      </c>
      <c r="M1052" s="440">
        <v>3.6391727628125992</v>
      </c>
      <c r="N1052" s="440">
        <v>0.30432452948664035</v>
      </c>
      <c r="O1052" s="440">
        <f t="shared" si="450"/>
        <v>16.511562877330814</v>
      </c>
    </row>
    <row r="1053" spans="1:15" s="351" customFormat="1" x14ac:dyDescent="0.25">
      <c r="A1053" s="362" t="str">
        <f>name!E$11</f>
        <v>Process, plant and machine operatives</v>
      </c>
      <c r="B1053" s="440">
        <v>8.1579491024051549</v>
      </c>
      <c r="C1053" s="440">
        <v>1.2497395850368034</v>
      </c>
      <c r="D1053" s="440">
        <v>0.51512845814399422</v>
      </c>
      <c r="E1053" s="440">
        <f t="shared" si="448"/>
        <v>9.9228171455859524</v>
      </c>
      <c r="F1053" s="441"/>
      <c r="G1053" s="440">
        <v>5.0678756619596372</v>
      </c>
      <c r="H1053" s="440">
        <v>2.3345419349192809</v>
      </c>
      <c r="I1053" s="440">
        <v>0.476410422046808</v>
      </c>
      <c r="J1053" s="440">
        <f t="shared" si="451"/>
        <v>7.8788280189257254</v>
      </c>
      <c r="K1053" s="441"/>
      <c r="L1053" s="440">
        <v>5.1459501765307643</v>
      </c>
      <c r="M1053" s="440">
        <v>2.1946913319172454</v>
      </c>
      <c r="N1053" s="440">
        <v>0.34757956565921028</v>
      </c>
      <c r="O1053" s="440">
        <f t="shared" si="450"/>
        <v>7.6882210741072203</v>
      </c>
    </row>
    <row r="1054" spans="1:15" s="351" customFormat="1" x14ac:dyDescent="0.25">
      <c r="A1054" s="362" t="str">
        <f>name!E$12</f>
        <v>Elementary occupations</v>
      </c>
      <c r="B1054" s="440">
        <v>40.152445421035225</v>
      </c>
      <c r="C1054" s="440">
        <v>17.685203889600601</v>
      </c>
      <c r="D1054" s="440">
        <v>5.1677393358907944</v>
      </c>
      <c r="E1054" s="440">
        <f t="shared" si="448"/>
        <v>63.005388646526619</v>
      </c>
      <c r="F1054" s="441"/>
      <c r="G1054" s="440">
        <v>38.036051555682143</v>
      </c>
      <c r="H1054" s="440">
        <v>22.890348861902833</v>
      </c>
      <c r="I1054" s="440">
        <v>6.5641158713738603</v>
      </c>
      <c r="J1054" s="440">
        <f t="shared" si="451"/>
        <v>67.49051628895883</v>
      </c>
      <c r="K1054" s="441"/>
      <c r="L1054" s="440">
        <v>42.231345361424516</v>
      </c>
      <c r="M1054" s="440">
        <v>23.441825545333359</v>
      </c>
      <c r="N1054" s="440">
        <v>6.5387457834260276</v>
      </c>
      <c r="O1054" s="440">
        <f t="shared" si="450"/>
        <v>72.211916690183898</v>
      </c>
    </row>
    <row r="1055" spans="1:15" s="351" customFormat="1" x14ac:dyDescent="0.25">
      <c r="A1055" s="362"/>
      <c r="B1055" s="440"/>
      <c r="C1055" s="440"/>
      <c r="D1055" s="440"/>
      <c r="E1055" s="440"/>
      <c r="F1055" s="441"/>
      <c r="G1055" s="440"/>
      <c r="H1055" s="440"/>
      <c r="I1055" s="440"/>
      <c r="J1055" s="440"/>
      <c r="K1055" s="441"/>
      <c r="L1055" s="440"/>
      <c r="M1055" s="440"/>
      <c r="N1055" s="440"/>
      <c r="O1055" s="440"/>
    </row>
    <row r="1056" spans="1:15" s="351" customFormat="1" x14ac:dyDescent="0.25">
      <c r="A1056" s="357" t="s">
        <v>32</v>
      </c>
      <c r="B1056" s="450">
        <f>SUM(B1046:B1054)</f>
        <v>144.49599999924573</v>
      </c>
      <c r="C1056" s="450">
        <f t="shared" ref="C1056:E1056" si="452">SUM(C1046:C1054)</f>
        <v>29.339999999935429</v>
      </c>
      <c r="D1056" s="450">
        <f t="shared" si="452"/>
        <v>18.162999999882775</v>
      </c>
      <c r="E1056" s="450">
        <f t="shared" si="452"/>
        <v>191.99899999906393</v>
      </c>
      <c r="F1056" s="450"/>
      <c r="G1056" s="450">
        <f t="shared" ref="G1056:J1056" si="453">SUM(G1046:G1054)</f>
        <v>138.97699999990684</v>
      </c>
      <c r="H1056" s="450">
        <f t="shared" si="453"/>
        <v>45.061000000140183</v>
      </c>
      <c r="I1056" s="450">
        <f t="shared" si="453"/>
        <v>25.166999999850205</v>
      </c>
      <c r="J1056" s="450">
        <f t="shared" si="453"/>
        <v>209.20499999989721</v>
      </c>
      <c r="K1056" s="450"/>
      <c r="L1056" s="450">
        <f t="shared" ref="L1056:O1056" si="454">SUM(L1046:L1054)</f>
        <v>151.24299999969969</v>
      </c>
      <c r="M1056" s="450">
        <f t="shared" si="454"/>
        <v>48.438999999965752</v>
      </c>
      <c r="N1056" s="450">
        <f t="shared" si="454"/>
        <v>23.942999999769242</v>
      </c>
      <c r="O1056" s="450">
        <f t="shared" si="454"/>
        <v>223.62499999943466</v>
      </c>
    </row>
    <row r="1057" spans="1:15" s="351" customFormat="1" x14ac:dyDescent="0.25">
      <c r="A1057" s="348"/>
      <c r="B1057" s="348"/>
      <c r="C1057" s="348"/>
      <c r="D1057" s="348"/>
      <c r="E1057" s="348"/>
      <c r="F1057" s="348"/>
      <c r="G1057" s="348"/>
      <c r="H1057" s="348"/>
      <c r="I1057" s="348"/>
      <c r="J1057" s="348"/>
      <c r="K1057" s="348"/>
      <c r="L1057" s="348"/>
      <c r="M1057" s="348"/>
      <c r="N1057" s="353"/>
    </row>
    <row r="1058" spans="1:15" s="351" customFormat="1" x14ac:dyDescent="0.25">
      <c r="A1058" s="348"/>
      <c r="B1058" s="348"/>
      <c r="C1058" s="348"/>
      <c r="D1058" s="348"/>
      <c r="E1058" s="348"/>
      <c r="F1058" s="348"/>
      <c r="G1058" s="348"/>
      <c r="H1058" s="348"/>
      <c r="I1058" s="348"/>
      <c r="J1058" s="348"/>
      <c r="K1058" s="348"/>
      <c r="L1058" s="348"/>
      <c r="M1058" s="348"/>
      <c r="N1058" s="353"/>
      <c r="O1058" s="367" t="s">
        <v>35</v>
      </c>
    </row>
    <row r="1059" spans="1:15" s="351" customFormat="1" x14ac:dyDescent="0.25">
      <c r="A1059" s="355"/>
      <c r="B1059" s="355"/>
      <c r="C1059" s="355"/>
      <c r="D1059" s="355"/>
      <c r="E1059" s="355"/>
      <c r="F1059" s="355"/>
      <c r="G1059" s="355"/>
      <c r="H1059" s="355"/>
      <c r="I1059" s="355"/>
      <c r="J1059" s="355"/>
      <c r="K1059" s="355"/>
      <c r="L1059" s="355"/>
      <c r="M1059" s="355"/>
      <c r="N1059" s="355"/>
      <c r="O1059" s="355"/>
    </row>
    <row r="1060" spans="1:15" s="351" customFormat="1" x14ac:dyDescent="0.25">
      <c r="A1060" s="354" t="str">
        <f>name!A65</f>
        <v>Services to buildings</v>
      </c>
      <c r="B1060" s="517">
        <f>$B$6</f>
        <v>2007</v>
      </c>
      <c r="C1060" s="517"/>
      <c r="D1060" s="517"/>
      <c r="E1060" s="517"/>
      <c r="F1060" s="380"/>
      <c r="G1060" s="517">
        <f>$G$6</f>
        <v>2017</v>
      </c>
      <c r="H1060" s="517"/>
      <c r="I1060" s="517"/>
      <c r="J1060" s="517"/>
      <c r="K1060" s="380"/>
      <c r="L1060" s="517">
        <f>$L$6</f>
        <v>2027</v>
      </c>
      <c r="M1060" s="517"/>
      <c r="N1060" s="517"/>
      <c r="O1060" s="517"/>
    </row>
    <row r="1061" spans="1:15" s="351" customFormat="1" x14ac:dyDescent="0.25">
      <c r="A1061" s="370"/>
      <c r="B1061" s="388" t="str">
        <f>$B$7</f>
        <v>FT</v>
      </c>
      <c r="C1061" s="388" t="str">
        <f>$C$7</f>
        <v>PT</v>
      </c>
      <c r="D1061" s="388" t="str">
        <f>$D$7</f>
        <v>SE</v>
      </c>
      <c r="E1061" s="388" t="str">
        <f>$E$7</f>
        <v>Total</v>
      </c>
      <c r="F1061" s="388"/>
      <c r="G1061" s="388" t="str">
        <f>$G$7</f>
        <v>FT</v>
      </c>
      <c r="H1061" s="388" t="str">
        <f>$H$7</f>
        <v>PT</v>
      </c>
      <c r="I1061" s="388" t="str">
        <f>$I$7</f>
        <v>SE</v>
      </c>
      <c r="J1061" s="388" t="str">
        <f>$J$7</f>
        <v>Total</v>
      </c>
      <c r="K1061" s="388"/>
      <c r="L1061" s="388" t="str">
        <f>$L$7</f>
        <v>FT</v>
      </c>
      <c r="M1061" s="388" t="str">
        <f>$M$7</f>
        <v>PT</v>
      </c>
      <c r="N1061" s="388" t="str">
        <f>$N$7</f>
        <v>SE</v>
      </c>
      <c r="O1061" s="388" t="str">
        <f>$O$7</f>
        <v>Total</v>
      </c>
    </row>
    <row r="1062" spans="1:15" s="351" customFormat="1" x14ac:dyDescent="0.25">
      <c r="A1062" s="374"/>
      <c r="B1062" s="350"/>
      <c r="C1062" s="350"/>
      <c r="D1062" s="350"/>
      <c r="E1062" s="350"/>
      <c r="F1062" s="350"/>
      <c r="G1062" s="350"/>
      <c r="H1062" s="350"/>
      <c r="I1062" s="350"/>
      <c r="J1062" s="350"/>
      <c r="K1062" s="350"/>
      <c r="L1062" s="350"/>
      <c r="M1062" s="350"/>
      <c r="N1062" s="350"/>
      <c r="O1062" s="350"/>
    </row>
    <row r="1063" spans="1:15" s="351" customFormat="1" x14ac:dyDescent="0.25">
      <c r="A1063" s="362" t="str">
        <f>name!E$4</f>
        <v>Managers, directors and senior officials</v>
      </c>
      <c r="B1063" s="440">
        <v>28.558649221277797</v>
      </c>
      <c r="C1063" s="440">
        <v>10.334562620127054</v>
      </c>
      <c r="D1063" s="440">
        <v>13.094771331867031</v>
      </c>
      <c r="E1063" s="440">
        <f>SUM(B1063:D1063)</f>
        <v>51.987983173271878</v>
      </c>
      <c r="F1063" s="441"/>
      <c r="G1063" s="440">
        <v>40.181777496853748</v>
      </c>
      <c r="H1063" s="440">
        <v>20.087123036693818</v>
      </c>
      <c r="I1063" s="440">
        <v>20.309595397584054</v>
      </c>
      <c r="J1063" s="440">
        <f>SUM(G1063:I1063)</f>
        <v>80.578495931131613</v>
      </c>
      <c r="K1063" s="441"/>
      <c r="L1063" s="440">
        <v>45.943979122020174</v>
      </c>
      <c r="M1063" s="440">
        <v>25.589169308750641</v>
      </c>
      <c r="N1063" s="440">
        <v>20.928829769169873</v>
      </c>
      <c r="O1063" s="440">
        <f>SUM(L1063:N1063)</f>
        <v>92.461978199940688</v>
      </c>
    </row>
    <row r="1064" spans="1:15" s="351" customFormat="1" x14ac:dyDescent="0.25">
      <c r="A1064" s="362" t="str">
        <f>name!E$5</f>
        <v>Professional occupations</v>
      </c>
      <c r="B1064" s="440">
        <v>35.846122798717943</v>
      </c>
      <c r="C1064" s="440">
        <v>19.719529539474458</v>
      </c>
      <c r="D1064" s="440">
        <v>3.2482827129798633</v>
      </c>
      <c r="E1064" s="440">
        <f t="shared" ref="E1064:E1071" si="455">SUM(B1064:D1064)</f>
        <v>58.813935051172265</v>
      </c>
      <c r="F1064" s="441"/>
      <c r="G1064" s="440">
        <v>48.465289579516465</v>
      </c>
      <c r="H1064" s="440">
        <v>31.044636208562792</v>
      </c>
      <c r="I1064" s="440">
        <v>5.668564403617907</v>
      </c>
      <c r="J1064" s="440">
        <f t="shared" ref="J1064:J1066" si="456">SUM(G1064:I1064)</f>
        <v>85.178490191697165</v>
      </c>
      <c r="K1064" s="441"/>
      <c r="L1064" s="440">
        <v>56.846913862757233</v>
      </c>
      <c r="M1064" s="440">
        <v>40.149550828296931</v>
      </c>
      <c r="N1064" s="440">
        <v>5.8680919109572205</v>
      </c>
      <c r="O1064" s="440">
        <f t="shared" ref="O1064:O1071" si="457">SUM(L1064:N1064)</f>
        <v>102.86455660201139</v>
      </c>
    </row>
    <row r="1065" spans="1:15" s="351" customFormat="1" x14ac:dyDescent="0.25">
      <c r="A1065" s="362" t="str">
        <f>name!E$6</f>
        <v>Associate professional and technical</v>
      </c>
      <c r="B1065" s="440">
        <v>66.726897297450222</v>
      </c>
      <c r="C1065" s="440">
        <v>24.296357852726658</v>
      </c>
      <c r="D1065" s="440">
        <v>10.574028258107063</v>
      </c>
      <c r="E1065" s="440">
        <f t="shared" si="455"/>
        <v>101.59728340828394</v>
      </c>
      <c r="F1065" s="441"/>
      <c r="G1065" s="440">
        <v>68.244507202109531</v>
      </c>
      <c r="H1065" s="440">
        <v>35.484768823154489</v>
      </c>
      <c r="I1065" s="440">
        <v>18.225095879709009</v>
      </c>
      <c r="J1065" s="440">
        <f t="shared" si="456"/>
        <v>121.95437190497304</v>
      </c>
      <c r="K1065" s="441"/>
      <c r="L1065" s="440">
        <v>75.541719785750928</v>
      </c>
      <c r="M1065" s="440">
        <v>45.289084154351436</v>
      </c>
      <c r="N1065" s="440">
        <v>17.664805553344301</v>
      </c>
      <c r="O1065" s="440">
        <f t="shared" si="457"/>
        <v>138.49560949344666</v>
      </c>
    </row>
    <row r="1066" spans="1:15" s="351" customFormat="1" x14ac:dyDescent="0.25">
      <c r="A1066" s="362" t="str">
        <f>name!E$7</f>
        <v>Administrative and secretarial</v>
      </c>
      <c r="B1066" s="440">
        <v>55.647167281579954</v>
      </c>
      <c r="C1066" s="440">
        <v>69.952349121305573</v>
      </c>
      <c r="D1066" s="440">
        <v>1.9007379397259065</v>
      </c>
      <c r="E1066" s="440">
        <f t="shared" si="455"/>
        <v>127.50025434261143</v>
      </c>
      <c r="F1066" s="441"/>
      <c r="G1066" s="440">
        <v>50.858427889950207</v>
      </c>
      <c r="H1066" s="440">
        <v>70.246632031263346</v>
      </c>
      <c r="I1066" s="440">
        <v>4.2232004718968694</v>
      </c>
      <c r="J1066" s="440">
        <f t="shared" si="456"/>
        <v>125.32826039311043</v>
      </c>
      <c r="K1066" s="441"/>
      <c r="L1066" s="440">
        <v>41.224739131010942</v>
      </c>
      <c r="M1066" s="440">
        <v>67.472924992979983</v>
      </c>
      <c r="N1066" s="440">
        <v>3.6304359103284995</v>
      </c>
      <c r="O1066" s="440">
        <f t="shared" si="457"/>
        <v>112.32810003431943</v>
      </c>
    </row>
    <row r="1067" spans="1:15" s="351" customFormat="1" x14ac:dyDescent="0.25">
      <c r="A1067" s="362" t="str">
        <f>name!E$8</f>
        <v>Skilled trades occupations</v>
      </c>
      <c r="B1067" s="440">
        <v>10.537416984033031</v>
      </c>
      <c r="C1067" s="440">
        <v>3.9886493702491852</v>
      </c>
      <c r="D1067" s="440">
        <v>5.5840134159533577</v>
      </c>
      <c r="E1067" s="440">
        <f t="shared" si="455"/>
        <v>20.110079770235572</v>
      </c>
      <c r="F1067" s="441"/>
      <c r="G1067" s="440">
        <v>9.5739118451210956</v>
      </c>
      <c r="H1067" s="440">
        <v>4.9552487482663583</v>
      </c>
      <c r="I1067" s="440">
        <v>7.8586841585383427</v>
      </c>
      <c r="J1067" s="440">
        <f>SUM(G1067:I1067)</f>
        <v>22.387844751925797</v>
      </c>
      <c r="K1067" s="441"/>
      <c r="L1067" s="440">
        <v>9.6007312599059382</v>
      </c>
      <c r="M1067" s="440">
        <v>6.072183573059819</v>
      </c>
      <c r="N1067" s="440">
        <v>8.2467189035080235</v>
      </c>
      <c r="O1067" s="440">
        <f t="shared" si="457"/>
        <v>23.919633736473781</v>
      </c>
    </row>
    <row r="1068" spans="1:15" s="351" customFormat="1" x14ac:dyDescent="0.25">
      <c r="A1068" s="362" t="str">
        <f>name!E$9</f>
        <v>Caring, leisure and other service</v>
      </c>
      <c r="B1068" s="440">
        <v>20.977437367369539</v>
      </c>
      <c r="C1068" s="440">
        <v>20.918800250633755</v>
      </c>
      <c r="D1068" s="440">
        <v>1.535780785477322</v>
      </c>
      <c r="E1068" s="440">
        <f t="shared" si="455"/>
        <v>43.432018403480619</v>
      </c>
      <c r="F1068" s="441"/>
      <c r="G1068" s="440">
        <v>29.208047014998538</v>
      </c>
      <c r="H1068" s="440">
        <v>43.363079365272206</v>
      </c>
      <c r="I1068" s="440">
        <v>6.0979128324568315</v>
      </c>
      <c r="J1068" s="440">
        <f t="shared" ref="J1068:J1071" si="458">SUM(G1068:I1068)</f>
        <v>78.669039212727569</v>
      </c>
      <c r="K1068" s="441"/>
      <c r="L1068" s="440">
        <v>35.096588806838625</v>
      </c>
      <c r="M1068" s="440">
        <v>54.327163796396192</v>
      </c>
      <c r="N1068" s="440">
        <v>5.8170883089763397</v>
      </c>
      <c r="O1068" s="440">
        <f t="shared" si="457"/>
        <v>95.240840912211155</v>
      </c>
    </row>
    <row r="1069" spans="1:15" s="351" customFormat="1" x14ac:dyDescent="0.25">
      <c r="A1069" s="362" t="str">
        <f>name!E$10</f>
        <v>Sales and customer service</v>
      </c>
      <c r="B1069" s="440">
        <v>19.250770235523255</v>
      </c>
      <c r="C1069" s="440">
        <v>24.974685619457379</v>
      </c>
      <c r="D1069" s="440">
        <v>1.0410971167507801</v>
      </c>
      <c r="E1069" s="440">
        <f t="shared" si="455"/>
        <v>45.266552971731414</v>
      </c>
      <c r="F1069" s="441"/>
      <c r="G1069" s="440">
        <v>31.573223745554809</v>
      </c>
      <c r="H1069" s="440">
        <v>28.776797112011053</v>
      </c>
      <c r="I1069" s="440">
        <v>1.4494527210781611</v>
      </c>
      <c r="J1069" s="440">
        <f t="shared" si="458"/>
        <v>61.799473578644026</v>
      </c>
      <c r="K1069" s="441"/>
      <c r="L1069" s="440">
        <v>31.421349180371319</v>
      </c>
      <c r="M1069" s="440">
        <v>35.609304050727339</v>
      </c>
      <c r="N1069" s="440">
        <v>1.3117556094889471</v>
      </c>
      <c r="O1069" s="440">
        <f t="shared" si="457"/>
        <v>68.342408840587595</v>
      </c>
    </row>
    <row r="1070" spans="1:15" s="351" customFormat="1" x14ac:dyDescent="0.25">
      <c r="A1070" s="362" t="str">
        <f>name!E$11</f>
        <v>Process, plant and machine operatives</v>
      </c>
      <c r="B1070" s="440">
        <v>11.340238115048974</v>
      </c>
      <c r="C1070" s="440">
        <v>5.6041116140422673</v>
      </c>
      <c r="D1070" s="440">
        <v>0.87164582794713552</v>
      </c>
      <c r="E1070" s="440">
        <f t="shared" si="455"/>
        <v>17.815995557038377</v>
      </c>
      <c r="F1070" s="441"/>
      <c r="G1070" s="440">
        <v>9.1397531487281043</v>
      </c>
      <c r="H1070" s="440">
        <v>6.8938216992816148</v>
      </c>
      <c r="I1070" s="440">
        <v>0.93495368688273384</v>
      </c>
      <c r="J1070" s="440">
        <f t="shared" si="458"/>
        <v>16.968528534892453</v>
      </c>
      <c r="K1070" s="441"/>
      <c r="L1070" s="440">
        <v>8.7062655148098234</v>
      </c>
      <c r="M1070" s="440">
        <v>6.347238115905605</v>
      </c>
      <c r="N1070" s="440">
        <v>0.74504532025513537</v>
      </c>
      <c r="O1070" s="440">
        <f t="shared" si="457"/>
        <v>15.798548950970565</v>
      </c>
    </row>
    <row r="1071" spans="1:15" s="351" customFormat="1" x14ac:dyDescent="0.25">
      <c r="A1071" s="362" t="str">
        <f>name!E$12</f>
        <v>Elementary occupations</v>
      </c>
      <c r="B1071" s="440">
        <v>58.179300697074154</v>
      </c>
      <c r="C1071" s="440">
        <v>192.06495401298139</v>
      </c>
      <c r="D1071" s="440">
        <v>11.375642611105958</v>
      </c>
      <c r="E1071" s="440">
        <f t="shared" si="455"/>
        <v>261.61989732116149</v>
      </c>
      <c r="F1071" s="441"/>
      <c r="G1071" s="440">
        <v>64.337062076537293</v>
      </c>
      <c r="H1071" s="440">
        <v>168.55489297799545</v>
      </c>
      <c r="I1071" s="440">
        <v>21.652540448475012</v>
      </c>
      <c r="J1071" s="440">
        <f t="shared" si="458"/>
        <v>254.54449550300774</v>
      </c>
      <c r="K1071" s="441"/>
      <c r="L1071" s="440">
        <v>68.653713335038432</v>
      </c>
      <c r="M1071" s="440">
        <v>155.52038117991285</v>
      </c>
      <c r="N1071" s="440">
        <v>21.227228714341106</v>
      </c>
      <c r="O1071" s="440">
        <f t="shared" si="457"/>
        <v>245.40132322929236</v>
      </c>
    </row>
    <row r="1072" spans="1:15" s="351" customFormat="1" x14ac:dyDescent="0.25">
      <c r="A1072" s="362"/>
      <c r="B1072" s="440"/>
      <c r="C1072" s="440"/>
      <c r="D1072" s="440"/>
      <c r="E1072" s="440"/>
      <c r="F1072" s="441"/>
      <c r="G1072" s="440"/>
      <c r="H1072" s="440"/>
      <c r="I1072" s="440"/>
      <c r="J1072" s="440"/>
      <c r="K1072" s="441"/>
      <c r="L1072" s="440"/>
      <c r="M1072" s="440"/>
      <c r="N1072" s="440"/>
      <c r="O1072" s="440"/>
    </row>
    <row r="1073" spans="1:15" s="351" customFormat="1" x14ac:dyDescent="0.25">
      <c r="A1073" s="357" t="s">
        <v>32</v>
      </c>
      <c r="B1073" s="450">
        <f>SUM(B1063:B1071)</f>
        <v>307.06399999807485</v>
      </c>
      <c r="C1073" s="450">
        <f t="shared" ref="C1073:E1073" si="459">SUM(C1063:C1071)</f>
        <v>371.8540000009977</v>
      </c>
      <c r="D1073" s="450">
        <f t="shared" si="459"/>
        <v>49.225999999914414</v>
      </c>
      <c r="E1073" s="450">
        <f t="shared" si="459"/>
        <v>728.14399999898706</v>
      </c>
      <c r="F1073" s="450"/>
      <c r="G1073" s="450">
        <f t="shared" ref="G1073:J1073" si="460">SUM(G1063:G1071)</f>
        <v>351.58199999936977</v>
      </c>
      <c r="H1073" s="450">
        <f t="shared" si="460"/>
        <v>409.40700000250115</v>
      </c>
      <c r="I1073" s="450">
        <f t="shared" si="460"/>
        <v>86.420000000238915</v>
      </c>
      <c r="J1073" s="450">
        <f t="shared" si="460"/>
        <v>847.40900000210979</v>
      </c>
      <c r="K1073" s="450"/>
      <c r="L1073" s="450">
        <f t="shared" ref="L1073:O1073" si="461">SUM(L1063:L1071)</f>
        <v>373.03599999850343</v>
      </c>
      <c r="M1073" s="450">
        <f t="shared" si="461"/>
        <v>436.3770000003808</v>
      </c>
      <c r="N1073" s="450">
        <f t="shared" si="461"/>
        <v>85.440000000369452</v>
      </c>
      <c r="O1073" s="450">
        <f t="shared" si="461"/>
        <v>894.8529999992536</v>
      </c>
    </row>
    <row r="1074" spans="1:15" s="351" customFormat="1" x14ac:dyDescent="0.25">
      <c r="A1074" s="348"/>
      <c r="B1074" s="348"/>
      <c r="C1074" s="348"/>
      <c r="D1074" s="348"/>
      <c r="E1074" s="348"/>
      <c r="F1074" s="348"/>
      <c r="G1074" s="348"/>
      <c r="H1074" s="348"/>
      <c r="I1074" s="348"/>
      <c r="J1074" s="348"/>
      <c r="K1074" s="348"/>
      <c r="L1074" s="348"/>
      <c r="M1074" s="348"/>
      <c r="N1074" s="353"/>
    </row>
    <row r="1075" spans="1:15" s="351" customFormat="1" x14ac:dyDescent="0.25">
      <c r="A1075" s="348"/>
      <c r="B1075" s="348"/>
      <c r="C1075" s="348"/>
      <c r="D1075" s="348"/>
      <c r="E1075" s="348"/>
      <c r="F1075" s="348"/>
      <c r="G1075" s="348"/>
      <c r="H1075" s="348"/>
      <c r="I1075" s="348"/>
      <c r="J1075" s="348"/>
      <c r="K1075" s="348"/>
      <c r="L1075" s="348"/>
      <c r="M1075" s="348"/>
      <c r="N1075" s="353"/>
      <c r="O1075" s="367" t="s">
        <v>35</v>
      </c>
    </row>
    <row r="1076" spans="1:15" s="351" customFormat="1" x14ac:dyDescent="0.25">
      <c r="A1076" s="355"/>
      <c r="B1076" s="355"/>
      <c r="C1076" s="355"/>
      <c r="D1076" s="355"/>
      <c r="E1076" s="355"/>
      <c r="F1076" s="355"/>
      <c r="G1076" s="355"/>
      <c r="H1076" s="355"/>
      <c r="I1076" s="355"/>
      <c r="J1076" s="355"/>
      <c r="K1076" s="355"/>
      <c r="L1076" s="355"/>
      <c r="M1076" s="355"/>
      <c r="N1076" s="355"/>
      <c r="O1076" s="355"/>
    </row>
    <row r="1077" spans="1:15" s="351" customFormat="1" x14ac:dyDescent="0.25">
      <c r="A1077" s="354" t="str">
        <f>name!A66</f>
        <v>Office administrative</v>
      </c>
      <c r="B1077" s="517">
        <f>$B$6</f>
        <v>2007</v>
      </c>
      <c r="C1077" s="517"/>
      <c r="D1077" s="517"/>
      <c r="E1077" s="517"/>
      <c r="F1077" s="380"/>
      <c r="G1077" s="517">
        <f>$G$6</f>
        <v>2017</v>
      </c>
      <c r="H1077" s="517"/>
      <c r="I1077" s="517"/>
      <c r="J1077" s="517"/>
      <c r="K1077" s="380"/>
      <c r="L1077" s="517">
        <f>$L$6</f>
        <v>2027</v>
      </c>
      <c r="M1077" s="517"/>
      <c r="N1077" s="517"/>
      <c r="O1077" s="517"/>
    </row>
    <row r="1078" spans="1:15" s="351" customFormat="1" x14ac:dyDescent="0.25">
      <c r="A1078" s="370"/>
      <c r="B1078" s="388" t="str">
        <f>$B$7</f>
        <v>FT</v>
      </c>
      <c r="C1078" s="388" t="str">
        <f>$C$7</f>
        <v>PT</v>
      </c>
      <c r="D1078" s="388" t="str">
        <f>$D$7</f>
        <v>SE</v>
      </c>
      <c r="E1078" s="388" t="str">
        <f>$E$7</f>
        <v>Total</v>
      </c>
      <c r="F1078" s="388"/>
      <c r="G1078" s="388" t="str">
        <f>$G$7</f>
        <v>FT</v>
      </c>
      <c r="H1078" s="388" t="str">
        <f>$H$7</f>
        <v>PT</v>
      </c>
      <c r="I1078" s="388" t="str">
        <f>$I$7</f>
        <v>SE</v>
      </c>
      <c r="J1078" s="388" t="str">
        <f>$J$7</f>
        <v>Total</v>
      </c>
      <c r="K1078" s="388"/>
      <c r="L1078" s="388" t="str">
        <f>$L$7</f>
        <v>FT</v>
      </c>
      <c r="M1078" s="388" t="str">
        <f>$M$7</f>
        <v>PT</v>
      </c>
      <c r="N1078" s="388" t="str">
        <f>$N$7</f>
        <v>SE</v>
      </c>
      <c r="O1078" s="388" t="str">
        <f>$O$7</f>
        <v>Total</v>
      </c>
    </row>
    <row r="1079" spans="1:15" s="351" customFormat="1" x14ac:dyDescent="0.25">
      <c r="A1079" s="374"/>
      <c r="B1079" s="350"/>
      <c r="C1079" s="350"/>
      <c r="D1079" s="350"/>
      <c r="E1079" s="350"/>
      <c r="F1079" s="350"/>
      <c r="G1079" s="350"/>
      <c r="H1079" s="350"/>
      <c r="I1079" s="350"/>
      <c r="J1079" s="350"/>
      <c r="K1079" s="350"/>
      <c r="L1079" s="350"/>
      <c r="M1079" s="350"/>
      <c r="N1079" s="350"/>
      <c r="O1079" s="350"/>
    </row>
    <row r="1080" spans="1:15" s="351" customFormat="1" x14ac:dyDescent="0.25">
      <c r="A1080" s="362" t="str">
        <f>name!E$4</f>
        <v>Managers, directors and senior officials</v>
      </c>
      <c r="B1080" s="440">
        <v>27.37106357141279</v>
      </c>
      <c r="C1080" s="440">
        <v>2.0620086062758949</v>
      </c>
      <c r="D1080" s="440">
        <v>5.7416965135020801</v>
      </c>
      <c r="E1080" s="440">
        <f>SUM(B1080:D1080)</f>
        <v>35.174768691190764</v>
      </c>
      <c r="F1080" s="441"/>
      <c r="G1080" s="440">
        <v>39.931084573544396</v>
      </c>
      <c r="H1080" s="440">
        <v>5.5319884029750188</v>
      </c>
      <c r="I1080" s="440">
        <v>9.4019676898860425</v>
      </c>
      <c r="J1080" s="440">
        <f>SUM(G1080:I1080)</f>
        <v>54.865040666405456</v>
      </c>
      <c r="K1080" s="441"/>
      <c r="L1080" s="440">
        <v>45.737387622870614</v>
      </c>
      <c r="M1080" s="440">
        <v>6.6451362406844021</v>
      </c>
      <c r="N1080" s="440">
        <v>9.7400222531560789</v>
      </c>
      <c r="O1080" s="440">
        <f>SUM(L1080:N1080)</f>
        <v>62.122546116711092</v>
      </c>
    </row>
    <row r="1081" spans="1:15" s="351" customFormat="1" x14ac:dyDescent="0.25">
      <c r="A1081" s="362" t="str">
        <f>name!E$5</f>
        <v>Professional occupations</v>
      </c>
      <c r="B1081" s="440">
        <v>22.086103643400044</v>
      </c>
      <c r="C1081" s="440">
        <v>3.2281101214990784</v>
      </c>
      <c r="D1081" s="440">
        <v>1.7703341996138433</v>
      </c>
      <c r="E1081" s="440">
        <f t="shared" ref="E1081:E1088" si="462">SUM(B1081:D1081)</f>
        <v>27.084547964512964</v>
      </c>
      <c r="F1081" s="441"/>
      <c r="G1081" s="440">
        <v>40.980911838700102</v>
      </c>
      <c r="H1081" s="440">
        <v>7.0164747647076249</v>
      </c>
      <c r="I1081" s="440">
        <v>3.8745683970001945</v>
      </c>
      <c r="J1081" s="440">
        <f t="shared" ref="J1081:J1083" si="463">SUM(G1081:I1081)</f>
        <v>51.871955000407922</v>
      </c>
      <c r="K1081" s="441"/>
      <c r="L1081" s="440">
        <v>48.861757806251042</v>
      </c>
      <c r="M1081" s="440">
        <v>9.0005774440001929</v>
      </c>
      <c r="N1081" s="440">
        <v>3.9559744419955987</v>
      </c>
      <c r="O1081" s="440">
        <f t="shared" ref="O1081:O1088" si="464">SUM(L1081:N1081)</f>
        <v>61.818309692246835</v>
      </c>
    </row>
    <row r="1082" spans="1:15" s="351" customFormat="1" x14ac:dyDescent="0.25">
      <c r="A1082" s="362" t="str">
        <f>name!E$6</f>
        <v>Associate professional and technical</v>
      </c>
      <c r="B1082" s="440">
        <v>55.547885774037482</v>
      </c>
      <c r="C1082" s="440">
        <v>4.7615542758734053</v>
      </c>
      <c r="D1082" s="440">
        <v>8.4831141257163925</v>
      </c>
      <c r="E1082" s="440">
        <f t="shared" si="462"/>
        <v>68.792554175627288</v>
      </c>
      <c r="F1082" s="441"/>
      <c r="G1082" s="440">
        <v>78.195731515201061</v>
      </c>
      <c r="H1082" s="440">
        <v>9.2662777149543789</v>
      </c>
      <c r="I1082" s="440">
        <v>18.091460395832996</v>
      </c>
      <c r="J1082" s="440">
        <f t="shared" si="463"/>
        <v>105.55346962598844</v>
      </c>
      <c r="K1082" s="441"/>
      <c r="L1082" s="440">
        <v>84.730791786985648</v>
      </c>
      <c r="M1082" s="440">
        <v>11.665589004059642</v>
      </c>
      <c r="N1082" s="440">
        <v>17.84855830131378</v>
      </c>
      <c r="O1082" s="440">
        <f t="shared" si="464"/>
        <v>114.24493909235906</v>
      </c>
    </row>
    <row r="1083" spans="1:15" s="351" customFormat="1" x14ac:dyDescent="0.25">
      <c r="A1083" s="362" t="str">
        <f>name!E$7</f>
        <v>Administrative and secretarial</v>
      </c>
      <c r="B1083" s="440">
        <v>31.745281487599094</v>
      </c>
      <c r="C1083" s="440">
        <v>10.872394810384529</v>
      </c>
      <c r="D1083" s="440">
        <v>1.1927487727129773</v>
      </c>
      <c r="E1083" s="440">
        <f t="shared" si="462"/>
        <v>43.810425070696596</v>
      </c>
      <c r="F1083" s="441"/>
      <c r="G1083" s="440">
        <v>38.218616038517148</v>
      </c>
      <c r="H1083" s="440">
        <v>12.013977853493198</v>
      </c>
      <c r="I1083" s="440">
        <v>2.6369739711344891</v>
      </c>
      <c r="J1083" s="440">
        <f t="shared" si="463"/>
        <v>52.86956786314483</v>
      </c>
      <c r="K1083" s="441"/>
      <c r="L1083" s="440">
        <v>34.77417247082137</v>
      </c>
      <c r="M1083" s="440">
        <v>11.736309685229072</v>
      </c>
      <c r="N1083" s="440">
        <v>2.2120346332687917</v>
      </c>
      <c r="O1083" s="440">
        <f t="shared" si="464"/>
        <v>48.722516789319236</v>
      </c>
    </row>
    <row r="1084" spans="1:15" s="351" customFormat="1" x14ac:dyDescent="0.25">
      <c r="A1084" s="362" t="str">
        <f>name!E$8</f>
        <v>Skilled trades occupations</v>
      </c>
      <c r="B1084" s="440">
        <v>13.966473424327679</v>
      </c>
      <c r="C1084" s="440">
        <v>1.2909887520049188</v>
      </c>
      <c r="D1084" s="440">
        <v>2.8369652467456219</v>
      </c>
      <c r="E1084" s="440">
        <f t="shared" si="462"/>
        <v>18.094427423078219</v>
      </c>
      <c r="F1084" s="441"/>
      <c r="G1084" s="440">
        <v>11.467894022194757</v>
      </c>
      <c r="H1084" s="440">
        <v>1.8653853436408463</v>
      </c>
      <c r="I1084" s="440">
        <v>4.2657286797188512</v>
      </c>
      <c r="J1084" s="440">
        <f>SUM(G1084:I1084)</f>
        <v>17.599008045554456</v>
      </c>
      <c r="K1084" s="441"/>
      <c r="L1084" s="440">
        <v>10.901188887336172</v>
      </c>
      <c r="M1084" s="440">
        <v>1.9018463574017055</v>
      </c>
      <c r="N1084" s="440">
        <v>3.6852709305600682</v>
      </c>
      <c r="O1084" s="440">
        <f t="shared" si="464"/>
        <v>16.488306175297947</v>
      </c>
    </row>
    <row r="1085" spans="1:15" s="351" customFormat="1" x14ac:dyDescent="0.25">
      <c r="A1085" s="362" t="str">
        <f>name!E$9</f>
        <v>Caring, leisure and other service</v>
      </c>
      <c r="B1085" s="440">
        <v>9.1719375731810828</v>
      </c>
      <c r="C1085" s="440">
        <v>3.4911353616764917</v>
      </c>
      <c r="D1085" s="440">
        <v>0.97349360477662672</v>
      </c>
      <c r="E1085" s="440">
        <f t="shared" si="462"/>
        <v>13.636566539634201</v>
      </c>
      <c r="F1085" s="441"/>
      <c r="G1085" s="440">
        <v>15.243459890085179</v>
      </c>
      <c r="H1085" s="440">
        <v>10.101661294145199</v>
      </c>
      <c r="I1085" s="440">
        <v>5.8756283715862851</v>
      </c>
      <c r="J1085" s="440">
        <f t="shared" ref="J1085:J1088" si="465">SUM(G1085:I1085)</f>
        <v>31.220749555816663</v>
      </c>
      <c r="K1085" s="441"/>
      <c r="L1085" s="440">
        <v>17.932100748090416</v>
      </c>
      <c r="M1085" s="440">
        <v>13.048960000578566</v>
      </c>
      <c r="N1085" s="440">
        <v>5.8452968464836941</v>
      </c>
      <c r="O1085" s="440">
        <f t="shared" si="464"/>
        <v>36.826357595152672</v>
      </c>
    </row>
    <row r="1086" spans="1:15" s="351" customFormat="1" x14ac:dyDescent="0.25">
      <c r="A1086" s="362" t="str">
        <f>name!E$10</f>
        <v>Sales and customer service</v>
      </c>
      <c r="B1086" s="440">
        <v>16.22786335739173</v>
      </c>
      <c r="C1086" s="440">
        <v>5.6320617867939395</v>
      </c>
      <c r="D1086" s="440">
        <v>0.77430595056728035</v>
      </c>
      <c r="E1086" s="440">
        <f t="shared" si="462"/>
        <v>22.634231094752952</v>
      </c>
      <c r="F1086" s="441"/>
      <c r="G1086" s="440">
        <v>31.828902783769642</v>
      </c>
      <c r="H1086" s="440">
        <v>8.2085845264109825</v>
      </c>
      <c r="I1086" s="440">
        <v>0.97672902744584256</v>
      </c>
      <c r="J1086" s="440">
        <f t="shared" si="465"/>
        <v>41.014216337626465</v>
      </c>
      <c r="K1086" s="441"/>
      <c r="L1086" s="440">
        <v>33.73306586755141</v>
      </c>
      <c r="M1086" s="440">
        <v>9.1790176143288793</v>
      </c>
      <c r="N1086" s="440">
        <v>0.86457928827150665</v>
      </c>
      <c r="O1086" s="440">
        <f t="shared" si="464"/>
        <v>43.776662770151795</v>
      </c>
    </row>
    <row r="1087" spans="1:15" s="351" customFormat="1" x14ac:dyDescent="0.25">
      <c r="A1087" s="362" t="str">
        <f>name!E$11</f>
        <v>Process, plant and machine operatives</v>
      </c>
      <c r="B1087" s="440">
        <v>16.888558737197471</v>
      </c>
      <c r="C1087" s="440">
        <v>3.2827452851760244</v>
      </c>
      <c r="D1087" s="440">
        <v>0.72977268103821902</v>
      </c>
      <c r="E1087" s="440">
        <f t="shared" si="462"/>
        <v>20.901076703411714</v>
      </c>
      <c r="F1087" s="441"/>
      <c r="G1087" s="440">
        <v>13.490563912824491</v>
      </c>
      <c r="H1087" s="440">
        <v>5.2287870782176649</v>
      </c>
      <c r="I1087" s="440">
        <v>0.82089034730310095</v>
      </c>
      <c r="J1087" s="440">
        <f t="shared" si="465"/>
        <v>19.540241338345258</v>
      </c>
      <c r="K1087" s="441"/>
      <c r="L1087" s="440">
        <v>13.663185032065673</v>
      </c>
      <c r="M1087" s="440">
        <v>4.956231509952751</v>
      </c>
      <c r="N1087" s="440">
        <v>0.6366072745169199</v>
      </c>
      <c r="O1087" s="440">
        <f t="shared" si="464"/>
        <v>19.256023816535343</v>
      </c>
    </row>
    <row r="1088" spans="1:15" s="351" customFormat="1" x14ac:dyDescent="0.25">
      <c r="A1088" s="362" t="str">
        <f>name!E$12</f>
        <v>Elementary occupations</v>
      </c>
      <c r="B1088" s="440">
        <v>80.194832430137936</v>
      </c>
      <c r="C1088" s="440">
        <v>53.004001000126934</v>
      </c>
      <c r="D1088" s="440">
        <v>10.51356890524462</v>
      </c>
      <c r="E1088" s="440">
        <f t="shared" si="462"/>
        <v>143.71240233550949</v>
      </c>
      <c r="F1088" s="441"/>
      <c r="G1088" s="440">
        <v>101.49483542495855</v>
      </c>
      <c r="H1088" s="440">
        <v>54.623863021934397</v>
      </c>
      <c r="I1088" s="440">
        <v>20.881053120406854</v>
      </c>
      <c r="J1088" s="440">
        <f t="shared" si="465"/>
        <v>176.9997515672998</v>
      </c>
      <c r="K1088" s="441"/>
      <c r="L1088" s="440">
        <v>112.91734977731733</v>
      </c>
      <c r="M1088" s="440">
        <v>53.927332143762918</v>
      </c>
      <c r="N1088" s="440">
        <v>20.894656030613199</v>
      </c>
      <c r="O1088" s="440">
        <f t="shared" si="464"/>
        <v>187.73933795169344</v>
      </c>
    </row>
    <row r="1089" spans="1:15" s="351" customFormat="1" x14ac:dyDescent="0.25">
      <c r="A1089" s="362"/>
      <c r="B1089" s="440"/>
      <c r="C1089" s="440"/>
      <c r="D1089" s="440"/>
      <c r="E1089" s="440"/>
      <c r="F1089" s="441"/>
      <c r="G1089" s="440"/>
      <c r="H1089" s="440"/>
      <c r="I1089" s="440"/>
      <c r="J1089" s="440"/>
      <c r="K1089" s="441"/>
      <c r="L1089" s="440"/>
      <c r="M1089" s="440"/>
      <c r="N1089" s="440"/>
      <c r="O1089" s="440"/>
    </row>
    <row r="1090" spans="1:15" s="351" customFormat="1" x14ac:dyDescent="0.25">
      <c r="A1090" s="357" t="s">
        <v>32</v>
      </c>
      <c r="B1090" s="450">
        <f>SUM(B1080:B1088)</f>
        <v>273.19999999868531</v>
      </c>
      <c r="C1090" s="450">
        <f t="shared" ref="C1090:E1090" si="466">SUM(C1080:C1088)</f>
        <v>87.624999999811223</v>
      </c>
      <c r="D1090" s="450">
        <f t="shared" si="466"/>
        <v>33.015999999917661</v>
      </c>
      <c r="E1090" s="450">
        <f t="shared" si="466"/>
        <v>393.84099999841419</v>
      </c>
      <c r="F1090" s="450"/>
      <c r="G1090" s="450">
        <f t="shared" ref="G1090:J1090" si="467">SUM(G1080:G1088)</f>
        <v>370.85199999979534</v>
      </c>
      <c r="H1090" s="450">
        <f t="shared" si="467"/>
        <v>113.8570000004793</v>
      </c>
      <c r="I1090" s="450">
        <f t="shared" si="467"/>
        <v>66.82500000031466</v>
      </c>
      <c r="J1090" s="450">
        <f t="shared" si="467"/>
        <v>551.53400000058934</v>
      </c>
      <c r="K1090" s="450"/>
      <c r="L1090" s="450">
        <f t="shared" ref="L1090:O1090" si="468">SUM(L1080:L1088)</f>
        <v>403.25099999928966</v>
      </c>
      <c r="M1090" s="450">
        <f t="shared" si="468"/>
        <v>122.06099999999813</v>
      </c>
      <c r="N1090" s="450">
        <f t="shared" si="468"/>
        <v>65.683000000179632</v>
      </c>
      <c r="O1090" s="450">
        <f t="shared" si="468"/>
        <v>590.9949999994675</v>
      </c>
    </row>
    <row r="1091" spans="1:15" s="351" customFormat="1" x14ac:dyDescent="0.25">
      <c r="A1091" s="348"/>
      <c r="B1091" s="348"/>
      <c r="C1091" s="348"/>
      <c r="D1091" s="348"/>
      <c r="E1091" s="348"/>
      <c r="F1091" s="348"/>
      <c r="G1091" s="348"/>
      <c r="H1091" s="348"/>
      <c r="I1091" s="348"/>
      <c r="J1091" s="348"/>
      <c r="K1091" s="348"/>
      <c r="L1091" s="348"/>
      <c r="M1091" s="348"/>
      <c r="N1091" s="353"/>
    </row>
    <row r="1092" spans="1:15" s="351" customFormat="1" x14ac:dyDescent="0.25">
      <c r="A1092" s="348"/>
      <c r="B1092" s="348"/>
      <c r="C1092" s="348"/>
      <c r="D1092" s="348"/>
      <c r="E1092" s="348"/>
      <c r="F1092" s="348"/>
      <c r="G1092" s="348"/>
      <c r="H1092" s="348"/>
      <c r="I1092" s="348"/>
      <c r="J1092" s="348"/>
      <c r="K1092" s="348"/>
      <c r="L1092" s="348"/>
      <c r="M1092" s="348"/>
      <c r="N1092" s="353"/>
      <c r="O1092" s="367" t="s">
        <v>35</v>
      </c>
    </row>
    <row r="1093" spans="1:15" s="351" customFormat="1" x14ac:dyDescent="0.25">
      <c r="A1093" s="355"/>
      <c r="B1093" s="355"/>
      <c r="C1093" s="355"/>
      <c r="D1093" s="355"/>
      <c r="E1093" s="355"/>
      <c r="F1093" s="355"/>
      <c r="G1093" s="355"/>
      <c r="H1093" s="355"/>
      <c r="I1093" s="355"/>
      <c r="J1093" s="355"/>
      <c r="K1093" s="355"/>
      <c r="L1093" s="355"/>
      <c r="M1093" s="355"/>
      <c r="N1093" s="355"/>
      <c r="O1093" s="355"/>
    </row>
    <row r="1094" spans="1:15" s="351" customFormat="1" x14ac:dyDescent="0.25">
      <c r="A1094" s="354" t="str">
        <f>name!A67</f>
        <v>Public administration and defence</v>
      </c>
      <c r="B1094" s="517">
        <f>$B$6</f>
        <v>2007</v>
      </c>
      <c r="C1094" s="517"/>
      <c r="D1094" s="517"/>
      <c r="E1094" s="517"/>
      <c r="F1094" s="380"/>
      <c r="G1094" s="517">
        <f>$G$6</f>
        <v>2017</v>
      </c>
      <c r="H1094" s="517"/>
      <c r="I1094" s="517"/>
      <c r="J1094" s="517"/>
      <c r="K1094" s="380"/>
      <c r="L1094" s="517">
        <f>$L$6</f>
        <v>2027</v>
      </c>
      <c r="M1094" s="517"/>
      <c r="N1094" s="517"/>
      <c r="O1094" s="517"/>
    </row>
    <row r="1095" spans="1:15" s="351" customFormat="1" x14ac:dyDescent="0.25">
      <c r="A1095" s="370"/>
      <c r="B1095" s="388" t="str">
        <f>$B$7</f>
        <v>FT</v>
      </c>
      <c r="C1095" s="388" t="str">
        <f>$C$7</f>
        <v>PT</v>
      </c>
      <c r="D1095" s="388" t="str">
        <f>$D$7</f>
        <v>SE</v>
      </c>
      <c r="E1095" s="388" t="str">
        <f>$E$7</f>
        <v>Total</v>
      </c>
      <c r="F1095" s="388"/>
      <c r="G1095" s="388" t="str">
        <f>$G$7</f>
        <v>FT</v>
      </c>
      <c r="H1095" s="388" t="str">
        <f>$H$7</f>
        <v>PT</v>
      </c>
      <c r="I1095" s="388" t="str">
        <f>$I$7</f>
        <v>SE</v>
      </c>
      <c r="J1095" s="388" t="str">
        <f>$J$7</f>
        <v>Total</v>
      </c>
      <c r="K1095" s="388"/>
      <c r="L1095" s="388" t="str">
        <f>$L$7</f>
        <v>FT</v>
      </c>
      <c r="M1095" s="388" t="str">
        <f>$M$7</f>
        <v>PT</v>
      </c>
      <c r="N1095" s="388" t="str">
        <f>$N$7</f>
        <v>SE</v>
      </c>
      <c r="O1095" s="388" t="str">
        <f>$O$7</f>
        <v>Total</v>
      </c>
    </row>
    <row r="1096" spans="1:15" s="351" customFormat="1" x14ac:dyDescent="0.25">
      <c r="A1096" s="374"/>
      <c r="B1096" s="350"/>
      <c r="C1096" s="350"/>
      <c r="D1096" s="350"/>
      <c r="E1096" s="350"/>
      <c r="F1096" s="350"/>
      <c r="G1096" s="350"/>
      <c r="H1096" s="350"/>
      <c r="I1096" s="350"/>
      <c r="J1096" s="350"/>
      <c r="K1096" s="350"/>
      <c r="L1096" s="350"/>
      <c r="M1096" s="350"/>
      <c r="N1096" s="350"/>
      <c r="O1096" s="350"/>
    </row>
    <row r="1097" spans="1:15" s="351" customFormat="1" x14ac:dyDescent="0.25">
      <c r="A1097" s="362" t="str">
        <f>name!E$4</f>
        <v>Managers, directors and senior officials</v>
      </c>
      <c r="B1097" s="440">
        <v>73.349097974590052</v>
      </c>
      <c r="C1097" s="440">
        <v>13.094260325832947</v>
      </c>
      <c r="D1097" s="440">
        <v>4.3283076486713723</v>
      </c>
      <c r="E1097" s="440">
        <f>SUM(B1097:D1097)</f>
        <v>90.77166594909437</v>
      </c>
      <c r="F1097" s="441"/>
      <c r="G1097" s="440">
        <v>73.703120852476516</v>
      </c>
      <c r="H1097" s="440">
        <v>19.660931931292254</v>
      </c>
      <c r="I1097" s="440">
        <v>7.6509905235905524</v>
      </c>
      <c r="J1097" s="440">
        <f>SUM(G1097:I1097)</f>
        <v>101.01504330735932</v>
      </c>
      <c r="K1097" s="441"/>
      <c r="L1097" s="440">
        <v>76.598881255589305</v>
      </c>
      <c r="M1097" s="440">
        <v>25.512879552016312</v>
      </c>
      <c r="N1097" s="440">
        <v>8.1440633641302327</v>
      </c>
      <c r="O1097" s="440">
        <f>SUM(L1097:N1097)</f>
        <v>110.25582417173585</v>
      </c>
    </row>
    <row r="1098" spans="1:15" s="351" customFormat="1" x14ac:dyDescent="0.25">
      <c r="A1098" s="362" t="str">
        <f>name!E$5</f>
        <v>Professional occupations</v>
      </c>
      <c r="B1098" s="440">
        <v>229.98636029095144</v>
      </c>
      <c r="C1098" s="440">
        <v>49.878843730883922</v>
      </c>
      <c r="D1098" s="440">
        <v>10.478963525048632</v>
      </c>
      <c r="E1098" s="440">
        <f t="shared" ref="E1098:E1105" si="469">SUM(B1098:D1098)</f>
        <v>290.34416754688402</v>
      </c>
      <c r="F1098" s="441"/>
      <c r="G1098" s="440">
        <v>187.12440651394516</v>
      </c>
      <c r="H1098" s="440">
        <v>61.238025370682053</v>
      </c>
      <c r="I1098" s="440">
        <v>16.331960756129249</v>
      </c>
      <c r="J1098" s="440">
        <f t="shared" ref="J1098:J1100" si="470">SUM(G1098:I1098)</f>
        <v>264.69439264075646</v>
      </c>
      <c r="K1098" s="441"/>
      <c r="L1098" s="440">
        <v>199.55907910236564</v>
      </c>
      <c r="M1098" s="440">
        <v>83.644532392180096</v>
      </c>
      <c r="N1098" s="440">
        <v>15.753062867868582</v>
      </c>
      <c r="O1098" s="440">
        <f t="shared" ref="O1098:O1105" si="471">SUM(L1098:N1098)</f>
        <v>298.95667436241433</v>
      </c>
    </row>
    <row r="1099" spans="1:15" s="351" customFormat="1" x14ac:dyDescent="0.25">
      <c r="A1099" s="362" t="str">
        <f>name!E$6</f>
        <v>Associate professional and technical</v>
      </c>
      <c r="B1099" s="440">
        <v>451.65401764428793</v>
      </c>
      <c r="C1099" s="440">
        <v>49.594892460098315</v>
      </c>
      <c r="D1099" s="440">
        <v>6.7601724431078347</v>
      </c>
      <c r="E1099" s="440">
        <f t="shared" si="469"/>
        <v>508.00908254749407</v>
      </c>
      <c r="F1099" s="441"/>
      <c r="G1099" s="440">
        <v>356.48870214604165</v>
      </c>
      <c r="H1099" s="440">
        <v>68.174250827734951</v>
      </c>
      <c r="I1099" s="440">
        <v>12.08245049607674</v>
      </c>
      <c r="J1099" s="440">
        <f t="shared" si="470"/>
        <v>436.74540346985333</v>
      </c>
      <c r="K1099" s="441"/>
      <c r="L1099" s="440">
        <v>338.1956426605181</v>
      </c>
      <c r="M1099" s="440">
        <v>89.734522142162518</v>
      </c>
      <c r="N1099" s="440">
        <v>12.050524111136616</v>
      </c>
      <c r="O1099" s="440">
        <f t="shared" si="471"/>
        <v>439.98068891381723</v>
      </c>
    </row>
    <row r="1100" spans="1:15" s="351" customFormat="1" x14ac:dyDescent="0.25">
      <c r="A1100" s="362" t="str">
        <f>name!E$7</f>
        <v>Administrative and secretarial</v>
      </c>
      <c r="B1100" s="440">
        <v>305.18259490589304</v>
      </c>
      <c r="C1100" s="440">
        <v>144.23361546714827</v>
      </c>
      <c r="D1100" s="440">
        <v>2.233955753686879</v>
      </c>
      <c r="E1100" s="440">
        <f t="shared" si="469"/>
        <v>451.65016612672815</v>
      </c>
      <c r="F1100" s="441"/>
      <c r="G1100" s="440">
        <v>182.1928521028708</v>
      </c>
      <c r="H1100" s="440">
        <v>168.31069422997049</v>
      </c>
      <c r="I1100" s="440">
        <v>2.6557979833487999</v>
      </c>
      <c r="J1100" s="440">
        <f t="shared" si="470"/>
        <v>353.15934431619013</v>
      </c>
      <c r="K1100" s="441"/>
      <c r="L1100" s="440">
        <v>130.76094922552838</v>
      </c>
      <c r="M1100" s="440">
        <v>150.28749605153007</v>
      </c>
      <c r="N1100" s="440">
        <v>1.6985504967621718</v>
      </c>
      <c r="O1100" s="440">
        <f t="shared" si="471"/>
        <v>282.74699577382063</v>
      </c>
    </row>
    <row r="1101" spans="1:15" s="351" customFormat="1" x14ac:dyDescent="0.25">
      <c r="A1101" s="362" t="str">
        <f>name!E$8</f>
        <v>Skilled trades occupations</v>
      </c>
      <c r="B1101" s="440">
        <v>26.352530928098123</v>
      </c>
      <c r="C1101" s="440">
        <v>3.6085240755915762</v>
      </c>
      <c r="D1101" s="440">
        <v>2.3427507878281379</v>
      </c>
      <c r="E1101" s="440">
        <f t="shared" si="469"/>
        <v>32.303805791517838</v>
      </c>
      <c r="F1101" s="441"/>
      <c r="G1101" s="440">
        <v>14.028273370211339</v>
      </c>
      <c r="H1101" s="440">
        <v>1.5094613106026815</v>
      </c>
      <c r="I1101" s="440">
        <v>3.7901166867644598</v>
      </c>
      <c r="J1101" s="440">
        <f>SUM(G1101:I1101)</f>
        <v>19.327851367578482</v>
      </c>
      <c r="K1101" s="441"/>
      <c r="L1101" s="440">
        <v>12.17062526052419</v>
      </c>
      <c r="M1101" s="440">
        <v>2.3435891098633648</v>
      </c>
      <c r="N1101" s="440">
        <v>4.1403214276364828</v>
      </c>
      <c r="O1101" s="440">
        <f t="shared" si="471"/>
        <v>18.654535798024035</v>
      </c>
    </row>
    <row r="1102" spans="1:15" s="351" customFormat="1" x14ac:dyDescent="0.25">
      <c r="A1102" s="362" t="str">
        <f>name!E$9</f>
        <v>Caring, leisure and other service</v>
      </c>
      <c r="B1102" s="440">
        <v>41.545215479417152</v>
      </c>
      <c r="C1102" s="440">
        <v>24.050712846573013</v>
      </c>
      <c r="D1102" s="440">
        <v>1.3601645991268003</v>
      </c>
      <c r="E1102" s="440">
        <f t="shared" si="469"/>
        <v>66.956092925116977</v>
      </c>
      <c r="F1102" s="441"/>
      <c r="G1102" s="440">
        <v>21.959613737095644</v>
      </c>
      <c r="H1102" s="440">
        <v>23.812058627027433</v>
      </c>
      <c r="I1102" s="440">
        <v>3.5757614245074691</v>
      </c>
      <c r="J1102" s="440">
        <f t="shared" ref="J1102:J1105" si="472">SUM(G1102:I1102)</f>
        <v>49.347433788630546</v>
      </c>
      <c r="K1102" s="441"/>
      <c r="L1102" s="440">
        <v>24.496295583600183</v>
      </c>
      <c r="M1102" s="440">
        <v>32.711235455489543</v>
      </c>
      <c r="N1102" s="440">
        <v>4.036005678191974</v>
      </c>
      <c r="O1102" s="440">
        <f t="shared" si="471"/>
        <v>61.243536717281707</v>
      </c>
    </row>
    <row r="1103" spans="1:15" s="351" customFormat="1" x14ac:dyDescent="0.25">
      <c r="A1103" s="362" t="str">
        <f>name!E$10</f>
        <v>Sales and customer service</v>
      </c>
      <c r="B1103" s="440">
        <v>26.117085216564359</v>
      </c>
      <c r="C1103" s="440">
        <v>12.54273850318126</v>
      </c>
      <c r="D1103" s="440">
        <v>0.45653838485438619</v>
      </c>
      <c r="E1103" s="440">
        <f t="shared" si="469"/>
        <v>39.1163621046</v>
      </c>
      <c r="F1103" s="441"/>
      <c r="G1103" s="440">
        <v>18.913027719632279</v>
      </c>
      <c r="H1103" s="440">
        <v>16.848880429255178</v>
      </c>
      <c r="I1103" s="440">
        <v>1.2701612816671559</v>
      </c>
      <c r="J1103" s="440">
        <f t="shared" si="472"/>
        <v>37.032069430554614</v>
      </c>
      <c r="K1103" s="441"/>
      <c r="L1103" s="440">
        <v>17.771161482969944</v>
      </c>
      <c r="M1103" s="440">
        <v>19.926507129935523</v>
      </c>
      <c r="N1103" s="440">
        <v>1.27498329813384</v>
      </c>
      <c r="O1103" s="440">
        <f t="shared" si="471"/>
        <v>38.972651911039307</v>
      </c>
    </row>
    <row r="1104" spans="1:15" s="351" customFormat="1" x14ac:dyDescent="0.25">
      <c r="A1104" s="362" t="str">
        <f>name!E$11</f>
        <v>Process, plant and machine operatives</v>
      </c>
      <c r="B1104" s="440">
        <v>13.953455440520072</v>
      </c>
      <c r="C1104" s="440">
        <v>4.3802522710015843</v>
      </c>
      <c r="D1104" s="440">
        <v>0.58885579997358584</v>
      </c>
      <c r="E1104" s="440">
        <f t="shared" si="469"/>
        <v>18.922563511495241</v>
      </c>
      <c r="F1104" s="441"/>
      <c r="G1104" s="440">
        <v>10.161243450706367</v>
      </c>
      <c r="H1104" s="440">
        <v>4.2273097796793051</v>
      </c>
      <c r="I1104" s="440">
        <v>1.4689230766727059</v>
      </c>
      <c r="J1104" s="440">
        <f t="shared" si="472"/>
        <v>15.857476307058377</v>
      </c>
      <c r="K1104" s="441"/>
      <c r="L1104" s="440">
        <v>9.6383555436438044</v>
      </c>
      <c r="M1104" s="440">
        <v>4.5308369860838464</v>
      </c>
      <c r="N1104" s="440">
        <v>1.6430643801771849</v>
      </c>
      <c r="O1104" s="440">
        <f t="shared" si="471"/>
        <v>15.812256909904836</v>
      </c>
    </row>
    <row r="1105" spans="1:15" s="351" customFormat="1" x14ac:dyDescent="0.25">
      <c r="A1105" s="362" t="str">
        <f>name!E$12</f>
        <v>Elementary occupations</v>
      </c>
      <c r="B1105" s="440">
        <v>28.859642120168488</v>
      </c>
      <c r="C1105" s="440">
        <v>44.615160318804634</v>
      </c>
      <c r="D1105" s="440">
        <v>0.45129105727535013</v>
      </c>
      <c r="E1105" s="440">
        <f t="shared" si="469"/>
        <v>73.92609349624847</v>
      </c>
      <c r="F1105" s="441"/>
      <c r="G1105" s="440">
        <v>19.457760103229916</v>
      </c>
      <c r="H1105" s="440">
        <v>26.237387491899966</v>
      </c>
      <c r="I1105" s="440">
        <v>7.1738377706029786</v>
      </c>
      <c r="J1105" s="440">
        <f t="shared" si="472"/>
        <v>52.868985365732861</v>
      </c>
      <c r="K1105" s="441"/>
      <c r="L1105" s="440">
        <v>16.582009885662082</v>
      </c>
      <c r="M1105" s="440">
        <v>31.149401180391092</v>
      </c>
      <c r="N1105" s="440">
        <v>8.7984243756029681</v>
      </c>
      <c r="O1105" s="440">
        <f t="shared" si="471"/>
        <v>56.529835441656139</v>
      </c>
    </row>
    <row r="1106" spans="1:15" s="351" customFormat="1" x14ac:dyDescent="0.25">
      <c r="A1106" s="362"/>
      <c r="B1106" s="440"/>
      <c r="C1106" s="440"/>
      <c r="D1106" s="440"/>
      <c r="E1106" s="440"/>
      <c r="F1106" s="441"/>
      <c r="G1106" s="440"/>
      <c r="H1106" s="440"/>
      <c r="I1106" s="440"/>
      <c r="J1106" s="440"/>
      <c r="K1106" s="441"/>
      <c r="L1106" s="440"/>
      <c r="M1106" s="440"/>
      <c r="N1106" s="440"/>
      <c r="O1106" s="440"/>
    </row>
    <row r="1107" spans="1:15" s="351" customFormat="1" x14ac:dyDescent="0.25">
      <c r="A1107" s="357" t="s">
        <v>32</v>
      </c>
      <c r="B1107" s="450">
        <f>SUM(B1097:B1105)</f>
        <v>1197.0000000004907</v>
      </c>
      <c r="C1107" s="450">
        <f t="shared" ref="C1107:E1107" si="473">SUM(C1097:C1105)</f>
        <v>345.99899999911548</v>
      </c>
      <c r="D1107" s="450">
        <f t="shared" si="473"/>
        <v>29.000999999572976</v>
      </c>
      <c r="E1107" s="450">
        <f t="shared" si="473"/>
        <v>1571.9999999991792</v>
      </c>
      <c r="F1107" s="450"/>
      <c r="G1107" s="450">
        <f t="shared" ref="G1107:J1107" si="474">SUM(G1097:G1105)</f>
        <v>884.02899999620968</v>
      </c>
      <c r="H1107" s="450">
        <f t="shared" si="474"/>
        <v>390.0189999981443</v>
      </c>
      <c r="I1107" s="450">
        <f t="shared" si="474"/>
        <v>55.999999999360114</v>
      </c>
      <c r="J1107" s="450">
        <f t="shared" si="474"/>
        <v>1330.047999993714</v>
      </c>
      <c r="K1107" s="450"/>
      <c r="L1107" s="450">
        <f t="shared" ref="L1107:O1107" si="475">SUM(L1097:L1105)</f>
        <v>825.77300000040157</v>
      </c>
      <c r="M1107" s="450">
        <f t="shared" si="475"/>
        <v>439.84099999965235</v>
      </c>
      <c r="N1107" s="450">
        <f t="shared" si="475"/>
        <v>57.538999999640055</v>
      </c>
      <c r="O1107" s="450">
        <f t="shared" si="475"/>
        <v>1323.152999999694</v>
      </c>
    </row>
    <row r="1108" spans="1:15" s="351" customFormat="1" x14ac:dyDescent="0.25">
      <c r="A1108" s="348"/>
      <c r="B1108" s="348"/>
      <c r="C1108" s="348"/>
      <c r="D1108" s="348"/>
      <c r="E1108" s="348"/>
      <c r="F1108" s="348"/>
      <c r="G1108" s="348"/>
      <c r="H1108" s="348"/>
      <c r="I1108" s="348"/>
      <c r="J1108" s="348"/>
      <c r="K1108" s="348"/>
      <c r="L1108" s="348"/>
      <c r="M1108" s="348"/>
      <c r="N1108" s="353"/>
    </row>
    <row r="1109" spans="1:15" s="351" customFormat="1" x14ac:dyDescent="0.25">
      <c r="A1109" s="348"/>
      <c r="B1109" s="348"/>
      <c r="C1109" s="348"/>
      <c r="D1109" s="348"/>
      <c r="E1109" s="348"/>
      <c r="F1109" s="348"/>
      <c r="G1109" s="348"/>
      <c r="H1109" s="348"/>
      <c r="I1109" s="348"/>
      <c r="J1109" s="348"/>
      <c r="K1109" s="348"/>
      <c r="L1109" s="348"/>
      <c r="M1109" s="348"/>
      <c r="N1109" s="353"/>
      <c r="O1109" s="367" t="s">
        <v>35</v>
      </c>
    </row>
    <row r="1110" spans="1:15" s="351" customFormat="1" x14ac:dyDescent="0.25">
      <c r="A1110" s="355"/>
      <c r="B1110" s="355"/>
      <c r="C1110" s="355"/>
      <c r="D1110" s="355"/>
      <c r="E1110" s="355"/>
      <c r="F1110" s="355"/>
      <c r="G1110" s="355"/>
      <c r="H1110" s="355"/>
      <c r="I1110" s="355"/>
      <c r="J1110" s="355"/>
      <c r="K1110" s="355"/>
      <c r="L1110" s="355"/>
      <c r="M1110" s="355"/>
      <c r="N1110" s="355"/>
      <c r="O1110" s="355"/>
    </row>
    <row r="1111" spans="1:15" s="351" customFormat="1" x14ac:dyDescent="0.25">
      <c r="A1111" s="354" t="str">
        <f>name!A68</f>
        <v xml:space="preserve">Education </v>
      </c>
      <c r="B1111" s="517">
        <f>$B$6</f>
        <v>2007</v>
      </c>
      <c r="C1111" s="517"/>
      <c r="D1111" s="517"/>
      <c r="E1111" s="517"/>
      <c r="F1111" s="380"/>
      <c r="G1111" s="517">
        <f>$G$6</f>
        <v>2017</v>
      </c>
      <c r="H1111" s="517"/>
      <c r="I1111" s="517"/>
      <c r="J1111" s="517"/>
      <c r="K1111" s="380"/>
      <c r="L1111" s="517">
        <f>$L$6</f>
        <v>2027</v>
      </c>
      <c r="M1111" s="517"/>
      <c r="N1111" s="517"/>
      <c r="O1111" s="517"/>
    </row>
    <row r="1112" spans="1:15" s="351" customFormat="1" x14ac:dyDescent="0.25">
      <c r="A1112" s="370"/>
      <c r="B1112" s="388" t="str">
        <f>$B$7</f>
        <v>FT</v>
      </c>
      <c r="C1112" s="388" t="str">
        <f>$C$7</f>
        <v>PT</v>
      </c>
      <c r="D1112" s="388" t="str">
        <f>$D$7</f>
        <v>SE</v>
      </c>
      <c r="E1112" s="388" t="str">
        <f>$E$7</f>
        <v>Total</v>
      </c>
      <c r="F1112" s="388"/>
      <c r="G1112" s="388" t="str">
        <f>$G$7</f>
        <v>FT</v>
      </c>
      <c r="H1112" s="388" t="str">
        <f>$H$7</f>
        <v>PT</v>
      </c>
      <c r="I1112" s="388" t="str">
        <f>$I$7</f>
        <v>SE</v>
      </c>
      <c r="J1112" s="388" t="str">
        <f>$J$7</f>
        <v>Total</v>
      </c>
      <c r="K1112" s="388"/>
      <c r="L1112" s="388" t="str">
        <f>$L$7</f>
        <v>FT</v>
      </c>
      <c r="M1112" s="388" t="str">
        <f>$M$7</f>
        <v>PT</v>
      </c>
      <c r="N1112" s="388" t="str">
        <f>$N$7</f>
        <v>SE</v>
      </c>
      <c r="O1112" s="388" t="str">
        <f>$O$7</f>
        <v>Total</v>
      </c>
    </row>
    <row r="1113" spans="1:15" s="351" customFormat="1" x14ac:dyDescent="0.25">
      <c r="A1113" s="374"/>
      <c r="B1113" s="350"/>
      <c r="C1113" s="350"/>
      <c r="D1113" s="350"/>
      <c r="E1113" s="350"/>
      <c r="F1113" s="350"/>
      <c r="G1113" s="350"/>
      <c r="H1113" s="350"/>
      <c r="I1113" s="350"/>
      <c r="J1113" s="350"/>
      <c r="K1113" s="350"/>
      <c r="L1113" s="350"/>
      <c r="M1113" s="350"/>
      <c r="N1113" s="350"/>
      <c r="O1113" s="350"/>
    </row>
    <row r="1114" spans="1:15" s="351" customFormat="1" x14ac:dyDescent="0.25">
      <c r="A1114" s="362" t="str">
        <f>name!E$4</f>
        <v>Managers, directors and senior officials</v>
      </c>
      <c r="B1114" s="440">
        <v>22.155104627661686</v>
      </c>
      <c r="C1114" s="440">
        <v>8.2997011193405754</v>
      </c>
      <c r="D1114" s="440">
        <v>7.6439658058486293</v>
      </c>
      <c r="E1114" s="440">
        <f>SUM(B1114:D1114)</f>
        <v>38.098771552850891</v>
      </c>
      <c r="F1114" s="441"/>
      <c r="G1114" s="440">
        <v>36.459173371574359</v>
      </c>
      <c r="H1114" s="440">
        <v>15.132385886148745</v>
      </c>
      <c r="I1114" s="440">
        <v>19.727597161125374</v>
      </c>
      <c r="J1114" s="440">
        <f>SUM(G1114:I1114)</f>
        <v>71.319156418848479</v>
      </c>
      <c r="K1114" s="441"/>
      <c r="L1114" s="440">
        <v>31.674128646995879</v>
      </c>
      <c r="M1114" s="440">
        <v>17.461712554627194</v>
      </c>
      <c r="N1114" s="440">
        <v>16.154083223073272</v>
      </c>
      <c r="O1114" s="440">
        <f>SUM(L1114:N1114)</f>
        <v>65.289924424696352</v>
      </c>
    </row>
    <row r="1115" spans="1:15" s="351" customFormat="1" x14ac:dyDescent="0.25">
      <c r="A1115" s="362" t="str">
        <f>name!E$5</f>
        <v>Professional occupations</v>
      </c>
      <c r="B1115" s="440">
        <v>831.14066382245971</v>
      </c>
      <c r="C1115" s="440">
        <v>402.25924459307521</v>
      </c>
      <c r="D1115" s="440">
        <v>43.371123049670075</v>
      </c>
      <c r="E1115" s="440">
        <f t="shared" ref="E1115:E1122" si="476">SUM(B1115:D1115)</f>
        <v>1276.7710314652049</v>
      </c>
      <c r="F1115" s="441"/>
      <c r="G1115" s="440">
        <v>944.5036681850778</v>
      </c>
      <c r="H1115" s="440">
        <v>533.41699434031671</v>
      </c>
      <c r="I1115" s="440">
        <v>103.01541395004961</v>
      </c>
      <c r="J1115" s="440">
        <f t="shared" ref="J1115:J1117" si="477">SUM(G1115:I1115)</f>
        <v>1580.9360764754442</v>
      </c>
      <c r="K1115" s="441"/>
      <c r="L1115" s="440">
        <v>929.61235788188935</v>
      </c>
      <c r="M1115" s="440">
        <v>678.04886077486765</v>
      </c>
      <c r="N1115" s="440">
        <v>106.08510756636751</v>
      </c>
      <c r="O1115" s="440">
        <f t="shared" ref="O1115:O1122" si="478">SUM(L1115:N1115)</f>
        <v>1713.7463262231245</v>
      </c>
    </row>
    <row r="1116" spans="1:15" s="351" customFormat="1" x14ac:dyDescent="0.25">
      <c r="A1116" s="362" t="str">
        <f>name!E$6</f>
        <v>Associate professional and technical</v>
      </c>
      <c r="B1116" s="440">
        <v>70.124647887377407</v>
      </c>
      <c r="C1116" s="440">
        <v>62.558491606414741</v>
      </c>
      <c r="D1116" s="440">
        <v>26.331905814015681</v>
      </c>
      <c r="E1116" s="440">
        <f t="shared" si="476"/>
        <v>159.01504530780781</v>
      </c>
      <c r="F1116" s="441"/>
      <c r="G1116" s="440">
        <v>94.120569533554573</v>
      </c>
      <c r="H1116" s="440">
        <v>69.011252684700651</v>
      </c>
      <c r="I1116" s="440">
        <v>46.74927908530136</v>
      </c>
      <c r="J1116" s="440">
        <f t="shared" si="477"/>
        <v>209.88110130355659</v>
      </c>
      <c r="K1116" s="441"/>
      <c r="L1116" s="440">
        <v>76.356244321427297</v>
      </c>
      <c r="M1116" s="440">
        <v>78.09591543598907</v>
      </c>
      <c r="N1116" s="440">
        <v>36.162847448601752</v>
      </c>
      <c r="O1116" s="440">
        <f t="shared" si="478"/>
        <v>190.61500720601813</v>
      </c>
    </row>
    <row r="1117" spans="1:15" s="351" customFormat="1" x14ac:dyDescent="0.25">
      <c r="A1117" s="362" t="str">
        <f>name!E$7</f>
        <v>Administrative and secretarial</v>
      </c>
      <c r="B1117" s="440">
        <v>55.237163890644254</v>
      </c>
      <c r="C1117" s="440">
        <v>122.00381352877622</v>
      </c>
      <c r="D1117" s="440">
        <v>2.1825512636527487</v>
      </c>
      <c r="E1117" s="440">
        <f t="shared" si="476"/>
        <v>179.42352868307322</v>
      </c>
      <c r="F1117" s="441"/>
      <c r="G1117" s="440">
        <v>52.787930247230257</v>
      </c>
      <c r="H1117" s="440">
        <v>99.782720038526378</v>
      </c>
      <c r="I1117" s="440">
        <v>4.5509965870388642</v>
      </c>
      <c r="J1117" s="440">
        <f t="shared" si="477"/>
        <v>157.12164687279551</v>
      </c>
      <c r="K1117" s="441"/>
      <c r="L1117" s="440">
        <v>27.42335599678681</v>
      </c>
      <c r="M1117" s="440">
        <v>59.755350768848679</v>
      </c>
      <c r="N1117" s="440">
        <v>2.4794889183532565</v>
      </c>
      <c r="O1117" s="440">
        <f t="shared" si="478"/>
        <v>89.658195683988751</v>
      </c>
    </row>
    <row r="1118" spans="1:15" s="351" customFormat="1" x14ac:dyDescent="0.25">
      <c r="A1118" s="362" t="str">
        <f>name!E$8</f>
        <v>Skilled trades occupations</v>
      </c>
      <c r="B1118" s="440">
        <v>16.151591155582626</v>
      </c>
      <c r="C1118" s="440">
        <v>17.079951840451621</v>
      </c>
      <c r="D1118" s="440">
        <v>2.8043485421113274</v>
      </c>
      <c r="E1118" s="440">
        <f t="shared" si="476"/>
        <v>36.035891538145577</v>
      </c>
      <c r="F1118" s="441"/>
      <c r="G1118" s="440">
        <v>19.322305061141495</v>
      </c>
      <c r="H1118" s="440">
        <v>11.859126044229324</v>
      </c>
      <c r="I1118" s="440">
        <v>5.0835386931224047</v>
      </c>
      <c r="J1118" s="440">
        <f>SUM(G1118:I1118)</f>
        <v>36.264969798493226</v>
      </c>
      <c r="K1118" s="441"/>
      <c r="L1118" s="440">
        <v>12.170273127186658</v>
      </c>
      <c r="M1118" s="440">
        <v>7.4817432537681459</v>
      </c>
      <c r="N1118" s="440">
        <v>4.8172268110695109</v>
      </c>
      <c r="O1118" s="440">
        <f t="shared" si="478"/>
        <v>24.469243192024315</v>
      </c>
    </row>
    <row r="1119" spans="1:15" s="351" customFormat="1" x14ac:dyDescent="0.25">
      <c r="A1119" s="362" t="str">
        <f>name!E$9</f>
        <v>Caring, leisure and other service</v>
      </c>
      <c r="B1119" s="440">
        <v>210.27333494984447</v>
      </c>
      <c r="C1119" s="440">
        <v>301.48703503390198</v>
      </c>
      <c r="D1119" s="440">
        <v>13.538098734524118</v>
      </c>
      <c r="E1119" s="440">
        <f t="shared" si="476"/>
        <v>525.29846871827056</v>
      </c>
      <c r="F1119" s="441"/>
      <c r="G1119" s="440">
        <v>266.2979915821312</v>
      </c>
      <c r="H1119" s="440">
        <v>346.89259119426157</v>
      </c>
      <c r="I1119" s="440">
        <v>20.76815327403191</v>
      </c>
      <c r="J1119" s="440">
        <f t="shared" ref="J1119:J1122" si="479">SUM(G1119:I1119)</f>
        <v>633.9587360504247</v>
      </c>
      <c r="K1119" s="441"/>
      <c r="L1119" s="440">
        <v>251.24489471103072</v>
      </c>
      <c r="M1119" s="440">
        <v>408.21402106053597</v>
      </c>
      <c r="N1119" s="440">
        <v>16.449496870230181</v>
      </c>
      <c r="O1119" s="440">
        <f t="shared" si="478"/>
        <v>675.90841264179687</v>
      </c>
    </row>
    <row r="1120" spans="1:15" s="351" customFormat="1" x14ac:dyDescent="0.25">
      <c r="A1120" s="362" t="str">
        <f>name!E$10</f>
        <v>Sales and customer service</v>
      </c>
      <c r="B1120" s="440">
        <v>3.2874267490957512</v>
      </c>
      <c r="C1120" s="440">
        <v>5.1895977003141347</v>
      </c>
      <c r="D1120" s="440">
        <v>0.80225106194353646</v>
      </c>
      <c r="E1120" s="440">
        <f t="shared" si="476"/>
        <v>9.279275511353422</v>
      </c>
      <c r="F1120" s="441"/>
      <c r="G1120" s="440">
        <v>4.2719819627052509</v>
      </c>
      <c r="H1120" s="440">
        <v>7.9120283737596306</v>
      </c>
      <c r="I1120" s="440">
        <v>2.3228658502097446</v>
      </c>
      <c r="J1120" s="440">
        <f t="shared" si="479"/>
        <v>14.506876186674626</v>
      </c>
      <c r="K1120" s="441"/>
      <c r="L1120" s="440">
        <v>3.44495321363928</v>
      </c>
      <c r="M1120" s="440">
        <v>7.4293095224012191</v>
      </c>
      <c r="N1120" s="440">
        <v>2.0801813715824427</v>
      </c>
      <c r="O1120" s="440">
        <f t="shared" si="478"/>
        <v>12.954444107622942</v>
      </c>
    </row>
    <row r="1121" spans="1:15" s="351" customFormat="1" x14ac:dyDescent="0.25">
      <c r="A1121" s="362" t="str">
        <f>name!E$11</f>
        <v>Process, plant and machine operatives</v>
      </c>
      <c r="B1121" s="440">
        <v>6.3138849894050306</v>
      </c>
      <c r="C1121" s="440">
        <v>5.783812919968951</v>
      </c>
      <c r="D1121" s="440">
        <v>42.842841962478325</v>
      </c>
      <c r="E1121" s="440">
        <f t="shared" si="476"/>
        <v>54.940539871852309</v>
      </c>
      <c r="F1121" s="441"/>
      <c r="G1121" s="440">
        <v>3.4525267382706568</v>
      </c>
      <c r="H1121" s="440">
        <v>4.8794597059277676</v>
      </c>
      <c r="I1121" s="440">
        <v>40.351368535071181</v>
      </c>
      <c r="J1121" s="440">
        <f t="shared" si="479"/>
        <v>48.683354979269609</v>
      </c>
      <c r="K1121" s="441"/>
      <c r="L1121" s="440">
        <v>2.6391905482868805</v>
      </c>
      <c r="M1121" s="440">
        <v>4.5822281118136434</v>
      </c>
      <c r="N1121" s="440">
        <v>38.805916624873348</v>
      </c>
      <c r="O1121" s="440">
        <f t="shared" si="478"/>
        <v>46.027335284973873</v>
      </c>
    </row>
    <row r="1122" spans="1:15" s="351" customFormat="1" x14ac:dyDescent="0.25">
      <c r="A1122" s="362" t="str">
        <f>name!E$12</f>
        <v>Elementary occupations</v>
      </c>
      <c r="B1122" s="440">
        <v>22.314181991950328</v>
      </c>
      <c r="C1122" s="440">
        <v>287.3383516474691</v>
      </c>
      <c r="D1122" s="440">
        <v>2.4829137653469195</v>
      </c>
      <c r="E1122" s="440">
        <f t="shared" si="476"/>
        <v>312.1354474047663</v>
      </c>
      <c r="F1122" s="441"/>
      <c r="G1122" s="440">
        <v>14.831853376718273</v>
      </c>
      <c r="H1122" s="440">
        <v>153.15444169190349</v>
      </c>
      <c r="I1122" s="440">
        <v>5.4307868651572733</v>
      </c>
      <c r="J1122" s="440">
        <f t="shared" si="479"/>
        <v>173.41708193377903</v>
      </c>
      <c r="K1122" s="441"/>
      <c r="L1122" s="440">
        <v>10.123601615535305</v>
      </c>
      <c r="M1122" s="440">
        <v>101.14285849486278</v>
      </c>
      <c r="N1122" s="440">
        <v>5.6486511642705759</v>
      </c>
      <c r="O1122" s="440">
        <f t="shared" si="478"/>
        <v>116.91511127466866</v>
      </c>
    </row>
    <row r="1123" spans="1:15" s="351" customFormat="1" x14ac:dyDescent="0.25">
      <c r="A1123" s="362"/>
      <c r="B1123" s="440"/>
      <c r="C1123" s="440"/>
      <c r="D1123" s="440"/>
      <c r="E1123" s="440"/>
      <c r="F1123" s="441"/>
      <c r="G1123" s="440"/>
      <c r="H1123" s="440"/>
      <c r="I1123" s="440"/>
      <c r="J1123" s="440"/>
      <c r="K1123" s="441"/>
      <c r="L1123" s="440"/>
      <c r="M1123" s="440"/>
      <c r="N1123" s="440"/>
      <c r="O1123" s="440"/>
    </row>
    <row r="1124" spans="1:15" s="351" customFormat="1" x14ac:dyDescent="0.25">
      <c r="A1124" s="357" t="s">
        <v>32</v>
      </c>
      <c r="B1124" s="450">
        <f>SUM(B1114:B1122)</f>
        <v>1236.9980000640214</v>
      </c>
      <c r="C1124" s="450">
        <f t="shared" ref="C1124:E1124" si="480">SUM(C1114:C1122)</f>
        <v>1211.9999999897125</v>
      </c>
      <c r="D1124" s="450">
        <f t="shared" si="480"/>
        <v>141.99999999959135</v>
      </c>
      <c r="E1124" s="450">
        <f t="shared" si="480"/>
        <v>2590.9980000533246</v>
      </c>
      <c r="F1124" s="450"/>
      <c r="G1124" s="450">
        <f t="shared" ref="G1124:J1124" si="481">SUM(G1114:G1122)</f>
        <v>1436.0480000584039</v>
      </c>
      <c r="H1124" s="450">
        <f t="shared" si="481"/>
        <v>1242.0409999597741</v>
      </c>
      <c r="I1124" s="450">
        <f t="shared" si="481"/>
        <v>248.00000000110771</v>
      </c>
      <c r="J1124" s="450">
        <f t="shared" si="481"/>
        <v>2926.0890000192862</v>
      </c>
      <c r="K1124" s="450"/>
      <c r="L1124" s="450">
        <f t="shared" ref="L1124:O1124" si="482">SUM(L1114:L1122)</f>
        <v>1344.6890000627784</v>
      </c>
      <c r="M1124" s="450">
        <f t="shared" si="482"/>
        <v>1362.2119999777142</v>
      </c>
      <c r="N1124" s="450">
        <f t="shared" si="482"/>
        <v>228.68299999842185</v>
      </c>
      <c r="O1124" s="450">
        <f t="shared" si="482"/>
        <v>2935.5840000389144</v>
      </c>
    </row>
    <row r="1125" spans="1:15" s="351" customFormat="1" x14ac:dyDescent="0.25">
      <c r="A1125" s="348"/>
      <c r="B1125" s="348"/>
      <c r="C1125" s="348"/>
      <c r="D1125" s="348"/>
      <c r="E1125" s="348"/>
      <c r="F1125" s="348"/>
      <c r="G1125" s="348"/>
      <c r="H1125" s="348"/>
      <c r="I1125" s="348"/>
      <c r="J1125" s="348"/>
      <c r="K1125" s="348"/>
      <c r="L1125" s="348"/>
      <c r="M1125" s="348"/>
      <c r="N1125" s="353"/>
    </row>
    <row r="1126" spans="1:15" s="351" customFormat="1" x14ac:dyDescent="0.25">
      <c r="A1126" s="348"/>
      <c r="B1126" s="348"/>
      <c r="C1126" s="348"/>
      <c r="D1126" s="348"/>
      <c r="E1126" s="348"/>
      <c r="F1126" s="348"/>
      <c r="G1126" s="348"/>
      <c r="H1126" s="348"/>
      <c r="I1126" s="348"/>
      <c r="J1126" s="348"/>
      <c r="K1126" s="348"/>
      <c r="L1126" s="348"/>
      <c r="M1126" s="348"/>
      <c r="N1126" s="353"/>
      <c r="O1126" s="367" t="s">
        <v>35</v>
      </c>
    </row>
    <row r="1127" spans="1:15" s="351" customFormat="1" x14ac:dyDescent="0.25">
      <c r="A1127" s="355"/>
      <c r="B1127" s="355"/>
      <c r="C1127" s="355"/>
      <c r="D1127" s="355"/>
      <c r="E1127" s="355"/>
      <c r="F1127" s="355"/>
      <c r="G1127" s="355"/>
      <c r="H1127" s="355"/>
      <c r="I1127" s="355"/>
      <c r="J1127" s="355"/>
      <c r="K1127" s="355"/>
      <c r="L1127" s="355"/>
      <c r="M1127" s="355"/>
      <c r="N1127" s="355"/>
      <c r="O1127" s="355"/>
    </row>
    <row r="1128" spans="1:15" s="351" customFormat="1" x14ac:dyDescent="0.25">
      <c r="A1128" s="354" t="str">
        <f>name!A69</f>
        <v>Health</v>
      </c>
      <c r="B1128" s="517">
        <f>$B$6</f>
        <v>2007</v>
      </c>
      <c r="C1128" s="517"/>
      <c r="D1128" s="517"/>
      <c r="E1128" s="517"/>
      <c r="F1128" s="380"/>
      <c r="G1128" s="517">
        <f>$G$6</f>
        <v>2017</v>
      </c>
      <c r="H1128" s="517"/>
      <c r="I1128" s="517"/>
      <c r="J1128" s="517"/>
      <c r="K1128" s="380"/>
      <c r="L1128" s="517">
        <f>$L$6</f>
        <v>2027</v>
      </c>
      <c r="M1128" s="517"/>
      <c r="N1128" s="517"/>
      <c r="O1128" s="517"/>
    </row>
    <row r="1129" spans="1:15" s="351" customFormat="1" x14ac:dyDescent="0.25">
      <c r="A1129" s="370"/>
      <c r="B1129" s="388" t="str">
        <f>$B$7</f>
        <v>FT</v>
      </c>
      <c r="C1129" s="388" t="str">
        <f>$C$7</f>
        <v>PT</v>
      </c>
      <c r="D1129" s="388" t="str">
        <f>$D$7</f>
        <v>SE</v>
      </c>
      <c r="E1129" s="388" t="str">
        <f>$E$7</f>
        <v>Total</v>
      </c>
      <c r="F1129" s="388"/>
      <c r="G1129" s="388" t="str">
        <f>$G$7</f>
        <v>FT</v>
      </c>
      <c r="H1129" s="388" t="str">
        <f>$H$7</f>
        <v>PT</v>
      </c>
      <c r="I1129" s="388" t="str">
        <f>$I$7</f>
        <v>SE</v>
      </c>
      <c r="J1129" s="388" t="str">
        <f>$J$7</f>
        <v>Total</v>
      </c>
      <c r="K1129" s="388"/>
      <c r="L1129" s="388" t="str">
        <f>$L$7</f>
        <v>FT</v>
      </c>
      <c r="M1129" s="388" t="str">
        <f>$M$7</f>
        <v>PT</v>
      </c>
      <c r="N1129" s="388" t="str">
        <f>$N$7</f>
        <v>SE</v>
      </c>
      <c r="O1129" s="388" t="str">
        <f>$O$7</f>
        <v>Total</v>
      </c>
    </row>
    <row r="1130" spans="1:15" s="351" customFormat="1" x14ac:dyDescent="0.25">
      <c r="A1130" s="374"/>
      <c r="B1130" s="350"/>
      <c r="C1130" s="350"/>
      <c r="D1130" s="350"/>
      <c r="E1130" s="350"/>
      <c r="F1130" s="350"/>
      <c r="G1130" s="350"/>
      <c r="H1130" s="350"/>
      <c r="I1130" s="350"/>
      <c r="J1130" s="350"/>
      <c r="K1130" s="350"/>
      <c r="L1130" s="350"/>
      <c r="M1130" s="350"/>
      <c r="N1130" s="350"/>
      <c r="O1130" s="350"/>
    </row>
    <row r="1131" spans="1:15" s="351" customFormat="1" x14ac:dyDescent="0.25">
      <c r="A1131" s="362" t="str">
        <f>name!E$4</f>
        <v>Managers, directors and senior officials</v>
      </c>
      <c r="B1131" s="440">
        <v>42.306826662996308</v>
      </c>
      <c r="C1131" s="440">
        <v>18.870053611443279</v>
      </c>
      <c r="D1131" s="440">
        <v>13.915278784651326</v>
      </c>
      <c r="E1131" s="440">
        <f>SUM(B1131:D1131)</f>
        <v>75.092159059090903</v>
      </c>
      <c r="F1131" s="441"/>
      <c r="G1131" s="440">
        <v>71.649263625386197</v>
      </c>
      <c r="H1131" s="440">
        <v>23.343169584707447</v>
      </c>
      <c r="I1131" s="440">
        <v>15.942455052782812</v>
      </c>
      <c r="J1131" s="440">
        <f>SUM(G1131:I1131)</f>
        <v>110.93488826287646</v>
      </c>
      <c r="K1131" s="441"/>
      <c r="L1131" s="440">
        <v>80.963232712185686</v>
      </c>
      <c r="M1131" s="440">
        <v>28.651984626682211</v>
      </c>
      <c r="N1131" s="440">
        <v>16.315059735803576</v>
      </c>
      <c r="O1131" s="440">
        <f>SUM(L1131:N1131)</f>
        <v>125.93027707467147</v>
      </c>
    </row>
    <row r="1132" spans="1:15" s="351" customFormat="1" x14ac:dyDescent="0.25">
      <c r="A1132" s="362" t="str">
        <f>name!E$5</f>
        <v>Professional occupations</v>
      </c>
      <c r="B1132" s="440">
        <v>351.37386011475229</v>
      </c>
      <c r="C1132" s="440">
        <v>197.58457898831659</v>
      </c>
      <c r="D1132" s="440">
        <v>61.068395646995526</v>
      </c>
      <c r="E1132" s="440">
        <f t="shared" ref="E1132:E1139" si="483">SUM(B1132:D1132)</f>
        <v>610.02683475006449</v>
      </c>
      <c r="F1132" s="441"/>
      <c r="G1132" s="440">
        <v>496.5644544880721</v>
      </c>
      <c r="H1132" s="440">
        <v>252.21246396809465</v>
      </c>
      <c r="I1132" s="440">
        <v>78.503015082134397</v>
      </c>
      <c r="J1132" s="440">
        <f t="shared" ref="J1132:J1134" si="484">SUM(G1132:I1132)</f>
        <v>827.27993353830118</v>
      </c>
      <c r="K1132" s="441"/>
      <c r="L1132" s="440">
        <v>557.80530568257234</v>
      </c>
      <c r="M1132" s="440">
        <v>291.1901271844232</v>
      </c>
      <c r="N1132" s="440">
        <v>77.04009306502185</v>
      </c>
      <c r="O1132" s="440">
        <f t="shared" ref="O1132:O1139" si="485">SUM(L1132:N1132)</f>
        <v>926.03552593201744</v>
      </c>
    </row>
    <row r="1133" spans="1:15" s="351" customFormat="1" x14ac:dyDescent="0.25">
      <c r="A1133" s="362" t="str">
        <f>name!E$6</f>
        <v>Associate professional and technical</v>
      </c>
      <c r="B1133" s="440">
        <v>138.86565548973024</v>
      </c>
      <c r="C1133" s="440">
        <v>82.440692092711231</v>
      </c>
      <c r="D1133" s="440">
        <v>19.507603071973762</v>
      </c>
      <c r="E1133" s="440">
        <f t="shared" si="483"/>
        <v>240.81395065441524</v>
      </c>
      <c r="F1133" s="441"/>
      <c r="G1133" s="440">
        <v>201.04970127089737</v>
      </c>
      <c r="H1133" s="440">
        <v>98.376682801655889</v>
      </c>
      <c r="I1133" s="440">
        <v>29.549697416876242</v>
      </c>
      <c r="J1133" s="440">
        <f t="shared" si="484"/>
        <v>328.97608148942953</v>
      </c>
      <c r="K1133" s="441"/>
      <c r="L1133" s="440">
        <v>222.14066812208108</v>
      </c>
      <c r="M1133" s="440">
        <v>115.02678481234334</v>
      </c>
      <c r="N1133" s="440">
        <v>29.748661799140013</v>
      </c>
      <c r="O1133" s="440">
        <f t="shared" si="485"/>
        <v>366.91611473356443</v>
      </c>
    </row>
    <row r="1134" spans="1:15" s="351" customFormat="1" x14ac:dyDescent="0.25">
      <c r="A1134" s="362" t="str">
        <f>name!E$7</f>
        <v>Administrative and secretarial</v>
      </c>
      <c r="B1134" s="440">
        <v>78.814431634687764</v>
      </c>
      <c r="C1134" s="440">
        <v>148.57683502367863</v>
      </c>
      <c r="D1134" s="440">
        <v>2.4667344315354991</v>
      </c>
      <c r="E1134" s="440">
        <f t="shared" si="483"/>
        <v>229.85800108990188</v>
      </c>
      <c r="F1134" s="441"/>
      <c r="G1134" s="440">
        <v>101.44725386647177</v>
      </c>
      <c r="H1134" s="440">
        <v>121.01239242370606</v>
      </c>
      <c r="I1134" s="440">
        <v>4.4722838386719141</v>
      </c>
      <c r="J1134" s="440">
        <f t="shared" si="484"/>
        <v>226.93193012884976</v>
      </c>
      <c r="K1134" s="441"/>
      <c r="L1134" s="440">
        <v>71.663226103267277</v>
      </c>
      <c r="M1134" s="440">
        <v>73.598183769918677</v>
      </c>
      <c r="N1134" s="440">
        <v>2.1597796368947408</v>
      </c>
      <c r="O1134" s="440">
        <f t="shared" si="485"/>
        <v>147.42118951008069</v>
      </c>
    </row>
    <row r="1135" spans="1:15" s="351" customFormat="1" x14ac:dyDescent="0.25">
      <c r="A1135" s="362" t="str">
        <f>name!E$8</f>
        <v>Skilled trades occupations</v>
      </c>
      <c r="B1135" s="440">
        <v>18.015822789610748</v>
      </c>
      <c r="C1135" s="440">
        <v>19.349429411722255</v>
      </c>
      <c r="D1135" s="440">
        <v>4.2120319366477563</v>
      </c>
      <c r="E1135" s="440">
        <f t="shared" si="483"/>
        <v>41.577284137980762</v>
      </c>
      <c r="F1135" s="441"/>
      <c r="G1135" s="440">
        <v>13.796374754886536</v>
      </c>
      <c r="H1135" s="440">
        <v>10.845712730105079</v>
      </c>
      <c r="I1135" s="440">
        <v>4.6768256727367268</v>
      </c>
      <c r="J1135" s="440">
        <f>SUM(G1135:I1135)</f>
        <v>29.318913157728339</v>
      </c>
      <c r="K1135" s="441"/>
      <c r="L1135" s="440">
        <v>9.8499194984179272</v>
      </c>
      <c r="M1135" s="440">
        <v>8.0243607005088009</v>
      </c>
      <c r="N1135" s="440">
        <v>4.9599810377946651</v>
      </c>
      <c r="O1135" s="440">
        <f t="shared" si="485"/>
        <v>22.834261236721392</v>
      </c>
    </row>
    <row r="1136" spans="1:15" s="351" customFormat="1" x14ac:dyDescent="0.25">
      <c r="A1136" s="362" t="str">
        <f>name!E$9</f>
        <v>Caring, leisure and other service</v>
      </c>
      <c r="B1136" s="440">
        <v>388.03874118181204</v>
      </c>
      <c r="C1136" s="440">
        <v>254.5606125350225</v>
      </c>
      <c r="D1136" s="440">
        <v>36.993307404618768</v>
      </c>
      <c r="E1136" s="440">
        <f t="shared" si="483"/>
        <v>679.59266112145338</v>
      </c>
      <c r="F1136" s="441"/>
      <c r="G1136" s="440">
        <v>480.06721209545475</v>
      </c>
      <c r="H1136" s="440">
        <v>399.7485763493429</v>
      </c>
      <c r="I1136" s="440">
        <v>59.83846147998181</v>
      </c>
      <c r="J1136" s="440">
        <f t="shared" ref="J1136:J1139" si="486">SUM(G1136:I1136)</f>
        <v>939.65424992477938</v>
      </c>
      <c r="K1136" s="441"/>
      <c r="L1136" s="440">
        <v>539.96743275470442</v>
      </c>
      <c r="M1136" s="440">
        <v>501.27795587355672</v>
      </c>
      <c r="N1136" s="440">
        <v>61.104755282334402</v>
      </c>
      <c r="O1136" s="440">
        <f t="shared" si="485"/>
        <v>1102.3501439105955</v>
      </c>
    </row>
    <row r="1137" spans="1:15" s="351" customFormat="1" x14ac:dyDescent="0.25">
      <c r="A1137" s="362" t="str">
        <f>name!E$10</f>
        <v>Sales and customer service</v>
      </c>
      <c r="B1137" s="440">
        <v>11.072122546106387</v>
      </c>
      <c r="C1137" s="440">
        <v>12.921190061228502</v>
      </c>
      <c r="D1137" s="440">
        <v>1.0812558798040042</v>
      </c>
      <c r="E1137" s="440">
        <f t="shared" si="483"/>
        <v>25.074568487138894</v>
      </c>
      <c r="F1137" s="441"/>
      <c r="G1137" s="440">
        <v>16.730227289921466</v>
      </c>
      <c r="H1137" s="440">
        <v>15.672932011367726</v>
      </c>
      <c r="I1137" s="440">
        <v>1.6140970338399807</v>
      </c>
      <c r="J1137" s="440">
        <f t="shared" si="486"/>
        <v>34.017256335129176</v>
      </c>
      <c r="K1137" s="441"/>
      <c r="L1137" s="440">
        <v>16.272295541729186</v>
      </c>
      <c r="M1137" s="440">
        <v>16.004876408198353</v>
      </c>
      <c r="N1137" s="440">
        <v>1.4821573561823647</v>
      </c>
      <c r="O1137" s="440">
        <f t="shared" si="485"/>
        <v>33.759329306109898</v>
      </c>
    </row>
    <row r="1138" spans="1:15" s="351" customFormat="1" x14ac:dyDescent="0.25">
      <c r="A1138" s="362" t="str">
        <f>name!E$11</f>
        <v>Process, plant and machine operatives</v>
      </c>
      <c r="B1138" s="440">
        <v>7.5841885587024196</v>
      </c>
      <c r="C1138" s="440">
        <v>10.335778456920929</v>
      </c>
      <c r="D1138" s="440">
        <v>1.4592079572995891</v>
      </c>
      <c r="E1138" s="440">
        <f t="shared" si="483"/>
        <v>19.379174972922939</v>
      </c>
      <c r="F1138" s="441"/>
      <c r="G1138" s="440">
        <v>4.9130886032783421</v>
      </c>
      <c r="H1138" s="440">
        <v>8.7435425218811318</v>
      </c>
      <c r="I1138" s="440">
        <v>1.2743385226431294</v>
      </c>
      <c r="J1138" s="440">
        <f t="shared" si="486"/>
        <v>14.930969647802604</v>
      </c>
      <c r="K1138" s="441"/>
      <c r="L1138" s="440">
        <v>3.1053013767622124</v>
      </c>
      <c r="M1138" s="440">
        <v>7.7567875591835493</v>
      </c>
      <c r="N1138" s="440">
        <v>1.0845109378664939</v>
      </c>
      <c r="O1138" s="440">
        <f t="shared" si="485"/>
        <v>11.946599873812255</v>
      </c>
    </row>
    <row r="1139" spans="1:15" s="351" customFormat="1" x14ac:dyDescent="0.25">
      <c r="A1139" s="362" t="str">
        <f>name!E$12</f>
        <v>Elementary occupations</v>
      </c>
      <c r="B1139" s="440">
        <v>24.6683510242997</v>
      </c>
      <c r="C1139" s="440">
        <v>96.623829809319673</v>
      </c>
      <c r="D1139" s="440">
        <v>3.294184878735626</v>
      </c>
      <c r="E1139" s="440">
        <f t="shared" si="483"/>
        <v>124.58636571235499</v>
      </c>
      <c r="F1139" s="441"/>
      <c r="G1139" s="440">
        <v>18.827424004593439</v>
      </c>
      <c r="H1139" s="440">
        <v>56.076527592838197</v>
      </c>
      <c r="I1139" s="440">
        <v>2.1268258883329025</v>
      </c>
      <c r="J1139" s="440">
        <f t="shared" si="486"/>
        <v>77.030777485764546</v>
      </c>
      <c r="K1139" s="441"/>
      <c r="L1139" s="440">
        <v>14.655618215277462</v>
      </c>
      <c r="M1139" s="440">
        <v>44.656939053736281</v>
      </c>
      <c r="N1139" s="440">
        <v>1.7790011389414948</v>
      </c>
      <c r="O1139" s="440">
        <f t="shared" si="485"/>
        <v>61.09155840795524</v>
      </c>
    </row>
    <row r="1140" spans="1:15" s="351" customFormat="1" x14ac:dyDescent="0.25">
      <c r="A1140" s="362"/>
      <c r="B1140" s="440"/>
      <c r="C1140" s="440"/>
      <c r="D1140" s="440"/>
      <c r="E1140" s="440"/>
      <c r="F1140" s="441"/>
      <c r="G1140" s="440"/>
      <c r="H1140" s="440"/>
      <c r="I1140" s="440"/>
      <c r="J1140" s="440"/>
      <c r="K1140" s="441"/>
      <c r="L1140" s="440"/>
      <c r="M1140" s="440"/>
      <c r="N1140" s="440"/>
      <c r="O1140" s="440"/>
    </row>
    <row r="1141" spans="1:15" s="351" customFormat="1" x14ac:dyDescent="0.25">
      <c r="A1141" s="357" t="s">
        <v>32</v>
      </c>
      <c r="B1141" s="450">
        <f>SUM(B1131:B1139)</f>
        <v>1060.7400000026978</v>
      </c>
      <c r="C1141" s="450">
        <f t="shared" ref="C1141:E1141" si="487">SUM(C1131:C1139)</f>
        <v>841.26299999036348</v>
      </c>
      <c r="D1141" s="450">
        <f t="shared" si="487"/>
        <v>143.99799999226184</v>
      </c>
      <c r="E1141" s="450">
        <f t="shared" si="487"/>
        <v>2046.0009999853237</v>
      </c>
      <c r="F1141" s="450"/>
      <c r="G1141" s="450">
        <f t="shared" ref="G1141:J1141" si="488">SUM(G1131:G1139)</f>
        <v>1405.0449999989619</v>
      </c>
      <c r="H1141" s="450">
        <f t="shared" si="488"/>
        <v>986.03199998369905</v>
      </c>
      <c r="I1141" s="450">
        <f t="shared" si="488"/>
        <v>197.99799998799989</v>
      </c>
      <c r="J1141" s="450">
        <f t="shared" si="488"/>
        <v>2589.0749999706613</v>
      </c>
      <c r="K1141" s="450"/>
      <c r="L1141" s="450">
        <f t="shared" ref="L1141:O1141" si="489">SUM(L1131:L1139)</f>
        <v>1516.4230000069972</v>
      </c>
      <c r="M1141" s="450">
        <f t="shared" si="489"/>
        <v>1086.1879999885512</v>
      </c>
      <c r="N1141" s="450">
        <f t="shared" si="489"/>
        <v>195.67399998997959</v>
      </c>
      <c r="O1141" s="450">
        <f t="shared" si="489"/>
        <v>2798.2849999855284</v>
      </c>
    </row>
    <row r="1142" spans="1:15" s="351" customFormat="1" x14ac:dyDescent="0.25">
      <c r="A1142" s="348"/>
      <c r="B1142" s="348"/>
      <c r="C1142" s="348"/>
      <c r="D1142" s="348"/>
      <c r="E1142" s="348"/>
      <c r="F1142" s="348"/>
      <c r="G1142" s="348"/>
      <c r="H1142" s="348"/>
      <c r="I1142" s="348"/>
      <c r="J1142" s="348"/>
      <c r="K1142" s="348"/>
      <c r="L1142" s="348"/>
      <c r="M1142" s="348"/>
      <c r="N1142" s="353"/>
    </row>
    <row r="1143" spans="1:15" s="351" customFormat="1" x14ac:dyDescent="0.25">
      <c r="A1143" s="348"/>
      <c r="B1143" s="348"/>
      <c r="C1143" s="348"/>
      <c r="D1143" s="348"/>
      <c r="E1143" s="348"/>
      <c r="F1143" s="348"/>
      <c r="G1143" s="348"/>
      <c r="H1143" s="348"/>
      <c r="I1143" s="348"/>
      <c r="J1143" s="348"/>
      <c r="K1143" s="348"/>
      <c r="L1143" s="348"/>
      <c r="M1143" s="348"/>
      <c r="N1143" s="353"/>
      <c r="O1143" s="367" t="s">
        <v>35</v>
      </c>
    </row>
    <row r="1144" spans="1:15" s="351" customFormat="1" x14ac:dyDescent="0.25">
      <c r="A1144" s="355"/>
      <c r="B1144" s="355"/>
      <c r="C1144" s="355"/>
      <c r="D1144" s="355"/>
      <c r="E1144" s="355"/>
      <c r="F1144" s="355"/>
      <c r="G1144" s="355"/>
      <c r="H1144" s="355"/>
      <c r="I1144" s="355"/>
      <c r="J1144" s="355"/>
      <c r="K1144" s="355"/>
      <c r="L1144" s="355"/>
      <c r="M1144" s="355"/>
      <c r="N1144" s="355"/>
      <c r="O1144" s="355"/>
    </row>
    <row r="1145" spans="1:15" s="351" customFormat="1" x14ac:dyDescent="0.25">
      <c r="A1145" s="354" t="str">
        <f>name!A70</f>
        <v>Residential care</v>
      </c>
      <c r="B1145" s="517">
        <f>$B$6</f>
        <v>2007</v>
      </c>
      <c r="C1145" s="517"/>
      <c r="D1145" s="517"/>
      <c r="E1145" s="517"/>
      <c r="F1145" s="380"/>
      <c r="G1145" s="517">
        <f>$G$6</f>
        <v>2017</v>
      </c>
      <c r="H1145" s="517"/>
      <c r="I1145" s="517"/>
      <c r="J1145" s="517"/>
      <c r="K1145" s="380"/>
      <c r="L1145" s="517">
        <f>$L$6</f>
        <v>2027</v>
      </c>
      <c r="M1145" s="517"/>
      <c r="N1145" s="517"/>
      <c r="O1145" s="517"/>
    </row>
    <row r="1146" spans="1:15" s="351" customFormat="1" x14ac:dyDescent="0.25">
      <c r="A1146" s="370"/>
      <c r="B1146" s="388" t="str">
        <f>$B$7</f>
        <v>FT</v>
      </c>
      <c r="C1146" s="388" t="str">
        <f>$C$7</f>
        <v>PT</v>
      </c>
      <c r="D1146" s="388" t="str">
        <f>$D$7</f>
        <v>SE</v>
      </c>
      <c r="E1146" s="388" t="str">
        <f>$E$7</f>
        <v>Total</v>
      </c>
      <c r="F1146" s="388"/>
      <c r="G1146" s="388" t="str">
        <f>$G$7</f>
        <v>FT</v>
      </c>
      <c r="H1146" s="388" t="str">
        <f>$H$7</f>
        <v>PT</v>
      </c>
      <c r="I1146" s="388" t="str">
        <f>$I$7</f>
        <v>SE</v>
      </c>
      <c r="J1146" s="388" t="str">
        <f>$J$7</f>
        <v>Total</v>
      </c>
      <c r="K1146" s="388"/>
      <c r="L1146" s="388" t="str">
        <f>$L$7</f>
        <v>FT</v>
      </c>
      <c r="M1146" s="388" t="str">
        <f>$M$7</f>
        <v>PT</v>
      </c>
      <c r="N1146" s="388" t="str">
        <f>$N$7</f>
        <v>SE</v>
      </c>
      <c r="O1146" s="388" t="str">
        <f>$O$7</f>
        <v>Total</v>
      </c>
    </row>
    <row r="1147" spans="1:15" s="351" customFormat="1" x14ac:dyDescent="0.25">
      <c r="A1147" s="374"/>
      <c r="B1147" s="350"/>
      <c r="C1147" s="350"/>
      <c r="D1147" s="350"/>
      <c r="E1147" s="350"/>
      <c r="F1147" s="350"/>
      <c r="G1147" s="350"/>
      <c r="H1147" s="350"/>
      <c r="I1147" s="350"/>
      <c r="J1147" s="350"/>
      <c r="K1147" s="350"/>
      <c r="L1147" s="350"/>
      <c r="M1147" s="350"/>
      <c r="N1147" s="350"/>
      <c r="O1147" s="350"/>
    </row>
    <row r="1148" spans="1:15" s="351" customFormat="1" x14ac:dyDescent="0.25">
      <c r="A1148" s="362" t="str">
        <f>name!E$4</f>
        <v>Managers, directors and senior officials</v>
      </c>
      <c r="B1148" s="440">
        <v>13.532161644094847</v>
      </c>
      <c r="C1148" s="440">
        <v>7.0147587574303829</v>
      </c>
      <c r="D1148" s="440">
        <v>4.0762751030563775</v>
      </c>
      <c r="E1148" s="440">
        <f>SUM(B1148:D1148)</f>
        <v>24.623195504581609</v>
      </c>
      <c r="F1148" s="441"/>
      <c r="G1148" s="440">
        <v>21.914233026850969</v>
      </c>
      <c r="H1148" s="440">
        <v>7.1961839368334459</v>
      </c>
      <c r="I1148" s="440">
        <v>3.8878740818649922</v>
      </c>
      <c r="J1148" s="440">
        <f>SUM(G1148:I1148)</f>
        <v>32.998291045549408</v>
      </c>
      <c r="K1148" s="441"/>
      <c r="L1148" s="440">
        <v>24.675018768903449</v>
      </c>
      <c r="M1148" s="440">
        <v>9.3581026519418131</v>
      </c>
      <c r="N1148" s="440">
        <v>3.8798595607117869</v>
      </c>
      <c r="O1148" s="440">
        <f>SUM(L1148:N1148)</f>
        <v>37.912980981557048</v>
      </c>
    </row>
    <row r="1149" spans="1:15" s="351" customFormat="1" x14ac:dyDescent="0.25">
      <c r="A1149" s="362" t="str">
        <f>name!E$5</f>
        <v>Professional occupations</v>
      </c>
      <c r="B1149" s="440">
        <v>113.20217067978891</v>
      </c>
      <c r="C1149" s="440">
        <v>70.793739984235557</v>
      </c>
      <c r="D1149" s="440">
        <v>16.255181906623662</v>
      </c>
      <c r="E1149" s="440">
        <f t="shared" ref="E1149:E1156" si="490">SUM(B1149:D1149)</f>
        <v>200.2510925706481</v>
      </c>
      <c r="F1149" s="441"/>
      <c r="G1149" s="440">
        <v>151.19953797320466</v>
      </c>
      <c r="H1149" s="440">
        <v>71.096990353736018</v>
      </c>
      <c r="I1149" s="440">
        <v>20.805691725966884</v>
      </c>
      <c r="J1149" s="440">
        <f t="shared" ref="J1149:J1151" si="491">SUM(G1149:I1149)</f>
        <v>243.10222005290757</v>
      </c>
      <c r="K1149" s="441"/>
      <c r="L1149" s="440">
        <v>169.8942298358923</v>
      </c>
      <c r="M1149" s="440">
        <v>88.268738064942042</v>
      </c>
      <c r="N1149" s="440">
        <v>22.642748426369007</v>
      </c>
      <c r="O1149" s="440">
        <f t="shared" ref="O1149:O1156" si="492">SUM(L1149:N1149)</f>
        <v>280.80571632720336</v>
      </c>
    </row>
    <row r="1150" spans="1:15" s="351" customFormat="1" x14ac:dyDescent="0.25">
      <c r="A1150" s="362" t="str">
        <f>name!E$6</f>
        <v>Associate professional and technical</v>
      </c>
      <c r="B1150" s="440">
        <v>44.724631384935229</v>
      </c>
      <c r="C1150" s="440">
        <v>30.050908867682402</v>
      </c>
      <c r="D1150" s="440">
        <v>6.7104395503138532</v>
      </c>
      <c r="E1150" s="440">
        <f t="shared" si="490"/>
        <v>81.485979802931482</v>
      </c>
      <c r="F1150" s="441"/>
      <c r="G1150" s="440">
        <v>60.700784020766328</v>
      </c>
      <c r="H1150" s="440">
        <v>28.775513973147998</v>
      </c>
      <c r="I1150" s="440">
        <v>8.2158561140622943</v>
      </c>
      <c r="J1150" s="440">
        <f t="shared" si="491"/>
        <v>97.69215410797662</v>
      </c>
      <c r="K1150" s="441"/>
      <c r="L1150" s="440">
        <v>66.755949561732848</v>
      </c>
      <c r="M1150" s="440">
        <v>36.052826068425667</v>
      </c>
      <c r="N1150" s="440">
        <v>8.7794265635699595</v>
      </c>
      <c r="O1150" s="440">
        <f t="shared" si="492"/>
        <v>111.58820219372848</v>
      </c>
    </row>
    <row r="1151" spans="1:15" s="351" customFormat="1" x14ac:dyDescent="0.25">
      <c r="A1151" s="362" t="str">
        <f>name!E$7</f>
        <v>Administrative and secretarial</v>
      </c>
      <c r="B1151" s="440">
        <v>25.898143207693757</v>
      </c>
      <c r="C1151" s="440">
        <v>54.111885969628695</v>
      </c>
      <c r="D1151" s="440">
        <v>1.0760975513862945</v>
      </c>
      <c r="E1151" s="440">
        <f t="shared" si="490"/>
        <v>81.086126728708749</v>
      </c>
      <c r="F1151" s="441"/>
      <c r="G1151" s="440">
        <v>31.706259860268379</v>
      </c>
      <c r="H1151" s="440">
        <v>35.700156115312879</v>
      </c>
      <c r="I1151" s="440">
        <v>1.4671972308798316</v>
      </c>
      <c r="J1151" s="440">
        <f t="shared" si="491"/>
        <v>68.873613206461087</v>
      </c>
      <c r="K1151" s="441"/>
      <c r="L1151" s="440">
        <v>22.2695245328499</v>
      </c>
      <c r="M1151" s="440">
        <v>24.054570723617545</v>
      </c>
      <c r="N1151" s="440">
        <v>0.58759024722096742</v>
      </c>
      <c r="O1151" s="440">
        <f t="shared" si="492"/>
        <v>46.91168550368841</v>
      </c>
    </row>
    <row r="1152" spans="1:15" s="351" customFormat="1" x14ac:dyDescent="0.25">
      <c r="A1152" s="362" t="str">
        <f>name!E$8</f>
        <v>Skilled trades occupations</v>
      </c>
      <c r="B1152" s="440">
        <v>5.5672014973770914</v>
      </c>
      <c r="C1152" s="440">
        <v>7.1782022336746447</v>
      </c>
      <c r="D1152" s="440">
        <v>0.55630674042717776</v>
      </c>
      <c r="E1152" s="440">
        <f t="shared" si="490"/>
        <v>13.301710471478914</v>
      </c>
      <c r="F1152" s="441"/>
      <c r="G1152" s="440">
        <v>4.0792708898657173</v>
      </c>
      <c r="H1152" s="440">
        <v>3.5037115171439575</v>
      </c>
      <c r="I1152" s="440">
        <v>0.78981616258797682</v>
      </c>
      <c r="J1152" s="440">
        <f>SUM(G1152:I1152)</f>
        <v>8.3727985695976521</v>
      </c>
      <c r="K1152" s="441"/>
      <c r="L1152" s="440">
        <v>2.8042754898293052</v>
      </c>
      <c r="M1152" s="440">
        <v>2.906683985559074</v>
      </c>
      <c r="N1152" s="440">
        <v>0.87286720525347605</v>
      </c>
      <c r="O1152" s="440">
        <f t="shared" si="492"/>
        <v>6.5838266806418551</v>
      </c>
    </row>
    <row r="1153" spans="1:15" s="351" customFormat="1" x14ac:dyDescent="0.25">
      <c r="A1153" s="362" t="str">
        <f>name!E$9</f>
        <v>Caring, leisure and other service</v>
      </c>
      <c r="B1153" s="440">
        <v>128.5276855787607</v>
      </c>
      <c r="C1153" s="440">
        <v>93.107545398788019</v>
      </c>
      <c r="D1153" s="440">
        <v>20.951197109581429</v>
      </c>
      <c r="E1153" s="440">
        <f t="shared" si="490"/>
        <v>242.58642808713012</v>
      </c>
      <c r="F1153" s="441"/>
      <c r="G1153" s="440">
        <v>150.23689724290131</v>
      </c>
      <c r="H1153" s="440">
        <v>117.17346007915972</v>
      </c>
      <c r="I1153" s="440">
        <v>21.894147283913231</v>
      </c>
      <c r="J1153" s="440">
        <f t="shared" ref="J1153:J1156" si="493">SUM(G1153:I1153)</f>
        <v>289.30450460597427</v>
      </c>
      <c r="K1153" s="441"/>
      <c r="L1153" s="440">
        <v>168.18865257532613</v>
      </c>
      <c r="M1153" s="440">
        <v>159.56514893990433</v>
      </c>
      <c r="N1153" s="440">
        <v>23.50674636386972</v>
      </c>
      <c r="O1153" s="440">
        <f t="shared" si="492"/>
        <v>351.26054787910016</v>
      </c>
    </row>
    <row r="1154" spans="1:15" s="351" customFormat="1" x14ac:dyDescent="0.25">
      <c r="A1154" s="362" t="str">
        <f>name!E$10</f>
        <v>Sales and customer service</v>
      </c>
      <c r="B1154" s="440">
        <v>3.5978679154519244</v>
      </c>
      <c r="C1154" s="440">
        <v>4.7555829150121207</v>
      </c>
      <c r="D1154" s="440">
        <v>0.37783591964294316</v>
      </c>
      <c r="E1154" s="440">
        <f t="shared" si="490"/>
        <v>8.7312867501069871</v>
      </c>
      <c r="F1154" s="441"/>
      <c r="G1154" s="440">
        <v>5.174887068211703</v>
      </c>
      <c r="H1154" s="440">
        <v>4.6648890971350951</v>
      </c>
      <c r="I1154" s="440">
        <v>0.49451696580970994</v>
      </c>
      <c r="J1154" s="440">
        <f t="shared" si="493"/>
        <v>10.334293131156508</v>
      </c>
      <c r="K1154" s="441"/>
      <c r="L1154" s="440">
        <v>5.0330929054491644</v>
      </c>
      <c r="M1154" s="440">
        <v>5.0872594045339525</v>
      </c>
      <c r="N1154" s="440">
        <v>0.44928056114187498</v>
      </c>
      <c r="O1154" s="440">
        <f t="shared" si="492"/>
        <v>10.569632871124991</v>
      </c>
    </row>
    <row r="1155" spans="1:15" s="351" customFormat="1" x14ac:dyDescent="0.25">
      <c r="A1155" s="362" t="str">
        <f>name!E$11</f>
        <v>Process, plant and machine operatives</v>
      </c>
      <c r="B1155" s="440">
        <v>2.2732459537481451</v>
      </c>
      <c r="C1155" s="440">
        <v>3.8242786402714035</v>
      </c>
      <c r="D1155" s="440">
        <v>0.15514299644893878</v>
      </c>
      <c r="E1155" s="440">
        <f t="shared" si="490"/>
        <v>6.2526675904684872</v>
      </c>
      <c r="F1155" s="441"/>
      <c r="G1155" s="440">
        <v>1.4844307157687138</v>
      </c>
      <c r="H1155" s="440">
        <v>3.2616324252748972</v>
      </c>
      <c r="I1155" s="440">
        <v>0.1985823319176705</v>
      </c>
      <c r="J1155" s="440">
        <f t="shared" si="493"/>
        <v>4.9446454729612812</v>
      </c>
      <c r="K1155" s="441"/>
      <c r="L1155" s="440">
        <v>0.87584122563883515</v>
      </c>
      <c r="M1155" s="440">
        <v>3.0570730923790363</v>
      </c>
      <c r="N1155" s="440">
        <v>0.18645815543777994</v>
      </c>
      <c r="O1155" s="440">
        <f t="shared" si="492"/>
        <v>4.1193724734556509</v>
      </c>
    </row>
    <row r="1156" spans="1:15" s="351" customFormat="1" x14ac:dyDescent="0.25">
      <c r="A1156" s="362" t="str">
        <f>name!E$12</f>
        <v>Elementary occupations</v>
      </c>
      <c r="B1156" s="440">
        <v>7.9818921391386644</v>
      </c>
      <c r="C1156" s="440">
        <v>32.736097229848724</v>
      </c>
      <c r="D1156" s="440">
        <v>1.7185231197851569</v>
      </c>
      <c r="E1156" s="440">
        <f t="shared" si="490"/>
        <v>42.436512488772543</v>
      </c>
      <c r="F1156" s="441"/>
      <c r="G1156" s="440">
        <v>5.6956992019806956</v>
      </c>
      <c r="H1156" s="440">
        <v>16.273462497786163</v>
      </c>
      <c r="I1156" s="440">
        <v>0.60831809908236956</v>
      </c>
      <c r="J1156" s="440">
        <f t="shared" si="493"/>
        <v>22.577479798849225</v>
      </c>
      <c r="K1156" s="441"/>
      <c r="L1156" s="440">
        <v>4.1894151065237839</v>
      </c>
      <c r="M1156" s="440">
        <v>14.516597065179251</v>
      </c>
      <c r="N1156" s="440">
        <v>0.49202291306730306</v>
      </c>
      <c r="O1156" s="440">
        <f t="shared" si="492"/>
        <v>19.198035084770339</v>
      </c>
    </row>
    <row r="1157" spans="1:15" s="351" customFormat="1" x14ac:dyDescent="0.25">
      <c r="A1157" s="362"/>
      <c r="B1157" s="440"/>
      <c r="C1157" s="440"/>
      <c r="D1157" s="440"/>
      <c r="E1157" s="440"/>
      <c r="F1157" s="441"/>
      <c r="G1157" s="440"/>
      <c r="H1157" s="440"/>
      <c r="I1157" s="440"/>
      <c r="J1157" s="440"/>
      <c r="K1157" s="441"/>
      <c r="L1157" s="440"/>
      <c r="M1157" s="440"/>
      <c r="N1157" s="440"/>
      <c r="O1157" s="440"/>
    </row>
    <row r="1158" spans="1:15" s="351" customFormat="1" x14ac:dyDescent="0.25">
      <c r="A1158" s="357" t="s">
        <v>32</v>
      </c>
      <c r="B1158" s="450">
        <f>SUM(B1148:B1156)</f>
        <v>345.3050000009892</v>
      </c>
      <c r="C1158" s="450">
        <f t="shared" ref="C1158:E1158" si="494">SUM(C1148:C1156)</f>
        <v>303.57299999657198</v>
      </c>
      <c r="D1158" s="450">
        <f t="shared" si="494"/>
        <v>51.876999997265827</v>
      </c>
      <c r="E1158" s="450">
        <f t="shared" si="494"/>
        <v>700.75499999482702</v>
      </c>
      <c r="F1158" s="450"/>
      <c r="G1158" s="450">
        <f t="shared" ref="G1158:J1158" si="495">SUM(G1148:G1156)</f>
        <v>432.19199999981851</v>
      </c>
      <c r="H1158" s="450">
        <f t="shared" si="495"/>
        <v>287.64599999553019</v>
      </c>
      <c r="I1158" s="450">
        <f t="shared" si="495"/>
        <v>58.361999996084954</v>
      </c>
      <c r="J1158" s="450">
        <f t="shared" si="495"/>
        <v>778.19999999143363</v>
      </c>
      <c r="K1158" s="450"/>
      <c r="L1158" s="450">
        <f t="shared" ref="L1158:O1158" si="496">SUM(L1148:L1156)</f>
        <v>464.6860000021457</v>
      </c>
      <c r="M1158" s="450">
        <f t="shared" si="496"/>
        <v>342.86699999648278</v>
      </c>
      <c r="N1158" s="450">
        <f t="shared" si="496"/>
        <v>61.396999996641867</v>
      </c>
      <c r="O1158" s="450">
        <f t="shared" si="496"/>
        <v>868.94999999527033</v>
      </c>
    </row>
    <row r="1159" spans="1:15" s="351" customFormat="1" x14ac:dyDescent="0.25">
      <c r="A1159" s="348"/>
      <c r="B1159" s="348"/>
      <c r="C1159" s="348"/>
      <c r="D1159" s="348"/>
      <c r="E1159" s="348"/>
      <c r="F1159" s="348"/>
      <c r="G1159" s="348"/>
      <c r="H1159" s="348"/>
      <c r="I1159" s="348"/>
      <c r="J1159" s="348"/>
      <c r="K1159" s="348"/>
      <c r="L1159" s="348"/>
      <c r="M1159" s="348"/>
      <c r="N1159" s="353"/>
    </row>
    <row r="1160" spans="1:15" s="351" customFormat="1" x14ac:dyDescent="0.25">
      <c r="A1160" s="348"/>
      <c r="B1160" s="348"/>
      <c r="C1160" s="348"/>
      <c r="D1160" s="348"/>
      <c r="E1160" s="348"/>
      <c r="F1160" s="348"/>
      <c r="G1160" s="348"/>
      <c r="H1160" s="348"/>
      <c r="I1160" s="348"/>
      <c r="J1160" s="348"/>
      <c r="K1160" s="348"/>
      <c r="L1160" s="348"/>
      <c r="M1160" s="348"/>
      <c r="N1160" s="353"/>
      <c r="O1160" s="367" t="s">
        <v>35</v>
      </c>
    </row>
    <row r="1161" spans="1:15" s="351" customFormat="1" x14ac:dyDescent="0.25">
      <c r="A1161" s="355"/>
      <c r="B1161" s="355"/>
      <c r="C1161" s="355"/>
      <c r="D1161" s="355"/>
      <c r="E1161" s="355"/>
      <c r="F1161" s="355"/>
      <c r="G1161" s="355"/>
      <c r="H1161" s="355"/>
      <c r="I1161" s="355"/>
      <c r="J1161" s="355"/>
      <c r="K1161" s="355"/>
      <c r="L1161" s="355"/>
      <c r="M1161" s="355"/>
      <c r="N1161" s="355"/>
      <c r="O1161" s="355"/>
    </row>
    <row r="1162" spans="1:15" s="351" customFormat="1" x14ac:dyDescent="0.25">
      <c r="A1162" s="354" t="str">
        <f>name!A71</f>
        <v>Social work</v>
      </c>
      <c r="B1162" s="517">
        <f>$B$6</f>
        <v>2007</v>
      </c>
      <c r="C1162" s="517"/>
      <c r="D1162" s="517"/>
      <c r="E1162" s="517"/>
      <c r="F1162" s="380"/>
      <c r="G1162" s="517">
        <f>$G$6</f>
        <v>2017</v>
      </c>
      <c r="H1162" s="517"/>
      <c r="I1162" s="517"/>
      <c r="J1162" s="517"/>
      <c r="K1162" s="380"/>
      <c r="L1162" s="517">
        <f>$L$6</f>
        <v>2027</v>
      </c>
      <c r="M1162" s="517"/>
      <c r="N1162" s="517"/>
      <c r="O1162" s="517"/>
    </row>
    <row r="1163" spans="1:15" s="351" customFormat="1" x14ac:dyDescent="0.25">
      <c r="A1163" s="370"/>
      <c r="B1163" s="388" t="str">
        <f>$B$7</f>
        <v>FT</v>
      </c>
      <c r="C1163" s="388" t="str">
        <f>$C$7</f>
        <v>PT</v>
      </c>
      <c r="D1163" s="388" t="str">
        <f>$D$7</f>
        <v>SE</v>
      </c>
      <c r="E1163" s="388" t="str">
        <f>$E$7</f>
        <v>Total</v>
      </c>
      <c r="F1163" s="388"/>
      <c r="G1163" s="388" t="str">
        <f>$G$7</f>
        <v>FT</v>
      </c>
      <c r="H1163" s="388" t="str">
        <f>$H$7</f>
        <v>PT</v>
      </c>
      <c r="I1163" s="388" t="str">
        <f>$I$7</f>
        <v>SE</v>
      </c>
      <c r="J1163" s="388" t="str">
        <f>$J$7</f>
        <v>Total</v>
      </c>
      <c r="K1163" s="388"/>
      <c r="L1163" s="388" t="str">
        <f>$L$7</f>
        <v>FT</v>
      </c>
      <c r="M1163" s="388" t="str">
        <f>$M$7</f>
        <v>PT</v>
      </c>
      <c r="N1163" s="388" t="str">
        <f>$N$7</f>
        <v>SE</v>
      </c>
      <c r="O1163" s="388" t="str">
        <f>$O$7</f>
        <v>Total</v>
      </c>
    </row>
    <row r="1164" spans="1:15" s="351" customFormat="1" x14ac:dyDescent="0.25">
      <c r="A1164" s="374"/>
      <c r="B1164" s="350"/>
      <c r="C1164" s="350"/>
      <c r="D1164" s="350"/>
      <c r="E1164" s="350"/>
      <c r="F1164" s="350"/>
      <c r="G1164" s="350"/>
      <c r="H1164" s="350"/>
      <c r="I1164" s="350"/>
      <c r="J1164" s="350"/>
      <c r="K1164" s="350"/>
      <c r="L1164" s="350"/>
      <c r="M1164" s="350"/>
      <c r="N1164" s="350"/>
      <c r="O1164" s="350"/>
    </row>
    <row r="1165" spans="1:15" s="351" customFormat="1" x14ac:dyDescent="0.25">
      <c r="A1165" s="362" t="str">
        <f>name!E$4</f>
        <v>Managers, directors and senior officials</v>
      </c>
      <c r="B1165" s="440">
        <v>15.037414518881485</v>
      </c>
      <c r="C1165" s="440">
        <v>9.0662600103649815</v>
      </c>
      <c r="D1165" s="440">
        <v>4.6361816139415613</v>
      </c>
      <c r="E1165" s="440">
        <f>SUM(B1165:D1165)</f>
        <v>28.739856143188028</v>
      </c>
      <c r="F1165" s="441"/>
      <c r="G1165" s="440">
        <v>25.393365481169269</v>
      </c>
      <c r="H1165" s="440">
        <v>10.790337200829965</v>
      </c>
      <c r="I1165" s="440">
        <v>4.8822477769172723</v>
      </c>
      <c r="J1165" s="440">
        <f>SUM(G1165:I1165)</f>
        <v>41.065950458916511</v>
      </c>
      <c r="K1165" s="441"/>
      <c r="L1165" s="440">
        <v>28.60819925028397</v>
      </c>
      <c r="M1165" s="440">
        <v>14.046547164783121</v>
      </c>
      <c r="N1165" s="440">
        <v>4.9007862017265618</v>
      </c>
      <c r="O1165" s="440">
        <f>SUM(L1165:N1165)</f>
        <v>47.555532616793656</v>
      </c>
    </row>
    <row r="1166" spans="1:15" s="351" customFormat="1" x14ac:dyDescent="0.25">
      <c r="A1166" s="362" t="str">
        <f>name!E$5</f>
        <v>Professional occupations</v>
      </c>
      <c r="B1166" s="440">
        <v>128.58858859561076</v>
      </c>
      <c r="C1166" s="440">
        <v>95.361792707798088</v>
      </c>
      <c r="D1166" s="440">
        <v>18.886242778459309</v>
      </c>
      <c r="E1166" s="440">
        <f t="shared" ref="E1166:E1173" si="497">SUM(B1166:D1166)</f>
        <v>242.83662408186817</v>
      </c>
      <c r="F1166" s="441"/>
      <c r="G1166" s="440">
        <v>178.17301406713804</v>
      </c>
      <c r="H1166" s="440">
        <v>111.98801193899816</v>
      </c>
      <c r="I1166" s="440">
        <v>27.26261210725426</v>
      </c>
      <c r="J1166" s="440">
        <f t="shared" ref="J1166:J1168" si="498">SUM(G1166:I1166)</f>
        <v>317.42363811339044</v>
      </c>
      <c r="K1166" s="441"/>
      <c r="L1166" s="440">
        <v>200.62614315195418</v>
      </c>
      <c r="M1166" s="440">
        <v>138.89636207033431</v>
      </c>
      <c r="N1166" s="440">
        <v>29.724193023582338</v>
      </c>
      <c r="O1166" s="440">
        <f t="shared" ref="O1166:O1173" si="499">SUM(L1166:N1166)</f>
        <v>369.24669824587085</v>
      </c>
    </row>
    <row r="1167" spans="1:15" s="351" customFormat="1" x14ac:dyDescent="0.25">
      <c r="A1167" s="362" t="str">
        <f>name!E$6</f>
        <v>Associate professional and technical</v>
      </c>
      <c r="B1167" s="440">
        <v>50.46333303877487</v>
      </c>
      <c r="C1167" s="440">
        <v>39.663519421325738</v>
      </c>
      <c r="D1167" s="440">
        <v>7.6133211634581519</v>
      </c>
      <c r="E1167" s="440">
        <f t="shared" si="497"/>
        <v>97.740173623558761</v>
      </c>
      <c r="F1167" s="441"/>
      <c r="G1167" s="440">
        <v>71.188445001714697</v>
      </c>
      <c r="H1167" s="440">
        <v>44.351866265253619</v>
      </c>
      <c r="I1167" s="440">
        <v>10.634887105562628</v>
      </c>
      <c r="J1167" s="440">
        <f t="shared" si="498"/>
        <v>126.17519837253094</v>
      </c>
      <c r="K1167" s="441"/>
      <c r="L1167" s="440">
        <v>78.411334784577022</v>
      </c>
      <c r="M1167" s="440">
        <v>55.53219159925883</v>
      </c>
      <c r="N1167" s="440">
        <v>11.37240494134597</v>
      </c>
      <c r="O1167" s="440">
        <f t="shared" si="499"/>
        <v>145.31593132518182</v>
      </c>
    </row>
    <row r="1168" spans="1:15" s="351" customFormat="1" x14ac:dyDescent="0.25">
      <c r="A1168" s="362" t="str">
        <f>name!E$7</f>
        <v>Administrative and secretarial</v>
      </c>
      <c r="B1168" s="440">
        <v>28.639840195830679</v>
      </c>
      <c r="C1168" s="440">
        <v>71.26957945831542</v>
      </c>
      <c r="D1168" s="440">
        <v>1.2060282573106502</v>
      </c>
      <c r="E1168" s="440">
        <f t="shared" si="497"/>
        <v>101.11544791145674</v>
      </c>
      <c r="F1168" s="441"/>
      <c r="G1168" s="440">
        <v>37.032702995563767</v>
      </c>
      <c r="H1168" s="440">
        <v>51.668270386159399</v>
      </c>
      <c r="I1168" s="440">
        <v>1.879051852358028</v>
      </c>
      <c r="J1168" s="440">
        <f t="shared" si="498"/>
        <v>90.580025234081205</v>
      </c>
      <c r="K1168" s="441"/>
      <c r="L1168" s="440">
        <v>26.068976507606354</v>
      </c>
      <c r="M1168" s="440">
        <v>34.606068754463543</v>
      </c>
      <c r="N1168" s="440">
        <v>0.76594226268845533</v>
      </c>
      <c r="O1168" s="440">
        <f t="shared" si="499"/>
        <v>61.440987524758356</v>
      </c>
    </row>
    <row r="1169" spans="1:15" s="351" customFormat="1" x14ac:dyDescent="0.25">
      <c r="A1169" s="362" t="str">
        <f>name!E$8</f>
        <v>Skilled trades occupations</v>
      </c>
      <c r="B1169" s="440">
        <v>6.2652005134984936</v>
      </c>
      <c r="C1169" s="440">
        <v>9.2510536947157043</v>
      </c>
      <c r="D1169" s="440">
        <v>0.64645562137407131</v>
      </c>
      <c r="E1169" s="440">
        <f t="shared" si="497"/>
        <v>16.16270982958827</v>
      </c>
      <c r="F1169" s="441"/>
      <c r="G1169" s="440">
        <v>4.6583980665391378</v>
      </c>
      <c r="H1169" s="440">
        <v>5.0423329706869424</v>
      </c>
      <c r="I1169" s="440">
        <v>0.94154989679723589</v>
      </c>
      <c r="J1169" s="440">
        <f>SUM(G1169:I1169)</f>
        <v>10.642280934023317</v>
      </c>
      <c r="K1169" s="441"/>
      <c r="L1169" s="440">
        <v>3.2392883862100788</v>
      </c>
      <c r="M1169" s="440">
        <v>4.1254860384987353</v>
      </c>
      <c r="N1169" s="440">
        <v>1.0197743135856721</v>
      </c>
      <c r="O1169" s="440">
        <f t="shared" si="499"/>
        <v>8.3845487382944874</v>
      </c>
    </row>
    <row r="1170" spans="1:15" s="351" customFormat="1" x14ac:dyDescent="0.25">
      <c r="A1170" s="362" t="str">
        <f>name!E$9</f>
        <v>Caring, leisure and other service</v>
      </c>
      <c r="B1170" s="440">
        <v>142.62675191036607</v>
      </c>
      <c r="C1170" s="440">
        <v>123.4006710011806</v>
      </c>
      <c r="D1170" s="440">
        <v>23.570808626078222</v>
      </c>
      <c r="E1170" s="440">
        <f t="shared" si="497"/>
        <v>289.59823153762488</v>
      </c>
      <c r="F1170" s="441"/>
      <c r="G1170" s="440">
        <v>173.33949401623934</v>
      </c>
      <c r="H1170" s="440">
        <v>174.38496124238739</v>
      </c>
      <c r="I1170" s="440">
        <v>28.410804598031024</v>
      </c>
      <c r="J1170" s="440">
        <f t="shared" ref="J1170:J1173" si="500">SUM(G1170:I1170)</f>
        <v>376.13525985665774</v>
      </c>
      <c r="K1170" s="441"/>
      <c r="L1170" s="440">
        <v>195.0862796819502</v>
      </c>
      <c r="M1170" s="440">
        <v>236.50064259292557</v>
      </c>
      <c r="N1170" s="440">
        <v>30.505103076976944</v>
      </c>
      <c r="O1170" s="440">
        <f t="shared" si="499"/>
        <v>462.09202535185267</v>
      </c>
    </row>
    <row r="1171" spans="1:15" s="351" customFormat="1" x14ac:dyDescent="0.25">
      <c r="A1171" s="362" t="str">
        <f>name!E$10</f>
        <v>Sales and customer service</v>
      </c>
      <c r="B1171" s="440">
        <v>4.0131439265433828</v>
      </c>
      <c r="C1171" s="440">
        <v>6.1942572580644395</v>
      </c>
      <c r="D1171" s="440">
        <v>0.42879531910981372</v>
      </c>
      <c r="E1171" s="440">
        <f t="shared" si="497"/>
        <v>10.636196503717635</v>
      </c>
      <c r="F1171" s="441"/>
      <c r="G1171" s="440">
        <v>6.0370383563629728</v>
      </c>
      <c r="H1171" s="440">
        <v>6.8468585137072662</v>
      </c>
      <c r="I1171" s="440">
        <v>0.62957205270334493</v>
      </c>
      <c r="J1171" s="440">
        <f t="shared" si="500"/>
        <v>13.513468922773583</v>
      </c>
      <c r="K1171" s="441"/>
      <c r="L1171" s="440">
        <v>5.8820106008860638</v>
      </c>
      <c r="M1171" s="440">
        <v>7.5114268178456962</v>
      </c>
      <c r="N1171" s="440">
        <v>0.57576758084267021</v>
      </c>
      <c r="O1171" s="440">
        <f t="shared" si="499"/>
        <v>13.969204999574432</v>
      </c>
    </row>
    <row r="1172" spans="1:15" s="351" customFormat="1" x14ac:dyDescent="0.25">
      <c r="A1172" s="362" t="str">
        <f>name!E$11</f>
        <v>Process, plant and machine operatives</v>
      </c>
      <c r="B1172" s="440">
        <v>2.6273669398563579</v>
      </c>
      <c r="C1172" s="440">
        <v>4.8597691495134026</v>
      </c>
      <c r="D1172" s="440">
        <v>0.18485346530648347</v>
      </c>
      <c r="E1172" s="440">
        <f t="shared" si="497"/>
        <v>7.6719895546762444</v>
      </c>
      <c r="F1172" s="441"/>
      <c r="G1172" s="440">
        <v>1.701343549425625</v>
      </c>
      <c r="H1172" s="440">
        <v>4.6453041142776303</v>
      </c>
      <c r="I1172" s="440">
        <v>0.24450373213146712</v>
      </c>
      <c r="J1172" s="440">
        <f t="shared" si="500"/>
        <v>6.5911513958347223</v>
      </c>
      <c r="K1172" s="441"/>
      <c r="L1172" s="440">
        <v>1.0209229403197344</v>
      </c>
      <c r="M1172" s="440">
        <v>4.3594995282505211</v>
      </c>
      <c r="N1172" s="440">
        <v>0.21833579475986936</v>
      </c>
      <c r="O1172" s="440">
        <f t="shared" si="499"/>
        <v>5.5987582633301249</v>
      </c>
    </row>
    <row r="1173" spans="1:15" s="351" customFormat="1" x14ac:dyDescent="0.25">
      <c r="A1173" s="362" t="str">
        <f>name!E$12</f>
        <v>Elementary occupations</v>
      </c>
      <c r="B1173" s="440">
        <v>8.5933603614447538</v>
      </c>
      <c r="C1173" s="440">
        <v>45.200097293990872</v>
      </c>
      <c r="D1173" s="440">
        <v>1.9513131518183229</v>
      </c>
      <c r="E1173" s="440">
        <f t="shared" si="497"/>
        <v>55.74477080725395</v>
      </c>
      <c r="F1173" s="441"/>
      <c r="G1173" s="440">
        <v>6.2801984651760927</v>
      </c>
      <c r="H1173" s="440">
        <v>24.696057360763348</v>
      </c>
      <c r="I1173" s="440">
        <v>0.74777087309847423</v>
      </c>
      <c r="J1173" s="440">
        <f t="shared" si="500"/>
        <v>31.724026699037914</v>
      </c>
      <c r="K1173" s="441"/>
      <c r="L1173" s="440">
        <v>4.6718446983842501</v>
      </c>
      <c r="M1173" s="440">
        <v>21.912775428457916</v>
      </c>
      <c r="N1173" s="440">
        <v>0.59869280003548775</v>
      </c>
      <c r="O1173" s="440">
        <f t="shared" si="499"/>
        <v>27.183312926877655</v>
      </c>
    </row>
    <row r="1174" spans="1:15" s="351" customFormat="1" x14ac:dyDescent="0.25">
      <c r="A1174" s="362"/>
      <c r="B1174" s="440"/>
      <c r="C1174" s="440"/>
      <c r="D1174" s="440"/>
      <c r="E1174" s="440"/>
      <c r="F1174" s="441"/>
      <c r="G1174" s="440"/>
      <c r="H1174" s="440"/>
      <c r="I1174" s="440"/>
      <c r="J1174" s="440"/>
      <c r="K1174" s="441"/>
      <c r="L1174" s="440"/>
      <c r="M1174" s="440"/>
      <c r="N1174" s="440"/>
      <c r="O1174" s="440"/>
    </row>
    <row r="1175" spans="1:15" s="351" customFormat="1" x14ac:dyDescent="0.25">
      <c r="A1175" s="357" t="s">
        <v>32</v>
      </c>
      <c r="B1175" s="450">
        <f>SUM(B1165:B1173)</f>
        <v>386.85500000080685</v>
      </c>
      <c r="C1175" s="450">
        <f t="shared" ref="C1175:E1175" si="501">SUM(C1165:C1173)</f>
        <v>404.26699999526926</v>
      </c>
      <c r="D1175" s="450">
        <f t="shared" si="501"/>
        <v>59.123999996856597</v>
      </c>
      <c r="E1175" s="450">
        <f t="shared" si="501"/>
        <v>850.24599999293264</v>
      </c>
      <c r="F1175" s="450"/>
      <c r="G1175" s="450">
        <f t="shared" ref="G1175:J1175" si="502">SUM(G1165:G1173)</f>
        <v>503.80399999932899</v>
      </c>
      <c r="H1175" s="450">
        <f t="shared" si="502"/>
        <v>434.41399999306373</v>
      </c>
      <c r="I1175" s="450">
        <f t="shared" si="502"/>
        <v>75.632999994853719</v>
      </c>
      <c r="J1175" s="450">
        <f t="shared" si="502"/>
        <v>1013.8509999872464</v>
      </c>
      <c r="K1175" s="450"/>
      <c r="L1175" s="450">
        <f t="shared" ref="L1175:O1175" si="503">SUM(L1165:L1173)</f>
        <v>543.61500000217177</v>
      </c>
      <c r="M1175" s="450">
        <f t="shared" si="503"/>
        <v>517.49099999481825</v>
      </c>
      <c r="N1175" s="450">
        <f t="shared" si="503"/>
        <v>79.680999995543957</v>
      </c>
      <c r="O1175" s="450">
        <f t="shared" si="503"/>
        <v>1140.7869999925342</v>
      </c>
    </row>
    <row r="1176" spans="1:15" s="351" customFormat="1" x14ac:dyDescent="0.25">
      <c r="A1176" s="348"/>
      <c r="B1176" s="348"/>
      <c r="C1176" s="348"/>
      <c r="D1176" s="348"/>
      <c r="E1176" s="348"/>
      <c r="F1176" s="348"/>
      <c r="G1176" s="348"/>
      <c r="H1176" s="348"/>
      <c r="I1176" s="348"/>
      <c r="J1176" s="348"/>
      <c r="K1176" s="348"/>
      <c r="L1176" s="348"/>
      <c r="M1176" s="348"/>
      <c r="N1176" s="353"/>
    </row>
    <row r="1177" spans="1:15" s="351" customFormat="1" x14ac:dyDescent="0.25">
      <c r="A1177" s="348"/>
      <c r="B1177" s="348"/>
      <c r="C1177" s="348"/>
      <c r="D1177" s="348"/>
      <c r="E1177" s="348"/>
      <c r="F1177" s="348"/>
      <c r="G1177" s="348"/>
      <c r="H1177" s="348"/>
      <c r="I1177" s="348"/>
      <c r="J1177" s="348"/>
      <c r="K1177" s="348"/>
      <c r="L1177" s="348"/>
      <c r="M1177" s="348"/>
      <c r="N1177" s="353"/>
      <c r="O1177" s="367" t="s">
        <v>35</v>
      </c>
    </row>
    <row r="1178" spans="1:15" s="351" customFormat="1" x14ac:dyDescent="0.25">
      <c r="A1178" s="355"/>
      <c r="B1178" s="355"/>
      <c r="C1178" s="355"/>
      <c r="D1178" s="355"/>
      <c r="E1178" s="355"/>
      <c r="F1178" s="355"/>
      <c r="G1178" s="355"/>
      <c r="H1178" s="355"/>
      <c r="I1178" s="355"/>
      <c r="J1178" s="355"/>
      <c r="K1178" s="355"/>
      <c r="L1178" s="355"/>
      <c r="M1178" s="355"/>
      <c r="N1178" s="355"/>
      <c r="O1178" s="355"/>
    </row>
    <row r="1179" spans="1:15" s="351" customFormat="1" x14ac:dyDescent="0.25">
      <c r="A1179" s="354" t="str">
        <f>name!A72</f>
        <v>Arts and entertainment</v>
      </c>
      <c r="B1179" s="517">
        <f>$B$6</f>
        <v>2007</v>
      </c>
      <c r="C1179" s="517"/>
      <c r="D1179" s="517"/>
      <c r="E1179" s="517"/>
      <c r="F1179" s="380"/>
      <c r="G1179" s="517">
        <f>$G$6</f>
        <v>2017</v>
      </c>
      <c r="H1179" s="517"/>
      <c r="I1179" s="517"/>
      <c r="J1179" s="517"/>
      <c r="K1179" s="380"/>
      <c r="L1179" s="517">
        <f>$L$6</f>
        <v>2027</v>
      </c>
      <c r="M1179" s="517"/>
      <c r="N1179" s="517"/>
      <c r="O1179" s="517"/>
    </row>
    <row r="1180" spans="1:15" s="351" customFormat="1" x14ac:dyDescent="0.25">
      <c r="A1180" s="370"/>
      <c r="B1180" s="388" t="str">
        <f>$B$7</f>
        <v>FT</v>
      </c>
      <c r="C1180" s="388" t="str">
        <f>$C$7</f>
        <v>PT</v>
      </c>
      <c r="D1180" s="388" t="str">
        <f>$D$7</f>
        <v>SE</v>
      </c>
      <c r="E1180" s="388" t="str">
        <f>$E$7</f>
        <v>Total</v>
      </c>
      <c r="F1180" s="388"/>
      <c r="G1180" s="388" t="str">
        <f>$G$7</f>
        <v>FT</v>
      </c>
      <c r="H1180" s="388" t="str">
        <f>$H$7</f>
        <v>PT</v>
      </c>
      <c r="I1180" s="388" t="str">
        <f>$I$7</f>
        <v>SE</v>
      </c>
      <c r="J1180" s="388" t="str">
        <f>$J$7</f>
        <v>Total</v>
      </c>
      <c r="K1180" s="388"/>
      <c r="L1180" s="388" t="str">
        <f>$L$7</f>
        <v>FT</v>
      </c>
      <c r="M1180" s="388" t="str">
        <f>$M$7</f>
        <v>PT</v>
      </c>
      <c r="N1180" s="388" t="str">
        <f>$N$7</f>
        <v>SE</v>
      </c>
      <c r="O1180" s="388" t="str">
        <f>$O$7</f>
        <v>Total</v>
      </c>
    </row>
    <row r="1181" spans="1:15" s="351" customFormat="1" x14ac:dyDescent="0.25">
      <c r="A1181" s="374"/>
      <c r="B1181" s="350"/>
      <c r="C1181" s="350"/>
      <c r="D1181" s="350"/>
      <c r="E1181" s="350"/>
      <c r="F1181" s="350"/>
      <c r="G1181" s="350"/>
      <c r="H1181" s="350"/>
      <c r="I1181" s="350"/>
      <c r="J1181" s="350"/>
      <c r="K1181" s="350"/>
      <c r="L1181" s="350"/>
      <c r="M1181" s="350"/>
      <c r="N1181" s="350"/>
      <c r="O1181" s="350"/>
    </row>
    <row r="1182" spans="1:15" s="351" customFormat="1" x14ac:dyDescent="0.25">
      <c r="A1182" s="362" t="str">
        <f>name!E$4</f>
        <v>Managers, directors and senior officials</v>
      </c>
      <c r="B1182" s="440">
        <v>7.0169966034446842</v>
      </c>
      <c r="C1182" s="440">
        <v>0.85858732813491134</v>
      </c>
      <c r="D1182" s="440">
        <v>5.1964911995792606</v>
      </c>
      <c r="E1182" s="440">
        <f>SUM(B1182:D1182)</f>
        <v>13.072075131158856</v>
      </c>
      <c r="F1182" s="441"/>
      <c r="G1182" s="440">
        <v>7.904783378092878</v>
      </c>
      <c r="H1182" s="440">
        <v>1.796680174072389</v>
      </c>
      <c r="I1182" s="440">
        <v>5.5392184498518597</v>
      </c>
      <c r="J1182" s="440">
        <f>SUM(G1182:I1182)</f>
        <v>15.240682002017127</v>
      </c>
      <c r="K1182" s="441"/>
      <c r="L1182" s="440">
        <v>9.8810852850163133</v>
      </c>
      <c r="M1182" s="440">
        <v>2.3365265392040899</v>
      </c>
      <c r="N1182" s="440">
        <v>6.311355704679559</v>
      </c>
      <c r="O1182" s="440">
        <f>SUM(L1182:N1182)</f>
        <v>18.528967528899962</v>
      </c>
    </row>
    <row r="1183" spans="1:15" s="351" customFormat="1" x14ac:dyDescent="0.25">
      <c r="A1183" s="362" t="str">
        <f>name!E$5</f>
        <v>Professional occupations</v>
      </c>
      <c r="B1183" s="440">
        <v>9.6809728635755938</v>
      </c>
      <c r="C1183" s="440">
        <v>2.1689584029058633</v>
      </c>
      <c r="D1183" s="440">
        <v>8.3334453826461719</v>
      </c>
      <c r="E1183" s="440">
        <f t="shared" ref="E1183:E1190" si="504">SUM(B1183:D1183)</f>
        <v>20.183376649127631</v>
      </c>
      <c r="F1183" s="441"/>
      <c r="G1183" s="440">
        <v>8.9512724901698597</v>
      </c>
      <c r="H1183" s="440">
        <v>3.2490173121215546</v>
      </c>
      <c r="I1183" s="440">
        <v>8.6718539370650429</v>
      </c>
      <c r="J1183" s="440">
        <f t="shared" ref="J1183:J1185" si="505">SUM(G1183:I1183)</f>
        <v>20.87214373935646</v>
      </c>
      <c r="K1183" s="441"/>
      <c r="L1183" s="440">
        <v>11.209019638760966</v>
      </c>
      <c r="M1183" s="440">
        <v>4.0257998935168882</v>
      </c>
      <c r="N1183" s="440">
        <v>10.458426210108948</v>
      </c>
      <c r="O1183" s="440">
        <f t="shared" ref="O1183:O1190" si="506">SUM(L1183:N1183)</f>
        <v>25.6932457423868</v>
      </c>
    </row>
    <row r="1184" spans="1:15" s="351" customFormat="1" x14ac:dyDescent="0.25">
      <c r="A1184" s="362" t="str">
        <f>name!E$6</f>
        <v>Associate professional and technical</v>
      </c>
      <c r="B1184" s="440">
        <v>16.461105794932493</v>
      </c>
      <c r="C1184" s="440">
        <v>6.7922100078841723</v>
      </c>
      <c r="D1184" s="440">
        <v>35.70976920017705</v>
      </c>
      <c r="E1184" s="440">
        <f t="shared" si="504"/>
        <v>58.963085002993715</v>
      </c>
      <c r="F1184" s="441"/>
      <c r="G1184" s="440">
        <v>15.065894637352001</v>
      </c>
      <c r="H1184" s="440">
        <v>7.7826684499700409</v>
      </c>
      <c r="I1184" s="440">
        <v>39.752534468518888</v>
      </c>
      <c r="J1184" s="440">
        <f t="shared" si="505"/>
        <v>62.60109755584093</v>
      </c>
      <c r="K1184" s="441"/>
      <c r="L1184" s="440">
        <v>17.297451504310114</v>
      </c>
      <c r="M1184" s="440">
        <v>8.9290446372813754</v>
      </c>
      <c r="N1184" s="440">
        <v>45.521251188681639</v>
      </c>
      <c r="O1184" s="440">
        <f t="shared" si="506"/>
        <v>71.747747330273128</v>
      </c>
    </row>
    <row r="1185" spans="1:15" s="351" customFormat="1" x14ac:dyDescent="0.25">
      <c r="A1185" s="362" t="str">
        <f>name!E$7</f>
        <v>Administrative and secretarial</v>
      </c>
      <c r="B1185" s="440">
        <v>8.0798514265153649</v>
      </c>
      <c r="C1185" s="440">
        <v>5.5782269253414469</v>
      </c>
      <c r="D1185" s="440">
        <v>0.44245709811110023</v>
      </c>
      <c r="E1185" s="440">
        <f t="shared" si="504"/>
        <v>14.100535449967913</v>
      </c>
      <c r="F1185" s="441"/>
      <c r="G1185" s="440">
        <v>5.6745151308686639</v>
      </c>
      <c r="H1185" s="440">
        <v>6.7746820988668004</v>
      </c>
      <c r="I1185" s="440">
        <v>0.71524271418558627</v>
      </c>
      <c r="J1185" s="440">
        <f t="shared" si="505"/>
        <v>13.164439943921051</v>
      </c>
      <c r="K1185" s="441"/>
      <c r="L1185" s="440">
        <v>5.4392763175614398</v>
      </c>
      <c r="M1185" s="440">
        <v>5.8206277373341067</v>
      </c>
      <c r="N1185" s="440">
        <v>0.6437808098556228</v>
      </c>
      <c r="O1185" s="440">
        <f t="shared" si="506"/>
        <v>11.903684864751169</v>
      </c>
    </row>
    <row r="1186" spans="1:15" s="351" customFormat="1" x14ac:dyDescent="0.25">
      <c r="A1186" s="362" t="str">
        <f>name!E$8</f>
        <v>Skilled trades occupations</v>
      </c>
      <c r="B1186" s="440">
        <v>4.6548556090758062</v>
      </c>
      <c r="C1186" s="440">
        <v>0.88194308117616149</v>
      </c>
      <c r="D1186" s="440">
        <v>4.3215414290666967</v>
      </c>
      <c r="E1186" s="440">
        <f t="shared" si="504"/>
        <v>9.8583401193186653</v>
      </c>
      <c r="F1186" s="441"/>
      <c r="G1186" s="440">
        <v>4.0759283944374296</v>
      </c>
      <c r="H1186" s="440">
        <v>1.1336683441568316</v>
      </c>
      <c r="I1186" s="440">
        <v>5.0453964482650475</v>
      </c>
      <c r="J1186" s="440">
        <f>SUM(G1186:I1186)</f>
        <v>10.254993186859309</v>
      </c>
      <c r="K1186" s="441"/>
      <c r="L1186" s="440">
        <v>4.5738839718355164</v>
      </c>
      <c r="M1186" s="440">
        <v>1.5281727532577669</v>
      </c>
      <c r="N1186" s="440">
        <v>4.9802693932601985</v>
      </c>
      <c r="O1186" s="440">
        <f t="shared" si="506"/>
        <v>11.082326118353482</v>
      </c>
    </row>
    <row r="1187" spans="1:15" s="351" customFormat="1" x14ac:dyDescent="0.25">
      <c r="A1187" s="362" t="str">
        <f>name!E$9</f>
        <v>Caring, leisure and other service</v>
      </c>
      <c r="B1187" s="440">
        <v>3.931859721803622</v>
      </c>
      <c r="C1187" s="440">
        <v>4.5009208768243951</v>
      </c>
      <c r="D1187" s="440">
        <v>0.73960909832236488</v>
      </c>
      <c r="E1187" s="440">
        <f t="shared" si="504"/>
        <v>9.1723896969503826</v>
      </c>
      <c r="F1187" s="441"/>
      <c r="G1187" s="440">
        <v>3.466331270513642</v>
      </c>
      <c r="H1187" s="440">
        <v>4.048342445945563</v>
      </c>
      <c r="I1187" s="440">
        <v>1.1637671499209516</v>
      </c>
      <c r="J1187" s="440">
        <f t="shared" ref="J1187:J1190" si="507">SUM(G1187:I1187)</f>
        <v>8.6784408663801571</v>
      </c>
      <c r="K1187" s="441"/>
      <c r="L1187" s="440">
        <v>3.966665516142712</v>
      </c>
      <c r="M1187" s="440">
        <v>4.7533960887158377</v>
      </c>
      <c r="N1187" s="440">
        <v>1.2588165885417093</v>
      </c>
      <c r="O1187" s="440">
        <f t="shared" si="506"/>
        <v>9.9788781934002593</v>
      </c>
    </row>
    <row r="1188" spans="1:15" s="351" customFormat="1" x14ac:dyDescent="0.25">
      <c r="A1188" s="362" t="str">
        <f>name!E$10</f>
        <v>Sales and customer service</v>
      </c>
      <c r="B1188" s="440">
        <v>2.2366102667723613</v>
      </c>
      <c r="C1188" s="440">
        <v>1.8787069875269908</v>
      </c>
      <c r="D1188" s="440">
        <v>0.22420680949283742</v>
      </c>
      <c r="E1188" s="440">
        <f t="shared" si="504"/>
        <v>4.3395240637921901</v>
      </c>
      <c r="F1188" s="441"/>
      <c r="G1188" s="440">
        <v>2.6539591384483123</v>
      </c>
      <c r="H1188" s="440">
        <v>2.3266608285852741</v>
      </c>
      <c r="I1188" s="440">
        <v>0.26889067438892161</v>
      </c>
      <c r="J1188" s="440">
        <f t="shared" si="507"/>
        <v>5.2495106414225079</v>
      </c>
      <c r="K1188" s="441"/>
      <c r="L1188" s="440">
        <v>2.915477071188985</v>
      </c>
      <c r="M1188" s="440">
        <v>2.2855169146370882</v>
      </c>
      <c r="N1188" s="440">
        <v>0.29834086543264593</v>
      </c>
      <c r="O1188" s="440">
        <f t="shared" si="506"/>
        <v>5.4993348512587197</v>
      </c>
    </row>
    <row r="1189" spans="1:15" s="351" customFormat="1" x14ac:dyDescent="0.25">
      <c r="A1189" s="362" t="str">
        <f>name!E$11</f>
        <v>Process, plant and machine operatives</v>
      </c>
      <c r="B1189" s="440">
        <v>0.59209189209162805</v>
      </c>
      <c r="C1189" s="440">
        <v>0.2359482731081492</v>
      </c>
      <c r="D1189" s="440">
        <v>0.32710026583955876</v>
      </c>
      <c r="E1189" s="440">
        <f t="shared" si="504"/>
        <v>1.1551404310393361</v>
      </c>
      <c r="F1189" s="441"/>
      <c r="G1189" s="440">
        <v>0.44469468060302164</v>
      </c>
      <c r="H1189" s="440">
        <v>0.22253887452037496</v>
      </c>
      <c r="I1189" s="440">
        <v>0.30184016060066415</v>
      </c>
      <c r="J1189" s="440">
        <f t="shared" si="507"/>
        <v>0.96907371572406076</v>
      </c>
      <c r="K1189" s="441"/>
      <c r="L1189" s="440">
        <v>0.46052042398045512</v>
      </c>
      <c r="M1189" s="440">
        <v>0.20674145030942775</v>
      </c>
      <c r="N1189" s="440">
        <v>0.33147951395276049</v>
      </c>
      <c r="O1189" s="440">
        <f t="shared" si="506"/>
        <v>0.99874138824264325</v>
      </c>
    </row>
    <row r="1190" spans="1:15" s="351" customFormat="1" x14ac:dyDescent="0.25">
      <c r="A1190" s="362" t="str">
        <f>name!E$12</f>
        <v>Elementary occupations</v>
      </c>
      <c r="B1190" s="440">
        <v>2.6986558217833072</v>
      </c>
      <c r="C1190" s="440">
        <v>8.2564981171065437</v>
      </c>
      <c r="D1190" s="440">
        <v>0.68737951622850302</v>
      </c>
      <c r="E1190" s="440">
        <f t="shared" si="504"/>
        <v>11.642533455118354</v>
      </c>
      <c r="F1190" s="441"/>
      <c r="G1190" s="440">
        <v>1.9226208791929871</v>
      </c>
      <c r="H1190" s="440">
        <v>6.7677414719015703</v>
      </c>
      <c r="I1190" s="440">
        <v>0.64825599634043751</v>
      </c>
      <c r="J1190" s="440">
        <f t="shared" si="507"/>
        <v>9.3386183474349949</v>
      </c>
      <c r="K1190" s="441"/>
      <c r="L1190" s="440">
        <v>2.0776202709921652</v>
      </c>
      <c r="M1190" s="440">
        <v>6.8341739858509269</v>
      </c>
      <c r="N1190" s="440">
        <v>0.68327972420633343</v>
      </c>
      <c r="O1190" s="440">
        <f t="shared" si="506"/>
        <v>9.5950739810494241</v>
      </c>
    </row>
    <row r="1191" spans="1:15" s="351" customFormat="1" x14ac:dyDescent="0.25">
      <c r="A1191" s="362"/>
      <c r="B1191" s="440"/>
      <c r="C1191" s="440"/>
      <c r="D1191" s="440"/>
      <c r="E1191" s="440"/>
      <c r="F1191" s="441"/>
      <c r="G1191" s="440"/>
      <c r="H1191" s="440"/>
      <c r="I1191" s="440"/>
      <c r="J1191" s="440"/>
      <c r="K1191" s="441"/>
      <c r="L1191" s="440"/>
      <c r="M1191" s="440"/>
      <c r="N1191" s="440"/>
      <c r="O1191" s="440"/>
    </row>
    <row r="1192" spans="1:15" s="351" customFormat="1" x14ac:dyDescent="0.25">
      <c r="A1192" s="357" t="s">
        <v>32</v>
      </c>
      <c r="B1192" s="450">
        <f>SUM(B1182:B1190)</f>
        <v>55.352999999994864</v>
      </c>
      <c r="C1192" s="450">
        <f t="shared" ref="C1192:E1192" si="508">SUM(C1182:C1190)</f>
        <v>31.152000000008634</v>
      </c>
      <c r="D1192" s="450">
        <f t="shared" si="508"/>
        <v>55.98199999946354</v>
      </c>
      <c r="E1192" s="450">
        <f t="shared" si="508"/>
        <v>142.48699999946706</v>
      </c>
      <c r="F1192" s="450"/>
      <c r="G1192" s="450">
        <f t="shared" ref="G1192:J1192" si="509">SUM(G1182:G1190)</f>
        <v>50.159999999678789</v>
      </c>
      <c r="H1192" s="450">
        <f t="shared" si="509"/>
        <v>34.1020000001404</v>
      </c>
      <c r="I1192" s="450">
        <f t="shared" si="509"/>
        <v>62.106999999137393</v>
      </c>
      <c r="J1192" s="450">
        <f t="shared" si="509"/>
        <v>146.36899999895658</v>
      </c>
      <c r="K1192" s="450"/>
      <c r="L1192" s="450">
        <f t="shared" ref="L1192:O1192" si="510">SUM(L1182:L1190)</f>
        <v>57.820999999788661</v>
      </c>
      <c r="M1192" s="450">
        <f t="shared" si="510"/>
        <v>36.720000000107511</v>
      </c>
      <c r="N1192" s="450">
        <f t="shared" si="510"/>
        <v>70.486999998719398</v>
      </c>
      <c r="O1192" s="450">
        <f t="shared" si="510"/>
        <v>165.0279999986156</v>
      </c>
    </row>
    <row r="1193" spans="1:15" s="351" customFormat="1" x14ac:dyDescent="0.25">
      <c r="A1193" s="348"/>
      <c r="B1193" s="348"/>
      <c r="C1193" s="348"/>
      <c r="D1193" s="348"/>
      <c r="E1193" s="348"/>
      <c r="F1193" s="348"/>
      <c r="G1193" s="348"/>
      <c r="H1193" s="348"/>
      <c r="I1193" s="348"/>
      <c r="J1193" s="348"/>
      <c r="K1193" s="348"/>
      <c r="L1193" s="348"/>
      <c r="M1193" s="348"/>
      <c r="N1193" s="353"/>
    </row>
    <row r="1194" spans="1:15" s="351" customFormat="1" x14ac:dyDescent="0.25">
      <c r="A1194" s="348"/>
      <c r="B1194" s="348"/>
      <c r="C1194" s="348"/>
      <c r="D1194" s="348"/>
      <c r="E1194" s="348"/>
      <c r="F1194" s="348"/>
      <c r="G1194" s="348"/>
      <c r="H1194" s="348"/>
      <c r="I1194" s="348"/>
      <c r="J1194" s="348"/>
      <c r="K1194" s="348"/>
      <c r="L1194" s="348"/>
      <c r="M1194" s="348"/>
      <c r="N1194" s="353"/>
      <c r="O1194" s="367" t="s">
        <v>35</v>
      </c>
    </row>
    <row r="1195" spans="1:15" s="351" customFormat="1" x14ac:dyDescent="0.25">
      <c r="A1195" s="355"/>
      <c r="B1195" s="355"/>
      <c r="C1195" s="355"/>
      <c r="D1195" s="355"/>
      <c r="E1195" s="355"/>
      <c r="F1195" s="355"/>
      <c r="G1195" s="355"/>
      <c r="H1195" s="355"/>
      <c r="I1195" s="355"/>
      <c r="J1195" s="355"/>
      <c r="K1195" s="355"/>
      <c r="L1195" s="355"/>
      <c r="M1195" s="355"/>
      <c r="N1195" s="355"/>
      <c r="O1195" s="355"/>
    </row>
    <row r="1196" spans="1:15" s="351" customFormat="1" x14ac:dyDescent="0.25">
      <c r="A1196" s="354" t="str">
        <f>name!A73</f>
        <v>Libraries, etc</v>
      </c>
      <c r="B1196" s="517">
        <f>$B$6</f>
        <v>2007</v>
      </c>
      <c r="C1196" s="517"/>
      <c r="D1196" s="517"/>
      <c r="E1196" s="517"/>
      <c r="F1196" s="380"/>
      <c r="G1196" s="517">
        <f>$G$6</f>
        <v>2017</v>
      </c>
      <c r="H1196" s="517"/>
      <c r="I1196" s="517"/>
      <c r="J1196" s="517"/>
      <c r="K1196" s="380"/>
      <c r="L1196" s="517">
        <f>$L$6</f>
        <v>2027</v>
      </c>
      <c r="M1196" s="517"/>
      <c r="N1196" s="517"/>
      <c r="O1196" s="517"/>
    </row>
    <row r="1197" spans="1:15" s="351" customFormat="1" x14ac:dyDescent="0.25">
      <c r="A1197" s="370"/>
      <c r="B1197" s="388" t="str">
        <f>$B$7</f>
        <v>FT</v>
      </c>
      <c r="C1197" s="388" t="str">
        <f>$C$7</f>
        <v>PT</v>
      </c>
      <c r="D1197" s="388" t="str">
        <f>$D$7</f>
        <v>SE</v>
      </c>
      <c r="E1197" s="388" t="str">
        <f>$E$7</f>
        <v>Total</v>
      </c>
      <c r="F1197" s="388"/>
      <c r="G1197" s="388" t="str">
        <f>$G$7</f>
        <v>FT</v>
      </c>
      <c r="H1197" s="388" t="str">
        <f>$H$7</f>
        <v>PT</v>
      </c>
      <c r="I1197" s="388" t="str">
        <f>$I$7</f>
        <v>SE</v>
      </c>
      <c r="J1197" s="388" t="str">
        <f>$J$7</f>
        <v>Total</v>
      </c>
      <c r="K1197" s="388"/>
      <c r="L1197" s="388" t="str">
        <f>$L$7</f>
        <v>FT</v>
      </c>
      <c r="M1197" s="388" t="str">
        <f>$M$7</f>
        <v>PT</v>
      </c>
      <c r="N1197" s="388" t="str">
        <f>$N$7</f>
        <v>SE</v>
      </c>
      <c r="O1197" s="388" t="str">
        <f>$O$7</f>
        <v>Total</v>
      </c>
    </row>
    <row r="1198" spans="1:15" s="351" customFormat="1" x14ac:dyDescent="0.25">
      <c r="A1198" s="374"/>
      <c r="B1198" s="350"/>
      <c r="C1198" s="350"/>
      <c r="D1198" s="350"/>
      <c r="E1198" s="350"/>
      <c r="F1198" s="350"/>
      <c r="G1198" s="350"/>
      <c r="H1198" s="350"/>
      <c r="I1198" s="350"/>
      <c r="J1198" s="350"/>
      <c r="K1198" s="350"/>
      <c r="L1198" s="350"/>
      <c r="M1198" s="350"/>
      <c r="N1198" s="350"/>
      <c r="O1198" s="350"/>
    </row>
    <row r="1199" spans="1:15" s="351" customFormat="1" x14ac:dyDescent="0.25">
      <c r="A1199" s="362" t="str">
        <f>name!E$4</f>
        <v>Managers, directors and senior officials</v>
      </c>
      <c r="B1199" s="440">
        <v>7.8003266063554344</v>
      </c>
      <c r="C1199" s="440">
        <v>1.6729299766106756</v>
      </c>
      <c r="D1199" s="440">
        <v>6.0030460395886749</v>
      </c>
      <c r="E1199" s="440">
        <f>SUM(B1199:D1199)</f>
        <v>15.476302622554785</v>
      </c>
      <c r="F1199" s="441"/>
      <c r="G1199" s="440">
        <v>8.8675981196020626</v>
      </c>
      <c r="H1199" s="440">
        <v>4.5391244637328407</v>
      </c>
      <c r="I1199" s="440">
        <v>6.5063282213899143</v>
      </c>
      <c r="J1199" s="440">
        <f>SUM(G1199:I1199)</f>
        <v>19.913050804724818</v>
      </c>
      <c r="K1199" s="441"/>
      <c r="L1199" s="440">
        <v>11.498279885697528</v>
      </c>
      <c r="M1199" s="440">
        <v>6.2557023246089258</v>
      </c>
      <c r="N1199" s="440">
        <v>7.6095333762197406</v>
      </c>
      <c r="O1199" s="440">
        <f>SUM(L1199:N1199)</f>
        <v>25.363515586526194</v>
      </c>
    </row>
    <row r="1200" spans="1:15" s="351" customFormat="1" x14ac:dyDescent="0.25">
      <c r="A1200" s="362" t="str">
        <f>name!E$5</f>
        <v>Professional occupations</v>
      </c>
      <c r="B1200" s="440">
        <v>9.3941024509969786</v>
      </c>
      <c r="C1200" s="440">
        <v>3.6175954103054839</v>
      </c>
      <c r="D1200" s="440">
        <v>9.5101198670331293</v>
      </c>
      <c r="E1200" s="440">
        <f t="shared" ref="E1200:E1207" si="511">SUM(B1200:D1200)</f>
        <v>22.521817728335591</v>
      </c>
      <c r="F1200" s="441"/>
      <c r="G1200" s="440">
        <v>9.1059658682409168</v>
      </c>
      <c r="H1200" s="440">
        <v>4.208069079188868</v>
      </c>
      <c r="I1200" s="440">
        <v>10.367879853318561</v>
      </c>
      <c r="J1200" s="440">
        <f t="shared" ref="J1200:J1202" si="512">SUM(G1200:I1200)</f>
        <v>23.681914800748345</v>
      </c>
      <c r="K1200" s="441"/>
      <c r="L1200" s="440">
        <v>11.800818688632416</v>
      </c>
      <c r="M1200" s="440">
        <v>5.338158526953273</v>
      </c>
      <c r="N1200" s="440">
        <v>13.161074783597789</v>
      </c>
      <c r="O1200" s="440">
        <f t="shared" ref="O1200:O1207" si="513">SUM(L1200:N1200)</f>
        <v>30.300051999183481</v>
      </c>
    </row>
    <row r="1201" spans="1:15" s="351" customFormat="1" x14ac:dyDescent="0.25">
      <c r="A1201" s="362" t="str">
        <f>name!E$6</f>
        <v>Associate professional and technical</v>
      </c>
      <c r="B1201" s="440">
        <v>15.493291533533075</v>
      </c>
      <c r="C1201" s="440">
        <v>9.9380954127797576</v>
      </c>
      <c r="D1201" s="440">
        <v>42.211733634223506</v>
      </c>
      <c r="E1201" s="440">
        <f t="shared" si="511"/>
        <v>67.643120580536333</v>
      </c>
      <c r="F1201" s="441"/>
      <c r="G1201" s="440">
        <v>14.532299182754409</v>
      </c>
      <c r="H1201" s="440">
        <v>8.8731025706721347</v>
      </c>
      <c r="I1201" s="440">
        <v>48.856517507403204</v>
      </c>
      <c r="J1201" s="440">
        <f t="shared" si="512"/>
        <v>72.261919260829757</v>
      </c>
      <c r="K1201" s="441"/>
      <c r="L1201" s="440">
        <v>17.067723758394681</v>
      </c>
      <c r="M1201" s="440">
        <v>10.294462183687253</v>
      </c>
      <c r="N1201" s="440">
        <v>57.376174407515222</v>
      </c>
      <c r="O1201" s="440">
        <f t="shared" si="513"/>
        <v>84.738360349597158</v>
      </c>
    </row>
    <row r="1202" spans="1:15" s="351" customFormat="1" x14ac:dyDescent="0.25">
      <c r="A1202" s="362" t="str">
        <f>name!E$7</f>
        <v>Administrative and secretarial</v>
      </c>
      <c r="B1202" s="440">
        <v>10.294650932688954</v>
      </c>
      <c r="C1202" s="440">
        <v>11.875605101465803</v>
      </c>
      <c r="D1202" s="440">
        <v>0.68041602708516002</v>
      </c>
      <c r="E1202" s="440">
        <f t="shared" si="511"/>
        <v>22.850672061239919</v>
      </c>
      <c r="F1202" s="441"/>
      <c r="G1202" s="440">
        <v>7.0029459957455966</v>
      </c>
      <c r="H1202" s="440">
        <v>12.381047673757118</v>
      </c>
      <c r="I1202" s="440">
        <v>1.1182008612473624</v>
      </c>
      <c r="J1202" s="440">
        <f t="shared" si="512"/>
        <v>20.502194530750078</v>
      </c>
      <c r="K1202" s="441"/>
      <c r="L1202" s="440">
        <v>7.0968323370664592</v>
      </c>
      <c r="M1202" s="440">
        <v>10.818649963060665</v>
      </c>
      <c r="N1202" s="440">
        <v>0.97855837705683946</v>
      </c>
      <c r="O1202" s="440">
        <f t="shared" si="513"/>
        <v>18.894040677183963</v>
      </c>
    </row>
    <row r="1203" spans="1:15" s="351" customFormat="1" x14ac:dyDescent="0.25">
      <c r="A1203" s="362" t="str">
        <f>name!E$8</f>
        <v>Skilled trades occupations</v>
      </c>
      <c r="B1203" s="440">
        <v>6.3174520698757277</v>
      </c>
      <c r="C1203" s="440">
        <v>1.5531855858607784</v>
      </c>
      <c r="D1203" s="440">
        <v>5.7045417859698313</v>
      </c>
      <c r="E1203" s="440">
        <f t="shared" si="511"/>
        <v>13.575179441706338</v>
      </c>
      <c r="F1203" s="441"/>
      <c r="G1203" s="440">
        <v>5.6508412696595878</v>
      </c>
      <c r="H1203" s="440">
        <v>2.0795631560217762</v>
      </c>
      <c r="I1203" s="440">
        <v>6.6833317034145088</v>
      </c>
      <c r="J1203" s="440">
        <f>SUM(G1203:I1203)</f>
        <v>14.413736129095874</v>
      </c>
      <c r="K1203" s="441"/>
      <c r="L1203" s="440">
        <v>6.5403814976378527</v>
      </c>
      <c r="M1203" s="440">
        <v>3.0239721418854582</v>
      </c>
      <c r="N1203" s="440">
        <v>6.6597075840538391</v>
      </c>
      <c r="O1203" s="440">
        <f t="shared" si="513"/>
        <v>16.224061223577152</v>
      </c>
    </row>
    <row r="1204" spans="1:15" s="351" customFormat="1" x14ac:dyDescent="0.25">
      <c r="A1204" s="362" t="str">
        <f>name!E$9</f>
        <v>Caring, leisure and other service</v>
      </c>
      <c r="B1204" s="440">
        <v>4.9185653465082915</v>
      </c>
      <c r="C1204" s="440">
        <v>8.1571523325249302</v>
      </c>
      <c r="D1204" s="440">
        <v>1.1331073632757256</v>
      </c>
      <c r="E1204" s="440">
        <f t="shared" si="511"/>
        <v>14.208825042308947</v>
      </c>
      <c r="F1204" s="441"/>
      <c r="G1204" s="440">
        <v>4.665991583037628</v>
      </c>
      <c r="H1204" s="440">
        <v>6.9468904377063163</v>
      </c>
      <c r="I1204" s="440">
        <v>1.6809370237540182</v>
      </c>
      <c r="J1204" s="440">
        <f t="shared" ref="J1204:J1207" si="514">SUM(G1204:I1204)</f>
        <v>13.293819044497962</v>
      </c>
      <c r="K1204" s="441"/>
      <c r="L1204" s="440">
        <v>5.5139552024416822</v>
      </c>
      <c r="M1204" s="440">
        <v>8.296395786989704</v>
      </c>
      <c r="N1204" s="440">
        <v>1.8997370603179133</v>
      </c>
      <c r="O1204" s="440">
        <f t="shared" si="513"/>
        <v>15.710088049749299</v>
      </c>
    </row>
    <row r="1205" spans="1:15" s="351" customFormat="1" x14ac:dyDescent="0.25">
      <c r="A1205" s="362" t="str">
        <f>name!E$10</f>
        <v>Sales and customer service</v>
      </c>
      <c r="B1205" s="440">
        <v>3.047674303896367</v>
      </c>
      <c r="C1205" s="440">
        <v>3.8036359391515999</v>
      </c>
      <c r="D1205" s="440">
        <v>0.31630104285959648</v>
      </c>
      <c r="E1205" s="440">
        <f t="shared" si="511"/>
        <v>7.1676112859075634</v>
      </c>
      <c r="F1205" s="441"/>
      <c r="G1205" s="440">
        <v>3.324378066602629</v>
      </c>
      <c r="H1205" s="440">
        <v>3.9475507746944167</v>
      </c>
      <c r="I1205" s="440">
        <v>0.35589401840895574</v>
      </c>
      <c r="J1205" s="440">
        <f t="shared" si="514"/>
        <v>7.6278228597060007</v>
      </c>
      <c r="K1205" s="441"/>
      <c r="L1205" s="440">
        <v>3.8422423916011423</v>
      </c>
      <c r="M1205" s="440">
        <v>3.9884840823926355</v>
      </c>
      <c r="N1205" s="440">
        <v>0.39061233275696022</v>
      </c>
      <c r="O1205" s="440">
        <f t="shared" si="513"/>
        <v>8.2213388067507385</v>
      </c>
    </row>
    <row r="1206" spans="1:15" s="351" customFormat="1" x14ac:dyDescent="0.25">
      <c r="A1206" s="362" t="str">
        <f>name!E$11</f>
        <v>Process, plant and machine operatives</v>
      </c>
      <c r="B1206" s="440">
        <v>0.95468076434006299</v>
      </c>
      <c r="C1206" s="440">
        <v>0.38726142225281174</v>
      </c>
      <c r="D1206" s="440">
        <v>0.38068449894936374</v>
      </c>
      <c r="E1206" s="440">
        <f t="shared" si="511"/>
        <v>1.7226266855422385</v>
      </c>
      <c r="F1206" s="441"/>
      <c r="G1206" s="440">
        <v>0.8057880589196772</v>
      </c>
      <c r="H1206" s="440">
        <v>0.38013597044023573</v>
      </c>
      <c r="I1206" s="440">
        <v>0.39201694075447124</v>
      </c>
      <c r="J1206" s="440">
        <f t="shared" si="514"/>
        <v>1.5779409701143843</v>
      </c>
      <c r="K1206" s="441"/>
      <c r="L1206" s="440">
        <v>0.8872155826186765</v>
      </c>
      <c r="M1206" s="440">
        <v>0.36851042858839617</v>
      </c>
      <c r="N1206" s="440">
        <v>0.44220877029177252</v>
      </c>
      <c r="O1206" s="440">
        <f t="shared" si="513"/>
        <v>1.6979347814988452</v>
      </c>
    </row>
    <row r="1207" spans="1:15" s="351" customFormat="1" x14ac:dyDescent="0.25">
      <c r="A1207" s="362" t="str">
        <f>name!E$12</f>
        <v>Elementary occupations</v>
      </c>
      <c r="B1207" s="440">
        <v>4.0932559917807669</v>
      </c>
      <c r="C1207" s="440">
        <v>15.174538819057805</v>
      </c>
      <c r="D1207" s="440">
        <v>1.1490497406516178</v>
      </c>
      <c r="E1207" s="440">
        <f t="shared" si="511"/>
        <v>20.41684455149019</v>
      </c>
      <c r="F1207" s="441"/>
      <c r="G1207" s="440">
        <v>3.1001918551060976</v>
      </c>
      <c r="H1207" s="440">
        <v>12.329515874029031</v>
      </c>
      <c r="I1207" s="440">
        <v>0.93289386952432884</v>
      </c>
      <c r="J1207" s="440">
        <f t="shared" si="514"/>
        <v>16.362601598659456</v>
      </c>
      <c r="K1207" s="441"/>
      <c r="L1207" s="440">
        <v>3.4975506556733329</v>
      </c>
      <c r="M1207" s="440">
        <v>12.737664561933521</v>
      </c>
      <c r="N1207" s="440">
        <v>1.0073933074003605</v>
      </c>
      <c r="O1207" s="440">
        <f t="shared" si="513"/>
        <v>17.242608525007213</v>
      </c>
    </row>
    <row r="1208" spans="1:15" s="351" customFormat="1" x14ac:dyDescent="0.25">
      <c r="A1208" s="362"/>
      <c r="B1208" s="440"/>
      <c r="C1208" s="440"/>
      <c r="D1208" s="440"/>
      <c r="E1208" s="440"/>
      <c r="F1208" s="441"/>
      <c r="G1208" s="440"/>
      <c r="H1208" s="440"/>
      <c r="I1208" s="440"/>
      <c r="J1208" s="440"/>
      <c r="K1208" s="441"/>
      <c r="L1208" s="440"/>
      <c r="M1208" s="440"/>
      <c r="N1208" s="440"/>
      <c r="O1208" s="440"/>
    </row>
    <row r="1209" spans="1:15" s="351" customFormat="1" x14ac:dyDescent="0.25">
      <c r="A1209" s="357" t="s">
        <v>32</v>
      </c>
      <c r="B1209" s="450">
        <f>SUM(B1199:B1207)</f>
        <v>62.31399999997565</v>
      </c>
      <c r="C1209" s="450">
        <f t="shared" ref="C1209:E1209" si="515">SUM(C1199:C1207)</f>
        <v>56.180000000009642</v>
      </c>
      <c r="D1209" s="450">
        <f t="shared" si="515"/>
        <v>67.088999999636613</v>
      </c>
      <c r="E1209" s="450">
        <f t="shared" si="515"/>
        <v>185.5829999996219</v>
      </c>
      <c r="F1209" s="450"/>
      <c r="G1209" s="450">
        <f t="shared" ref="G1209:J1209" si="516">SUM(G1199:G1207)</f>
        <v>57.0559999996686</v>
      </c>
      <c r="H1209" s="450">
        <f t="shared" si="516"/>
        <v>55.685000000242738</v>
      </c>
      <c r="I1209" s="450">
        <f t="shared" si="516"/>
        <v>76.893999999215339</v>
      </c>
      <c r="J1209" s="450">
        <f t="shared" si="516"/>
        <v>189.63499999912668</v>
      </c>
      <c r="K1209" s="450"/>
      <c r="L1209" s="450">
        <f t="shared" ref="L1209:O1209" si="517">SUM(L1199:L1207)</f>
        <v>67.744999999763763</v>
      </c>
      <c r="M1209" s="450">
        <f t="shared" si="517"/>
        <v>61.122000000099831</v>
      </c>
      <c r="N1209" s="450">
        <f t="shared" si="517"/>
        <v>89.524999999210436</v>
      </c>
      <c r="O1209" s="450">
        <f t="shared" si="517"/>
        <v>218.39199999907407</v>
      </c>
    </row>
    <row r="1210" spans="1:15" s="351" customFormat="1" x14ac:dyDescent="0.25">
      <c r="A1210" s="348"/>
      <c r="B1210" s="348"/>
      <c r="C1210" s="348"/>
      <c r="D1210" s="348"/>
      <c r="E1210" s="348"/>
      <c r="F1210" s="348"/>
      <c r="G1210" s="348"/>
      <c r="H1210" s="348"/>
      <c r="I1210" s="348"/>
      <c r="J1210" s="348"/>
      <c r="K1210" s="348"/>
      <c r="L1210" s="348"/>
      <c r="M1210" s="348"/>
      <c r="N1210" s="353"/>
    </row>
    <row r="1211" spans="1:15" s="351" customFormat="1" x14ac:dyDescent="0.25">
      <c r="A1211" s="348"/>
      <c r="B1211" s="348"/>
      <c r="C1211" s="348"/>
      <c r="D1211" s="348"/>
      <c r="E1211" s="348"/>
      <c r="F1211" s="348"/>
      <c r="G1211" s="348"/>
      <c r="H1211" s="348"/>
      <c r="I1211" s="348"/>
      <c r="J1211" s="348"/>
      <c r="K1211" s="348"/>
      <c r="L1211" s="348"/>
      <c r="M1211" s="348"/>
      <c r="N1211" s="353"/>
      <c r="O1211" s="367" t="s">
        <v>35</v>
      </c>
    </row>
    <row r="1212" spans="1:15" s="351" customFormat="1" x14ac:dyDescent="0.25">
      <c r="A1212" s="355"/>
      <c r="B1212" s="355"/>
      <c r="C1212" s="355"/>
      <c r="D1212" s="355"/>
      <c r="E1212" s="355"/>
      <c r="F1212" s="355"/>
      <c r="G1212" s="355"/>
      <c r="H1212" s="355"/>
      <c r="I1212" s="355"/>
      <c r="J1212" s="355"/>
      <c r="K1212" s="355"/>
      <c r="L1212" s="355"/>
      <c r="M1212" s="355"/>
      <c r="N1212" s="355"/>
      <c r="O1212" s="355"/>
    </row>
    <row r="1213" spans="1:15" s="351" customFormat="1" x14ac:dyDescent="0.25">
      <c r="A1213" s="354" t="str">
        <f>name!A74</f>
        <v>Gambling and betting</v>
      </c>
      <c r="B1213" s="517">
        <f>$B$6</f>
        <v>2007</v>
      </c>
      <c r="C1213" s="517"/>
      <c r="D1213" s="517"/>
      <c r="E1213" s="517"/>
      <c r="F1213" s="380"/>
      <c r="G1213" s="517">
        <f>$G$6</f>
        <v>2017</v>
      </c>
      <c r="H1213" s="517"/>
      <c r="I1213" s="517"/>
      <c r="J1213" s="517"/>
      <c r="K1213" s="380"/>
      <c r="L1213" s="517">
        <f>$L$6</f>
        <v>2027</v>
      </c>
      <c r="M1213" s="517"/>
      <c r="N1213" s="517"/>
      <c r="O1213" s="517"/>
    </row>
    <row r="1214" spans="1:15" s="351" customFormat="1" x14ac:dyDescent="0.25">
      <c r="A1214" s="370"/>
      <c r="B1214" s="388" t="str">
        <f>$B$7</f>
        <v>FT</v>
      </c>
      <c r="C1214" s="388" t="str">
        <f>$C$7</f>
        <v>PT</v>
      </c>
      <c r="D1214" s="388" t="str">
        <f>$D$7</f>
        <v>SE</v>
      </c>
      <c r="E1214" s="388" t="str">
        <f>$E$7</f>
        <v>Total</v>
      </c>
      <c r="F1214" s="388"/>
      <c r="G1214" s="388" t="str">
        <f>$G$7</f>
        <v>FT</v>
      </c>
      <c r="H1214" s="388" t="str">
        <f>$H$7</f>
        <v>PT</v>
      </c>
      <c r="I1214" s="388" t="str">
        <f>$I$7</f>
        <v>SE</v>
      </c>
      <c r="J1214" s="388" t="str">
        <f>$J$7</f>
        <v>Total</v>
      </c>
      <c r="K1214" s="388"/>
      <c r="L1214" s="388" t="str">
        <f>$L$7</f>
        <v>FT</v>
      </c>
      <c r="M1214" s="388" t="str">
        <f>$M$7</f>
        <v>PT</v>
      </c>
      <c r="N1214" s="388" t="str">
        <f>$N$7</f>
        <v>SE</v>
      </c>
      <c r="O1214" s="388" t="str">
        <f>$O$7</f>
        <v>Total</v>
      </c>
    </row>
    <row r="1215" spans="1:15" s="351" customFormat="1" x14ac:dyDescent="0.25">
      <c r="A1215" s="374"/>
      <c r="B1215" s="350"/>
      <c r="C1215" s="350"/>
      <c r="D1215" s="350"/>
      <c r="E1215" s="350"/>
      <c r="F1215" s="350"/>
      <c r="G1215" s="350"/>
      <c r="H1215" s="350"/>
      <c r="I1215" s="350"/>
      <c r="J1215" s="350"/>
      <c r="K1215" s="350"/>
      <c r="L1215" s="350"/>
      <c r="M1215" s="350"/>
      <c r="N1215" s="350"/>
      <c r="O1215" s="350"/>
    </row>
    <row r="1216" spans="1:15" s="351" customFormat="1" x14ac:dyDescent="0.25">
      <c r="A1216" s="362" t="str">
        <f>name!E$4</f>
        <v>Managers, directors and senior officials</v>
      </c>
      <c r="B1216" s="440">
        <v>7.538305454012816</v>
      </c>
      <c r="C1216" s="440">
        <v>1.127725050021706</v>
      </c>
      <c r="D1216" s="440">
        <v>1.236774536102436</v>
      </c>
      <c r="E1216" s="440">
        <f>SUM(B1216:D1216)</f>
        <v>9.9028050401369576</v>
      </c>
      <c r="F1216" s="441"/>
      <c r="G1216" s="440">
        <v>8.3880925121589911</v>
      </c>
      <c r="H1216" s="440">
        <v>1.910757680856334</v>
      </c>
      <c r="I1216" s="440">
        <v>1.2249187503438175</v>
      </c>
      <c r="J1216" s="440">
        <f>SUM(G1216:I1216)</f>
        <v>11.523768943359142</v>
      </c>
      <c r="K1216" s="441"/>
      <c r="L1216" s="440">
        <v>10.228852164333304</v>
      </c>
      <c r="M1216" s="440">
        <v>2.3280742512138715</v>
      </c>
      <c r="N1216" s="440">
        <v>1.3139708787194606</v>
      </c>
      <c r="O1216" s="440">
        <f>SUM(L1216:N1216)</f>
        <v>13.870897294266637</v>
      </c>
    </row>
    <row r="1217" spans="1:15" s="351" customFormat="1" x14ac:dyDescent="0.25">
      <c r="A1217" s="362" t="str">
        <f>name!E$5</f>
        <v>Professional occupations</v>
      </c>
      <c r="B1217" s="440">
        <v>8.2155939161159051</v>
      </c>
      <c r="C1217" s="440">
        <v>2.3815772548950402</v>
      </c>
      <c r="D1217" s="440">
        <v>1.9288069382837814</v>
      </c>
      <c r="E1217" s="440">
        <f t="shared" ref="E1217:E1224" si="518">SUM(B1217:D1217)</f>
        <v>12.525978109294726</v>
      </c>
      <c r="F1217" s="441"/>
      <c r="G1217" s="440">
        <v>7.8359574147668019</v>
      </c>
      <c r="H1217" s="440">
        <v>2.6804609686467975</v>
      </c>
      <c r="I1217" s="440">
        <v>1.8725431016251464</v>
      </c>
      <c r="J1217" s="440">
        <f t="shared" ref="J1217:J1219" si="519">SUM(G1217:I1217)</f>
        <v>12.388961485038745</v>
      </c>
      <c r="K1217" s="441"/>
      <c r="L1217" s="440">
        <v>9.7621764300627785</v>
      </c>
      <c r="M1217" s="440">
        <v>3.1110472961528051</v>
      </c>
      <c r="N1217" s="440">
        <v>2.1631535082182256</v>
      </c>
      <c r="O1217" s="440">
        <f t="shared" ref="O1217:O1224" si="520">SUM(L1217:N1217)</f>
        <v>15.036377234433809</v>
      </c>
    </row>
    <row r="1218" spans="1:15" s="351" customFormat="1" x14ac:dyDescent="0.25">
      <c r="A1218" s="362" t="str">
        <f>name!E$6</f>
        <v>Associate professional and technical</v>
      </c>
      <c r="B1218" s="440">
        <v>17.108964776024155</v>
      </c>
      <c r="C1218" s="440">
        <v>8.1469842894408178</v>
      </c>
      <c r="D1218" s="440">
        <v>8.7268586570344784</v>
      </c>
      <c r="E1218" s="440">
        <f t="shared" si="518"/>
        <v>33.982807722499452</v>
      </c>
      <c r="F1218" s="441"/>
      <c r="G1218" s="440">
        <v>15.429927316368703</v>
      </c>
      <c r="H1218" s="440">
        <v>7.2599537284348994</v>
      </c>
      <c r="I1218" s="440">
        <v>8.7444871509189266</v>
      </c>
      <c r="J1218" s="440">
        <f t="shared" si="519"/>
        <v>31.434368195722527</v>
      </c>
      <c r="K1218" s="441"/>
      <c r="L1218" s="440">
        <v>17.715951601012822</v>
      </c>
      <c r="M1218" s="440">
        <v>7.7264633472623352</v>
      </c>
      <c r="N1218" s="440">
        <v>9.4587153526994463</v>
      </c>
      <c r="O1218" s="440">
        <f t="shared" si="520"/>
        <v>34.9011303009746</v>
      </c>
    </row>
    <row r="1219" spans="1:15" s="351" customFormat="1" x14ac:dyDescent="0.25">
      <c r="A1219" s="362" t="str">
        <f>name!E$7</f>
        <v>Administrative and secretarial</v>
      </c>
      <c r="B1219" s="440">
        <v>7.6166792681217883</v>
      </c>
      <c r="C1219" s="440">
        <v>6.7242177593135555</v>
      </c>
      <c r="D1219" s="440">
        <v>0.13083214692569248</v>
      </c>
      <c r="E1219" s="440">
        <f t="shared" si="518"/>
        <v>14.471729174361036</v>
      </c>
      <c r="F1219" s="441"/>
      <c r="G1219" s="440">
        <v>6.1306750741570424</v>
      </c>
      <c r="H1219" s="440">
        <v>5.8934154806741592</v>
      </c>
      <c r="I1219" s="440">
        <v>0.18215272686024303</v>
      </c>
      <c r="J1219" s="440">
        <f t="shared" si="519"/>
        <v>12.206243281691444</v>
      </c>
      <c r="K1219" s="441"/>
      <c r="L1219" s="440">
        <v>6.2308093177238062</v>
      </c>
      <c r="M1219" s="440">
        <v>4.9951695391750688</v>
      </c>
      <c r="N1219" s="440">
        <v>0.15112388919112155</v>
      </c>
      <c r="O1219" s="440">
        <f t="shared" si="520"/>
        <v>11.377102746089996</v>
      </c>
    </row>
    <row r="1220" spans="1:15" s="351" customFormat="1" x14ac:dyDescent="0.25">
      <c r="A1220" s="362" t="str">
        <f>name!E$8</f>
        <v>Skilled trades occupations</v>
      </c>
      <c r="B1220" s="440">
        <v>6.9838278141610992</v>
      </c>
      <c r="C1220" s="440">
        <v>1.6039720069407266</v>
      </c>
      <c r="D1220" s="440">
        <v>1.1059016183282009</v>
      </c>
      <c r="E1220" s="440">
        <f t="shared" si="518"/>
        <v>9.6937014394300256</v>
      </c>
      <c r="F1220" s="441"/>
      <c r="G1220" s="440">
        <v>6.2660892861625781</v>
      </c>
      <c r="H1220" s="440">
        <v>2.2234720798622036</v>
      </c>
      <c r="I1220" s="440">
        <v>1.2057542320641792</v>
      </c>
      <c r="J1220" s="440">
        <f>SUM(G1220:I1220)</f>
        <v>9.6953155980889605</v>
      </c>
      <c r="K1220" s="441"/>
      <c r="L1220" s="440">
        <v>6.6242890038413407</v>
      </c>
      <c r="M1220" s="440">
        <v>2.5284207531685476</v>
      </c>
      <c r="N1220" s="440">
        <v>1.0534828651295149</v>
      </c>
      <c r="O1220" s="440">
        <f t="shared" si="520"/>
        <v>10.206192622139403</v>
      </c>
    </row>
    <row r="1221" spans="1:15" s="351" customFormat="1" x14ac:dyDescent="0.25">
      <c r="A1221" s="362" t="str">
        <f>name!E$9</f>
        <v>Caring, leisure and other service</v>
      </c>
      <c r="B1221" s="440">
        <v>4.1304981988360234</v>
      </c>
      <c r="C1221" s="440">
        <v>7.2318438134692524</v>
      </c>
      <c r="D1221" s="440">
        <v>0.21762456282275539</v>
      </c>
      <c r="E1221" s="440">
        <f t="shared" si="518"/>
        <v>11.579966575128033</v>
      </c>
      <c r="F1221" s="441"/>
      <c r="G1221" s="440">
        <v>4.1586663391926786</v>
      </c>
      <c r="H1221" s="440">
        <v>5.7334415429689489</v>
      </c>
      <c r="I1221" s="440">
        <v>0.28487803178957422</v>
      </c>
      <c r="J1221" s="440">
        <f t="shared" ref="J1221:J1224" si="521">SUM(G1221:I1221)</f>
        <v>10.176985913951203</v>
      </c>
      <c r="K1221" s="441"/>
      <c r="L1221" s="440">
        <v>4.7130080904617202</v>
      </c>
      <c r="M1221" s="440">
        <v>5.9424351465218024</v>
      </c>
      <c r="N1221" s="440">
        <v>0.29346026892734001</v>
      </c>
      <c r="O1221" s="440">
        <f t="shared" si="520"/>
        <v>10.948903505910863</v>
      </c>
    </row>
    <row r="1222" spans="1:15" s="351" customFormat="1" x14ac:dyDescent="0.25">
      <c r="A1222" s="362" t="str">
        <f>name!E$10</f>
        <v>Sales and customer service</v>
      </c>
      <c r="B1222" s="440">
        <v>2.5287175645160951</v>
      </c>
      <c r="C1222" s="440">
        <v>2.7916552136637578</v>
      </c>
      <c r="D1222" s="440">
        <v>6.3111622110819013E-2</v>
      </c>
      <c r="E1222" s="440">
        <f t="shared" si="518"/>
        <v>5.3834844002906719</v>
      </c>
      <c r="F1222" s="441"/>
      <c r="G1222" s="440">
        <v>3.2525045664440859</v>
      </c>
      <c r="H1222" s="440">
        <v>3.321719826244558</v>
      </c>
      <c r="I1222" s="440">
        <v>6.3200922906253149E-2</v>
      </c>
      <c r="J1222" s="440">
        <f t="shared" si="521"/>
        <v>6.6374253155948963</v>
      </c>
      <c r="K1222" s="441"/>
      <c r="L1222" s="440">
        <v>3.6315350965735029</v>
      </c>
      <c r="M1222" s="440">
        <v>2.7528508904784732</v>
      </c>
      <c r="N1222" s="440">
        <v>6.4683879341692369E-2</v>
      </c>
      <c r="O1222" s="440">
        <f t="shared" si="520"/>
        <v>6.4490698663936685</v>
      </c>
    </row>
    <row r="1223" spans="1:15" s="351" customFormat="1" x14ac:dyDescent="0.25">
      <c r="A1223" s="362" t="str">
        <f>name!E$11</f>
        <v>Process, plant and machine operatives</v>
      </c>
      <c r="B1223" s="440">
        <v>1.026764599757896</v>
      </c>
      <c r="C1223" s="440">
        <v>0.44328586279524396</v>
      </c>
      <c r="D1223" s="440">
        <v>7.4303818899112167E-2</v>
      </c>
      <c r="E1223" s="440">
        <f t="shared" si="518"/>
        <v>1.544354281452252</v>
      </c>
      <c r="F1223" s="441"/>
      <c r="G1223" s="440">
        <v>0.98578991047368392</v>
      </c>
      <c r="H1223" s="440">
        <v>0.50594644393583532</v>
      </c>
      <c r="I1223" s="440">
        <v>6.9710037402181582E-2</v>
      </c>
      <c r="J1223" s="440">
        <f t="shared" si="521"/>
        <v>1.5614463918117008</v>
      </c>
      <c r="K1223" s="441"/>
      <c r="L1223" s="440">
        <v>1.0080949479634431</v>
      </c>
      <c r="M1223" s="440">
        <v>0.40334607559999064</v>
      </c>
      <c r="N1223" s="440">
        <v>6.751473131545084E-2</v>
      </c>
      <c r="O1223" s="440">
        <f t="shared" si="520"/>
        <v>1.4789557548788848</v>
      </c>
    </row>
    <row r="1224" spans="1:15" s="351" customFormat="1" x14ac:dyDescent="0.25">
      <c r="A1224" s="362" t="str">
        <f>name!E$12</f>
        <v>Elementary occupations</v>
      </c>
      <c r="B1224" s="440">
        <v>3.7586484085014491</v>
      </c>
      <c r="C1224" s="440">
        <v>10.831738749461765</v>
      </c>
      <c r="D1224" s="440">
        <v>0.229786099421494</v>
      </c>
      <c r="E1224" s="440">
        <f t="shared" si="518"/>
        <v>14.820173257384708</v>
      </c>
      <c r="F1224" s="441"/>
      <c r="G1224" s="440">
        <v>3.5442975800926595</v>
      </c>
      <c r="H1224" s="440">
        <v>8.6168322484912867</v>
      </c>
      <c r="I1224" s="440">
        <v>0.16635504591301839</v>
      </c>
      <c r="J1224" s="440">
        <f t="shared" si="521"/>
        <v>12.327484874496964</v>
      </c>
      <c r="K1224" s="441"/>
      <c r="L1224" s="440">
        <v>3.8332833478920065</v>
      </c>
      <c r="M1224" s="440">
        <v>8.3031927004651305</v>
      </c>
      <c r="N1224" s="440">
        <v>0.15289462627720979</v>
      </c>
      <c r="O1224" s="440">
        <f t="shared" si="520"/>
        <v>12.289370674634347</v>
      </c>
    </row>
    <row r="1225" spans="1:15" s="351" customFormat="1" x14ac:dyDescent="0.25">
      <c r="A1225" s="362"/>
      <c r="B1225" s="440"/>
      <c r="C1225" s="440"/>
      <c r="D1225" s="440"/>
      <c r="E1225" s="440"/>
      <c r="F1225" s="441"/>
      <c r="G1225" s="440"/>
      <c r="H1225" s="440"/>
      <c r="I1225" s="440"/>
      <c r="J1225" s="440"/>
      <c r="K1225" s="441"/>
      <c r="L1225" s="440"/>
      <c r="M1225" s="440"/>
      <c r="N1225" s="440"/>
      <c r="O1225" s="440"/>
    </row>
    <row r="1226" spans="1:15" s="351" customFormat="1" x14ac:dyDescent="0.25">
      <c r="A1226" s="357" t="s">
        <v>32</v>
      </c>
      <c r="B1226" s="450">
        <f>SUM(B1216:B1224)</f>
        <v>58.908000000047224</v>
      </c>
      <c r="C1226" s="450">
        <f t="shared" ref="C1226:E1226" si="522">SUM(C1216:C1224)</f>
        <v>41.283000000001863</v>
      </c>
      <c r="D1226" s="450">
        <f t="shared" si="522"/>
        <v>13.71399999992877</v>
      </c>
      <c r="E1226" s="450">
        <f t="shared" si="522"/>
        <v>113.90499999997787</v>
      </c>
      <c r="F1226" s="450"/>
      <c r="G1226" s="450">
        <f t="shared" ref="G1226:J1226" si="523">SUM(G1216:G1224)</f>
        <v>55.991999999817224</v>
      </c>
      <c r="H1226" s="450">
        <f t="shared" si="523"/>
        <v>38.146000000115023</v>
      </c>
      <c r="I1226" s="450">
        <f t="shared" si="523"/>
        <v>13.81399999982334</v>
      </c>
      <c r="J1226" s="450">
        <f t="shared" si="523"/>
        <v>107.95199999975559</v>
      </c>
      <c r="K1226" s="450"/>
      <c r="L1226" s="450">
        <f t="shared" ref="L1226:O1226" si="524">SUM(L1216:L1224)</f>
        <v>63.747999999864717</v>
      </c>
      <c r="M1226" s="450">
        <f t="shared" si="524"/>
        <v>38.091000000038022</v>
      </c>
      <c r="N1226" s="450">
        <f t="shared" si="524"/>
        <v>14.718999999819459</v>
      </c>
      <c r="O1226" s="450">
        <f t="shared" si="524"/>
        <v>116.5579999997222</v>
      </c>
    </row>
    <row r="1227" spans="1:15" s="351" customFormat="1" x14ac:dyDescent="0.25">
      <c r="A1227" s="348"/>
      <c r="B1227" s="348"/>
      <c r="C1227" s="348"/>
      <c r="D1227" s="348"/>
      <c r="E1227" s="348"/>
      <c r="F1227" s="348"/>
      <c r="G1227" s="348"/>
      <c r="H1227" s="348"/>
      <c r="I1227" s="348"/>
      <c r="J1227" s="348"/>
      <c r="K1227" s="348"/>
      <c r="L1227" s="348"/>
      <c r="M1227" s="348"/>
      <c r="N1227" s="353"/>
    </row>
    <row r="1228" spans="1:15" s="351" customFormat="1" x14ac:dyDescent="0.25">
      <c r="A1228" s="348"/>
      <c r="B1228" s="348"/>
      <c r="C1228" s="348"/>
      <c r="D1228" s="348"/>
      <c r="E1228" s="348"/>
      <c r="F1228" s="348"/>
      <c r="G1228" s="348"/>
      <c r="H1228" s="348"/>
      <c r="I1228" s="348"/>
      <c r="J1228" s="348"/>
      <c r="K1228" s="348"/>
      <c r="L1228" s="348"/>
      <c r="M1228" s="348"/>
      <c r="N1228" s="353"/>
      <c r="O1228" s="367" t="s">
        <v>35</v>
      </c>
    </row>
    <row r="1229" spans="1:15" s="351" customFormat="1" x14ac:dyDescent="0.25">
      <c r="A1229" s="355"/>
      <c r="B1229" s="355"/>
      <c r="C1229" s="355"/>
      <c r="D1229" s="355"/>
      <c r="E1229" s="355"/>
      <c r="F1229" s="355"/>
      <c r="G1229" s="355"/>
      <c r="H1229" s="355"/>
      <c r="I1229" s="355"/>
      <c r="J1229" s="355"/>
      <c r="K1229" s="355"/>
      <c r="L1229" s="355"/>
      <c r="M1229" s="355"/>
      <c r="N1229" s="355"/>
      <c r="O1229" s="355"/>
    </row>
    <row r="1230" spans="1:15" s="351" customFormat="1" x14ac:dyDescent="0.25">
      <c r="A1230" s="354" t="str">
        <f>name!A75</f>
        <v>Sport and recreation</v>
      </c>
      <c r="B1230" s="517">
        <f>$B$6</f>
        <v>2007</v>
      </c>
      <c r="C1230" s="517"/>
      <c r="D1230" s="517"/>
      <c r="E1230" s="517"/>
      <c r="F1230" s="380"/>
      <c r="G1230" s="517">
        <f>$G$6</f>
        <v>2017</v>
      </c>
      <c r="H1230" s="517"/>
      <c r="I1230" s="517"/>
      <c r="J1230" s="517"/>
      <c r="K1230" s="380"/>
      <c r="L1230" s="517">
        <f>$L$6</f>
        <v>2027</v>
      </c>
      <c r="M1230" s="517"/>
      <c r="N1230" s="517"/>
      <c r="O1230" s="517"/>
    </row>
    <row r="1231" spans="1:15" s="351" customFormat="1" x14ac:dyDescent="0.25">
      <c r="A1231" s="370"/>
      <c r="B1231" s="388" t="str">
        <f>$B$7</f>
        <v>FT</v>
      </c>
      <c r="C1231" s="388" t="str">
        <f>$C$7</f>
        <v>PT</v>
      </c>
      <c r="D1231" s="388" t="str">
        <f>$D$7</f>
        <v>SE</v>
      </c>
      <c r="E1231" s="388" t="str">
        <f>$E$7</f>
        <v>Total</v>
      </c>
      <c r="F1231" s="388"/>
      <c r="G1231" s="388" t="str">
        <f>$G$7</f>
        <v>FT</v>
      </c>
      <c r="H1231" s="388" t="str">
        <f>$H$7</f>
        <v>PT</v>
      </c>
      <c r="I1231" s="388" t="str">
        <f>$I$7</f>
        <v>SE</v>
      </c>
      <c r="J1231" s="388" t="str">
        <f>$J$7</f>
        <v>Total</v>
      </c>
      <c r="K1231" s="388"/>
      <c r="L1231" s="388" t="str">
        <f>$L$7</f>
        <v>FT</v>
      </c>
      <c r="M1231" s="388" t="str">
        <f>$M$7</f>
        <v>PT</v>
      </c>
      <c r="N1231" s="388" t="str">
        <f>$N$7</f>
        <v>SE</v>
      </c>
      <c r="O1231" s="388" t="str">
        <f>$O$7</f>
        <v>Total</v>
      </c>
    </row>
    <row r="1232" spans="1:15" s="351" customFormat="1" x14ac:dyDescent="0.25">
      <c r="A1232" s="374"/>
      <c r="B1232" s="350"/>
      <c r="C1232" s="350"/>
      <c r="D1232" s="350"/>
      <c r="E1232" s="350"/>
      <c r="F1232" s="350"/>
      <c r="G1232" s="350"/>
      <c r="H1232" s="350"/>
      <c r="I1232" s="350"/>
      <c r="J1232" s="350"/>
      <c r="K1232" s="350"/>
      <c r="L1232" s="350"/>
      <c r="M1232" s="350"/>
      <c r="N1232" s="350"/>
      <c r="O1232" s="350"/>
    </row>
    <row r="1233" spans="1:15" s="351" customFormat="1" x14ac:dyDescent="0.25">
      <c r="A1233" s="362" t="str">
        <f>name!E$4</f>
        <v>Managers, directors and senior officials</v>
      </c>
      <c r="B1233" s="440">
        <v>19.728257684168966</v>
      </c>
      <c r="C1233" s="440">
        <v>5.6926116863065772</v>
      </c>
      <c r="D1233" s="440">
        <v>5.9695662014615136</v>
      </c>
      <c r="E1233" s="440">
        <f>SUM(B1233:D1233)</f>
        <v>31.390435571937058</v>
      </c>
      <c r="F1233" s="441"/>
      <c r="G1233" s="440">
        <v>29.631917893733299</v>
      </c>
      <c r="H1233" s="440">
        <v>18.034888692518077</v>
      </c>
      <c r="I1233" s="440">
        <v>7.3749845603799917</v>
      </c>
      <c r="J1233" s="440">
        <f>SUM(G1233:I1233)</f>
        <v>55.041791146631368</v>
      </c>
      <c r="K1233" s="441"/>
      <c r="L1233" s="440">
        <v>36.700592335585334</v>
      </c>
      <c r="M1233" s="440">
        <v>23.801467576707012</v>
      </c>
      <c r="N1233" s="440">
        <v>7.6288397064693276</v>
      </c>
      <c r="O1233" s="440">
        <f>SUM(L1233:N1233)</f>
        <v>68.130899618761674</v>
      </c>
    </row>
    <row r="1234" spans="1:15" s="351" customFormat="1" x14ac:dyDescent="0.25">
      <c r="A1234" s="362" t="str">
        <f>name!E$5</f>
        <v>Professional occupations</v>
      </c>
      <c r="B1234" s="440">
        <v>23.91589377169436</v>
      </c>
      <c r="C1234" s="440">
        <v>12.657977094839241</v>
      </c>
      <c r="D1234" s="440">
        <v>7.9757264702611375</v>
      </c>
      <c r="E1234" s="440">
        <f t="shared" ref="E1234:E1241" si="525">SUM(B1234:D1234)</f>
        <v>44.54959733679474</v>
      </c>
      <c r="F1234" s="441"/>
      <c r="G1234" s="440">
        <v>27.380659527693666</v>
      </c>
      <c r="H1234" s="440">
        <v>18.725849602709371</v>
      </c>
      <c r="I1234" s="440">
        <v>10.57914221222059</v>
      </c>
      <c r="J1234" s="440">
        <f t="shared" ref="J1234:J1236" si="526">SUM(G1234:I1234)</f>
        <v>56.685651342623629</v>
      </c>
      <c r="K1234" s="441"/>
      <c r="L1234" s="440">
        <v>33.830660477852831</v>
      </c>
      <c r="M1234" s="440">
        <v>22.495612564801458</v>
      </c>
      <c r="N1234" s="440">
        <v>12.017075693533414</v>
      </c>
      <c r="O1234" s="440">
        <f t="shared" ref="O1234:O1241" si="527">SUM(L1234:N1234)</f>
        <v>68.343348736187707</v>
      </c>
    </row>
    <row r="1235" spans="1:15" s="351" customFormat="1" x14ac:dyDescent="0.25">
      <c r="A1235" s="362" t="str">
        <f>name!E$6</f>
        <v>Associate professional and technical</v>
      </c>
      <c r="B1235" s="440">
        <v>39.771800250883835</v>
      </c>
      <c r="C1235" s="440">
        <v>36.359351502781955</v>
      </c>
      <c r="D1235" s="440">
        <v>34.198001133507404</v>
      </c>
      <c r="E1235" s="440">
        <f t="shared" si="525"/>
        <v>110.32915288717319</v>
      </c>
      <c r="F1235" s="441"/>
      <c r="G1235" s="440">
        <v>44.450951076136555</v>
      </c>
      <c r="H1235" s="440">
        <v>44.092796011282914</v>
      </c>
      <c r="I1235" s="440">
        <v>48.133878530431573</v>
      </c>
      <c r="J1235" s="440">
        <f t="shared" si="526"/>
        <v>136.67762561785105</v>
      </c>
      <c r="K1235" s="441"/>
      <c r="L1235" s="440">
        <v>50.126893773099276</v>
      </c>
      <c r="M1235" s="440">
        <v>48.131319041023751</v>
      </c>
      <c r="N1235" s="440">
        <v>52.01798593668628</v>
      </c>
      <c r="O1235" s="440">
        <f t="shared" si="527"/>
        <v>150.2761987508093</v>
      </c>
    </row>
    <row r="1236" spans="1:15" s="351" customFormat="1" x14ac:dyDescent="0.25">
      <c r="A1236" s="362" t="str">
        <f>name!E$7</f>
        <v>Administrative and secretarial</v>
      </c>
      <c r="B1236" s="440">
        <v>24.955710916107126</v>
      </c>
      <c r="C1236" s="440">
        <v>39.252119804585348</v>
      </c>
      <c r="D1236" s="440">
        <v>0.50749910828811362</v>
      </c>
      <c r="E1236" s="440">
        <f t="shared" si="525"/>
        <v>64.715329828980586</v>
      </c>
      <c r="F1236" s="441"/>
      <c r="G1236" s="440">
        <v>21.346269945391043</v>
      </c>
      <c r="H1236" s="440">
        <v>50.911204924984368</v>
      </c>
      <c r="I1236" s="440">
        <v>0.96328918325770385</v>
      </c>
      <c r="J1236" s="440">
        <f t="shared" si="526"/>
        <v>73.220764053633104</v>
      </c>
      <c r="K1236" s="441"/>
      <c r="L1236" s="440">
        <v>20.304720173478483</v>
      </c>
      <c r="M1236" s="440">
        <v>43.820303548631081</v>
      </c>
      <c r="N1236" s="440">
        <v>0.82539083923954326</v>
      </c>
      <c r="O1236" s="440">
        <f t="shared" si="527"/>
        <v>64.950414561349106</v>
      </c>
    </row>
    <row r="1237" spans="1:15" s="351" customFormat="1" x14ac:dyDescent="0.25">
      <c r="A1237" s="362" t="str">
        <f>name!E$8</f>
        <v>Skilled trades occupations</v>
      </c>
      <c r="B1237" s="440">
        <v>16.374944505798879</v>
      </c>
      <c r="C1237" s="440">
        <v>6.0218708232853198</v>
      </c>
      <c r="D1237" s="440">
        <v>5.1227534839214295</v>
      </c>
      <c r="E1237" s="440">
        <f t="shared" si="525"/>
        <v>27.519568813005627</v>
      </c>
      <c r="F1237" s="441"/>
      <c r="G1237" s="440">
        <v>18.462565182750684</v>
      </c>
      <c r="H1237" s="440">
        <v>12.813262891590032</v>
      </c>
      <c r="I1237" s="440">
        <v>7.5836686200329035</v>
      </c>
      <c r="J1237" s="440">
        <f>SUM(G1237:I1237)</f>
        <v>38.859496694373618</v>
      </c>
      <c r="K1237" s="441"/>
      <c r="L1237" s="440">
        <v>20.078836926248972</v>
      </c>
      <c r="M1237" s="440">
        <v>15.546082785724805</v>
      </c>
      <c r="N1237" s="440">
        <v>6.6891653178769452</v>
      </c>
      <c r="O1237" s="440">
        <f t="shared" si="527"/>
        <v>42.314085029850716</v>
      </c>
    </row>
    <row r="1238" spans="1:15" s="351" customFormat="1" x14ac:dyDescent="0.25">
      <c r="A1238" s="362" t="str">
        <f>name!E$9</f>
        <v>Caring, leisure and other service</v>
      </c>
      <c r="B1238" s="440">
        <v>18.247573824428567</v>
      </c>
      <c r="C1238" s="440">
        <v>33.929480240438103</v>
      </c>
      <c r="D1238" s="440">
        <v>3.4033439046046623</v>
      </c>
      <c r="E1238" s="440">
        <f t="shared" si="525"/>
        <v>55.580397969471328</v>
      </c>
      <c r="F1238" s="441"/>
      <c r="G1238" s="440">
        <v>21.044709919081761</v>
      </c>
      <c r="H1238" s="440">
        <v>40.583688220275015</v>
      </c>
      <c r="I1238" s="440">
        <v>4.3345767344792785</v>
      </c>
      <c r="J1238" s="440">
        <f t="shared" ref="J1238:J1241" si="528">SUM(G1238:I1238)</f>
        <v>65.96297487383606</v>
      </c>
      <c r="K1238" s="441"/>
      <c r="L1238" s="440">
        <v>23.268151631455513</v>
      </c>
      <c r="M1238" s="440">
        <v>42.09214489107331</v>
      </c>
      <c r="N1238" s="440">
        <v>3.9937061013575437</v>
      </c>
      <c r="O1238" s="440">
        <f t="shared" si="527"/>
        <v>69.354002623886373</v>
      </c>
    </row>
    <row r="1239" spans="1:15" s="351" customFormat="1" x14ac:dyDescent="0.25">
      <c r="A1239" s="362" t="str">
        <f>name!E$10</f>
        <v>Sales and customer service</v>
      </c>
      <c r="B1239" s="440">
        <v>7.3661979026544087</v>
      </c>
      <c r="C1239" s="440">
        <v>13.441942562598689</v>
      </c>
      <c r="D1239" s="440">
        <v>0.26539704950104731</v>
      </c>
      <c r="E1239" s="440">
        <f t="shared" si="525"/>
        <v>21.073537514754143</v>
      </c>
      <c r="F1239" s="441"/>
      <c r="G1239" s="440">
        <v>10.670403819845724</v>
      </c>
      <c r="H1239" s="440">
        <v>21.950211545200979</v>
      </c>
      <c r="I1239" s="440">
        <v>0.35382441415607008</v>
      </c>
      <c r="J1239" s="440">
        <f t="shared" si="528"/>
        <v>32.974439779202775</v>
      </c>
      <c r="K1239" s="441"/>
      <c r="L1239" s="440">
        <v>11.546466401376817</v>
      </c>
      <c r="M1239" s="440">
        <v>19.551499664216035</v>
      </c>
      <c r="N1239" s="440">
        <v>0.36314212641990118</v>
      </c>
      <c r="O1239" s="440">
        <f t="shared" si="527"/>
        <v>31.461108192012752</v>
      </c>
    </row>
    <row r="1240" spans="1:15" s="351" customFormat="1" x14ac:dyDescent="0.25">
      <c r="A1240" s="362" t="str">
        <f>name!E$11</f>
        <v>Process, plant and machine operatives</v>
      </c>
      <c r="B1240" s="440">
        <v>3.1215619762423459</v>
      </c>
      <c r="C1240" s="440">
        <v>1.996974638748618</v>
      </c>
      <c r="D1240" s="440">
        <v>0.41135223102146029</v>
      </c>
      <c r="E1240" s="440">
        <f t="shared" si="525"/>
        <v>5.5298888460124243</v>
      </c>
      <c r="F1240" s="441"/>
      <c r="G1240" s="440">
        <v>3.3302651753998997</v>
      </c>
      <c r="H1240" s="440">
        <v>3.0764418901360266</v>
      </c>
      <c r="I1240" s="440">
        <v>0.50221324593217997</v>
      </c>
      <c r="J1240" s="440">
        <f t="shared" si="528"/>
        <v>6.9089203114681057</v>
      </c>
      <c r="K1240" s="441"/>
      <c r="L1240" s="440">
        <v>3.577596806245531</v>
      </c>
      <c r="M1240" s="440">
        <v>2.2291689236773555</v>
      </c>
      <c r="N1240" s="440">
        <v>0.46468080418160768</v>
      </c>
      <c r="O1240" s="440">
        <f t="shared" si="527"/>
        <v>6.2714465341044949</v>
      </c>
    </row>
    <row r="1241" spans="1:15" s="351" customFormat="1" x14ac:dyDescent="0.25">
      <c r="A1241" s="362" t="str">
        <f>name!E$12</f>
        <v>Elementary occupations</v>
      </c>
      <c r="B1241" s="440">
        <v>11.389059167827183</v>
      </c>
      <c r="C1241" s="440">
        <v>53.586671646503433</v>
      </c>
      <c r="D1241" s="440">
        <v>1.3623604169247712</v>
      </c>
      <c r="E1241" s="440">
        <f t="shared" si="525"/>
        <v>66.33809123125539</v>
      </c>
      <c r="F1241" s="441"/>
      <c r="G1241" s="440">
        <v>11.023257459143002</v>
      </c>
      <c r="H1241" s="440">
        <v>58.354656222240742</v>
      </c>
      <c r="I1241" s="440">
        <v>1.3604224980455832</v>
      </c>
      <c r="J1241" s="440">
        <f t="shared" si="528"/>
        <v>70.738336179429325</v>
      </c>
      <c r="K1241" s="441"/>
      <c r="L1241" s="440">
        <v>11.767081474183001</v>
      </c>
      <c r="M1241" s="440">
        <v>56.451401004366836</v>
      </c>
      <c r="N1241" s="440">
        <v>1.2320134731750105</v>
      </c>
      <c r="O1241" s="440">
        <f t="shared" si="527"/>
        <v>69.450495951724861</v>
      </c>
    </row>
    <row r="1242" spans="1:15" s="351" customFormat="1" x14ac:dyDescent="0.25">
      <c r="A1242" s="362"/>
      <c r="B1242" s="440"/>
      <c r="C1242" s="440"/>
      <c r="D1242" s="440"/>
      <c r="E1242" s="440"/>
      <c r="F1242" s="441"/>
      <c r="G1242" s="440"/>
      <c r="H1242" s="440"/>
      <c r="I1242" s="440"/>
      <c r="J1242" s="440"/>
      <c r="K1242" s="441"/>
      <c r="L1242" s="440"/>
      <c r="M1242" s="440"/>
      <c r="N1242" s="440"/>
      <c r="O1242" s="440"/>
    </row>
    <row r="1243" spans="1:15" s="351" customFormat="1" x14ac:dyDescent="0.25">
      <c r="A1243" s="357" t="s">
        <v>32</v>
      </c>
      <c r="B1243" s="450">
        <f>SUM(B1233:B1241)</f>
        <v>164.87099999980566</v>
      </c>
      <c r="C1243" s="450">
        <f t="shared" ref="C1243:E1243" si="529">SUM(C1233:C1241)</f>
        <v>202.93900000008728</v>
      </c>
      <c r="D1243" s="450">
        <f t="shared" si="529"/>
        <v>59.215999999491544</v>
      </c>
      <c r="E1243" s="450">
        <f t="shared" si="529"/>
        <v>427.02599999938445</v>
      </c>
      <c r="F1243" s="450"/>
      <c r="G1243" s="450">
        <f t="shared" ref="G1243:J1243" si="530">SUM(G1233:G1241)</f>
        <v>187.34099999917561</v>
      </c>
      <c r="H1243" s="450">
        <f t="shared" si="530"/>
        <v>268.54300000093752</v>
      </c>
      <c r="I1243" s="450">
        <f t="shared" si="530"/>
        <v>81.185999998935884</v>
      </c>
      <c r="J1243" s="450">
        <f t="shared" si="530"/>
        <v>537.06999999904906</v>
      </c>
      <c r="K1243" s="450"/>
      <c r="L1243" s="450">
        <f t="shared" ref="L1243:O1243" si="531">SUM(L1233:L1241)</f>
        <v>211.20099999952578</v>
      </c>
      <c r="M1243" s="450">
        <f t="shared" si="531"/>
        <v>274.1190000002216</v>
      </c>
      <c r="N1243" s="450">
        <f t="shared" si="531"/>
        <v>85.231999998939585</v>
      </c>
      <c r="O1243" s="450">
        <f t="shared" si="531"/>
        <v>570.55199999868705</v>
      </c>
    </row>
    <row r="1244" spans="1:15" s="351" customFormat="1" x14ac:dyDescent="0.25">
      <c r="A1244" s="348"/>
      <c r="B1244" s="348"/>
      <c r="C1244" s="348"/>
      <c r="D1244" s="348"/>
      <c r="E1244" s="348"/>
      <c r="F1244" s="348"/>
      <c r="G1244" s="348"/>
      <c r="H1244" s="348"/>
      <c r="I1244" s="348"/>
      <c r="J1244" s="348"/>
      <c r="K1244" s="348"/>
      <c r="L1244" s="348"/>
      <c r="M1244" s="348"/>
      <c r="N1244" s="353"/>
    </row>
    <row r="1245" spans="1:15" s="351" customFormat="1" x14ac:dyDescent="0.25">
      <c r="A1245" s="348"/>
      <c r="B1245" s="348"/>
      <c r="C1245" s="348"/>
      <c r="D1245" s="348"/>
      <c r="E1245" s="348"/>
      <c r="F1245" s="348"/>
      <c r="G1245" s="348"/>
      <c r="H1245" s="348"/>
      <c r="I1245" s="348"/>
      <c r="J1245" s="348"/>
      <c r="K1245" s="348"/>
      <c r="L1245" s="348"/>
      <c r="M1245" s="348"/>
      <c r="N1245" s="353"/>
      <c r="O1245" s="367" t="s">
        <v>35</v>
      </c>
    </row>
    <row r="1246" spans="1:15" s="351" customFormat="1" x14ac:dyDescent="0.25">
      <c r="A1246" s="355"/>
      <c r="B1246" s="355"/>
      <c r="C1246" s="355"/>
      <c r="D1246" s="355"/>
      <c r="E1246" s="355"/>
      <c r="F1246" s="355"/>
      <c r="G1246" s="355"/>
      <c r="H1246" s="355"/>
      <c r="I1246" s="355"/>
      <c r="J1246" s="355"/>
      <c r="K1246" s="355"/>
      <c r="L1246" s="355"/>
      <c r="M1246" s="355"/>
      <c r="N1246" s="355"/>
      <c r="O1246" s="355"/>
    </row>
    <row r="1247" spans="1:15" s="351" customFormat="1" x14ac:dyDescent="0.25">
      <c r="A1247" s="354" t="str">
        <f>name!A76</f>
        <v>Membership organisations</v>
      </c>
      <c r="B1247" s="517">
        <f>$B$6</f>
        <v>2007</v>
      </c>
      <c r="C1247" s="517"/>
      <c r="D1247" s="517"/>
      <c r="E1247" s="517"/>
      <c r="F1247" s="380"/>
      <c r="G1247" s="517">
        <f>$G$6</f>
        <v>2017</v>
      </c>
      <c r="H1247" s="517"/>
      <c r="I1247" s="517"/>
      <c r="J1247" s="517"/>
      <c r="K1247" s="380"/>
      <c r="L1247" s="517">
        <f>$L$6</f>
        <v>2027</v>
      </c>
      <c r="M1247" s="517"/>
      <c r="N1247" s="517"/>
      <c r="O1247" s="517"/>
    </row>
    <row r="1248" spans="1:15" s="351" customFormat="1" x14ac:dyDescent="0.25">
      <c r="A1248" s="370"/>
      <c r="B1248" s="388" t="str">
        <f>$B$7</f>
        <v>FT</v>
      </c>
      <c r="C1248" s="388" t="str">
        <f>$C$7</f>
        <v>PT</v>
      </c>
      <c r="D1248" s="388" t="str">
        <f>$D$7</f>
        <v>SE</v>
      </c>
      <c r="E1248" s="388" t="str">
        <f>$E$7</f>
        <v>Total</v>
      </c>
      <c r="F1248" s="388"/>
      <c r="G1248" s="388" t="str">
        <f>$G$7</f>
        <v>FT</v>
      </c>
      <c r="H1248" s="388" t="str">
        <f>$H$7</f>
        <v>PT</v>
      </c>
      <c r="I1248" s="388" t="str">
        <f>$I$7</f>
        <v>SE</v>
      </c>
      <c r="J1248" s="388" t="str">
        <f>$J$7</f>
        <v>Total</v>
      </c>
      <c r="K1248" s="388"/>
      <c r="L1248" s="388" t="str">
        <f>$L$7</f>
        <v>FT</v>
      </c>
      <c r="M1248" s="388" t="str">
        <f>$M$7</f>
        <v>PT</v>
      </c>
      <c r="N1248" s="388" t="str">
        <f>$N$7</f>
        <v>SE</v>
      </c>
      <c r="O1248" s="388" t="str">
        <f>$O$7</f>
        <v>Total</v>
      </c>
    </row>
    <row r="1249" spans="1:15" s="351" customFormat="1" x14ac:dyDescent="0.25">
      <c r="A1249" s="374"/>
      <c r="B1249" s="350"/>
      <c r="C1249" s="350"/>
      <c r="D1249" s="350"/>
      <c r="E1249" s="350"/>
      <c r="F1249" s="350"/>
      <c r="G1249" s="350"/>
      <c r="H1249" s="350"/>
      <c r="I1249" s="350"/>
      <c r="J1249" s="350"/>
      <c r="K1249" s="350"/>
      <c r="L1249" s="350"/>
      <c r="M1249" s="350"/>
      <c r="N1249" s="350"/>
      <c r="O1249" s="350"/>
    </row>
    <row r="1250" spans="1:15" s="351" customFormat="1" x14ac:dyDescent="0.25">
      <c r="A1250" s="362" t="str">
        <f>name!E$4</f>
        <v>Managers, directors and senior officials</v>
      </c>
      <c r="B1250" s="440">
        <v>14.769671314229392</v>
      </c>
      <c r="C1250" s="440">
        <v>3.0241052584132109</v>
      </c>
      <c r="D1250" s="440">
        <v>10.879882416036027</v>
      </c>
      <c r="E1250" s="440">
        <f>SUM(B1250:D1250)</f>
        <v>28.673658988678632</v>
      </c>
      <c r="F1250" s="441"/>
      <c r="G1250" s="440">
        <v>18.63466108394281</v>
      </c>
      <c r="H1250" s="440">
        <v>7.4012672668055286</v>
      </c>
      <c r="I1250" s="440">
        <v>13.139643639448</v>
      </c>
      <c r="J1250" s="440">
        <f>SUM(G1250:I1250)</f>
        <v>39.175571990196339</v>
      </c>
      <c r="K1250" s="441"/>
      <c r="L1250" s="440">
        <v>22.556958336211519</v>
      </c>
      <c r="M1250" s="440">
        <v>9.8116090816243009</v>
      </c>
      <c r="N1250" s="440">
        <v>13.940556643407573</v>
      </c>
      <c r="O1250" s="440">
        <f>SUM(L1250:N1250)</f>
        <v>46.309124061243395</v>
      </c>
    </row>
    <row r="1251" spans="1:15" s="351" customFormat="1" x14ac:dyDescent="0.25">
      <c r="A1251" s="362" t="str">
        <f>name!E$5</f>
        <v>Professional occupations</v>
      </c>
      <c r="B1251" s="440">
        <v>59.774044691389491</v>
      </c>
      <c r="C1251" s="440">
        <v>20.395956811422497</v>
      </c>
      <c r="D1251" s="440">
        <v>36.849690804490201</v>
      </c>
      <c r="E1251" s="440">
        <f t="shared" ref="E1251:E1258" si="532">SUM(B1251:D1251)</f>
        <v>117.01969230730219</v>
      </c>
      <c r="F1251" s="441"/>
      <c r="G1251" s="440">
        <v>69.789953595887368</v>
      </c>
      <c r="H1251" s="440">
        <v>24.771559333233043</v>
      </c>
      <c r="I1251" s="440">
        <v>48.910564470842999</v>
      </c>
      <c r="J1251" s="440">
        <f t="shared" ref="J1251:J1253" si="533">SUM(G1251:I1251)</f>
        <v>143.47207739996341</v>
      </c>
      <c r="K1251" s="441"/>
      <c r="L1251" s="440">
        <v>81.623730616803329</v>
      </c>
      <c r="M1251" s="440">
        <v>29.573285524719701</v>
      </c>
      <c r="N1251" s="440">
        <v>55.183462174114425</v>
      </c>
      <c r="O1251" s="440">
        <f t="shared" ref="O1251:O1258" si="534">SUM(L1251:N1251)</f>
        <v>166.38047831563745</v>
      </c>
    </row>
    <row r="1252" spans="1:15" s="351" customFormat="1" x14ac:dyDescent="0.25">
      <c r="A1252" s="362" t="str">
        <f>name!E$6</f>
        <v>Associate professional and technical</v>
      </c>
      <c r="B1252" s="440">
        <v>21.444123735679963</v>
      </c>
      <c r="C1252" s="440">
        <v>14.122719993025035</v>
      </c>
      <c r="D1252" s="440">
        <v>18.347127135725398</v>
      </c>
      <c r="E1252" s="440">
        <f t="shared" si="532"/>
        <v>53.913970864430397</v>
      </c>
      <c r="F1252" s="441"/>
      <c r="G1252" s="440">
        <v>30.913991792853565</v>
      </c>
      <c r="H1252" s="440">
        <v>17.804365918943979</v>
      </c>
      <c r="I1252" s="440">
        <v>30.807115781091888</v>
      </c>
      <c r="J1252" s="440">
        <f t="shared" si="533"/>
        <v>79.525473492889432</v>
      </c>
      <c r="K1252" s="441"/>
      <c r="L1252" s="440">
        <v>35.158398015493553</v>
      </c>
      <c r="M1252" s="440">
        <v>20.175745678528774</v>
      </c>
      <c r="N1252" s="440">
        <v>31.714588688048028</v>
      </c>
      <c r="O1252" s="440">
        <f t="shared" si="534"/>
        <v>87.048732382070355</v>
      </c>
    </row>
    <row r="1253" spans="1:15" s="351" customFormat="1" x14ac:dyDescent="0.25">
      <c r="A1253" s="362" t="str">
        <f>name!E$7</f>
        <v>Administrative and secretarial</v>
      </c>
      <c r="B1253" s="440">
        <v>29.716690874761781</v>
      </c>
      <c r="C1253" s="440">
        <v>26.968351142744556</v>
      </c>
      <c r="D1253" s="440">
        <v>7.6774289776026299</v>
      </c>
      <c r="E1253" s="440">
        <f t="shared" si="532"/>
        <v>64.362470995108964</v>
      </c>
      <c r="F1253" s="441"/>
      <c r="G1253" s="440">
        <v>28.205597101835707</v>
      </c>
      <c r="H1253" s="440">
        <v>29.898235247042454</v>
      </c>
      <c r="I1253" s="440">
        <v>10.277265785064804</v>
      </c>
      <c r="J1253" s="440">
        <f t="shared" si="533"/>
        <v>68.381098133942956</v>
      </c>
      <c r="K1253" s="441"/>
      <c r="L1253" s="440">
        <v>21.544390107949798</v>
      </c>
      <c r="M1253" s="440">
        <v>25.301433536394033</v>
      </c>
      <c r="N1253" s="440">
        <v>6.3825872290282835</v>
      </c>
      <c r="O1253" s="440">
        <f t="shared" si="534"/>
        <v>53.228410873372113</v>
      </c>
    </row>
    <row r="1254" spans="1:15" s="351" customFormat="1" x14ac:dyDescent="0.25">
      <c r="A1254" s="362" t="str">
        <f>name!E$8</f>
        <v>Skilled trades occupations</v>
      </c>
      <c r="B1254" s="440">
        <v>3.5508186894506024</v>
      </c>
      <c r="C1254" s="440">
        <v>3.7254046811736123</v>
      </c>
      <c r="D1254" s="440">
        <v>6.1535253461526747</v>
      </c>
      <c r="E1254" s="440">
        <f t="shared" si="532"/>
        <v>13.429748716776889</v>
      </c>
      <c r="F1254" s="441"/>
      <c r="G1254" s="440">
        <v>2.9302790908531406</v>
      </c>
      <c r="H1254" s="440">
        <v>2.9550959638257761</v>
      </c>
      <c r="I1254" s="440">
        <v>6.0874678049084254</v>
      </c>
      <c r="J1254" s="440">
        <f>SUM(G1254:I1254)</f>
        <v>11.972842859587342</v>
      </c>
      <c r="K1254" s="441"/>
      <c r="L1254" s="440">
        <v>3.0590374803560798</v>
      </c>
      <c r="M1254" s="440">
        <v>2.8846839268759075</v>
      </c>
      <c r="N1254" s="440">
        <v>6.3220404030947552</v>
      </c>
      <c r="O1254" s="440">
        <f t="shared" si="534"/>
        <v>12.265761810326742</v>
      </c>
    </row>
    <row r="1255" spans="1:15" s="351" customFormat="1" x14ac:dyDescent="0.25">
      <c r="A1255" s="362" t="str">
        <f>name!E$9</f>
        <v>Caring, leisure and other service</v>
      </c>
      <c r="B1255" s="440">
        <v>10.255169202345499</v>
      </c>
      <c r="C1255" s="440">
        <v>11.19307723832679</v>
      </c>
      <c r="D1255" s="440">
        <v>6.4628641660968622</v>
      </c>
      <c r="E1255" s="440">
        <f t="shared" si="532"/>
        <v>27.911110606769149</v>
      </c>
      <c r="F1255" s="441"/>
      <c r="G1255" s="440">
        <v>13.433738919839183</v>
      </c>
      <c r="H1255" s="440">
        <v>9.9696552605386231</v>
      </c>
      <c r="I1255" s="440">
        <v>8.6851411431074048</v>
      </c>
      <c r="J1255" s="440">
        <f t="shared" ref="J1255:J1258" si="535">SUM(G1255:I1255)</f>
        <v>32.08853532348521</v>
      </c>
      <c r="K1255" s="441"/>
      <c r="L1255" s="440">
        <v>13.937562016120854</v>
      </c>
      <c r="M1255" s="440">
        <v>11.091560183022885</v>
      </c>
      <c r="N1255" s="440">
        <v>7.863236985657144</v>
      </c>
      <c r="O1255" s="440">
        <f t="shared" si="534"/>
        <v>32.892359184800881</v>
      </c>
    </row>
    <row r="1256" spans="1:15" s="351" customFormat="1" x14ac:dyDescent="0.25">
      <c r="A1256" s="362" t="str">
        <f>name!E$10</f>
        <v>Sales and customer service</v>
      </c>
      <c r="B1256" s="440">
        <v>3.5110902505939903</v>
      </c>
      <c r="C1256" s="440">
        <v>3.025350033744179</v>
      </c>
      <c r="D1256" s="440">
        <v>1.4097853107460436</v>
      </c>
      <c r="E1256" s="440">
        <f t="shared" si="532"/>
        <v>7.9462255950842131</v>
      </c>
      <c r="F1256" s="441"/>
      <c r="G1256" s="440">
        <v>3.2808476959189075</v>
      </c>
      <c r="H1256" s="440">
        <v>3.4317529759736924</v>
      </c>
      <c r="I1256" s="440">
        <v>1.8878872807659968</v>
      </c>
      <c r="J1256" s="440">
        <f t="shared" si="535"/>
        <v>8.6004879526585967</v>
      </c>
      <c r="K1256" s="441"/>
      <c r="L1256" s="440">
        <v>3.4461006691874783</v>
      </c>
      <c r="M1256" s="440">
        <v>3.7595544067400977</v>
      </c>
      <c r="N1256" s="440">
        <v>1.576227346265858</v>
      </c>
      <c r="O1256" s="440">
        <f t="shared" si="534"/>
        <v>8.7818824221934335</v>
      </c>
    </row>
    <row r="1257" spans="1:15" s="351" customFormat="1" x14ac:dyDescent="0.25">
      <c r="A1257" s="362" t="str">
        <f>name!E$11</f>
        <v>Process, plant and machine operatives</v>
      </c>
      <c r="B1257" s="440">
        <v>1.5934956011530657</v>
      </c>
      <c r="C1257" s="440">
        <v>3.2575931622678898</v>
      </c>
      <c r="D1257" s="440">
        <v>1.968209021189198</v>
      </c>
      <c r="E1257" s="440">
        <f t="shared" si="532"/>
        <v>6.8192977846101535</v>
      </c>
      <c r="F1257" s="441"/>
      <c r="G1257" s="440">
        <v>1.2046350033220536</v>
      </c>
      <c r="H1257" s="440">
        <v>2.6204886896368893</v>
      </c>
      <c r="I1257" s="440">
        <v>2.3565434448704945</v>
      </c>
      <c r="J1257" s="440">
        <f t="shared" si="535"/>
        <v>6.1816671378294377</v>
      </c>
      <c r="K1257" s="441"/>
      <c r="L1257" s="440">
        <v>1.1125657457032194</v>
      </c>
      <c r="M1257" s="440">
        <v>2.0714461601398253</v>
      </c>
      <c r="N1257" s="440">
        <v>1.6120011688903568</v>
      </c>
      <c r="O1257" s="440">
        <f t="shared" si="534"/>
        <v>4.796013074733402</v>
      </c>
    </row>
    <row r="1258" spans="1:15" s="351" customFormat="1" x14ac:dyDescent="0.25">
      <c r="A1258" s="362" t="str">
        <f>name!E$12</f>
        <v>Elementary occupations</v>
      </c>
      <c r="B1258" s="440">
        <v>4.7648956408882261</v>
      </c>
      <c r="C1258" s="440">
        <v>39.307441678807614</v>
      </c>
      <c r="D1258" s="440">
        <v>7.106486821820365</v>
      </c>
      <c r="E1258" s="440">
        <f t="shared" si="532"/>
        <v>51.178824141516202</v>
      </c>
      <c r="F1258" s="441"/>
      <c r="G1258" s="440">
        <v>2.5452957137233043</v>
      </c>
      <c r="H1258" s="440">
        <v>20.602579343870424</v>
      </c>
      <c r="I1258" s="440">
        <v>7.194370649384469</v>
      </c>
      <c r="J1258" s="440">
        <f t="shared" si="535"/>
        <v>30.342245706978197</v>
      </c>
      <c r="K1258" s="441"/>
      <c r="L1258" s="440">
        <v>2.3532570112867259</v>
      </c>
      <c r="M1258" s="440">
        <v>17.59068150216633</v>
      </c>
      <c r="N1258" s="440">
        <v>5.1882993614073616</v>
      </c>
      <c r="O1258" s="440">
        <f t="shared" si="534"/>
        <v>25.132237874860415</v>
      </c>
    </row>
    <row r="1259" spans="1:15" s="351" customFormat="1" x14ac:dyDescent="0.25">
      <c r="A1259" s="362"/>
      <c r="B1259" s="440"/>
      <c r="C1259" s="440"/>
      <c r="D1259" s="440"/>
      <c r="E1259" s="440"/>
      <c r="F1259" s="441"/>
      <c r="G1259" s="440"/>
      <c r="H1259" s="440"/>
      <c r="I1259" s="440"/>
      <c r="J1259" s="440"/>
      <c r="K1259" s="441"/>
      <c r="L1259" s="440"/>
      <c r="M1259" s="440"/>
      <c r="N1259" s="440"/>
      <c r="O1259" s="440"/>
    </row>
    <row r="1260" spans="1:15" s="351" customFormat="1" x14ac:dyDescent="0.25">
      <c r="A1260" s="357" t="s">
        <v>32</v>
      </c>
      <c r="B1260" s="450">
        <f>SUM(B1250:B1258)</f>
        <v>149.38000000049198</v>
      </c>
      <c r="C1260" s="450">
        <f t="shared" ref="C1260:E1260" si="536">SUM(C1250:C1258)</f>
        <v>125.0199999999254</v>
      </c>
      <c r="D1260" s="450">
        <f t="shared" si="536"/>
        <v>96.854999999859402</v>
      </c>
      <c r="E1260" s="450">
        <f t="shared" si="536"/>
        <v>371.25500000027682</v>
      </c>
      <c r="F1260" s="450"/>
      <c r="G1260" s="450">
        <f t="shared" ref="G1260:J1260" si="537">SUM(G1250:G1258)</f>
        <v>170.93899999817603</v>
      </c>
      <c r="H1260" s="450">
        <f t="shared" si="537"/>
        <v>119.45499999987038</v>
      </c>
      <c r="I1260" s="450">
        <f t="shared" si="537"/>
        <v>129.34599999948449</v>
      </c>
      <c r="J1260" s="450">
        <f t="shared" si="537"/>
        <v>419.7399999975309</v>
      </c>
      <c r="K1260" s="450"/>
      <c r="L1260" s="450">
        <f t="shared" ref="L1260:O1260" si="538">SUM(L1250:L1258)</f>
        <v>184.79199999911256</v>
      </c>
      <c r="M1260" s="450">
        <f t="shared" si="538"/>
        <v>122.26000000021185</v>
      </c>
      <c r="N1260" s="450">
        <f t="shared" si="538"/>
        <v>129.78299999991378</v>
      </c>
      <c r="O1260" s="450">
        <f t="shared" si="538"/>
        <v>436.83499999923828</v>
      </c>
    </row>
    <row r="1261" spans="1:15" s="351" customFormat="1" x14ac:dyDescent="0.25">
      <c r="A1261" s="348"/>
      <c r="B1261" s="348"/>
      <c r="C1261" s="348"/>
      <c r="D1261" s="348"/>
      <c r="E1261" s="348"/>
      <c r="F1261" s="348"/>
      <c r="G1261" s="348"/>
      <c r="H1261" s="348"/>
      <c r="I1261" s="348"/>
      <c r="J1261" s="348"/>
      <c r="K1261" s="348"/>
      <c r="L1261" s="348"/>
      <c r="M1261" s="348"/>
      <c r="N1261" s="353"/>
    </row>
    <row r="1262" spans="1:15" s="351" customFormat="1" x14ac:dyDescent="0.25">
      <c r="A1262" s="348"/>
      <c r="B1262" s="348"/>
      <c r="C1262" s="348"/>
      <c r="D1262" s="348"/>
      <c r="E1262" s="348"/>
      <c r="F1262" s="348"/>
      <c r="G1262" s="348"/>
      <c r="H1262" s="348"/>
      <c r="I1262" s="348"/>
      <c r="J1262" s="348"/>
      <c r="K1262" s="348"/>
      <c r="L1262" s="348"/>
      <c r="M1262" s="348"/>
      <c r="N1262" s="353"/>
      <c r="O1262" s="367" t="s">
        <v>35</v>
      </c>
    </row>
    <row r="1263" spans="1:15" s="351" customFormat="1" x14ac:dyDescent="0.25">
      <c r="A1263" s="355"/>
      <c r="B1263" s="355"/>
      <c r="C1263" s="355"/>
      <c r="D1263" s="355"/>
      <c r="E1263" s="355"/>
      <c r="F1263" s="355"/>
      <c r="G1263" s="355"/>
      <c r="H1263" s="355"/>
      <c r="I1263" s="355"/>
      <c r="J1263" s="355"/>
      <c r="K1263" s="355"/>
      <c r="L1263" s="355"/>
      <c r="M1263" s="355"/>
      <c r="N1263" s="355"/>
      <c r="O1263" s="355"/>
    </row>
    <row r="1264" spans="1:15" s="351" customFormat="1" x14ac:dyDescent="0.25">
      <c r="A1264" s="354" t="str">
        <f>name!A77</f>
        <v>Repair of goods</v>
      </c>
      <c r="B1264" s="517">
        <f>$B$6</f>
        <v>2007</v>
      </c>
      <c r="C1264" s="517"/>
      <c r="D1264" s="517"/>
      <c r="E1264" s="517"/>
      <c r="F1264" s="380"/>
      <c r="G1264" s="517">
        <f>$G$6</f>
        <v>2017</v>
      </c>
      <c r="H1264" s="517"/>
      <c r="I1264" s="517"/>
      <c r="J1264" s="517"/>
      <c r="K1264" s="380"/>
      <c r="L1264" s="517">
        <f>$L$6</f>
        <v>2027</v>
      </c>
      <c r="M1264" s="517"/>
      <c r="N1264" s="517"/>
      <c r="O1264" s="517"/>
    </row>
    <row r="1265" spans="1:15" s="351" customFormat="1" x14ac:dyDescent="0.25">
      <c r="A1265" s="370"/>
      <c r="B1265" s="388" t="str">
        <f>$B$7</f>
        <v>FT</v>
      </c>
      <c r="C1265" s="388" t="str">
        <f>$C$7</f>
        <v>PT</v>
      </c>
      <c r="D1265" s="388" t="str">
        <f>$D$7</f>
        <v>SE</v>
      </c>
      <c r="E1265" s="388" t="str">
        <f>$E$7</f>
        <v>Total</v>
      </c>
      <c r="F1265" s="388"/>
      <c r="G1265" s="388" t="str">
        <f>$G$7</f>
        <v>FT</v>
      </c>
      <c r="H1265" s="388" t="str">
        <f>$H$7</f>
        <v>PT</v>
      </c>
      <c r="I1265" s="388" t="str">
        <f>$I$7</f>
        <v>SE</v>
      </c>
      <c r="J1265" s="388" t="str">
        <f>$J$7</f>
        <v>Total</v>
      </c>
      <c r="K1265" s="388"/>
      <c r="L1265" s="388" t="str">
        <f>$L$7</f>
        <v>FT</v>
      </c>
      <c r="M1265" s="388" t="str">
        <f>$M$7</f>
        <v>PT</v>
      </c>
      <c r="N1265" s="388" t="str">
        <f>$N$7</f>
        <v>SE</v>
      </c>
      <c r="O1265" s="388" t="str">
        <f>$O$7</f>
        <v>Total</v>
      </c>
    </row>
    <row r="1266" spans="1:15" s="351" customFormat="1" x14ac:dyDescent="0.25">
      <c r="A1266" s="374"/>
      <c r="B1266" s="350"/>
      <c r="C1266" s="350"/>
      <c r="D1266" s="350"/>
      <c r="E1266" s="350"/>
      <c r="F1266" s="350"/>
      <c r="G1266" s="350"/>
      <c r="H1266" s="350"/>
      <c r="I1266" s="350"/>
      <c r="J1266" s="350"/>
      <c r="K1266" s="350"/>
      <c r="L1266" s="350"/>
      <c r="M1266" s="350"/>
      <c r="N1266" s="350"/>
      <c r="O1266" s="350"/>
    </row>
    <row r="1267" spans="1:15" s="351" customFormat="1" x14ac:dyDescent="0.25">
      <c r="A1267" s="362" t="str">
        <f>name!E$4</f>
        <v>Managers, directors and senior officials</v>
      </c>
      <c r="B1267" s="440">
        <v>4.8380611987566375</v>
      </c>
      <c r="C1267" s="440">
        <v>0.15792596729997282</v>
      </c>
      <c r="D1267" s="440">
        <v>8.4118905590817601</v>
      </c>
      <c r="E1267" s="440">
        <f>SUM(B1267:D1267)</f>
        <v>13.40787772513837</v>
      </c>
      <c r="F1267" s="441"/>
      <c r="G1267" s="440">
        <v>5.2956974747303427</v>
      </c>
      <c r="H1267" s="440">
        <v>0.1259344133610053</v>
      </c>
      <c r="I1267" s="440">
        <v>10.171348801335286</v>
      </c>
      <c r="J1267" s="440">
        <f>SUM(G1267:I1267)</f>
        <v>15.592980689426634</v>
      </c>
      <c r="K1267" s="441"/>
      <c r="L1267" s="440">
        <v>6.8849692690592201</v>
      </c>
      <c r="M1267" s="440">
        <v>0.16522341313570821</v>
      </c>
      <c r="N1267" s="440">
        <v>10.303018317005455</v>
      </c>
      <c r="O1267" s="440">
        <f>SUM(L1267:N1267)</f>
        <v>17.353210999200382</v>
      </c>
    </row>
    <row r="1268" spans="1:15" s="351" customFormat="1" x14ac:dyDescent="0.25">
      <c r="A1268" s="362" t="str">
        <f>name!E$5</f>
        <v>Professional occupations</v>
      </c>
      <c r="B1268" s="440">
        <v>5.6789358387786857</v>
      </c>
      <c r="C1268" s="440">
        <v>0.14138009122392228</v>
      </c>
      <c r="D1268" s="440">
        <v>2.9771933543507525</v>
      </c>
      <c r="E1268" s="440">
        <f t="shared" ref="E1268:E1275" si="539">SUM(B1268:D1268)</f>
        <v>8.7975092843533602</v>
      </c>
      <c r="F1268" s="441"/>
      <c r="G1268" s="440">
        <v>6.5401705208115404</v>
      </c>
      <c r="H1268" s="440">
        <v>0.17969651524129432</v>
      </c>
      <c r="I1268" s="440">
        <v>3.277285947439843</v>
      </c>
      <c r="J1268" s="440">
        <f t="shared" ref="J1268:J1270" si="540">SUM(G1268:I1268)</f>
        <v>9.9971529834926773</v>
      </c>
      <c r="K1268" s="441"/>
      <c r="L1268" s="440">
        <v>8.6273576225389448</v>
      </c>
      <c r="M1268" s="440">
        <v>0.23259270340471136</v>
      </c>
      <c r="N1268" s="440">
        <v>3.6433956708937933</v>
      </c>
      <c r="O1268" s="440">
        <f t="shared" ref="O1268:O1275" si="541">SUM(L1268:N1268)</f>
        <v>12.503345996837449</v>
      </c>
    </row>
    <row r="1269" spans="1:15" s="351" customFormat="1" x14ac:dyDescent="0.25">
      <c r="A1269" s="362" t="str">
        <f>name!E$6</f>
        <v>Associate professional and technical</v>
      </c>
      <c r="B1269" s="440">
        <v>4.2727104948352626</v>
      </c>
      <c r="C1269" s="440">
        <v>0.20850638368735583</v>
      </c>
      <c r="D1269" s="440">
        <v>1.6069540116219627</v>
      </c>
      <c r="E1269" s="440">
        <f t="shared" si="539"/>
        <v>6.088170890144581</v>
      </c>
      <c r="F1269" s="441"/>
      <c r="G1269" s="440">
        <v>4.1710785332308857</v>
      </c>
      <c r="H1269" s="440">
        <v>0.19349764863837954</v>
      </c>
      <c r="I1269" s="440">
        <v>2.127334365954765</v>
      </c>
      <c r="J1269" s="440">
        <f t="shared" si="540"/>
        <v>6.4919105478240304</v>
      </c>
      <c r="K1269" s="441"/>
      <c r="L1269" s="440">
        <v>5.1995946014736258</v>
      </c>
      <c r="M1269" s="440">
        <v>0.24654645608422118</v>
      </c>
      <c r="N1269" s="440">
        <v>2.241979950000613</v>
      </c>
      <c r="O1269" s="440">
        <f t="shared" si="541"/>
        <v>7.6881210075584603</v>
      </c>
    </row>
    <row r="1270" spans="1:15" s="351" customFormat="1" x14ac:dyDescent="0.25">
      <c r="A1270" s="362" t="str">
        <f>name!E$7</f>
        <v>Administrative and secretarial</v>
      </c>
      <c r="B1270" s="440">
        <v>2.0892095877212693</v>
      </c>
      <c r="C1270" s="440">
        <v>0.45347462219533352</v>
      </c>
      <c r="D1270" s="440">
        <v>0.31789671904061906</v>
      </c>
      <c r="E1270" s="440">
        <f t="shared" si="539"/>
        <v>2.8605809289572219</v>
      </c>
      <c r="F1270" s="441"/>
      <c r="G1270" s="440">
        <v>1.9732887135785719</v>
      </c>
      <c r="H1270" s="440">
        <v>0.24509920539164309</v>
      </c>
      <c r="I1270" s="440">
        <v>0.31679144088467226</v>
      </c>
      <c r="J1270" s="440">
        <f t="shared" si="540"/>
        <v>2.5351793598548871</v>
      </c>
      <c r="K1270" s="441"/>
      <c r="L1270" s="440">
        <v>2.0643684433494767</v>
      </c>
      <c r="M1270" s="440">
        <v>0.23413982417128493</v>
      </c>
      <c r="N1270" s="440">
        <v>0.26068164493406604</v>
      </c>
      <c r="O1270" s="440">
        <f t="shared" si="541"/>
        <v>2.5591899124548276</v>
      </c>
    </row>
    <row r="1271" spans="1:15" s="351" customFormat="1" x14ac:dyDescent="0.25">
      <c r="A1271" s="362" t="str">
        <f>name!E$8</f>
        <v>Skilled trades occupations</v>
      </c>
      <c r="B1271" s="440">
        <v>2.692517281370213</v>
      </c>
      <c r="C1271" s="440">
        <v>0.15231283728332273</v>
      </c>
      <c r="D1271" s="440">
        <v>3.2561599825376333</v>
      </c>
      <c r="E1271" s="440">
        <f t="shared" si="539"/>
        <v>6.1009901011911687</v>
      </c>
      <c r="F1271" s="441"/>
      <c r="G1271" s="440">
        <v>1.7711574232334388</v>
      </c>
      <c r="H1271" s="440">
        <v>8.1747281378135139E-2</v>
      </c>
      <c r="I1271" s="440">
        <v>3.4264378614119471</v>
      </c>
      <c r="J1271" s="440">
        <f>SUM(G1271:I1271)</f>
        <v>5.2793425660235211</v>
      </c>
      <c r="K1271" s="441"/>
      <c r="L1271" s="440">
        <v>1.8539164444951202</v>
      </c>
      <c r="M1271" s="440">
        <v>7.2475103815747885E-2</v>
      </c>
      <c r="N1271" s="440">
        <v>3.196835140277392</v>
      </c>
      <c r="O1271" s="440">
        <f t="shared" si="541"/>
        <v>5.12322668858826</v>
      </c>
    </row>
    <row r="1272" spans="1:15" s="351" customFormat="1" x14ac:dyDescent="0.25">
      <c r="A1272" s="362" t="str">
        <f>name!E$9</f>
        <v>Caring, leisure and other service</v>
      </c>
      <c r="B1272" s="440">
        <v>0.16735088276409094</v>
      </c>
      <c r="C1272" s="440">
        <v>3.749211496059799E-2</v>
      </c>
      <c r="D1272" s="440">
        <v>0.15500514571554511</v>
      </c>
      <c r="E1272" s="440">
        <f t="shared" si="539"/>
        <v>0.35984814344023403</v>
      </c>
      <c r="F1272" s="441"/>
      <c r="G1272" s="440">
        <v>0.213075212346267</v>
      </c>
      <c r="H1272" s="440">
        <v>2.5351229412490711E-2</v>
      </c>
      <c r="I1272" s="440">
        <v>0.20403399301353545</v>
      </c>
      <c r="J1272" s="440">
        <f t="shared" ref="J1272:J1275" si="542">SUM(G1272:I1272)</f>
        <v>0.44246043477229313</v>
      </c>
      <c r="K1272" s="441"/>
      <c r="L1272" s="440">
        <v>0.28418253067775018</v>
      </c>
      <c r="M1272" s="440">
        <v>2.9512935370621173E-2</v>
      </c>
      <c r="N1272" s="440">
        <v>0.23209600450643558</v>
      </c>
      <c r="O1272" s="440">
        <f t="shared" si="541"/>
        <v>0.54579147055480692</v>
      </c>
    </row>
    <row r="1273" spans="1:15" s="351" customFormat="1" x14ac:dyDescent="0.25">
      <c r="A1273" s="362" t="str">
        <f>name!E$10</f>
        <v>Sales and customer service</v>
      </c>
      <c r="B1273" s="440">
        <v>6.6191350440337979</v>
      </c>
      <c r="C1273" s="440">
        <v>4.9269554620129394</v>
      </c>
      <c r="D1273" s="440">
        <v>1.7385584308622291</v>
      </c>
      <c r="E1273" s="440">
        <f t="shared" si="539"/>
        <v>13.284648936908967</v>
      </c>
      <c r="F1273" s="441"/>
      <c r="G1273" s="440">
        <v>5.7591434346548196</v>
      </c>
      <c r="H1273" s="440">
        <v>3.194520977693545</v>
      </c>
      <c r="I1273" s="440">
        <v>1.8789796867886364</v>
      </c>
      <c r="J1273" s="440">
        <f t="shared" si="542"/>
        <v>10.832644099137001</v>
      </c>
      <c r="K1273" s="441"/>
      <c r="L1273" s="440">
        <v>4.8280495277110793</v>
      </c>
      <c r="M1273" s="440">
        <v>3.1660707566335353</v>
      </c>
      <c r="N1273" s="440">
        <v>1.2820680031241212</v>
      </c>
      <c r="O1273" s="440">
        <f t="shared" si="541"/>
        <v>9.2761882874687345</v>
      </c>
    </row>
    <row r="1274" spans="1:15" s="351" customFormat="1" x14ac:dyDescent="0.25">
      <c r="A1274" s="362" t="str">
        <f>name!E$11</f>
        <v>Process, plant and machine operatives</v>
      </c>
      <c r="B1274" s="440">
        <v>1.5728419887980112</v>
      </c>
      <c r="C1274" s="440">
        <v>0.13804141553271457</v>
      </c>
      <c r="D1274" s="440">
        <v>0.45103798002108886</v>
      </c>
      <c r="E1274" s="440">
        <f t="shared" si="539"/>
        <v>2.1619213843518148</v>
      </c>
      <c r="F1274" s="441"/>
      <c r="G1274" s="440">
        <v>1.1846872622178573</v>
      </c>
      <c r="H1274" s="440">
        <v>9.5958318010465643E-2</v>
      </c>
      <c r="I1274" s="440">
        <v>0.61183761548845683</v>
      </c>
      <c r="J1274" s="440">
        <f t="shared" si="542"/>
        <v>1.8924831957167798</v>
      </c>
      <c r="K1274" s="441"/>
      <c r="L1274" s="440">
        <v>1.1381320030698356</v>
      </c>
      <c r="M1274" s="440">
        <v>9.9180435773561407E-2</v>
      </c>
      <c r="N1274" s="440">
        <v>0.44609337406768418</v>
      </c>
      <c r="O1274" s="440">
        <f t="shared" si="541"/>
        <v>1.6834058129110814</v>
      </c>
    </row>
    <row r="1275" spans="1:15" s="351" customFormat="1" x14ac:dyDescent="0.25">
      <c r="A1275" s="362" t="str">
        <f>name!E$12</f>
        <v>Elementary occupations</v>
      </c>
      <c r="B1275" s="440">
        <v>2.7412376828426317</v>
      </c>
      <c r="C1275" s="440">
        <v>1.0589111059010106</v>
      </c>
      <c r="D1275" s="440">
        <v>0.26130381672509895</v>
      </c>
      <c r="E1275" s="440">
        <f t="shared" si="539"/>
        <v>4.061452605468741</v>
      </c>
      <c r="F1275" s="441"/>
      <c r="G1275" s="440">
        <v>2.6887014250208776</v>
      </c>
      <c r="H1275" s="440">
        <v>0.54319441105542576</v>
      </c>
      <c r="I1275" s="440">
        <v>0.20195028769986567</v>
      </c>
      <c r="J1275" s="440">
        <f t="shared" si="542"/>
        <v>3.4338461237761693</v>
      </c>
      <c r="K1275" s="441"/>
      <c r="L1275" s="440">
        <v>3.107429557617408</v>
      </c>
      <c r="M1275" s="440">
        <v>0.61625837169825715</v>
      </c>
      <c r="N1275" s="440">
        <v>0.29383189523097231</v>
      </c>
      <c r="O1275" s="440">
        <f t="shared" si="541"/>
        <v>4.0175198245466373</v>
      </c>
    </row>
    <row r="1276" spans="1:15" s="351" customFormat="1" x14ac:dyDescent="0.25">
      <c r="A1276" s="362"/>
      <c r="B1276" s="440"/>
      <c r="C1276" s="440"/>
      <c r="D1276" s="440"/>
      <c r="E1276" s="440"/>
      <c r="F1276" s="441"/>
      <c r="G1276" s="440"/>
      <c r="H1276" s="440"/>
      <c r="I1276" s="440"/>
      <c r="J1276" s="440"/>
      <c r="K1276" s="441"/>
      <c r="L1276" s="440"/>
      <c r="M1276" s="440"/>
      <c r="N1276" s="440"/>
      <c r="O1276" s="440"/>
    </row>
    <row r="1277" spans="1:15" s="351" customFormat="1" x14ac:dyDescent="0.25">
      <c r="A1277" s="357" t="s">
        <v>32</v>
      </c>
      <c r="B1277" s="450">
        <f>SUM(B1267:B1275)</f>
        <v>30.671999999900599</v>
      </c>
      <c r="C1277" s="450">
        <f t="shared" ref="C1277:E1277" si="543">SUM(C1267:C1275)</f>
        <v>7.2750000000971697</v>
      </c>
      <c r="D1277" s="450">
        <f t="shared" si="543"/>
        <v>19.175999999956691</v>
      </c>
      <c r="E1277" s="450">
        <f t="shared" si="543"/>
        <v>57.122999999954459</v>
      </c>
      <c r="F1277" s="450"/>
      <c r="G1277" s="450">
        <f t="shared" ref="G1277:J1277" si="544">SUM(G1267:G1275)</f>
        <v>29.596999999824604</v>
      </c>
      <c r="H1277" s="450">
        <f t="shared" si="544"/>
        <v>4.6850000001823844</v>
      </c>
      <c r="I1277" s="450">
        <f t="shared" si="544"/>
        <v>22.216000000017008</v>
      </c>
      <c r="J1277" s="450">
        <f t="shared" si="544"/>
        <v>56.498000000023993</v>
      </c>
      <c r="K1277" s="450"/>
      <c r="L1277" s="450">
        <f t="shared" ref="L1277:O1277" si="545">SUM(L1267:L1275)</f>
        <v>33.987999999992461</v>
      </c>
      <c r="M1277" s="450">
        <f t="shared" si="545"/>
        <v>4.8620000000876491</v>
      </c>
      <c r="N1277" s="450">
        <f t="shared" si="545"/>
        <v>21.900000000040531</v>
      </c>
      <c r="O1277" s="450">
        <f t="shared" si="545"/>
        <v>60.750000000120636</v>
      </c>
    </row>
    <row r="1278" spans="1:15" s="351" customFormat="1" x14ac:dyDescent="0.25">
      <c r="A1278" s="348"/>
      <c r="B1278" s="348"/>
      <c r="C1278" s="348"/>
      <c r="D1278" s="348"/>
      <c r="E1278" s="348"/>
      <c r="F1278" s="348"/>
      <c r="G1278" s="348"/>
      <c r="H1278" s="348"/>
      <c r="I1278" s="348"/>
      <c r="J1278" s="348"/>
      <c r="K1278" s="348"/>
      <c r="L1278" s="348"/>
      <c r="M1278" s="348"/>
      <c r="N1278" s="353"/>
    </row>
    <row r="1279" spans="1:15" s="351" customFormat="1" x14ac:dyDescent="0.25">
      <c r="A1279" s="348"/>
      <c r="B1279" s="348"/>
      <c r="C1279" s="348"/>
      <c r="D1279" s="348"/>
      <c r="E1279" s="348"/>
      <c r="F1279" s="348"/>
      <c r="G1279" s="348"/>
      <c r="H1279" s="348"/>
      <c r="I1279" s="348"/>
      <c r="J1279" s="348"/>
      <c r="K1279" s="348"/>
      <c r="L1279" s="348"/>
      <c r="M1279" s="348"/>
      <c r="N1279" s="353"/>
      <c r="O1279" s="367" t="s">
        <v>35</v>
      </c>
    </row>
    <row r="1280" spans="1:15" s="351" customFormat="1" x14ac:dyDescent="0.25">
      <c r="A1280" s="355"/>
      <c r="B1280" s="355"/>
      <c r="C1280" s="355"/>
      <c r="D1280" s="355"/>
      <c r="E1280" s="355"/>
      <c r="F1280" s="355"/>
      <c r="G1280" s="355"/>
      <c r="H1280" s="355"/>
      <c r="I1280" s="355"/>
      <c r="J1280" s="355"/>
      <c r="K1280" s="355"/>
      <c r="L1280" s="355"/>
      <c r="M1280" s="355"/>
      <c r="N1280" s="355"/>
      <c r="O1280" s="355"/>
    </row>
    <row r="1281" spans="1:15" s="351" customFormat="1" x14ac:dyDescent="0.25">
      <c r="A1281" s="354" t="str">
        <f>name!A78</f>
        <v>Other personal service</v>
      </c>
      <c r="B1281" s="517">
        <f>$B$6</f>
        <v>2007</v>
      </c>
      <c r="C1281" s="517"/>
      <c r="D1281" s="517"/>
      <c r="E1281" s="517"/>
      <c r="F1281" s="380"/>
      <c r="G1281" s="517">
        <f>$G$6</f>
        <v>2017</v>
      </c>
      <c r="H1281" s="517"/>
      <c r="I1281" s="517"/>
      <c r="J1281" s="517"/>
      <c r="K1281" s="380"/>
      <c r="L1281" s="517">
        <f>$L$6</f>
        <v>2027</v>
      </c>
      <c r="M1281" s="517"/>
      <c r="N1281" s="517"/>
      <c r="O1281" s="517"/>
    </row>
    <row r="1282" spans="1:15" s="351" customFormat="1" x14ac:dyDescent="0.25">
      <c r="A1282" s="370"/>
      <c r="B1282" s="388" t="str">
        <f>$B$7</f>
        <v>FT</v>
      </c>
      <c r="C1282" s="388" t="str">
        <f>$C$7</f>
        <v>PT</v>
      </c>
      <c r="D1282" s="388" t="str">
        <f>$D$7</f>
        <v>SE</v>
      </c>
      <c r="E1282" s="388" t="str">
        <f>$E$7</f>
        <v>Total</v>
      </c>
      <c r="F1282" s="388"/>
      <c r="G1282" s="388" t="str">
        <f>$G$7</f>
        <v>FT</v>
      </c>
      <c r="H1282" s="388" t="str">
        <f>$H$7</f>
        <v>PT</v>
      </c>
      <c r="I1282" s="388" t="str">
        <f>$I$7</f>
        <v>SE</v>
      </c>
      <c r="J1282" s="388" t="str">
        <f>$J$7</f>
        <v>Total</v>
      </c>
      <c r="K1282" s="388"/>
      <c r="L1282" s="388" t="str">
        <f>$L$7</f>
        <v>FT</v>
      </c>
      <c r="M1282" s="388" t="str">
        <f>$M$7</f>
        <v>PT</v>
      </c>
      <c r="N1282" s="388" t="str">
        <f>$N$7</f>
        <v>SE</v>
      </c>
      <c r="O1282" s="388" t="str">
        <f>$O$7</f>
        <v>Total</v>
      </c>
    </row>
    <row r="1283" spans="1:15" s="351" customFormat="1" x14ac:dyDescent="0.25">
      <c r="A1283" s="374"/>
      <c r="B1283" s="350"/>
      <c r="C1283" s="350"/>
      <c r="D1283" s="350"/>
      <c r="E1283" s="350"/>
      <c r="F1283" s="350"/>
      <c r="G1283" s="350"/>
      <c r="H1283" s="350"/>
      <c r="I1283" s="350"/>
      <c r="J1283" s="350"/>
      <c r="K1283" s="350"/>
      <c r="L1283" s="350"/>
      <c r="M1283" s="350"/>
      <c r="N1283" s="350"/>
      <c r="O1283" s="350"/>
    </row>
    <row r="1284" spans="1:15" s="351" customFormat="1" x14ac:dyDescent="0.25">
      <c r="A1284" s="362" t="str">
        <f>name!E$4</f>
        <v>Managers, directors and senior officials</v>
      </c>
      <c r="B1284" s="440">
        <v>20.576310724424307</v>
      </c>
      <c r="C1284" s="440">
        <v>2.7981489823471675</v>
      </c>
      <c r="D1284" s="440">
        <v>25.154030072146092</v>
      </c>
      <c r="E1284" s="440">
        <f>SUM(B1284:D1284)</f>
        <v>48.528489778917567</v>
      </c>
      <c r="F1284" s="441"/>
      <c r="G1284" s="440">
        <v>21.845959063581155</v>
      </c>
      <c r="H1284" s="440">
        <v>6.9868674810332392</v>
      </c>
      <c r="I1284" s="440">
        <v>22.193820271657057</v>
      </c>
      <c r="J1284" s="440">
        <f>SUM(G1284:I1284)</f>
        <v>51.026646816271452</v>
      </c>
      <c r="K1284" s="441"/>
      <c r="L1284" s="440">
        <v>27.848378600865093</v>
      </c>
      <c r="M1284" s="440">
        <v>10.141843948539437</v>
      </c>
      <c r="N1284" s="440">
        <v>23.513554408007181</v>
      </c>
      <c r="O1284" s="440">
        <f>SUM(L1284:N1284)</f>
        <v>61.503776957411709</v>
      </c>
    </row>
    <row r="1285" spans="1:15" s="351" customFormat="1" x14ac:dyDescent="0.25">
      <c r="A1285" s="362" t="str">
        <f>name!E$5</f>
        <v>Professional occupations</v>
      </c>
      <c r="B1285" s="440">
        <v>19.447082506818628</v>
      </c>
      <c r="C1285" s="440">
        <v>6.2921812231885612</v>
      </c>
      <c r="D1285" s="440">
        <v>11.611425018185868</v>
      </c>
      <c r="E1285" s="440">
        <f t="shared" ref="E1285:E1292" si="546">SUM(B1285:D1285)</f>
        <v>37.350688748193058</v>
      </c>
      <c r="F1285" s="441"/>
      <c r="G1285" s="440">
        <v>19.040936480247673</v>
      </c>
      <c r="H1285" s="440">
        <v>8.0328428036182409</v>
      </c>
      <c r="I1285" s="440">
        <v>11.531349584013608</v>
      </c>
      <c r="J1285" s="440">
        <f t="shared" ref="J1285:J1287" si="547">SUM(G1285:I1285)</f>
        <v>38.605128867879522</v>
      </c>
      <c r="K1285" s="441"/>
      <c r="L1285" s="440">
        <v>24.702859279257076</v>
      </c>
      <c r="M1285" s="440">
        <v>9.8705392597652502</v>
      </c>
      <c r="N1285" s="440">
        <v>13.653277728705403</v>
      </c>
      <c r="O1285" s="440">
        <f t="shared" ref="O1285:O1292" si="548">SUM(L1285:N1285)</f>
        <v>48.226676267727733</v>
      </c>
    </row>
    <row r="1286" spans="1:15" s="351" customFormat="1" x14ac:dyDescent="0.25">
      <c r="A1286" s="362" t="str">
        <f>name!E$6</f>
        <v>Associate professional and technical</v>
      </c>
      <c r="B1286" s="440">
        <v>24.737269619500374</v>
      </c>
      <c r="C1286" s="440">
        <v>9.3016904079785494</v>
      </c>
      <c r="D1286" s="440">
        <v>21.289840214033699</v>
      </c>
      <c r="E1286" s="440">
        <f t="shared" si="546"/>
        <v>55.328800241512624</v>
      </c>
      <c r="F1286" s="441"/>
      <c r="G1286" s="440">
        <v>19.74712771286611</v>
      </c>
      <c r="H1286" s="440">
        <v>11.562680309903008</v>
      </c>
      <c r="I1286" s="440">
        <v>29.695628672499854</v>
      </c>
      <c r="J1286" s="440">
        <f t="shared" si="547"/>
        <v>61.005436695268969</v>
      </c>
      <c r="K1286" s="441"/>
      <c r="L1286" s="440">
        <v>23.79246073883299</v>
      </c>
      <c r="M1286" s="440">
        <v>15.026444447313541</v>
      </c>
      <c r="N1286" s="440">
        <v>33.852622260093582</v>
      </c>
      <c r="O1286" s="440">
        <f t="shared" si="548"/>
        <v>72.671527446240106</v>
      </c>
    </row>
    <row r="1287" spans="1:15" s="351" customFormat="1" x14ac:dyDescent="0.25">
      <c r="A1287" s="362" t="str">
        <f>name!E$7</f>
        <v>Administrative and secretarial</v>
      </c>
      <c r="B1287" s="440">
        <v>15.93490829079928</v>
      </c>
      <c r="C1287" s="440">
        <v>15.69971489906802</v>
      </c>
      <c r="D1287" s="440">
        <v>0.8444030615383129</v>
      </c>
      <c r="E1287" s="440">
        <f t="shared" si="546"/>
        <v>32.479026251405614</v>
      </c>
      <c r="F1287" s="441"/>
      <c r="G1287" s="440">
        <v>11.981730711238713</v>
      </c>
      <c r="H1287" s="440">
        <v>18.17421598253085</v>
      </c>
      <c r="I1287" s="440">
        <v>1.2221194489895999</v>
      </c>
      <c r="J1287" s="440">
        <f t="shared" si="547"/>
        <v>31.378066142759163</v>
      </c>
      <c r="K1287" s="441"/>
      <c r="L1287" s="440">
        <v>10.931588429448057</v>
      </c>
      <c r="M1287" s="440">
        <v>18.039949328691044</v>
      </c>
      <c r="N1287" s="440">
        <v>0.99767990885910351</v>
      </c>
      <c r="O1287" s="440">
        <f t="shared" si="548"/>
        <v>29.969217666998205</v>
      </c>
    </row>
    <row r="1288" spans="1:15" s="351" customFormat="1" x14ac:dyDescent="0.25">
      <c r="A1288" s="362" t="str">
        <f>name!E$8</f>
        <v>Skilled trades occupations</v>
      </c>
      <c r="B1288" s="440">
        <v>14.247983218245787</v>
      </c>
      <c r="C1288" s="440">
        <v>2.8681272281029151</v>
      </c>
      <c r="D1288" s="440">
        <v>9.4969034937161876</v>
      </c>
      <c r="E1288" s="440">
        <f t="shared" si="546"/>
        <v>26.613013940064889</v>
      </c>
      <c r="F1288" s="441"/>
      <c r="G1288" s="440">
        <v>10.022284157291496</v>
      </c>
      <c r="H1288" s="440">
        <v>3.140429778328139</v>
      </c>
      <c r="I1288" s="440">
        <v>8.7373313706481124</v>
      </c>
      <c r="J1288" s="440">
        <f>SUM(G1288:I1288)</f>
        <v>21.900045306267749</v>
      </c>
      <c r="K1288" s="441"/>
      <c r="L1288" s="440">
        <v>12.299409072397802</v>
      </c>
      <c r="M1288" s="440">
        <v>4.2641785557489058</v>
      </c>
      <c r="N1288" s="440">
        <v>9.7529290097883354</v>
      </c>
      <c r="O1288" s="440">
        <f t="shared" si="548"/>
        <v>26.316516637935042</v>
      </c>
    </row>
    <row r="1289" spans="1:15" s="351" customFormat="1" x14ac:dyDescent="0.25">
      <c r="A1289" s="362" t="str">
        <f>name!E$9</f>
        <v>Caring, leisure and other service</v>
      </c>
      <c r="B1289" s="440">
        <v>103.53043389829753</v>
      </c>
      <c r="C1289" s="440">
        <v>61.320390875461243</v>
      </c>
      <c r="D1289" s="440">
        <v>80.040595699856254</v>
      </c>
      <c r="E1289" s="440">
        <f t="shared" si="546"/>
        <v>244.89142047361503</v>
      </c>
      <c r="F1289" s="441"/>
      <c r="G1289" s="440">
        <v>86.941066085630382</v>
      </c>
      <c r="H1289" s="440">
        <v>61.731575804037647</v>
      </c>
      <c r="I1289" s="440">
        <v>102.32199655342882</v>
      </c>
      <c r="J1289" s="440">
        <f t="shared" ref="J1289:J1292" si="549">SUM(G1289:I1289)</f>
        <v>250.99463844309685</v>
      </c>
      <c r="K1289" s="441"/>
      <c r="L1289" s="440">
        <v>86.297484804199684</v>
      </c>
      <c r="M1289" s="440">
        <v>56.487714736384234</v>
      </c>
      <c r="N1289" s="440">
        <v>95.360566269581923</v>
      </c>
      <c r="O1289" s="440">
        <f t="shared" si="548"/>
        <v>238.14576581016581</v>
      </c>
    </row>
    <row r="1290" spans="1:15" s="351" customFormat="1" x14ac:dyDescent="0.25">
      <c r="A1290" s="362" t="str">
        <f>name!E$10</f>
        <v>Sales and customer service</v>
      </c>
      <c r="B1290" s="440">
        <v>7.641539753206815</v>
      </c>
      <c r="C1290" s="440">
        <v>7.5095752425347184</v>
      </c>
      <c r="D1290" s="440">
        <v>0.76070150378472601</v>
      </c>
      <c r="E1290" s="440">
        <f t="shared" si="546"/>
        <v>15.91181649952626</v>
      </c>
      <c r="F1290" s="441"/>
      <c r="G1290" s="440">
        <v>5.7899413389233594</v>
      </c>
      <c r="H1290" s="440">
        <v>11.075614623134401</v>
      </c>
      <c r="I1290" s="440">
        <v>0.82066191404434774</v>
      </c>
      <c r="J1290" s="440">
        <f t="shared" si="549"/>
        <v>17.686217876102109</v>
      </c>
      <c r="K1290" s="441"/>
      <c r="L1290" s="440">
        <v>6.8630590327135526</v>
      </c>
      <c r="M1290" s="440">
        <v>11.342461781660804</v>
      </c>
      <c r="N1290" s="440">
        <v>0.76149496345664747</v>
      </c>
      <c r="O1290" s="440">
        <f t="shared" si="548"/>
        <v>18.967015777831005</v>
      </c>
    </row>
    <row r="1291" spans="1:15" s="351" customFormat="1" x14ac:dyDescent="0.25">
      <c r="A1291" s="362" t="str">
        <f>name!E$11</f>
        <v>Process, plant and machine operatives</v>
      </c>
      <c r="B1291" s="440">
        <v>15.423131625275168</v>
      </c>
      <c r="C1291" s="440">
        <v>5.6658578459091764</v>
      </c>
      <c r="D1291" s="440">
        <v>1.720308680934947</v>
      </c>
      <c r="E1291" s="440">
        <f t="shared" si="546"/>
        <v>22.809298152119293</v>
      </c>
      <c r="F1291" s="441"/>
      <c r="G1291" s="440">
        <v>8.1325331776940519</v>
      </c>
      <c r="H1291" s="440">
        <v>3.3395229925557595</v>
      </c>
      <c r="I1291" s="440">
        <v>1.5687854546507096</v>
      </c>
      <c r="J1291" s="440">
        <f t="shared" si="549"/>
        <v>13.040841624900521</v>
      </c>
      <c r="K1291" s="441"/>
      <c r="L1291" s="440">
        <v>8.7579528966666818</v>
      </c>
      <c r="M1291" s="440">
        <v>2.0810990146432577</v>
      </c>
      <c r="N1291" s="440">
        <v>1.3788374057383421</v>
      </c>
      <c r="O1291" s="440">
        <f t="shared" si="548"/>
        <v>12.217889317048281</v>
      </c>
    </row>
    <row r="1292" spans="1:15" s="351" customFormat="1" x14ac:dyDescent="0.25">
      <c r="A1292" s="362" t="str">
        <f>name!E$12</f>
        <v>Elementary occupations</v>
      </c>
      <c r="B1292" s="440">
        <v>27.796340362330529</v>
      </c>
      <c r="C1292" s="440">
        <v>25.863313295676171</v>
      </c>
      <c r="D1292" s="440">
        <v>13.050792255972262</v>
      </c>
      <c r="E1292" s="440">
        <f t="shared" si="546"/>
        <v>66.710445913978958</v>
      </c>
      <c r="F1292" s="441"/>
      <c r="G1292" s="440">
        <v>16.014421271701732</v>
      </c>
      <c r="H1292" s="440">
        <v>20.789250226576772</v>
      </c>
      <c r="I1292" s="440">
        <v>8.3473067325485886</v>
      </c>
      <c r="J1292" s="440">
        <f t="shared" si="549"/>
        <v>45.150978230827093</v>
      </c>
      <c r="K1292" s="441"/>
      <c r="L1292" s="440">
        <v>18.585807144418016</v>
      </c>
      <c r="M1292" s="440">
        <v>21.574768928246858</v>
      </c>
      <c r="N1292" s="440">
        <v>7.572038046936366</v>
      </c>
      <c r="O1292" s="440">
        <f t="shared" si="548"/>
        <v>47.732614119601237</v>
      </c>
    </row>
    <row r="1293" spans="1:15" s="351" customFormat="1" x14ac:dyDescent="0.25">
      <c r="A1293" s="362"/>
      <c r="B1293" s="440"/>
      <c r="C1293" s="440"/>
      <c r="D1293" s="440"/>
      <c r="E1293" s="440"/>
      <c r="F1293" s="441"/>
      <c r="G1293" s="440"/>
      <c r="H1293" s="440"/>
      <c r="I1293" s="440"/>
      <c r="J1293" s="440"/>
      <c r="K1293" s="441"/>
      <c r="L1293" s="440"/>
      <c r="M1293" s="440"/>
      <c r="N1293" s="440"/>
      <c r="O1293" s="440"/>
    </row>
    <row r="1294" spans="1:15" s="351" customFormat="1" x14ac:dyDescent="0.25">
      <c r="A1294" s="357" t="s">
        <v>32</v>
      </c>
      <c r="B1294" s="450">
        <f>SUM(B1284:B1292)</f>
        <v>249.33499999889844</v>
      </c>
      <c r="C1294" s="450">
        <f t="shared" ref="C1294:E1294" si="550">SUM(C1284:C1292)</f>
        <v>137.31900000026653</v>
      </c>
      <c r="D1294" s="450">
        <f t="shared" si="550"/>
        <v>163.96900000016836</v>
      </c>
      <c r="E1294" s="450">
        <f t="shared" si="550"/>
        <v>550.62299999933339</v>
      </c>
      <c r="F1294" s="450"/>
      <c r="G1294" s="450">
        <f t="shared" ref="G1294:J1294" si="551">SUM(G1284:G1292)</f>
        <v>199.51599999917468</v>
      </c>
      <c r="H1294" s="450">
        <f t="shared" si="551"/>
        <v>144.83300000171806</v>
      </c>
      <c r="I1294" s="450">
        <f t="shared" si="551"/>
        <v>186.4390000024807</v>
      </c>
      <c r="J1294" s="450">
        <f t="shared" si="551"/>
        <v>530.78800000337333</v>
      </c>
      <c r="K1294" s="450"/>
      <c r="L1294" s="450">
        <f t="shared" ref="L1294:O1294" si="552">SUM(L1284:L1292)</f>
        <v>220.07899999879896</v>
      </c>
      <c r="M1294" s="450">
        <f t="shared" si="552"/>
        <v>148.82900000099335</v>
      </c>
      <c r="N1294" s="450">
        <f t="shared" si="552"/>
        <v>186.8430000011669</v>
      </c>
      <c r="O1294" s="450">
        <f t="shared" si="552"/>
        <v>555.75100000095915</v>
      </c>
    </row>
    <row r="1295" spans="1:15" s="351" customFormat="1" x14ac:dyDescent="0.25">
      <c r="A1295" s="348"/>
      <c r="B1295" s="348"/>
      <c r="C1295" s="348"/>
      <c r="D1295" s="348"/>
      <c r="E1295" s="348"/>
      <c r="F1295" s="348"/>
      <c r="G1295" s="348"/>
      <c r="H1295" s="348"/>
      <c r="I1295" s="348"/>
      <c r="J1295" s="348"/>
      <c r="K1295" s="348"/>
      <c r="L1295" s="348"/>
      <c r="M1295" s="348"/>
      <c r="N1295" s="353"/>
    </row>
  </sheetData>
  <mergeCells count="228">
    <mergeCell ref="B6:E6"/>
    <mergeCell ref="G6:J6"/>
    <mergeCell ref="L6:O6"/>
    <mergeCell ref="B23:E23"/>
    <mergeCell ref="G23:J23"/>
    <mergeCell ref="L23:O23"/>
    <mergeCell ref="B108:E108"/>
    <mergeCell ref="G108:J108"/>
    <mergeCell ref="L108:O108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  <mergeCell ref="B125:E125"/>
    <mergeCell ref="G125:J125"/>
    <mergeCell ref="L125:O125"/>
    <mergeCell ref="B91:E91"/>
    <mergeCell ref="G91:J91"/>
    <mergeCell ref="L91:O91"/>
    <mergeCell ref="B176:E176"/>
    <mergeCell ref="G176:J176"/>
    <mergeCell ref="L176:O176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380:E380"/>
    <mergeCell ref="G380:J380"/>
    <mergeCell ref="L380:O380"/>
    <mergeCell ref="B397:E397"/>
    <mergeCell ref="G397:J397"/>
    <mergeCell ref="L397:O397"/>
    <mergeCell ref="B346:E346"/>
    <mergeCell ref="G346:J346"/>
    <mergeCell ref="L346:O346"/>
    <mergeCell ref="B363:E363"/>
    <mergeCell ref="G363:J363"/>
    <mergeCell ref="L363:O363"/>
    <mergeCell ref="B448:E448"/>
    <mergeCell ref="G448:J448"/>
    <mergeCell ref="L448:O448"/>
    <mergeCell ref="B465:E465"/>
    <mergeCell ref="G465:J465"/>
    <mergeCell ref="L465:O465"/>
    <mergeCell ref="B414:E414"/>
    <mergeCell ref="G414:J414"/>
    <mergeCell ref="L414:O414"/>
    <mergeCell ref="B431:E431"/>
    <mergeCell ref="G431:J431"/>
    <mergeCell ref="L431:O431"/>
    <mergeCell ref="B516:E516"/>
    <mergeCell ref="G516:J516"/>
    <mergeCell ref="L516:O516"/>
    <mergeCell ref="B533:E533"/>
    <mergeCell ref="G533:J533"/>
    <mergeCell ref="L533:O533"/>
    <mergeCell ref="B482:E482"/>
    <mergeCell ref="G482:J482"/>
    <mergeCell ref="L482:O482"/>
    <mergeCell ref="B499:E499"/>
    <mergeCell ref="G499:J499"/>
    <mergeCell ref="L499:O499"/>
    <mergeCell ref="B584:E584"/>
    <mergeCell ref="G584:J584"/>
    <mergeCell ref="L584:O584"/>
    <mergeCell ref="B601:E601"/>
    <mergeCell ref="G601:J601"/>
    <mergeCell ref="L601:O601"/>
    <mergeCell ref="B550:E550"/>
    <mergeCell ref="G550:J550"/>
    <mergeCell ref="L550:O550"/>
    <mergeCell ref="B567:E567"/>
    <mergeCell ref="G567:J567"/>
    <mergeCell ref="L567:O567"/>
    <mergeCell ref="B652:E652"/>
    <mergeCell ref="G652:J652"/>
    <mergeCell ref="L652:O652"/>
    <mergeCell ref="B669:E669"/>
    <mergeCell ref="G669:J669"/>
    <mergeCell ref="L669:O669"/>
    <mergeCell ref="B618:E618"/>
    <mergeCell ref="G618:J618"/>
    <mergeCell ref="L618:O618"/>
    <mergeCell ref="B635:E635"/>
    <mergeCell ref="G635:J635"/>
    <mergeCell ref="L635:O635"/>
    <mergeCell ref="B720:E720"/>
    <mergeCell ref="G720:J720"/>
    <mergeCell ref="L720:O720"/>
    <mergeCell ref="B737:E737"/>
    <mergeCell ref="G737:J737"/>
    <mergeCell ref="L737:O737"/>
    <mergeCell ref="B686:E686"/>
    <mergeCell ref="G686:J686"/>
    <mergeCell ref="L686:O686"/>
    <mergeCell ref="B703:E703"/>
    <mergeCell ref="G703:J703"/>
    <mergeCell ref="L703:O703"/>
    <mergeCell ref="B788:E788"/>
    <mergeCell ref="G788:J788"/>
    <mergeCell ref="L788:O788"/>
    <mergeCell ref="B805:E805"/>
    <mergeCell ref="G805:J805"/>
    <mergeCell ref="L805:O805"/>
    <mergeCell ref="B754:E754"/>
    <mergeCell ref="G754:J754"/>
    <mergeCell ref="L754:O754"/>
    <mergeCell ref="B771:E771"/>
    <mergeCell ref="G771:J771"/>
    <mergeCell ref="L771:O771"/>
    <mergeCell ref="B856:E856"/>
    <mergeCell ref="G856:J856"/>
    <mergeCell ref="L856:O856"/>
    <mergeCell ref="B873:E873"/>
    <mergeCell ref="G873:J873"/>
    <mergeCell ref="L873:O873"/>
    <mergeCell ref="B822:E822"/>
    <mergeCell ref="G822:J822"/>
    <mergeCell ref="L822:O822"/>
    <mergeCell ref="B839:E839"/>
    <mergeCell ref="G839:J839"/>
    <mergeCell ref="L839:O839"/>
    <mergeCell ref="B924:E924"/>
    <mergeCell ref="G924:J924"/>
    <mergeCell ref="L924:O924"/>
    <mergeCell ref="B941:E941"/>
    <mergeCell ref="G941:J941"/>
    <mergeCell ref="L941:O941"/>
    <mergeCell ref="B890:E890"/>
    <mergeCell ref="G890:J890"/>
    <mergeCell ref="L890:O890"/>
    <mergeCell ref="B907:E907"/>
    <mergeCell ref="G907:J907"/>
    <mergeCell ref="L907:O907"/>
    <mergeCell ref="B992:E992"/>
    <mergeCell ref="G992:J992"/>
    <mergeCell ref="L992:O992"/>
    <mergeCell ref="B1009:E1009"/>
    <mergeCell ref="G1009:J1009"/>
    <mergeCell ref="L1009:O1009"/>
    <mergeCell ref="B958:E958"/>
    <mergeCell ref="G958:J958"/>
    <mergeCell ref="L958:O958"/>
    <mergeCell ref="B975:E975"/>
    <mergeCell ref="G975:J975"/>
    <mergeCell ref="L975:O975"/>
    <mergeCell ref="B1060:E1060"/>
    <mergeCell ref="G1060:J1060"/>
    <mergeCell ref="L1060:O1060"/>
    <mergeCell ref="B1077:E1077"/>
    <mergeCell ref="G1077:J1077"/>
    <mergeCell ref="L1077:O1077"/>
    <mergeCell ref="B1026:E1026"/>
    <mergeCell ref="G1026:J1026"/>
    <mergeCell ref="L1026:O1026"/>
    <mergeCell ref="B1043:E1043"/>
    <mergeCell ref="G1043:J1043"/>
    <mergeCell ref="L1043:O1043"/>
    <mergeCell ref="B1128:E1128"/>
    <mergeCell ref="G1128:J1128"/>
    <mergeCell ref="L1128:O1128"/>
    <mergeCell ref="B1145:E1145"/>
    <mergeCell ref="G1145:J1145"/>
    <mergeCell ref="L1145:O1145"/>
    <mergeCell ref="B1094:E1094"/>
    <mergeCell ref="G1094:J1094"/>
    <mergeCell ref="L1094:O1094"/>
    <mergeCell ref="B1111:E1111"/>
    <mergeCell ref="G1111:J1111"/>
    <mergeCell ref="L1111:O1111"/>
    <mergeCell ref="B1196:E1196"/>
    <mergeCell ref="G1196:J1196"/>
    <mergeCell ref="L1196:O1196"/>
    <mergeCell ref="B1213:E1213"/>
    <mergeCell ref="G1213:J1213"/>
    <mergeCell ref="L1213:O1213"/>
    <mergeCell ref="B1162:E1162"/>
    <mergeCell ref="G1162:J1162"/>
    <mergeCell ref="L1162:O1162"/>
    <mergeCell ref="B1179:E1179"/>
    <mergeCell ref="G1179:J1179"/>
    <mergeCell ref="L1179:O1179"/>
    <mergeCell ref="B1264:E1264"/>
    <mergeCell ref="G1264:J1264"/>
    <mergeCell ref="L1264:O1264"/>
    <mergeCell ref="B1281:E1281"/>
    <mergeCell ref="G1281:J1281"/>
    <mergeCell ref="L1281:O1281"/>
    <mergeCell ref="B1230:E1230"/>
    <mergeCell ref="G1230:J1230"/>
    <mergeCell ref="L1230:O1230"/>
    <mergeCell ref="B1247:E1247"/>
    <mergeCell ref="G1247:J1247"/>
    <mergeCell ref="L1247:O1247"/>
  </mergeCells>
  <pageMargins left="0.7" right="0.7" top="0.75" bottom="0.75" header="0.3" footer="0.3"/>
  <pageSetup paperSize="9" scale="75" fitToHeight="0" orientation="portrait" r:id="rId1"/>
  <rowBreaks count="18" manualBreakCount="18">
    <brk id="71" max="14" man="1"/>
    <brk id="139" max="14" man="1"/>
    <brk id="207" max="14" man="1"/>
    <brk id="275" max="14" man="1"/>
    <brk id="343" max="14" man="1"/>
    <brk id="411" max="14" man="1"/>
    <brk id="479" max="14" man="1"/>
    <brk id="547" max="14" man="1"/>
    <brk id="615" max="14" man="1"/>
    <brk id="683" max="14" man="1"/>
    <brk id="751" max="14" man="1"/>
    <brk id="819" max="14" man="1"/>
    <brk id="887" max="14" man="1"/>
    <brk id="955" max="14" man="1"/>
    <brk id="1023" max="14" man="1"/>
    <brk id="1091" max="14" man="1"/>
    <brk id="1159" max="14" man="1"/>
    <brk id="1227" max="14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F90"/>
  <sheetViews>
    <sheetView showGridLines="0" zoomScale="85" zoomScaleNormal="85" workbookViewId="0"/>
  </sheetViews>
  <sheetFormatPr defaultRowHeight="13.2" x14ac:dyDescent="0.25"/>
  <cols>
    <col min="1" max="1" width="44.6640625" customWidth="1"/>
    <col min="2" max="6" width="10" customWidth="1"/>
    <col min="7" max="7" width="6.6640625" customWidth="1"/>
    <col min="8" max="10" width="13" customWidth="1"/>
    <col min="11" max="11" width="6.6640625" customWidth="1"/>
    <col min="12" max="12" width="44.6640625" customWidth="1"/>
    <col min="13" max="17" width="10" customWidth="1"/>
    <col min="18" max="18" width="6.6640625" customWidth="1"/>
    <col min="19" max="21" width="13" customWidth="1"/>
    <col min="23" max="23" width="44.6640625" customWidth="1"/>
    <col min="24" max="28" width="10" customWidth="1"/>
    <col min="29" max="29" width="6.6640625" customWidth="1"/>
    <col min="30" max="32" width="13" customWidth="1"/>
  </cols>
  <sheetData>
    <row r="1" spans="1:32" ht="15.6" x14ac:dyDescent="0.3">
      <c r="A1" s="23" t="str">
        <f>CONCATENATE("Occupation Table 1  Employment Change by Occupation Group (SOC 2010) and Replacement Demand, ",B$6,"-",F$6)</f>
        <v>Occupation Table 1  Employment Change by Occupation Group (SOC 2010) and Replacement Demand, 2007-2027</v>
      </c>
      <c r="L1" s="23" t="str">
        <f>CONCATENATE("Occupation Table 1.1  Males: Employment Change by Occupation Group (SOC 2010) and Replacement Demand, ",B$6,"-",F$6)</f>
        <v>Occupation Table 1.1  Males: Employment Change by Occupation Group (SOC 2010) and Replacement Demand, 2007-2027</v>
      </c>
      <c r="W1" s="23" t="str">
        <f>CONCATENATE("Occupation Table 1.2  Females: Employment Change by Occupation Group (SOC 2010) and Replacement Demand, ",M$6,"-",Q$6)</f>
        <v>Occupation Table 1.2  Females: Employment Change by Occupation Group (SOC 2010) and Replacement Demand, 2007-2027</v>
      </c>
      <c r="X1" s="286"/>
      <c r="Y1" s="286"/>
      <c r="Z1" s="286"/>
      <c r="AA1" s="286"/>
      <c r="AB1" s="286"/>
      <c r="AC1" s="286"/>
      <c r="AD1" s="286"/>
      <c r="AE1" s="286"/>
      <c r="AF1" s="286"/>
    </row>
    <row r="2" spans="1:32" x14ac:dyDescent="0.25">
      <c r="L2" s="286"/>
      <c r="M2" s="286"/>
      <c r="N2" s="286"/>
      <c r="O2" s="286"/>
      <c r="P2" s="286"/>
      <c r="Q2" s="286"/>
      <c r="R2" s="286"/>
      <c r="S2" s="286"/>
      <c r="T2" s="286"/>
      <c r="U2" s="286"/>
      <c r="W2" s="286"/>
      <c r="X2" s="286"/>
      <c r="Y2" s="286"/>
      <c r="Z2" s="286"/>
      <c r="AA2" s="286"/>
      <c r="AB2" s="286"/>
      <c r="AC2" s="286"/>
      <c r="AD2" s="286"/>
      <c r="AE2" s="286"/>
      <c r="AF2" s="286"/>
    </row>
    <row r="3" spans="1:32" x14ac:dyDescent="0.25">
      <c r="F3" s="19" t="s">
        <v>35</v>
      </c>
      <c r="J3" s="19" t="s">
        <v>35</v>
      </c>
      <c r="L3" s="286"/>
      <c r="M3" s="286"/>
      <c r="N3" s="286"/>
      <c r="O3" s="286"/>
      <c r="P3" s="286"/>
      <c r="Q3" s="19" t="s">
        <v>35</v>
      </c>
      <c r="R3" s="286"/>
      <c r="S3" s="286"/>
      <c r="T3" s="286"/>
      <c r="U3" s="19" t="s">
        <v>35</v>
      </c>
      <c r="W3" s="286"/>
      <c r="X3" s="286"/>
      <c r="Y3" s="286"/>
      <c r="Z3" s="286"/>
      <c r="AA3" s="286"/>
      <c r="AB3" s="19" t="s">
        <v>35</v>
      </c>
      <c r="AC3" s="286"/>
      <c r="AD3" s="286"/>
      <c r="AE3" s="286"/>
      <c r="AF3" s="19" t="s">
        <v>35</v>
      </c>
    </row>
    <row r="4" spans="1:32" x14ac:dyDescent="0.25">
      <c r="A4" s="41"/>
      <c r="B4" s="41"/>
      <c r="C4" s="41"/>
      <c r="D4" s="41"/>
      <c r="E4" s="41"/>
      <c r="F4" s="41"/>
      <c r="H4" s="32" t="str">
        <f>CONCATENATE(D6,"-",F6)</f>
        <v>2017-2027</v>
      </c>
      <c r="I4" s="41"/>
      <c r="J4" s="41"/>
      <c r="L4" s="32" t="s">
        <v>98</v>
      </c>
      <c r="M4" s="41"/>
      <c r="N4" s="41"/>
      <c r="O4" s="41"/>
      <c r="P4" s="41"/>
      <c r="Q4" s="41"/>
      <c r="R4" s="286"/>
      <c r="S4" s="32" t="str">
        <f>CONCATENATE(O6,"-",Q6)</f>
        <v>2017-2027</v>
      </c>
      <c r="T4" s="41"/>
      <c r="U4" s="41"/>
      <c r="W4" s="32" t="s">
        <v>99</v>
      </c>
      <c r="X4" s="41"/>
      <c r="Y4" s="41"/>
      <c r="Z4" s="41"/>
      <c r="AA4" s="41"/>
      <c r="AB4" s="41"/>
      <c r="AC4" s="286"/>
      <c r="AD4" s="32" t="str">
        <f>CONCATENATE(Z6,"-",AB6)</f>
        <v>2017-2027</v>
      </c>
      <c r="AE4" s="41"/>
      <c r="AF4" s="41"/>
    </row>
    <row r="5" spans="1:32" x14ac:dyDescent="0.25">
      <c r="A5" s="2"/>
      <c r="B5" s="2"/>
      <c r="C5" s="2"/>
      <c r="D5" s="2"/>
      <c r="E5" s="2"/>
      <c r="F5" s="2"/>
      <c r="H5" s="19" t="s">
        <v>29</v>
      </c>
      <c r="I5" s="19" t="s">
        <v>30</v>
      </c>
      <c r="J5" s="19" t="s">
        <v>32</v>
      </c>
      <c r="L5" s="2"/>
      <c r="M5" s="2"/>
      <c r="N5" s="2"/>
      <c r="O5" s="2"/>
      <c r="P5" s="2"/>
      <c r="Q5" s="2"/>
      <c r="R5" s="286"/>
      <c r="S5" s="19" t="s">
        <v>29</v>
      </c>
      <c r="T5" s="19" t="s">
        <v>30</v>
      </c>
      <c r="U5" s="19" t="s">
        <v>32</v>
      </c>
      <c r="W5" s="2"/>
      <c r="X5" s="2"/>
      <c r="Y5" s="2"/>
      <c r="Z5" s="2"/>
      <c r="AA5" s="2"/>
      <c r="AB5" s="2"/>
      <c r="AC5" s="286"/>
      <c r="AD5" s="19" t="s">
        <v>29</v>
      </c>
      <c r="AE5" s="19" t="s">
        <v>30</v>
      </c>
      <c r="AF5" s="19" t="s">
        <v>32</v>
      </c>
    </row>
    <row r="6" spans="1:32" x14ac:dyDescent="0.25">
      <c r="A6" s="78" t="s">
        <v>13</v>
      </c>
      <c r="B6" s="40">
        <f>'Occ T2'!B6</f>
        <v>2007</v>
      </c>
      <c r="C6" s="40">
        <f>'Occ T2'!C6</f>
        <v>2012</v>
      </c>
      <c r="D6" s="40">
        <f>'Occ T2'!D6</f>
        <v>2017</v>
      </c>
      <c r="E6" s="40">
        <f>'Occ T2'!E6</f>
        <v>2022</v>
      </c>
      <c r="F6" s="40">
        <f>'Occ T2'!F6</f>
        <v>2027</v>
      </c>
      <c r="G6" s="12"/>
      <c r="H6" s="75" t="s">
        <v>18</v>
      </c>
      <c r="I6" s="75" t="s">
        <v>31</v>
      </c>
      <c r="J6" s="75" t="s">
        <v>33</v>
      </c>
      <c r="L6" s="78" t="s">
        <v>13</v>
      </c>
      <c r="M6" s="40">
        <f>'Occ T2'!B6</f>
        <v>2007</v>
      </c>
      <c r="N6" s="40">
        <f>'Occ T2'!C6</f>
        <v>2012</v>
      </c>
      <c r="O6" s="40">
        <f>'Occ T2'!D6</f>
        <v>2017</v>
      </c>
      <c r="P6" s="40">
        <f>'Occ T2'!E6</f>
        <v>2022</v>
      </c>
      <c r="Q6" s="40">
        <f>'Occ T2'!F6</f>
        <v>2027</v>
      </c>
      <c r="R6" s="12"/>
      <c r="S6" s="75" t="s">
        <v>18</v>
      </c>
      <c r="T6" s="75" t="s">
        <v>31</v>
      </c>
      <c r="U6" s="75" t="s">
        <v>33</v>
      </c>
      <c r="W6" s="78" t="s">
        <v>13</v>
      </c>
      <c r="X6" s="40">
        <f>'Occ T2'!B6</f>
        <v>2007</v>
      </c>
      <c r="Y6" s="40">
        <f>'Occ T2'!C6</f>
        <v>2012</v>
      </c>
      <c r="Z6" s="40">
        <f>'Occ T2'!D6</f>
        <v>2017</v>
      </c>
      <c r="AA6" s="40">
        <f>'Occ T2'!E6</f>
        <v>2022</v>
      </c>
      <c r="AB6" s="40">
        <f>'Occ T2'!F6</f>
        <v>2027</v>
      </c>
      <c r="AC6" s="12"/>
      <c r="AD6" s="75" t="s">
        <v>18</v>
      </c>
      <c r="AE6" s="75" t="s">
        <v>31</v>
      </c>
      <c r="AF6" s="75" t="s">
        <v>33</v>
      </c>
    </row>
    <row r="7" spans="1:32" x14ac:dyDescent="0.25">
      <c r="B7" s="18"/>
      <c r="C7" s="12"/>
      <c r="D7" s="12"/>
      <c r="E7" s="12"/>
      <c r="F7" s="12"/>
      <c r="L7" s="286"/>
      <c r="M7" s="18"/>
      <c r="N7" s="12"/>
      <c r="O7" s="12"/>
      <c r="P7" s="12"/>
      <c r="Q7" s="12"/>
      <c r="R7" s="286"/>
      <c r="S7" s="286"/>
      <c r="T7" s="286"/>
      <c r="U7" s="286"/>
      <c r="W7" s="286"/>
      <c r="X7" s="18"/>
      <c r="Y7" s="12"/>
      <c r="Z7" s="12"/>
      <c r="AA7" s="12"/>
      <c r="AB7" s="12"/>
      <c r="AC7" s="286"/>
      <c r="AD7" s="286"/>
      <c r="AE7" s="286"/>
      <c r="AF7" s="286"/>
    </row>
    <row r="8" spans="1:32" x14ac:dyDescent="0.25">
      <c r="A8" s="18" t="str">
        <f>name!E4</f>
        <v>Managers, directors and senior officials</v>
      </c>
      <c r="B8" s="13">
        <f t="array" ref="B8:B16">MMULT(aggregation!$B$38:$Z$46,'Occ T2'!B8:B32)</f>
        <v>2775.6722245764886</v>
      </c>
      <c r="C8" s="13">
        <f t="array" ref="C8:C16">MMULT(aggregation!$B$38:$Z$46,'Occ T2'!C8:C32)</f>
        <v>3042.9552477890466</v>
      </c>
      <c r="D8" s="13">
        <f t="array" ref="D8:D16">MMULT(aggregation!$B$38:$Z$46,'Occ T2'!D8:D32)</f>
        <v>3566.4243567681951</v>
      </c>
      <c r="E8" s="13">
        <f t="array" ref="E8:E16">MMULT(aggregation!$B$38:$Z$46,'Occ T2'!E8:E32)</f>
        <v>3797.692018875618</v>
      </c>
      <c r="F8" s="13">
        <f t="array" ref="F8:F16">MMULT(aggregation!$B$38:$Z$46,'Occ T2'!F8:F32)</f>
        <v>4004.9714119572809</v>
      </c>
      <c r="G8" s="13"/>
      <c r="H8" s="13">
        <f>F8-D8</f>
        <v>438.54705518908577</v>
      </c>
      <c r="I8" s="13">
        <f t="array" ref="I8:I16">MMULT(aggregation!$B$38:$Z$46,'Occ T2'!I8:I32)</f>
        <v>1380.4610889994408</v>
      </c>
      <c r="J8" s="13">
        <f>SUM(H8:I8)</f>
        <v>1819.0081441885266</v>
      </c>
      <c r="L8" s="12" t="str">
        <f>name!E4</f>
        <v>Managers, directors and senior officials</v>
      </c>
      <c r="M8" s="13">
        <f t="array" ref="M8:M16">MMULT(aggregation!$B$38:$Z$46,'Occ T2'!M8:M32)</f>
        <v>1939.7252496281017</v>
      </c>
      <c r="N8" s="13">
        <f t="array" ref="N8:N16">MMULT(aggregation!$B$38:$Z$46,'Occ T2'!N8:N32)</f>
        <v>2030.5318659837401</v>
      </c>
      <c r="O8" s="13">
        <f t="array" ref="O8:O16">MMULT(aggregation!$B$38:$Z$46,'Occ T2'!O8:O32)</f>
        <v>2287.3335136329624</v>
      </c>
      <c r="P8" s="13">
        <f t="array" ref="P8:P16">MMULT(aggregation!$B$38:$Z$46,'Occ T2'!P8:P32)</f>
        <v>2366.6901048138648</v>
      </c>
      <c r="Q8" s="13">
        <f t="array" ref="Q8:Q16">MMULT(aggregation!$B$38:$Z$46,'Occ T2'!Q8:Q32)</f>
        <v>2436.3234255164693</v>
      </c>
      <c r="R8" s="13"/>
      <c r="S8" s="13">
        <f>Q8-O8</f>
        <v>148.98991188350692</v>
      </c>
      <c r="T8" s="13">
        <f t="array" ref="T8:T16">MMULT(aggregation!$B$38:$Z$46,'Occ T2'!T8:T32)</f>
        <v>779.97168251400933</v>
      </c>
      <c r="U8" s="13">
        <f>SUM(S8:T8)</f>
        <v>928.96159439751625</v>
      </c>
      <c r="W8" s="12" t="str">
        <f>name!E4</f>
        <v>Managers, directors and senior officials</v>
      </c>
      <c r="X8" s="13">
        <f t="array" ref="X8:X16">MMULT(aggregation!$B$38:$Z$46,'Occ T2'!X8:X32)</f>
        <v>835.94697494839284</v>
      </c>
      <c r="Y8" s="13">
        <f t="array" ref="Y8:Y16">MMULT(aggregation!$B$38:$Z$46,'Occ T2'!Y8:Y32)</f>
        <v>1012.4233818053051</v>
      </c>
      <c r="Z8" s="13">
        <f t="array" ref="Z8:Z16">MMULT(aggregation!$B$38:$Z$46,'Occ T2'!Z8:Z32)</f>
        <v>1279.0908431352257</v>
      </c>
      <c r="AA8" s="13">
        <f t="array" ref="AA8:AA16">MMULT(aggregation!$B$38:$Z$46,'Occ T2'!AA8:AA32)</f>
        <v>1431.0019140617478</v>
      </c>
      <c r="AB8" s="13">
        <f t="array" ref="AB8:AB16">MMULT(aggregation!$B$38:$Z$46,'Occ T2'!AB8:AB32)</f>
        <v>1568.6479864408129</v>
      </c>
      <c r="AC8" s="13"/>
      <c r="AD8" s="13">
        <f>AB8-Z8</f>
        <v>289.55714330558726</v>
      </c>
      <c r="AE8" s="13">
        <f t="array" ref="AE8:AE16">MMULT(aggregation!$B$38:$Z$46,'Occ T2'!AE8:AE32)</f>
        <v>600.48940648543112</v>
      </c>
      <c r="AF8" s="13">
        <f>SUM(AD8:AE8)</f>
        <v>890.04654979101838</v>
      </c>
    </row>
    <row r="9" spans="1:32" x14ac:dyDescent="0.25">
      <c r="A9" s="18" t="str">
        <f>name!E5</f>
        <v>Professional occupations</v>
      </c>
      <c r="B9" s="13">
        <v>5426.0517436222353</v>
      </c>
      <c r="C9" s="13">
        <v>5841.9253216752832</v>
      </c>
      <c r="D9" s="13">
        <v>6873.491838564174</v>
      </c>
      <c r="E9" s="13">
        <v>7275.3001598756555</v>
      </c>
      <c r="F9" s="13">
        <v>7694.6188836679112</v>
      </c>
      <c r="G9" s="13"/>
      <c r="H9" s="13">
        <f t="shared" ref="H9:H16" si="0">F9-D9</f>
        <v>821.12704510373715</v>
      </c>
      <c r="I9" s="13">
        <v>2361.8673479049908</v>
      </c>
      <c r="J9" s="13">
        <f t="shared" ref="J9:J15" si="1">SUM(H9:I9)</f>
        <v>3182.9943930087279</v>
      </c>
      <c r="L9" s="12" t="str">
        <f>name!E5</f>
        <v>Professional occupations</v>
      </c>
      <c r="M9" s="13">
        <v>2734.8495458400162</v>
      </c>
      <c r="N9" s="13">
        <v>2961.9268617477046</v>
      </c>
      <c r="O9" s="13">
        <v>3386.047903404813</v>
      </c>
      <c r="P9" s="13">
        <v>3464.4659010947785</v>
      </c>
      <c r="Q9" s="13">
        <v>3539.9451063571742</v>
      </c>
      <c r="R9" s="13"/>
      <c r="S9" s="13">
        <f t="shared" ref="S9:S16" si="2">Q9-O9</f>
        <v>153.89720295236111</v>
      </c>
      <c r="T9" s="13">
        <v>904.04955911375305</v>
      </c>
      <c r="U9" s="13">
        <f t="shared" ref="U9:U12" si="3">SUM(S9:T9)</f>
        <v>1057.9467620661142</v>
      </c>
      <c r="W9" s="12" t="str">
        <f>name!E5</f>
        <v>Professional occupations</v>
      </c>
      <c r="X9" s="13">
        <v>2691.202197782221</v>
      </c>
      <c r="Y9" s="13">
        <v>2879.9984599275713</v>
      </c>
      <c r="Z9" s="13">
        <v>3487.4439351593669</v>
      </c>
      <c r="AA9" s="13">
        <v>3810.8342587808711</v>
      </c>
      <c r="AB9" s="13">
        <v>4154.6737773107443</v>
      </c>
      <c r="AC9" s="13"/>
      <c r="AD9" s="13">
        <f t="shared" ref="AD9:AD16" si="4">AB9-Z9</f>
        <v>667.2298421513774</v>
      </c>
      <c r="AE9" s="13">
        <v>1457.8177887912373</v>
      </c>
      <c r="AF9" s="13">
        <f t="shared" ref="AF9:AF12" si="5">SUM(AD9:AE9)</f>
        <v>2125.0476309426149</v>
      </c>
    </row>
    <row r="10" spans="1:32" x14ac:dyDescent="0.25">
      <c r="A10" s="18" t="str">
        <f>name!E6</f>
        <v>Associate professional and technical</v>
      </c>
      <c r="B10" s="13">
        <v>4192.1889515946241</v>
      </c>
      <c r="C10" s="13">
        <v>4245.3870699108684</v>
      </c>
      <c r="D10" s="13">
        <v>4884.3836819220542</v>
      </c>
      <c r="E10" s="13">
        <v>5123.1465499937876</v>
      </c>
      <c r="F10" s="13">
        <v>5309.5219594020828</v>
      </c>
      <c r="G10" s="13"/>
      <c r="H10" s="13">
        <f t="shared" si="0"/>
        <v>425.13827748002859</v>
      </c>
      <c r="I10" s="13">
        <v>1599.2493031477861</v>
      </c>
      <c r="J10" s="13">
        <f t="shared" si="1"/>
        <v>2024.3875806278147</v>
      </c>
      <c r="L10" s="12" t="str">
        <f>name!E6</f>
        <v>Associate professional and technical</v>
      </c>
      <c r="M10" s="13">
        <v>2483.7302692027915</v>
      </c>
      <c r="N10" s="13">
        <v>2472.1589459285797</v>
      </c>
      <c r="O10" s="13">
        <v>2749.8619783908835</v>
      </c>
      <c r="P10" s="13">
        <v>2794.576593673939</v>
      </c>
      <c r="Q10" s="13">
        <v>2816.5586919139896</v>
      </c>
      <c r="R10" s="13"/>
      <c r="S10" s="13">
        <f t="shared" si="2"/>
        <v>66.696713523106155</v>
      </c>
      <c r="T10" s="13">
        <v>730.74547086995005</v>
      </c>
      <c r="U10" s="13">
        <f t="shared" si="3"/>
        <v>797.44218439305621</v>
      </c>
      <c r="W10" s="12" t="str">
        <f>name!E6</f>
        <v>Associate professional and technical</v>
      </c>
      <c r="X10" s="13">
        <v>1708.4586823918298</v>
      </c>
      <c r="Y10" s="13">
        <v>1773.2281239822864</v>
      </c>
      <c r="Z10" s="13">
        <v>2134.5217035311753</v>
      </c>
      <c r="AA10" s="13">
        <v>2328.5699563198473</v>
      </c>
      <c r="AB10" s="13">
        <v>2492.9632674880895</v>
      </c>
      <c r="AC10" s="13"/>
      <c r="AD10" s="13">
        <f t="shared" si="4"/>
        <v>358.44156395691425</v>
      </c>
      <c r="AE10" s="13">
        <v>868.50383227783607</v>
      </c>
      <c r="AF10" s="13">
        <f t="shared" si="5"/>
        <v>1226.9453962347502</v>
      </c>
    </row>
    <row r="11" spans="1:32" x14ac:dyDescent="0.25">
      <c r="A11" s="18" t="str">
        <f>name!E7</f>
        <v>Administrative and secretarial</v>
      </c>
      <c r="B11" s="13">
        <v>4023.3774927122436</v>
      </c>
      <c r="C11" s="13">
        <v>3686.6891232188909</v>
      </c>
      <c r="D11" s="13">
        <v>3680.7863975420601</v>
      </c>
      <c r="E11" s="13">
        <v>3359.0863632166529</v>
      </c>
      <c r="F11" s="13">
        <v>3077.1550769501691</v>
      </c>
      <c r="G11" s="13"/>
      <c r="H11" s="13">
        <f t="shared" si="0"/>
        <v>-603.63132059189093</v>
      </c>
      <c r="I11" s="13">
        <v>1152.1599282978825</v>
      </c>
      <c r="J11" s="13">
        <f t="shared" si="1"/>
        <v>548.52860770599159</v>
      </c>
      <c r="L11" s="12" t="str">
        <f>name!E7</f>
        <v>Administrative and secretarial</v>
      </c>
      <c r="M11" s="13">
        <v>877.01761417653347</v>
      </c>
      <c r="N11" s="13">
        <v>863.3967083636926</v>
      </c>
      <c r="O11" s="13">
        <v>924.87326939791194</v>
      </c>
      <c r="P11" s="13">
        <v>910.15230723570789</v>
      </c>
      <c r="Q11" s="13">
        <v>911.45242932193241</v>
      </c>
      <c r="R11" s="13"/>
      <c r="S11" s="13">
        <f t="shared" si="2"/>
        <v>-13.420840075979527</v>
      </c>
      <c r="T11" s="13">
        <v>234.29260240900251</v>
      </c>
      <c r="U11" s="13">
        <f t="shared" si="3"/>
        <v>220.87176233302299</v>
      </c>
      <c r="W11" s="12" t="str">
        <f>name!E7</f>
        <v>Administrative and secretarial</v>
      </c>
      <c r="X11" s="13">
        <v>3146.3598785357017</v>
      </c>
      <c r="Y11" s="13">
        <v>2823.2924148551965</v>
      </c>
      <c r="Z11" s="13">
        <v>2755.9131281441396</v>
      </c>
      <c r="AA11" s="13">
        <v>2448.9340559809452</v>
      </c>
      <c r="AB11" s="13">
        <v>2165.7026476282376</v>
      </c>
      <c r="AC11" s="13"/>
      <c r="AD11" s="13">
        <f t="shared" si="4"/>
        <v>-590.21048051590196</v>
      </c>
      <c r="AE11" s="13">
        <v>917.86732588888003</v>
      </c>
      <c r="AF11" s="13">
        <f t="shared" si="5"/>
        <v>327.65684537297807</v>
      </c>
    </row>
    <row r="12" spans="1:32" x14ac:dyDescent="0.25">
      <c r="A12" s="18" t="str">
        <f>name!E8</f>
        <v>Skilled trades occupations</v>
      </c>
      <c r="B12" s="13">
        <v>3583.6153277284657</v>
      </c>
      <c r="C12" s="13">
        <v>3361.0404349463947</v>
      </c>
      <c r="D12" s="13">
        <v>3432.8363588721904</v>
      </c>
      <c r="E12" s="13">
        <v>3268.9532522745712</v>
      </c>
      <c r="F12" s="13">
        <v>3126.1855521756024</v>
      </c>
      <c r="G12" s="13"/>
      <c r="H12" s="13">
        <f t="shared" si="0"/>
        <v>-306.65080669658801</v>
      </c>
      <c r="I12" s="13">
        <v>929.36811598039412</v>
      </c>
      <c r="J12" s="13">
        <f t="shared" si="1"/>
        <v>622.71730928380612</v>
      </c>
      <c r="L12" s="12" t="str">
        <f>name!E8</f>
        <v>Skilled trades occupations</v>
      </c>
      <c r="M12" s="13">
        <v>3218.4635906932913</v>
      </c>
      <c r="N12" s="13">
        <v>3021.6569495207968</v>
      </c>
      <c r="O12" s="13">
        <v>3071.3400626640155</v>
      </c>
      <c r="P12" s="13">
        <v>2913.8582190236903</v>
      </c>
      <c r="Q12" s="13">
        <v>2780.8007159738622</v>
      </c>
      <c r="R12" s="13"/>
      <c r="S12" s="13">
        <f t="shared" si="2"/>
        <v>-290.53934669015325</v>
      </c>
      <c r="T12" s="13">
        <v>788.14851411533209</v>
      </c>
      <c r="U12" s="13">
        <f t="shared" si="3"/>
        <v>497.60916742517884</v>
      </c>
      <c r="W12" s="12" t="str">
        <f>name!E8</f>
        <v>Skilled trades occupations</v>
      </c>
      <c r="X12" s="13">
        <v>365.1517370351753</v>
      </c>
      <c r="Y12" s="13">
        <v>339.38348542559584</v>
      </c>
      <c r="Z12" s="13">
        <v>361.49629620817768</v>
      </c>
      <c r="AA12" s="13">
        <v>355.09503325087718</v>
      </c>
      <c r="AB12" s="13">
        <v>345.38483620174014</v>
      </c>
      <c r="AC12" s="13"/>
      <c r="AD12" s="13">
        <f t="shared" si="4"/>
        <v>-16.11146000643754</v>
      </c>
      <c r="AE12" s="13">
        <v>141.21960186506215</v>
      </c>
      <c r="AF12" s="13">
        <f t="shared" si="5"/>
        <v>125.10814185862461</v>
      </c>
    </row>
    <row r="13" spans="1:32" x14ac:dyDescent="0.25">
      <c r="A13" s="18" t="str">
        <f>name!E9</f>
        <v>Caring, leisure and other service</v>
      </c>
      <c r="B13" s="13">
        <v>2645.5508227224036</v>
      </c>
      <c r="C13" s="13">
        <v>2889.5495700413439</v>
      </c>
      <c r="D13" s="13">
        <v>3345.0861257252427</v>
      </c>
      <c r="E13" s="13">
        <v>3549.556293296871</v>
      </c>
      <c r="F13" s="13">
        <v>3810.8091936423866</v>
      </c>
      <c r="G13" s="13"/>
      <c r="H13" s="13">
        <f t="shared" si="0"/>
        <v>465.72306791714391</v>
      </c>
      <c r="I13" s="13">
        <v>1335.4403846861048</v>
      </c>
      <c r="J13" s="13">
        <f>SUM(H13:I13)</f>
        <v>1801.1634526032487</v>
      </c>
      <c r="L13" s="12" t="str">
        <f>name!E9</f>
        <v>Caring, leisure and other service</v>
      </c>
      <c r="M13" s="13">
        <v>522.82764052480752</v>
      </c>
      <c r="N13" s="13">
        <v>542.40587037804585</v>
      </c>
      <c r="O13" s="13">
        <v>636.98869184642842</v>
      </c>
      <c r="P13" s="13">
        <v>685.05656564387687</v>
      </c>
      <c r="Q13" s="13">
        <v>749.5036894725157</v>
      </c>
      <c r="R13" s="13"/>
      <c r="S13" s="13">
        <f t="shared" si="2"/>
        <v>112.51499762608728</v>
      </c>
      <c r="T13" s="13">
        <v>208.57596502555873</v>
      </c>
      <c r="U13" s="13">
        <f>SUM(S13:T13)</f>
        <v>321.09096265164601</v>
      </c>
      <c r="W13" s="12" t="str">
        <f>name!E9</f>
        <v>Caring, leisure and other service</v>
      </c>
      <c r="X13" s="13">
        <v>2122.7231821975934</v>
      </c>
      <c r="Y13" s="13">
        <v>2347.1436996632983</v>
      </c>
      <c r="Z13" s="13">
        <v>2708.0974338788155</v>
      </c>
      <c r="AA13" s="13">
        <v>2864.4997276529975</v>
      </c>
      <c r="AB13" s="13">
        <v>3061.3055041698717</v>
      </c>
      <c r="AC13" s="13"/>
      <c r="AD13" s="13">
        <f t="shared" si="4"/>
        <v>353.20807029105617</v>
      </c>
      <c r="AE13" s="13">
        <v>1126.8644196605462</v>
      </c>
      <c r="AF13" s="13">
        <f>SUM(AD13:AE13)</f>
        <v>1480.0724899516024</v>
      </c>
    </row>
    <row r="14" spans="1:32" x14ac:dyDescent="0.25">
      <c r="A14" s="18" t="str">
        <f>name!E10</f>
        <v>Sales and customer service</v>
      </c>
      <c r="B14" s="13">
        <v>2792.1839088149745</v>
      </c>
      <c r="C14" s="13">
        <v>2808.715933390687</v>
      </c>
      <c r="D14" s="13">
        <v>2929.0335907758267</v>
      </c>
      <c r="E14" s="13">
        <v>2881.2459863648064</v>
      </c>
      <c r="F14" s="13">
        <v>2876.6137458960302</v>
      </c>
      <c r="G14" s="13"/>
      <c r="H14" s="13">
        <f t="shared" si="0"/>
        <v>-52.419844879796528</v>
      </c>
      <c r="I14" s="13">
        <v>907.18412159496904</v>
      </c>
      <c r="J14" s="13">
        <f t="shared" si="1"/>
        <v>854.76427671517251</v>
      </c>
      <c r="L14" s="12" t="str">
        <f>name!E10</f>
        <v>Sales and customer service</v>
      </c>
      <c r="M14" s="13">
        <v>1033.3332736951118</v>
      </c>
      <c r="N14" s="13">
        <v>1043.8451337527777</v>
      </c>
      <c r="O14" s="13">
        <v>1150.9778159284538</v>
      </c>
      <c r="P14" s="13">
        <v>1171.6336209960116</v>
      </c>
      <c r="Q14" s="13">
        <v>1182.0678669419235</v>
      </c>
      <c r="R14" s="13"/>
      <c r="S14" s="13">
        <f t="shared" si="2"/>
        <v>31.090051013469747</v>
      </c>
      <c r="T14" s="13">
        <v>269.05062305040212</v>
      </c>
      <c r="U14" s="13">
        <f t="shared" ref="U14:U15" si="6">SUM(S14:T14)</f>
        <v>300.14067406387187</v>
      </c>
      <c r="W14" s="12" t="str">
        <f>name!E10</f>
        <v>Sales and customer service</v>
      </c>
      <c r="X14" s="13">
        <v>1758.8506351198614</v>
      </c>
      <c r="Y14" s="13">
        <v>1764.8707996379101</v>
      </c>
      <c r="Z14" s="13">
        <v>1778.0557748473752</v>
      </c>
      <c r="AA14" s="13">
        <v>1709.612365368798</v>
      </c>
      <c r="AB14" s="13">
        <v>1694.5458789541067</v>
      </c>
      <c r="AC14" s="13"/>
      <c r="AD14" s="13">
        <f t="shared" si="4"/>
        <v>-83.509895893268549</v>
      </c>
      <c r="AE14" s="13">
        <v>638.13349854456703</v>
      </c>
      <c r="AF14" s="13">
        <f t="shared" ref="AF14:AF15" si="7">SUM(AD14:AE14)</f>
        <v>554.62360265129848</v>
      </c>
    </row>
    <row r="15" spans="1:32" x14ac:dyDescent="0.25">
      <c r="A15" s="18" t="str">
        <f>name!E11</f>
        <v>Process, plant and machine operatives</v>
      </c>
      <c r="B15" s="13">
        <v>2314.149151355934</v>
      </c>
      <c r="C15" s="13">
        <v>2157.5584632485761</v>
      </c>
      <c r="D15" s="13">
        <v>2179.9565386857666</v>
      </c>
      <c r="E15" s="13">
        <v>2047.4264077500793</v>
      </c>
      <c r="F15" s="13">
        <v>1974.125913781425</v>
      </c>
      <c r="G15" s="13"/>
      <c r="H15" s="13">
        <f t="shared" si="0"/>
        <v>-205.83062490434168</v>
      </c>
      <c r="I15" s="13">
        <v>657.40921221407928</v>
      </c>
      <c r="J15" s="13">
        <f t="shared" si="1"/>
        <v>451.5785873097376</v>
      </c>
      <c r="L15" s="12" t="str">
        <f>name!E11</f>
        <v>Process, plant and machine operatives</v>
      </c>
      <c r="M15" s="13">
        <v>2020.9429232003372</v>
      </c>
      <c r="N15" s="13">
        <v>1892.940062543249</v>
      </c>
      <c r="O15" s="13">
        <v>1929.2512982020485</v>
      </c>
      <c r="P15" s="13">
        <v>1832.3364588214536</v>
      </c>
      <c r="Q15" s="13">
        <v>1782.4104566788246</v>
      </c>
      <c r="R15" s="13"/>
      <c r="S15" s="13">
        <f t="shared" si="2"/>
        <v>-146.84084152322384</v>
      </c>
      <c r="T15" s="13">
        <v>580.21995306475924</v>
      </c>
      <c r="U15" s="13">
        <f t="shared" si="6"/>
        <v>433.37911154153539</v>
      </c>
      <c r="W15" s="12" t="str">
        <f>name!E11</f>
        <v>Process, plant and machine operatives</v>
      </c>
      <c r="X15" s="13">
        <v>293.20622815560193</v>
      </c>
      <c r="Y15" s="13">
        <v>264.61840070533088</v>
      </c>
      <c r="Z15" s="13">
        <v>250.70524048371857</v>
      </c>
      <c r="AA15" s="13">
        <v>215.08994892862358</v>
      </c>
      <c r="AB15" s="13">
        <v>191.71545710260003</v>
      </c>
      <c r="AC15" s="13"/>
      <c r="AD15" s="13">
        <f t="shared" si="4"/>
        <v>-58.989783381118542</v>
      </c>
      <c r="AE15" s="13">
        <v>77.189259149320065</v>
      </c>
      <c r="AF15" s="13">
        <f t="shared" si="7"/>
        <v>18.199475768201523</v>
      </c>
    </row>
    <row r="16" spans="1:32" x14ac:dyDescent="0.25">
      <c r="A16" s="18" t="str">
        <f>name!E12</f>
        <v>Elementary occupations</v>
      </c>
      <c r="B16" s="13">
        <v>4037.2173768727057</v>
      </c>
      <c r="C16" s="13">
        <v>3766.191835779171</v>
      </c>
      <c r="D16" s="13">
        <v>3955.9931111444794</v>
      </c>
      <c r="E16" s="13">
        <v>3948.0409683519269</v>
      </c>
      <c r="F16" s="13">
        <v>3946.9512625272537</v>
      </c>
      <c r="G16" s="13"/>
      <c r="H16" s="13">
        <f t="shared" si="0"/>
        <v>-9.0418486172256962</v>
      </c>
      <c r="I16" s="13">
        <v>1257.7425630667244</v>
      </c>
      <c r="J16" s="13">
        <f>SUM(H16:I16)</f>
        <v>1248.7007144494987</v>
      </c>
      <c r="L16" s="12" t="str">
        <f>name!E12</f>
        <v>Elementary occupations</v>
      </c>
      <c r="M16" s="13">
        <v>1955.2188930390139</v>
      </c>
      <c r="N16" s="13">
        <v>1910.7166017815885</v>
      </c>
      <c r="O16" s="13">
        <v>2095.217466532531</v>
      </c>
      <c r="P16" s="13">
        <v>2144.3792286967519</v>
      </c>
      <c r="Q16" s="13">
        <v>2214.9226178234348</v>
      </c>
      <c r="R16" s="13"/>
      <c r="S16" s="13">
        <f t="shared" si="2"/>
        <v>119.70515129090381</v>
      </c>
      <c r="T16" s="13">
        <v>566.54077400549363</v>
      </c>
      <c r="U16" s="13">
        <f>SUM(S16:T16)</f>
        <v>686.24592529639744</v>
      </c>
      <c r="W16" s="12" t="str">
        <f>name!E12</f>
        <v>Elementary occupations</v>
      </c>
      <c r="X16" s="13">
        <v>2081.9984838336936</v>
      </c>
      <c r="Y16" s="13">
        <v>1855.4752339975823</v>
      </c>
      <c r="Z16" s="13">
        <v>1860.7756446119524</v>
      </c>
      <c r="AA16" s="13">
        <v>1803.6617396551701</v>
      </c>
      <c r="AB16" s="13">
        <v>1732.0286447038136</v>
      </c>
      <c r="AC16" s="13"/>
      <c r="AD16" s="13">
        <f t="shared" si="4"/>
        <v>-128.74699990813883</v>
      </c>
      <c r="AE16" s="13">
        <v>691.20178906123078</v>
      </c>
      <c r="AF16" s="13">
        <f>SUM(AD16:AE16)</f>
        <v>562.45478915309195</v>
      </c>
    </row>
    <row r="17" spans="1:32" x14ac:dyDescent="0.25">
      <c r="A17" s="18"/>
      <c r="B17" s="13"/>
      <c r="C17" s="13"/>
      <c r="D17" s="13"/>
      <c r="E17" s="13"/>
      <c r="F17" s="13"/>
      <c r="G17" s="13"/>
      <c r="H17" s="13"/>
      <c r="I17" s="13"/>
      <c r="J17" s="13"/>
      <c r="L17" s="18"/>
      <c r="M17" s="13"/>
      <c r="N17" s="13"/>
      <c r="O17" s="13"/>
      <c r="P17" s="13"/>
      <c r="Q17" s="13"/>
      <c r="R17" s="13"/>
      <c r="S17" s="13"/>
      <c r="T17" s="13"/>
      <c r="U17" s="13"/>
      <c r="W17" s="18"/>
      <c r="X17" s="13"/>
      <c r="Y17" s="13"/>
      <c r="Z17" s="13"/>
      <c r="AA17" s="13"/>
      <c r="AB17" s="13"/>
      <c r="AC17" s="13"/>
      <c r="AD17" s="13"/>
      <c r="AE17" s="13"/>
      <c r="AF17" s="13"/>
    </row>
    <row r="18" spans="1:32" x14ac:dyDescent="0.25">
      <c r="A18" s="28" t="str">
        <f>name!E3</f>
        <v>All occupations</v>
      </c>
      <c r="B18" s="39">
        <f>SUM(B8:B16)</f>
        <v>31790.007000000074</v>
      </c>
      <c r="C18" s="39">
        <f>SUM(C8:C16)</f>
        <v>31800.013000000261</v>
      </c>
      <c r="D18" s="39">
        <f>SUM(D8:D16)</f>
        <v>34847.991999999991</v>
      </c>
      <c r="E18" s="39">
        <f>SUM(E8:E16)</f>
        <v>35250.447999999968</v>
      </c>
      <c r="F18" s="39">
        <f>SUM(F8:F16)</f>
        <v>35820.953000000147</v>
      </c>
      <c r="G18" s="13"/>
      <c r="H18" s="39">
        <f>SUM(H8:H16)</f>
        <v>972.96100000015258</v>
      </c>
      <c r="I18" s="39">
        <f>SUM(I8:I16)</f>
        <v>11580.882065892371</v>
      </c>
      <c r="J18" s="39">
        <f>SUM(H18:I18)</f>
        <v>12553.843065892523</v>
      </c>
      <c r="L18" s="336" t="str">
        <f>name!E3</f>
        <v>All occupations</v>
      </c>
      <c r="M18" s="39">
        <f>SUM(M8:M16)</f>
        <v>16786.109000000004</v>
      </c>
      <c r="N18" s="39">
        <f>SUM(N8:N16)</f>
        <v>16739.579000000176</v>
      </c>
      <c r="O18" s="39">
        <f>SUM(O8:O16)</f>
        <v>18231.892000000051</v>
      </c>
      <c r="P18" s="39">
        <f>SUM(P8:P16)</f>
        <v>18283.149000000074</v>
      </c>
      <c r="Q18" s="39">
        <f>SUM(Q8:Q16)</f>
        <v>18413.985000000128</v>
      </c>
      <c r="R18" s="13"/>
      <c r="S18" s="39">
        <f>SUM(S8:S16)</f>
        <v>182.0930000000784</v>
      </c>
      <c r="T18" s="39">
        <f>SUM(T8:T16)</f>
        <v>5061.59514416826</v>
      </c>
      <c r="U18" s="39">
        <f>SUM(S18:T18)</f>
        <v>5243.6881441683381</v>
      </c>
      <c r="W18" s="336" t="str">
        <f>name!E3</f>
        <v>All occupations</v>
      </c>
      <c r="X18" s="39">
        <f>SUM(X8:X16)</f>
        <v>15003.89800000007</v>
      </c>
      <c r="Y18" s="39">
        <f>SUM(Y8:Y16)</f>
        <v>15060.434000000078</v>
      </c>
      <c r="Z18" s="39">
        <f>SUM(Z8:Z16)</f>
        <v>16616.099999999944</v>
      </c>
      <c r="AA18" s="39">
        <f>SUM(AA8:AA16)</f>
        <v>16967.298999999875</v>
      </c>
      <c r="AB18" s="39">
        <f>SUM(AB8:AB16)</f>
        <v>17406.968000000015</v>
      </c>
      <c r="AC18" s="13"/>
      <c r="AD18" s="39">
        <f>SUM(AD8:AD16)</f>
        <v>790.86800000006974</v>
      </c>
      <c r="AE18" s="39">
        <f>SUM(AE8:AE16)</f>
        <v>6519.2869217241105</v>
      </c>
      <c r="AF18" s="39">
        <f>SUM(AD18:AE18)</f>
        <v>7310.15492172418</v>
      </c>
    </row>
    <row r="19" spans="1:32" x14ac:dyDescent="0.25">
      <c r="A19" s="18"/>
      <c r="B19" s="13"/>
      <c r="C19" s="13"/>
      <c r="D19" s="13"/>
      <c r="E19" s="13"/>
      <c r="F19" s="13"/>
      <c r="G19" s="13"/>
      <c r="L19" s="18"/>
      <c r="M19" s="13"/>
      <c r="N19" s="13"/>
      <c r="O19" s="13"/>
      <c r="P19" s="13"/>
      <c r="Q19" s="13"/>
      <c r="R19" s="13"/>
      <c r="S19" s="286"/>
      <c r="T19" s="286"/>
      <c r="U19" s="286"/>
      <c r="W19" s="18"/>
      <c r="X19" s="13"/>
      <c r="Y19" s="13"/>
      <c r="Z19" s="13"/>
      <c r="AA19" s="13"/>
      <c r="AB19" s="13"/>
      <c r="AC19" s="13"/>
      <c r="AD19" s="286"/>
      <c r="AE19" s="286"/>
      <c r="AF19" s="286"/>
    </row>
    <row r="20" spans="1:32" x14ac:dyDescent="0.25">
      <c r="A20" s="18"/>
      <c r="B20" s="13"/>
      <c r="C20" s="13"/>
      <c r="D20" s="13"/>
      <c r="E20" s="13"/>
      <c r="F20" s="13"/>
      <c r="G20" s="13"/>
      <c r="L20" s="18"/>
      <c r="M20" s="13"/>
      <c r="N20" s="13"/>
      <c r="O20" s="13"/>
      <c r="P20" s="13"/>
      <c r="Q20" s="13"/>
      <c r="R20" s="13"/>
      <c r="S20" s="286"/>
      <c r="T20" s="286"/>
      <c r="U20" s="286"/>
      <c r="W20" s="18"/>
      <c r="X20" s="13"/>
      <c r="Y20" s="13"/>
      <c r="Z20" s="13"/>
      <c r="AA20" s="13"/>
      <c r="AB20" s="13"/>
      <c r="AC20" s="13"/>
      <c r="AD20" s="286"/>
      <c r="AE20" s="286"/>
      <c r="AF20" s="286"/>
    </row>
    <row r="21" spans="1:32" x14ac:dyDescent="0.25">
      <c r="A21" s="18"/>
      <c r="B21" s="13"/>
      <c r="C21" s="13"/>
      <c r="D21" s="13"/>
      <c r="E21" s="13"/>
      <c r="F21" s="19" t="s">
        <v>34</v>
      </c>
      <c r="G21" s="13"/>
      <c r="J21" s="19" t="s">
        <v>34</v>
      </c>
      <c r="L21" s="18"/>
      <c r="M21" s="13"/>
      <c r="N21" s="13"/>
      <c r="O21" s="13"/>
      <c r="P21" s="13"/>
      <c r="Q21" s="19" t="s">
        <v>34</v>
      </c>
      <c r="R21" s="13"/>
      <c r="S21" s="286"/>
      <c r="T21" s="286"/>
      <c r="U21" s="19" t="s">
        <v>34</v>
      </c>
      <c r="W21" s="18"/>
      <c r="X21" s="13"/>
      <c r="Y21" s="13"/>
      <c r="Z21" s="13"/>
      <c r="AA21" s="13"/>
      <c r="AB21" s="19" t="s">
        <v>34</v>
      </c>
      <c r="AC21" s="13"/>
      <c r="AD21" s="286"/>
      <c r="AE21" s="286"/>
      <c r="AF21" s="19" t="s">
        <v>34</v>
      </c>
    </row>
    <row r="22" spans="1:32" x14ac:dyDescent="0.25">
      <c r="A22" s="79"/>
      <c r="B22" s="80"/>
      <c r="C22" s="80"/>
      <c r="D22" s="80"/>
      <c r="E22" s="80"/>
      <c r="F22" s="80"/>
      <c r="G22" s="13"/>
      <c r="H22" s="32" t="str">
        <f>H4</f>
        <v>2017-2027</v>
      </c>
      <c r="I22" s="41"/>
      <c r="J22" s="41"/>
      <c r="L22" s="79"/>
      <c r="M22" s="80"/>
      <c r="N22" s="80"/>
      <c r="O22" s="80"/>
      <c r="P22" s="80"/>
      <c r="Q22" s="80"/>
      <c r="R22" s="13"/>
      <c r="S22" s="32" t="str">
        <f>S4</f>
        <v>2017-2027</v>
      </c>
      <c r="T22" s="41"/>
      <c r="U22" s="41"/>
      <c r="W22" s="79"/>
      <c r="X22" s="80"/>
      <c r="Y22" s="80"/>
      <c r="Z22" s="80"/>
      <c r="AA22" s="80"/>
      <c r="AB22" s="80"/>
      <c r="AC22" s="13"/>
      <c r="AD22" s="32" t="str">
        <f>AD4</f>
        <v>2017-2027</v>
      </c>
      <c r="AE22" s="41"/>
      <c r="AF22" s="41"/>
    </row>
    <row r="23" spans="1:32" x14ac:dyDescent="0.25">
      <c r="A23" s="44"/>
      <c r="B23" s="47"/>
      <c r="C23" s="47"/>
      <c r="D23" s="47"/>
      <c r="E23" s="47"/>
      <c r="F23" s="47"/>
      <c r="G23" s="13"/>
      <c r="H23" s="2" t="str">
        <f>H5</f>
        <v>Net</v>
      </c>
      <c r="I23" s="2" t="str">
        <f>I5</f>
        <v>Replacement</v>
      </c>
      <c r="J23" s="2" t="str">
        <f>J5</f>
        <v>Total</v>
      </c>
      <c r="L23" s="44"/>
      <c r="M23" s="47"/>
      <c r="N23" s="47"/>
      <c r="O23" s="47"/>
      <c r="P23" s="47"/>
      <c r="Q23" s="47"/>
      <c r="R23" s="13"/>
      <c r="S23" s="2" t="str">
        <f>S5</f>
        <v>Net</v>
      </c>
      <c r="T23" s="2" t="str">
        <f>T5</f>
        <v>Replacement</v>
      </c>
      <c r="U23" s="2" t="str">
        <f>U5</f>
        <v>Total</v>
      </c>
      <c r="W23" s="44"/>
      <c r="X23" s="47"/>
      <c r="Y23" s="47"/>
      <c r="Z23" s="47"/>
      <c r="AA23" s="47"/>
      <c r="AB23" s="47"/>
      <c r="AC23" s="13"/>
      <c r="AD23" s="2" t="str">
        <f>AD5</f>
        <v>Net</v>
      </c>
      <c r="AE23" s="2" t="str">
        <f>AE5</f>
        <v>Replacement</v>
      </c>
      <c r="AF23" s="2" t="str">
        <f>AF5</f>
        <v>Total</v>
      </c>
    </row>
    <row r="24" spans="1:32" x14ac:dyDescent="0.25">
      <c r="A24" s="78" t="s">
        <v>515</v>
      </c>
      <c r="B24" s="40">
        <f>B$6</f>
        <v>2007</v>
      </c>
      <c r="C24" s="40">
        <f>C$6</f>
        <v>2012</v>
      </c>
      <c r="D24" s="40">
        <f>D$6</f>
        <v>2017</v>
      </c>
      <c r="E24" s="40">
        <f>E$6</f>
        <v>2022</v>
      </c>
      <c r="F24" s="40">
        <f>F$6</f>
        <v>2027</v>
      </c>
      <c r="G24" s="13"/>
      <c r="H24" s="37" t="str">
        <f>H6</f>
        <v>Change</v>
      </c>
      <c r="I24" s="37" t="str">
        <f>I6</f>
        <v>Demand</v>
      </c>
      <c r="J24" s="37" t="str">
        <f>J6</f>
        <v>Requirement</v>
      </c>
      <c r="L24" s="78" t="s">
        <v>515</v>
      </c>
      <c r="M24" s="40">
        <f>M$6</f>
        <v>2007</v>
      </c>
      <c r="N24" s="40">
        <f>N$6</f>
        <v>2012</v>
      </c>
      <c r="O24" s="40">
        <f>O$6</f>
        <v>2017</v>
      </c>
      <c r="P24" s="40">
        <f>P$6</f>
        <v>2022</v>
      </c>
      <c r="Q24" s="40">
        <f>Q$6</f>
        <v>2027</v>
      </c>
      <c r="R24" s="13"/>
      <c r="S24" s="37" t="str">
        <f>S6</f>
        <v>Change</v>
      </c>
      <c r="T24" s="37" t="str">
        <f>T6</f>
        <v>Demand</v>
      </c>
      <c r="U24" s="37" t="str">
        <f>U6</f>
        <v>Requirement</v>
      </c>
      <c r="W24" s="78" t="s">
        <v>515</v>
      </c>
      <c r="X24" s="40">
        <f>X$6</f>
        <v>2007</v>
      </c>
      <c r="Y24" s="40">
        <f>Y$6</f>
        <v>2012</v>
      </c>
      <c r="Z24" s="40">
        <f>Z$6</f>
        <v>2017</v>
      </c>
      <c r="AA24" s="40">
        <f>AA$6</f>
        <v>2022</v>
      </c>
      <c r="AB24" s="40">
        <f>AB$6</f>
        <v>2027</v>
      </c>
      <c r="AC24" s="13"/>
      <c r="AD24" s="37" t="str">
        <f>AD6</f>
        <v>Change</v>
      </c>
      <c r="AE24" s="37" t="str">
        <f>AE6</f>
        <v>Demand</v>
      </c>
      <c r="AF24" s="37" t="str">
        <f>AF6</f>
        <v>Requirement</v>
      </c>
    </row>
    <row r="25" spans="1:32" x14ac:dyDescent="0.25">
      <c r="A25" s="21"/>
      <c r="B25" s="20"/>
      <c r="C25" s="20"/>
      <c r="D25" s="20"/>
      <c r="E25" s="20"/>
      <c r="F25" s="20"/>
      <c r="G25" s="13"/>
      <c r="L25" s="21"/>
      <c r="M25" s="20"/>
      <c r="N25" s="20"/>
      <c r="O25" s="20"/>
      <c r="P25" s="20"/>
      <c r="Q25" s="20"/>
      <c r="R25" s="13"/>
      <c r="S25" s="286"/>
      <c r="T25" s="286"/>
      <c r="U25" s="286"/>
      <c r="W25" s="21"/>
      <c r="X25" s="20"/>
      <c r="Y25" s="20"/>
      <c r="Z25" s="20"/>
      <c r="AA25" s="20"/>
      <c r="AB25" s="20"/>
      <c r="AC25" s="13"/>
      <c r="AD25" s="286"/>
      <c r="AE25" s="286"/>
      <c r="AF25" s="286"/>
    </row>
    <row r="26" spans="1:32" x14ac:dyDescent="0.25">
      <c r="A26" s="18" t="str">
        <f>$A$8</f>
        <v>Managers, directors and senior officials</v>
      </c>
      <c r="B26" s="22">
        <f t="shared" ref="B26:F34" si="8">B8/B$18*100</f>
        <v>8.7312727693846757</v>
      </c>
      <c r="C26" s="22">
        <f t="shared" si="8"/>
        <v>9.5690377478431277</v>
      </c>
      <c r="D26" s="22">
        <f t="shared" si="8"/>
        <v>10.234232023377979</v>
      </c>
      <c r="E26" s="22">
        <f t="shared" si="8"/>
        <v>10.773457457549537</v>
      </c>
      <c r="F26" s="22">
        <f t="shared" si="8"/>
        <v>11.180527251626344</v>
      </c>
      <c r="G26" s="13"/>
      <c r="H26" s="49">
        <f>IF(D8&gt;0,(H8/D8)*100,0)</f>
        <v>12.296547222621768</v>
      </c>
      <c r="I26" s="49">
        <f>IF(D8&gt;0,(I8/D8)*100,0)</f>
        <v>38.707146175122588</v>
      </c>
      <c r="J26" s="49">
        <f>IF(D8&gt;0,(J8/D8)*100,0)</f>
        <v>51.003693397744357</v>
      </c>
      <c r="L26" s="18" t="str">
        <f>$A$8</f>
        <v>Managers, directors and senior officials</v>
      </c>
      <c r="M26" s="22">
        <f t="shared" ref="M26:Q26" si="9">M8/M$18*100</f>
        <v>11.555538270531313</v>
      </c>
      <c r="N26" s="22">
        <f t="shared" si="9"/>
        <v>12.130125052629571</v>
      </c>
      <c r="O26" s="22">
        <f t="shared" si="9"/>
        <v>12.545782487264384</v>
      </c>
      <c r="P26" s="22">
        <f t="shared" si="9"/>
        <v>12.944652503864926</v>
      </c>
      <c r="Q26" s="22">
        <f t="shared" si="9"/>
        <v>13.230832030744308</v>
      </c>
      <c r="R26" s="13"/>
      <c r="S26" s="49">
        <f>IF(O8&gt;0,(S8/O8)*100,0)</f>
        <v>6.5136942643255757</v>
      </c>
      <c r="T26" s="49">
        <f>IF(O8&gt;0,(T8/O8)*100,0)</f>
        <v>34.099604533629361</v>
      </c>
      <c r="U26" s="49">
        <f>IF(O8&gt;0,(U8/O8)*100,0)</f>
        <v>40.613298797954933</v>
      </c>
      <c r="W26" s="18" t="str">
        <f>$A$8</f>
        <v>Managers, directors and senior officials</v>
      </c>
      <c r="X26" s="22">
        <f t="shared" ref="X26:AB26" si="10">X8/X$18*100</f>
        <v>5.5715319775460275</v>
      </c>
      <c r="Y26" s="22">
        <f t="shared" si="10"/>
        <v>6.722405090087709</v>
      </c>
      <c r="Z26" s="22">
        <f t="shared" si="10"/>
        <v>7.6979004888946863</v>
      </c>
      <c r="AA26" s="22">
        <f t="shared" si="10"/>
        <v>8.4338816334984035</v>
      </c>
      <c r="AB26" s="22">
        <f t="shared" si="10"/>
        <v>9.0116095257991606</v>
      </c>
      <c r="AC26" s="13"/>
      <c r="AD26" s="49">
        <f>IF(Z8&gt;0,(AD8/Z8)*100,0)</f>
        <v>22.637730921116074</v>
      </c>
      <c r="AE26" s="49">
        <f>IF(Z8&gt;0,(AE8/Z8)*100,0)</f>
        <v>46.946580042239212</v>
      </c>
      <c r="AF26" s="49">
        <f>IF(Z8&gt;0,(AF8/Z8)*100,0)</f>
        <v>69.584310963355293</v>
      </c>
    </row>
    <row r="27" spans="1:32" x14ac:dyDescent="0.25">
      <c r="A27" s="18" t="str">
        <f>$A$9</f>
        <v>Professional occupations</v>
      </c>
      <c r="B27" s="22">
        <f t="shared" si="8"/>
        <v>17.068419467860522</v>
      </c>
      <c r="C27" s="22">
        <f t="shared" si="8"/>
        <v>18.370826834804234</v>
      </c>
      <c r="D27" s="22">
        <f t="shared" si="8"/>
        <v>19.72421205377967</v>
      </c>
      <c r="E27" s="22">
        <f t="shared" si="8"/>
        <v>20.638887085564591</v>
      </c>
      <c r="F27" s="22">
        <f t="shared" si="8"/>
        <v>21.480776582543406</v>
      </c>
      <c r="G27" s="13"/>
      <c r="H27" s="49">
        <f>IF(D9&gt;0,(H9/D9)*100,0)</f>
        <v>11.946286754815803</v>
      </c>
      <c r="I27" s="49">
        <f t="shared" ref="I27:I36" si="11">IF(D9&gt;0,(I9/D9)*100,0)</f>
        <v>34.361972100608021</v>
      </c>
      <c r="J27" s="49">
        <f t="shared" ref="J27:J36" si="12">IF(D9&gt;0,(J9/D9)*100,0)</f>
        <v>46.308258855423823</v>
      </c>
      <c r="L27" s="18" t="str">
        <f>$A$9</f>
        <v>Professional occupations</v>
      </c>
      <c r="M27" s="22">
        <f t="shared" ref="M27:Q27" si="13">M9/M$18*100</f>
        <v>16.292337586036261</v>
      </c>
      <c r="N27" s="22">
        <f t="shared" si="13"/>
        <v>17.694153847881559</v>
      </c>
      <c r="O27" s="22">
        <f t="shared" si="13"/>
        <v>18.572114750376997</v>
      </c>
      <c r="P27" s="22">
        <f t="shared" si="13"/>
        <v>18.948956227916561</v>
      </c>
      <c r="Q27" s="22">
        <f t="shared" si="13"/>
        <v>19.224220647280585</v>
      </c>
      <c r="R27" s="13"/>
      <c r="S27" s="49">
        <f t="shared" ref="S27:S34" si="14">IF(O9&gt;0,(S9/O9)*100,0)</f>
        <v>4.5450391530967718</v>
      </c>
      <c r="T27" s="49">
        <f t="shared" ref="T27:T34" si="15">IF(O9&gt;0,(T9/O9)*100,0)</f>
        <v>26.699254851199633</v>
      </c>
      <c r="U27" s="49">
        <f t="shared" ref="U27:U34" si="16">IF(O9&gt;0,(U9/O9)*100,0)</f>
        <v>31.244294004296407</v>
      </c>
      <c r="W27" s="18" t="str">
        <f>$A$9</f>
        <v>Professional occupations</v>
      </c>
      <c r="X27" s="22">
        <f t="shared" ref="X27:AB27" si="17">X9/X$18*100</f>
        <v>17.936686838195037</v>
      </c>
      <c r="Y27" s="22">
        <f t="shared" si="17"/>
        <v>19.122944663663453</v>
      </c>
      <c r="Z27" s="22">
        <f t="shared" si="17"/>
        <v>20.988342241316428</v>
      </c>
      <c r="AA27" s="22">
        <f t="shared" si="17"/>
        <v>22.459875663067521</v>
      </c>
      <c r="AB27" s="22">
        <f t="shared" si="17"/>
        <v>23.867877377098303</v>
      </c>
      <c r="AC27" s="13"/>
      <c r="AD27" s="49">
        <f t="shared" ref="AD27:AD34" si="18">IF(Z9&gt;0,(AD9/Z9)*100,0)</f>
        <v>19.13234605507391</v>
      </c>
      <c r="AE27" s="49">
        <f t="shared" ref="AE27:AE34" si="19">IF(Z9&gt;0,(AE9/Z9)*100,0)</f>
        <v>41.801898923562739</v>
      </c>
      <c r="AF27" s="49">
        <f t="shared" ref="AF27:AF34" si="20">IF(Z9&gt;0,(AF9/Z9)*100,0)</f>
        <v>60.934244978636656</v>
      </c>
    </row>
    <row r="28" spans="1:32" x14ac:dyDescent="0.25">
      <c r="A28" s="18" t="str">
        <f>$A$10</f>
        <v>Associate professional and technical</v>
      </c>
      <c r="B28" s="22">
        <f t="shared" si="8"/>
        <v>13.1871281173188</v>
      </c>
      <c r="C28" s="22">
        <f t="shared" si="8"/>
        <v>13.350268347094177</v>
      </c>
      <c r="D28" s="22">
        <f t="shared" si="8"/>
        <v>14.016255748457631</v>
      </c>
      <c r="E28" s="22">
        <f t="shared" si="8"/>
        <v>14.533564367731703</v>
      </c>
      <c r="F28" s="22">
        <f t="shared" si="8"/>
        <v>14.822391686234759</v>
      </c>
      <c r="G28" s="13"/>
      <c r="H28" s="49">
        <f t="shared" ref="H28:H34" si="21">IF(D10&gt;0,(H10/D10)*100,0)</f>
        <v>8.7040311565518209</v>
      </c>
      <c r="I28" s="49">
        <f t="shared" si="11"/>
        <v>32.742090042329878</v>
      </c>
      <c r="J28" s="49">
        <f t="shared" si="12"/>
        <v>41.446121198881698</v>
      </c>
      <c r="L28" s="18" t="str">
        <f>$A$10</f>
        <v>Associate professional and technical</v>
      </c>
      <c r="M28" s="22">
        <f t="shared" ref="M28:Q28" si="22">M10/M$18*100</f>
        <v>14.796343031031139</v>
      </c>
      <c r="N28" s="22">
        <f t="shared" si="22"/>
        <v>14.768346001584352</v>
      </c>
      <c r="O28" s="22">
        <f t="shared" si="22"/>
        <v>15.082702214289531</v>
      </c>
      <c r="P28" s="22">
        <f t="shared" si="22"/>
        <v>15.284985062879089</v>
      </c>
      <c r="Q28" s="22">
        <f t="shared" si="22"/>
        <v>15.295758587366992</v>
      </c>
      <c r="R28" s="13"/>
      <c r="S28" s="49">
        <f t="shared" si="14"/>
        <v>2.425456770093406</v>
      </c>
      <c r="T28" s="49">
        <f t="shared" si="15"/>
        <v>26.573896312336192</v>
      </c>
      <c r="U28" s="49">
        <f t="shared" si="16"/>
        <v>28.999353082429597</v>
      </c>
      <c r="W28" s="18" t="str">
        <f>$A$10</f>
        <v>Associate professional and technical</v>
      </c>
      <c r="X28" s="22">
        <f t="shared" ref="X28:AB28" si="23">X10/X$18*100</f>
        <v>11.386765508482007</v>
      </c>
      <c r="Y28" s="22">
        <f t="shared" si="23"/>
        <v>11.77408382774545</v>
      </c>
      <c r="Z28" s="22">
        <f t="shared" si="23"/>
        <v>12.846105304681499</v>
      </c>
      <c r="AA28" s="22">
        <f t="shared" si="23"/>
        <v>13.723869405023537</v>
      </c>
      <c r="AB28" s="22">
        <f t="shared" si="23"/>
        <v>14.321639859900284</v>
      </c>
      <c r="AC28" s="13"/>
      <c r="AD28" s="49">
        <f t="shared" si="18"/>
        <v>16.792594020662253</v>
      </c>
      <c r="AE28" s="49">
        <f t="shared" si="19"/>
        <v>40.688451695808745</v>
      </c>
      <c r="AF28" s="49">
        <f t="shared" si="20"/>
        <v>57.481045716470987</v>
      </c>
    </row>
    <row r="29" spans="1:32" x14ac:dyDescent="0.25">
      <c r="A29" s="18" t="str">
        <f>$A$11</f>
        <v>Administrative and secretarial</v>
      </c>
      <c r="B29" s="22">
        <f t="shared" si="8"/>
        <v>12.656107602342567</v>
      </c>
      <c r="C29" s="22">
        <f t="shared" si="8"/>
        <v>11.593357283278031</v>
      </c>
      <c r="D29" s="22">
        <f t="shared" si="8"/>
        <v>10.562405999008668</v>
      </c>
      <c r="E29" s="22">
        <f t="shared" si="8"/>
        <v>9.5292019074953487</v>
      </c>
      <c r="F29" s="22">
        <f t="shared" si="8"/>
        <v>8.5903774725093349</v>
      </c>
      <c r="G29" s="13"/>
      <c r="H29" s="49">
        <f t="shared" si="21"/>
        <v>-16.399520520804504</v>
      </c>
      <c r="I29" s="49">
        <f t="shared" si="11"/>
        <v>31.302004622361867</v>
      </c>
      <c r="J29" s="49">
        <f t="shared" si="12"/>
        <v>14.902484101557365</v>
      </c>
      <c r="L29" s="18" t="str">
        <f>$A$11</f>
        <v>Administrative and secretarial</v>
      </c>
      <c r="M29" s="22">
        <f t="shared" ref="M29:Q29" si="24">M11/M$18*100</f>
        <v>5.2246629291906377</v>
      </c>
      <c r="N29" s="22">
        <f t="shared" si="24"/>
        <v>5.1578161455773976</v>
      </c>
      <c r="O29" s="22">
        <f t="shared" si="24"/>
        <v>5.0728320977214514</v>
      </c>
      <c r="P29" s="22">
        <f t="shared" si="24"/>
        <v>4.9780938023078205</v>
      </c>
      <c r="Q29" s="22">
        <f t="shared" si="24"/>
        <v>4.9497837069049746</v>
      </c>
      <c r="R29" s="13"/>
      <c r="S29" s="49">
        <f t="shared" si="14"/>
        <v>-1.4511004393841362</v>
      </c>
      <c r="T29" s="49">
        <f t="shared" si="15"/>
        <v>25.332400682476841</v>
      </c>
      <c r="U29" s="49">
        <f t="shared" si="16"/>
        <v>23.881300243092703</v>
      </c>
      <c r="W29" s="18" t="str">
        <f>$A$11</f>
        <v>Administrative and secretarial</v>
      </c>
      <c r="X29" s="22">
        <f t="shared" ref="X29:AB29" si="25">X11/X$18*100</f>
        <v>20.97028304601702</v>
      </c>
      <c r="Y29" s="22">
        <f t="shared" si="25"/>
        <v>18.746421350508104</v>
      </c>
      <c r="Z29" s="22">
        <f t="shared" si="25"/>
        <v>16.58580008632681</v>
      </c>
      <c r="AA29" s="22">
        <f t="shared" si="25"/>
        <v>14.433258092410368</v>
      </c>
      <c r="AB29" s="22">
        <f t="shared" si="25"/>
        <v>12.441584586288869</v>
      </c>
      <c r="AC29" s="13"/>
      <c r="AD29" s="49">
        <f t="shared" si="18"/>
        <v>-21.416149677887553</v>
      </c>
      <c r="AE29" s="49">
        <f t="shared" si="19"/>
        <v>33.30537949528842</v>
      </c>
      <c r="AF29" s="49">
        <f t="shared" si="20"/>
        <v>11.889229817400869</v>
      </c>
    </row>
    <row r="30" spans="1:32" x14ac:dyDescent="0.25">
      <c r="A30" s="18" t="str">
        <f>$A$12</f>
        <v>Skilled trades occupations</v>
      </c>
      <c r="B30" s="22">
        <f t="shared" si="8"/>
        <v>11.272773006084766</v>
      </c>
      <c r="C30" s="22">
        <f t="shared" si="8"/>
        <v>10.569305223071346</v>
      </c>
      <c r="D30" s="22">
        <f t="shared" si="8"/>
        <v>9.8508871296578331</v>
      </c>
      <c r="E30" s="22">
        <f t="shared" si="8"/>
        <v>9.2735083885304785</v>
      </c>
      <c r="F30" s="22">
        <f t="shared" si="8"/>
        <v>8.7272539962172129</v>
      </c>
      <c r="G30" s="13"/>
      <c r="H30" s="49">
        <f t="shared" si="21"/>
        <v>-8.9328699255951065</v>
      </c>
      <c r="I30" s="49">
        <f t="shared" si="11"/>
        <v>27.072893048875912</v>
      </c>
      <c r="J30" s="49">
        <f t="shared" si="12"/>
        <v>18.140023123280802</v>
      </c>
      <c r="L30" s="18" t="str">
        <f>$A$12</f>
        <v>Skilled trades occupations</v>
      </c>
      <c r="M30" s="22">
        <f t="shared" ref="M30:Q30" si="26">M12/M$18*100</f>
        <v>19.173374786815042</v>
      </c>
      <c r="N30" s="22">
        <f t="shared" si="26"/>
        <v>18.050973381832154</v>
      </c>
      <c r="O30" s="22">
        <f t="shared" si="26"/>
        <v>16.845975517318813</v>
      </c>
      <c r="P30" s="22">
        <f t="shared" si="26"/>
        <v>15.93739797790675</v>
      </c>
      <c r="Q30" s="22">
        <f t="shared" si="26"/>
        <v>15.101569355975053</v>
      </c>
      <c r="R30" s="13"/>
      <c r="S30" s="49">
        <f t="shared" si="14"/>
        <v>-9.459693188065458</v>
      </c>
      <c r="T30" s="49">
        <f t="shared" si="15"/>
        <v>25.661388776067628</v>
      </c>
      <c r="U30" s="49">
        <f t="shared" si="16"/>
        <v>16.201695588002167</v>
      </c>
      <c r="W30" s="18" t="str">
        <f>$A$12</f>
        <v>Skilled trades occupations</v>
      </c>
      <c r="X30" s="22">
        <f t="shared" ref="X30:AB30" si="27">X12/X$18*100</f>
        <v>2.4337124728198871</v>
      </c>
      <c r="Y30" s="22">
        <f t="shared" si="27"/>
        <v>2.2534774590532654</v>
      </c>
      <c r="Z30" s="22">
        <f t="shared" si="27"/>
        <v>2.1755784823645676</v>
      </c>
      <c r="AA30" s="22">
        <f t="shared" si="27"/>
        <v>2.0928200372426971</v>
      </c>
      <c r="AB30" s="22">
        <f t="shared" si="27"/>
        <v>1.9841757404376215</v>
      </c>
      <c r="AC30" s="13"/>
      <c r="AD30" s="49">
        <f t="shared" si="18"/>
        <v>-4.4568810733151487</v>
      </c>
      <c r="AE30" s="49">
        <f t="shared" si="19"/>
        <v>39.065297029692644</v>
      </c>
      <c r="AF30" s="49">
        <f t="shared" si="20"/>
        <v>34.608415956377492</v>
      </c>
    </row>
    <row r="31" spans="1:32" x14ac:dyDescent="0.25">
      <c r="A31" s="18" t="str">
        <f>$A$13</f>
        <v>Caring, leisure and other service</v>
      </c>
      <c r="B31" s="22">
        <f t="shared" si="8"/>
        <v>8.3219573456602181</v>
      </c>
      <c r="C31" s="22">
        <f t="shared" si="8"/>
        <v>9.0866301533943403</v>
      </c>
      <c r="D31" s="22">
        <f t="shared" si="8"/>
        <v>9.5990785515711892</v>
      </c>
      <c r="E31" s="22">
        <f t="shared" si="8"/>
        <v>10.069535267457805</v>
      </c>
      <c r="F31" s="22">
        <f t="shared" si="8"/>
        <v>10.638491928571444</v>
      </c>
      <c r="G31" s="13"/>
      <c r="H31" s="49">
        <f t="shared" si="21"/>
        <v>13.922603198031897</v>
      </c>
      <c r="I31" s="49">
        <f t="shared" si="11"/>
        <v>39.922451455463502</v>
      </c>
      <c r="J31" s="49">
        <f t="shared" si="12"/>
        <v>53.845054653495396</v>
      </c>
      <c r="L31" s="18" t="str">
        <f>$A$13</f>
        <v>Caring, leisure and other service</v>
      </c>
      <c r="M31" s="22">
        <f t="shared" ref="M31:Q31" si="28">M13/M$18*100</f>
        <v>3.1146446179088163</v>
      </c>
      <c r="N31" s="22">
        <f t="shared" si="28"/>
        <v>3.2402599275527786</v>
      </c>
      <c r="O31" s="22">
        <f t="shared" si="28"/>
        <v>3.4938156272888556</v>
      </c>
      <c r="P31" s="22">
        <f t="shared" si="28"/>
        <v>3.7469287464860357</v>
      </c>
      <c r="Q31" s="22">
        <f t="shared" si="28"/>
        <v>4.070295970549072</v>
      </c>
      <c r="R31" s="13"/>
      <c r="S31" s="49">
        <f t="shared" si="14"/>
        <v>17.663578500890171</v>
      </c>
      <c r="T31" s="49">
        <f t="shared" si="15"/>
        <v>32.744060875078191</v>
      </c>
      <c r="U31" s="49">
        <f t="shared" si="16"/>
        <v>50.407639375968358</v>
      </c>
      <c r="W31" s="18" t="str">
        <f>$A$13</f>
        <v>Caring, leisure and other service</v>
      </c>
      <c r="X31" s="22">
        <f t="shared" ref="X31:AB31" si="29">X13/X$18*100</f>
        <v>14.147811336744514</v>
      </c>
      <c r="Y31" s="22">
        <f t="shared" si="29"/>
        <v>15.584834405590744</v>
      </c>
      <c r="Z31" s="22">
        <f t="shared" si="29"/>
        <v>16.298032834894016</v>
      </c>
      <c r="AA31" s="22">
        <f t="shared" si="29"/>
        <v>16.882473325029625</v>
      </c>
      <c r="AB31" s="22">
        <f t="shared" si="29"/>
        <v>17.586667041439206</v>
      </c>
      <c r="AC31" s="13"/>
      <c r="AD31" s="49">
        <f t="shared" si="18"/>
        <v>13.042664782749537</v>
      </c>
      <c r="AE31" s="49">
        <f t="shared" si="19"/>
        <v>41.610926016296808</v>
      </c>
      <c r="AF31" s="49">
        <f t="shared" si="20"/>
        <v>54.653590799046334</v>
      </c>
    </row>
    <row r="32" spans="1:32" x14ac:dyDescent="0.25">
      <c r="A32" s="18" t="str">
        <f>$A$14</f>
        <v>Sales and customer service</v>
      </c>
      <c r="B32" s="22">
        <f t="shared" si="8"/>
        <v>8.7832126265809514</v>
      </c>
      <c r="C32" s="22">
        <f t="shared" si="8"/>
        <v>8.8324364313645525</v>
      </c>
      <c r="D32" s="22">
        <f t="shared" si="8"/>
        <v>8.4051717837166269</v>
      </c>
      <c r="E32" s="22">
        <f t="shared" si="8"/>
        <v>8.1736435984155698</v>
      </c>
      <c r="F32" s="22">
        <f t="shared" si="8"/>
        <v>8.030533821632325</v>
      </c>
      <c r="H32" s="49">
        <f t="shared" si="21"/>
        <v>-1.7896634932722584</v>
      </c>
      <c r="I32" s="49">
        <f t="shared" si="11"/>
        <v>30.972131028196198</v>
      </c>
      <c r="J32" s="49">
        <f t="shared" si="12"/>
        <v>29.182467534923941</v>
      </c>
      <c r="L32" s="18" t="str">
        <f>$A$14</f>
        <v>Sales and customer service</v>
      </c>
      <c r="M32" s="22">
        <f t="shared" ref="M32:Q32" si="30">M14/M$18*100</f>
        <v>6.1558832585628487</v>
      </c>
      <c r="N32" s="22">
        <f t="shared" si="30"/>
        <v>6.2357908389020213</v>
      </c>
      <c r="O32" s="22">
        <f t="shared" si="30"/>
        <v>6.3129916298782955</v>
      </c>
      <c r="P32" s="22">
        <f t="shared" si="30"/>
        <v>6.4082703750650767</v>
      </c>
      <c r="Q32" s="22">
        <f t="shared" si="30"/>
        <v>6.4194027905524811</v>
      </c>
      <c r="R32" s="286"/>
      <c r="S32" s="49">
        <f t="shared" si="14"/>
        <v>2.701185946697894</v>
      </c>
      <c r="T32" s="49">
        <f t="shared" si="15"/>
        <v>23.375830474488193</v>
      </c>
      <c r="U32" s="49">
        <f t="shared" si="16"/>
        <v>26.077016421186087</v>
      </c>
      <c r="W32" s="18" t="str">
        <f>$A$14</f>
        <v>Sales and customer service</v>
      </c>
      <c r="X32" s="22">
        <f t="shared" ref="X32:AB32" si="31">X14/X$18*100</f>
        <v>11.722624581424462</v>
      </c>
      <c r="Y32" s="22">
        <f t="shared" si="31"/>
        <v>11.718591905372056</v>
      </c>
      <c r="Z32" s="22">
        <f t="shared" si="31"/>
        <v>10.700800878951025</v>
      </c>
      <c r="AA32" s="22">
        <f t="shared" si="31"/>
        <v>10.07592525698292</v>
      </c>
      <c r="AB32" s="22">
        <f t="shared" si="31"/>
        <v>9.7348709950756795</v>
      </c>
      <c r="AC32" s="286"/>
      <c r="AD32" s="49">
        <f t="shared" si="18"/>
        <v>-4.6966972057126206</v>
      </c>
      <c r="AE32" s="49">
        <f t="shared" si="19"/>
        <v>35.889397147811245</v>
      </c>
      <c r="AF32" s="49">
        <f t="shared" si="20"/>
        <v>31.192699942098628</v>
      </c>
    </row>
    <row r="33" spans="1:32" x14ac:dyDescent="0.25">
      <c r="A33" s="18" t="str">
        <f>$A$15</f>
        <v>Process, plant and machine operatives</v>
      </c>
      <c r="B33" s="22">
        <f t="shared" si="8"/>
        <v>7.2794861333497929</v>
      </c>
      <c r="C33" s="22">
        <f t="shared" si="8"/>
        <v>6.784772268013092</v>
      </c>
      <c r="D33" s="22">
        <f t="shared" si="8"/>
        <v>6.2556159295656606</v>
      </c>
      <c r="E33" s="22">
        <f t="shared" si="8"/>
        <v>5.80822804791043</v>
      </c>
      <c r="F33" s="22">
        <f t="shared" si="8"/>
        <v>5.5110926662990147</v>
      </c>
      <c r="G33" s="13"/>
      <c r="H33" s="49">
        <f t="shared" si="21"/>
        <v>-9.4419600231310596</v>
      </c>
      <c r="I33" s="49">
        <f t="shared" si="11"/>
        <v>30.156987102615012</v>
      </c>
      <c r="J33" s="49">
        <f t="shared" si="12"/>
        <v>20.715027079483953</v>
      </c>
      <c r="L33" s="18" t="str">
        <f>$A$15</f>
        <v>Process, plant and machine operatives</v>
      </c>
      <c r="M33" s="22">
        <f t="shared" ref="M33:Q33" si="32">M15/M$18*100</f>
        <v>12.03937686333585</v>
      </c>
      <c r="N33" s="22">
        <f t="shared" si="32"/>
        <v>11.308170071321562</v>
      </c>
      <c r="O33" s="22">
        <f t="shared" si="32"/>
        <v>10.581739394913283</v>
      </c>
      <c r="P33" s="22">
        <f t="shared" si="32"/>
        <v>10.021995985600983</v>
      </c>
      <c r="Q33" s="22">
        <f t="shared" si="32"/>
        <v>9.6796562866691396</v>
      </c>
      <c r="R33" s="13"/>
      <c r="S33" s="49">
        <f t="shared" si="14"/>
        <v>-7.6112863917764937</v>
      </c>
      <c r="T33" s="49">
        <f t="shared" si="15"/>
        <v>30.07487690201328</v>
      </c>
      <c r="U33" s="49">
        <f t="shared" si="16"/>
        <v>22.463590510236788</v>
      </c>
      <c r="W33" s="18" t="str">
        <f>$A$15</f>
        <v>Process, plant and machine operatives</v>
      </c>
      <c r="X33" s="22">
        <f t="shared" ref="X33:AB33" si="33">X15/X$18*100</f>
        <v>1.9542003561714465</v>
      </c>
      <c r="Y33" s="22">
        <f t="shared" si="33"/>
        <v>1.7570436596005767</v>
      </c>
      <c r="Z33" s="22">
        <f t="shared" si="33"/>
        <v>1.5088091699238655</v>
      </c>
      <c r="AA33" s="22">
        <f t="shared" si="33"/>
        <v>1.2676734754814254</v>
      </c>
      <c r="AB33" s="22">
        <f t="shared" si="33"/>
        <v>1.1013719167094456</v>
      </c>
      <c r="AC33" s="13"/>
      <c r="AD33" s="49">
        <f t="shared" si="18"/>
        <v>-23.529537423031844</v>
      </c>
      <c r="AE33" s="49">
        <f t="shared" si="19"/>
        <v>30.788849487305765</v>
      </c>
      <c r="AF33" s="49">
        <f t="shared" si="20"/>
        <v>7.2593120642739191</v>
      </c>
    </row>
    <row r="34" spans="1:32" x14ac:dyDescent="0.25">
      <c r="A34" s="18" t="str">
        <f>$A$16</f>
        <v>Elementary occupations</v>
      </c>
      <c r="B34" s="22">
        <f t="shared" si="8"/>
        <v>12.699642931417712</v>
      </c>
      <c r="C34" s="22">
        <f t="shared" si="8"/>
        <v>11.8433657111371</v>
      </c>
      <c r="D34" s="22">
        <f t="shared" si="8"/>
        <v>11.352140780864735</v>
      </c>
      <c r="E34" s="22">
        <f t="shared" si="8"/>
        <v>11.199973879344542</v>
      </c>
      <c r="F34" s="22">
        <f t="shared" si="8"/>
        <v>11.018554594366146</v>
      </c>
      <c r="G34" s="13"/>
      <c r="H34" s="49">
        <f t="shared" si="21"/>
        <v>-0.22856077761495053</v>
      </c>
      <c r="I34" s="49">
        <f t="shared" si="11"/>
        <v>31.793345633578625</v>
      </c>
      <c r="J34" s="49">
        <f t="shared" si="12"/>
        <v>31.564784855963673</v>
      </c>
      <c r="L34" s="18" t="str">
        <f>$A$16</f>
        <v>Elementary occupations</v>
      </c>
      <c r="M34" s="22">
        <f t="shared" ref="M34:Q34" si="34">M16/M$18*100</f>
        <v>11.647838656588096</v>
      </c>
      <c r="N34" s="22">
        <f t="shared" si="34"/>
        <v>11.414364732718598</v>
      </c>
      <c r="O34" s="22">
        <f t="shared" si="34"/>
        <v>11.492046280948379</v>
      </c>
      <c r="P34" s="22">
        <f t="shared" si="34"/>
        <v>11.728719317972757</v>
      </c>
      <c r="Q34" s="22">
        <f t="shared" si="34"/>
        <v>12.028480623957385</v>
      </c>
      <c r="R34" s="13"/>
      <c r="S34" s="49">
        <f t="shared" si="14"/>
        <v>5.713256652494846</v>
      </c>
      <c r="T34" s="49">
        <f t="shared" si="15"/>
        <v>27.039712252069343</v>
      </c>
      <c r="U34" s="49">
        <f t="shared" si="16"/>
        <v>32.752968904564192</v>
      </c>
      <c r="W34" s="18" t="str">
        <f>$A$16</f>
        <v>Elementary occupations</v>
      </c>
      <c r="X34" s="22">
        <f t="shared" ref="X34:AB34" si="35">X16/X$18*100</f>
        <v>13.876383882599603</v>
      </c>
      <c r="Y34" s="22">
        <f t="shared" si="35"/>
        <v>12.320197638378634</v>
      </c>
      <c r="Z34" s="22">
        <f t="shared" si="35"/>
        <v>11.198630512647123</v>
      </c>
      <c r="AA34" s="22">
        <f t="shared" si="35"/>
        <v>10.630223111263515</v>
      </c>
      <c r="AB34" s="22">
        <f t="shared" si="35"/>
        <v>9.9502029572514417</v>
      </c>
      <c r="AC34" s="13"/>
      <c r="AD34" s="49">
        <f t="shared" si="18"/>
        <v>-6.9189964024377488</v>
      </c>
      <c r="AE34" s="49">
        <f t="shared" si="19"/>
        <v>37.145896178438782</v>
      </c>
      <c r="AF34" s="49">
        <f t="shared" si="20"/>
        <v>30.22689977600103</v>
      </c>
    </row>
    <row r="35" spans="1:32" x14ac:dyDescent="0.25">
      <c r="A35" s="18"/>
      <c r="B35" s="22"/>
      <c r="C35" s="22"/>
      <c r="D35" s="22"/>
      <c r="E35" s="22"/>
      <c r="F35" s="22"/>
      <c r="G35" s="13"/>
      <c r="H35" s="49"/>
      <c r="I35" s="49"/>
      <c r="J35" s="49"/>
      <c r="L35" s="18"/>
      <c r="M35" s="22"/>
      <c r="N35" s="22"/>
      <c r="O35" s="22"/>
      <c r="P35" s="22"/>
      <c r="Q35" s="22"/>
      <c r="R35" s="13"/>
      <c r="S35" s="49"/>
      <c r="T35" s="49"/>
      <c r="U35" s="49"/>
      <c r="W35" s="18"/>
      <c r="X35" s="22"/>
      <c r="Y35" s="22"/>
      <c r="Z35" s="22"/>
      <c r="AA35" s="22"/>
      <c r="AB35" s="22"/>
      <c r="AC35" s="13"/>
      <c r="AD35" s="49"/>
      <c r="AE35" s="49"/>
      <c r="AF35" s="49"/>
    </row>
    <row r="36" spans="1:32" x14ac:dyDescent="0.25">
      <c r="A36" s="28" t="str">
        <f>$A$18</f>
        <v>All occupations</v>
      </c>
      <c r="B36" s="30">
        <f>B18/B$18*100</f>
        <v>100</v>
      </c>
      <c r="C36" s="30">
        <f>C18/C$18*100</f>
        <v>100</v>
      </c>
      <c r="D36" s="30">
        <f>D18/D$18*100</f>
        <v>100</v>
      </c>
      <c r="E36" s="30">
        <f>E18/E$18*100</f>
        <v>100</v>
      </c>
      <c r="F36" s="30">
        <f>F18/F$18*100</f>
        <v>100</v>
      </c>
      <c r="G36" s="13"/>
      <c r="H36" s="52">
        <f>IF(D18&gt;0,(H18/D18)*100,0)</f>
        <v>2.792014529847668</v>
      </c>
      <c r="I36" s="52">
        <f t="shared" si="11"/>
        <v>33.232566358177465</v>
      </c>
      <c r="J36" s="52">
        <f t="shared" si="12"/>
        <v>36.024580888025127</v>
      </c>
      <c r="L36" s="28" t="str">
        <f>$A$18</f>
        <v>All occupations</v>
      </c>
      <c r="M36" s="30">
        <f>M18/M$18*100</f>
        <v>100</v>
      </c>
      <c r="N36" s="30">
        <f>N18/N$18*100</f>
        <v>100</v>
      </c>
      <c r="O36" s="30">
        <f>O18/O$18*100</f>
        <v>100</v>
      </c>
      <c r="P36" s="30">
        <f>P18/P$18*100</f>
        <v>100</v>
      </c>
      <c r="Q36" s="30">
        <f>Q18/Q$18*100</f>
        <v>100</v>
      </c>
      <c r="R36" s="13"/>
      <c r="S36" s="52">
        <f t="shared" ref="S36" si="36">IF(O18&gt;0,(S18/O18)*100,0)</f>
        <v>0.99876085268647863</v>
      </c>
      <c r="T36" s="52">
        <f t="shared" ref="T36" si="37">IF(O18&gt;0,(T18/O18)*100,0)</f>
        <v>27.762314213841581</v>
      </c>
      <c r="U36" s="52">
        <f t="shared" ref="U36" si="38">IF(O18&gt;0,(U18/O18)*100,0)</f>
        <v>28.761075066528058</v>
      </c>
      <c r="W36" s="28" t="str">
        <f>$A$18</f>
        <v>All occupations</v>
      </c>
      <c r="X36" s="30">
        <f>X18/X$18*100</f>
        <v>100</v>
      </c>
      <c r="Y36" s="30">
        <f>Y18/Y$18*100</f>
        <v>100</v>
      </c>
      <c r="Z36" s="30">
        <f>Z18/Z$18*100</f>
        <v>100</v>
      </c>
      <c r="AA36" s="30">
        <f>AA18/AA$18*100</f>
        <v>100</v>
      </c>
      <c r="AB36" s="30">
        <f>AB18/AB$18*100</f>
        <v>100</v>
      </c>
      <c r="AC36" s="13"/>
      <c r="AD36" s="52">
        <f t="shared" ref="AD36" si="39">IF(Z18&gt;0,(AD18/Z18)*100,0)</f>
        <v>4.7596487743819091</v>
      </c>
      <c r="AE36" s="52">
        <f t="shared" ref="AE36" si="40">IF(Z18&gt;0,(AE18/Z18)*100,0)</f>
        <v>39.234759791552364</v>
      </c>
      <c r="AF36" s="52">
        <f t="shared" ref="AF36" si="41">IF(Z18&gt;0,(AF18/Z18)*100,0)</f>
        <v>43.994408565934272</v>
      </c>
    </row>
    <row r="37" spans="1:32" x14ac:dyDescent="0.25">
      <c r="A37" s="18"/>
      <c r="B37" s="22"/>
      <c r="C37" s="22"/>
      <c r="D37" s="22"/>
      <c r="E37" s="22"/>
      <c r="F37" s="22"/>
      <c r="G37" s="13"/>
      <c r="L37" s="18"/>
      <c r="M37" s="22"/>
      <c r="N37" s="22"/>
      <c r="O37" s="22"/>
      <c r="P37" s="22"/>
      <c r="Q37" s="22"/>
      <c r="R37" s="13"/>
      <c r="S37" s="286"/>
      <c r="T37" s="286"/>
      <c r="U37" s="286"/>
      <c r="W37" s="18"/>
      <c r="X37" s="22"/>
      <c r="Y37" s="22"/>
      <c r="Z37" s="22"/>
      <c r="AA37" s="22"/>
      <c r="AB37" s="22"/>
      <c r="AC37" s="13"/>
      <c r="AD37" s="286"/>
      <c r="AE37" s="286"/>
      <c r="AF37" s="286"/>
    </row>
    <row r="38" spans="1:32" x14ac:dyDescent="0.25">
      <c r="A38" s="18"/>
      <c r="B38" s="22"/>
      <c r="C38" s="22"/>
      <c r="D38" s="22"/>
      <c r="E38" s="22"/>
      <c r="F38" s="22"/>
      <c r="G38" s="13"/>
      <c r="L38" s="18"/>
      <c r="M38" s="22"/>
      <c r="N38" s="22"/>
      <c r="O38" s="22"/>
      <c r="P38" s="22"/>
      <c r="Q38" s="22"/>
      <c r="R38" s="13"/>
      <c r="S38" s="286"/>
      <c r="T38" s="286"/>
      <c r="U38" s="286"/>
      <c r="W38" s="18"/>
      <c r="X38" s="22"/>
      <c r="Y38" s="22"/>
      <c r="Z38" s="22"/>
      <c r="AA38" s="22"/>
      <c r="AB38" s="22"/>
      <c r="AC38" s="13"/>
      <c r="AD38" s="286"/>
      <c r="AE38" s="286"/>
      <c r="AF38" s="286"/>
    </row>
    <row r="39" spans="1:32" ht="15.6" x14ac:dyDescent="0.3">
      <c r="A39" s="23" t="str">
        <f>CONCATENATE(A$1," (Continued)")</f>
        <v>Occupation Table 1  Employment Change by Occupation Group (SOC 2010) and Replacement Demand, 2007-2027 (Continued)</v>
      </c>
      <c r="B39" s="22"/>
      <c r="C39" s="22"/>
      <c r="D39" s="22"/>
      <c r="E39" s="22"/>
      <c r="F39" s="22"/>
      <c r="G39" s="13"/>
      <c r="L39" s="23" t="str">
        <f>CONCATENATE(L$1," (Continued)")</f>
        <v>Occupation Table 1.1  Males: Employment Change by Occupation Group (SOC 2010) and Replacement Demand, 2007-2027 (Continued)</v>
      </c>
      <c r="M39" s="22"/>
      <c r="N39" s="22"/>
      <c r="O39" s="22"/>
      <c r="P39" s="22"/>
      <c r="Q39" s="22"/>
      <c r="R39" s="13"/>
      <c r="S39" s="286"/>
      <c r="T39" s="286"/>
      <c r="U39" s="286"/>
      <c r="W39" s="23" t="str">
        <f>CONCATENATE(W$1," (Continued)")</f>
        <v>Occupation Table 1.2  Females: Employment Change by Occupation Group (SOC 2010) and Replacement Demand, 2007-2027 (Continued)</v>
      </c>
      <c r="X39" s="22"/>
      <c r="Y39" s="22"/>
      <c r="Z39" s="22"/>
      <c r="AA39" s="22"/>
      <c r="AB39" s="22"/>
      <c r="AC39" s="13"/>
      <c r="AD39" s="286"/>
      <c r="AE39" s="286"/>
      <c r="AF39" s="286"/>
    </row>
    <row r="40" spans="1:32" x14ac:dyDescent="0.25">
      <c r="A40" s="18"/>
      <c r="B40" s="22"/>
      <c r="C40" s="22"/>
      <c r="D40" s="22"/>
      <c r="E40" s="22"/>
      <c r="F40" s="22"/>
      <c r="G40" s="13"/>
      <c r="L40" s="18"/>
      <c r="M40" s="22"/>
      <c r="N40" s="22"/>
      <c r="O40" s="22"/>
      <c r="P40" s="22"/>
      <c r="Q40" s="22"/>
      <c r="R40" s="13"/>
      <c r="S40" s="286"/>
      <c r="T40" s="286"/>
      <c r="U40" s="286"/>
      <c r="W40" s="18"/>
      <c r="X40" s="22"/>
      <c r="Y40" s="22"/>
      <c r="Z40" s="22"/>
      <c r="AA40" s="22"/>
      <c r="AB40" s="22"/>
      <c r="AC40" s="13"/>
      <c r="AD40" s="286"/>
      <c r="AE40" s="286"/>
      <c r="AF40" s="286"/>
    </row>
    <row r="41" spans="1:32" x14ac:dyDescent="0.25">
      <c r="A41" s="18"/>
      <c r="B41" s="22"/>
      <c r="C41" s="22"/>
      <c r="D41" s="22"/>
      <c r="E41" s="22"/>
      <c r="F41" s="19" t="s">
        <v>36</v>
      </c>
      <c r="G41" s="13"/>
      <c r="J41" s="19" t="s">
        <v>36</v>
      </c>
      <c r="L41" s="18"/>
      <c r="M41" s="22"/>
      <c r="N41" s="22"/>
      <c r="O41" s="22"/>
      <c r="P41" s="22"/>
      <c r="Q41" s="19" t="s">
        <v>36</v>
      </c>
      <c r="R41" s="13"/>
      <c r="S41" s="286"/>
      <c r="T41" s="286"/>
      <c r="U41" s="19" t="s">
        <v>36</v>
      </c>
      <c r="W41" s="18"/>
      <c r="X41" s="22"/>
      <c r="Y41" s="22"/>
      <c r="Z41" s="22"/>
      <c r="AA41" s="22"/>
      <c r="AB41" s="19" t="s">
        <v>36</v>
      </c>
      <c r="AC41" s="13"/>
      <c r="AD41" s="286"/>
      <c r="AE41" s="286"/>
      <c r="AF41" s="19" t="s">
        <v>36</v>
      </c>
    </row>
    <row r="42" spans="1:32" x14ac:dyDescent="0.25">
      <c r="A42" s="79"/>
      <c r="B42" s="81"/>
      <c r="C42" s="81"/>
      <c r="D42" s="81"/>
      <c r="E42" s="81"/>
      <c r="F42" s="81"/>
      <c r="G42" s="13"/>
      <c r="H42" s="32" t="str">
        <f>H4</f>
        <v>2017-2027</v>
      </c>
      <c r="I42" s="41"/>
      <c r="J42" s="41"/>
      <c r="L42" s="79"/>
      <c r="M42" s="81"/>
      <c r="N42" s="81"/>
      <c r="O42" s="81"/>
      <c r="P42" s="81"/>
      <c r="Q42" s="81"/>
      <c r="R42" s="13"/>
      <c r="S42" s="32" t="str">
        <f>S4</f>
        <v>2017-2027</v>
      </c>
      <c r="T42" s="41"/>
      <c r="U42" s="41"/>
      <c r="W42" s="79"/>
      <c r="X42" s="81"/>
      <c r="Y42" s="81"/>
      <c r="Z42" s="81"/>
      <c r="AA42" s="81"/>
      <c r="AB42" s="81"/>
      <c r="AC42" s="13"/>
      <c r="AD42" s="32" t="str">
        <f>AD4</f>
        <v>2017-2027</v>
      </c>
      <c r="AE42" s="41"/>
      <c r="AF42" s="41"/>
    </row>
    <row r="43" spans="1:32" x14ac:dyDescent="0.25">
      <c r="A43" s="2"/>
      <c r="B43" s="2"/>
      <c r="C43" s="2"/>
      <c r="D43" s="2"/>
      <c r="E43" s="2"/>
      <c r="F43" s="2"/>
      <c r="H43" s="2" t="str">
        <f>H5</f>
        <v>Net</v>
      </c>
      <c r="I43" s="2" t="str">
        <f>I5</f>
        <v>Replacement</v>
      </c>
      <c r="J43" s="2" t="str">
        <f>J5</f>
        <v>Total</v>
      </c>
      <c r="L43" s="2"/>
      <c r="M43" s="2"/>
      <c r="N43" s="2"/>
      <c r="O43" s="2"/>
      <c r="P43" s="2"/>
      <c r="Q43" s="2"/>
      <c r="R43" s="286"/>
      <c r="S43" s="2" t="str">
        <f>S5</f>
        <v>Net</v>
      </c>
      <c r="T43" s="2" t="str">
        <f>T5</f>
        <v>Replacement</v>
      </c>
      <c r="U43" s="2" t="str">
        <f>U5</f>
        <v>Total</v>
      </c>
      <c r="W43" s="2"/>
      <c r="X43" s="2"/>
      <c r="Y43" s="2"/>
      <c r="Z43" s="2"/>
      <c r="AA43" s="2"/>
      <c r="AB43" s="2"/>
      <c r="AC43" s="286"/>
      <c r="AD43" s="2" t="str">
        <f>AD5</f>
        <v>Net</v>
      </c>
      <c r="AE43" s="2" t="str">
        <f>AE5</f>
        <v>Replacement</v>
      </c>
      <c r="AF43" s="2" t="str">
        <f>AF5</f>
        <v>Total</v>
      </c>
    </row>
    <row r="44" spans="1:32" x14ac:dyDescent="0.25">
      <c r="A44" s="50" t="s">
        <v>14</v>
      </c>
      <c r="B44" s="76" t="str">
        <f>CONCATENATE(B$6,"-",C$6)</f>
        <v>2007-2012</v>
      </c>
      <c r="C44" s="76" t="str">
        <f>CONCATENATE(C$6,"-",D$6)</f>
        <v>2012-2017</v>
      </c>
      <c r="D44" s="76" t="str">
        <f>CONCATENATE(D$6,"-",E$6)</f>
        <v>2017-2022</v>
      </c>
      <c r="E44" s="76" t="str">
        <f>CONCATENATE(E$6,"-",F$6)</f>
        <v>2022-2027</v>
      </c>
      <c r="F44" s="76" t="str">
        <f>CONCATENATE(D$6,"-",F$6)</f>
        <v>2017-2027</v>
      </c>
      <c r="H44" s="37" t="str">
        <f>H6</f>
        <v>Change</v>
      </c>
      <c r="I44" s="37" t="str">
        <f>I6</f>
        <v>Demand</v>
      </c>
      <c r="J44" s="37" t="str">
        <f>J6</f>
        <v>Requirement</v>
      </c>
      <c r="L44" s="50" t="s">
        <v>14</v>
      </c>
      <c r="M44" s="76" t="str">
        <f>CONCATENATE(M$6,"-",N$6)</f>
        <v>2007-2012</v>
      </c>
      <c r="N44" s="76" t="str">
        <f>CONCATENATE(N$6,"-",O$6)</f>
        <v>2012-2017</v>
      </c>
      <c r="O44" s="76" t="str">
        <f>CONCATENATE(O$6,"-",P$6)</f>
        <v>2017-2022</v>
      </c>
      <c r="P44" s="76" t="str">
        <f>CONCATENATE(P$6,"-",Q$6)</f>
        <v>2022-2027</v>
      </c>
      <c r="Q44" s="76" t="str">
        <f>CONCATENATE(O$6,"-",Q$6)</f>
        <v>2017-2027</v>
      </c>
      <c r="R44" s="286"/>
      <c r="S44" s="37" t="str">
        <f>S6</f>
        <v>Change</v>
      </c>
      <c r="T44" s="37" t="str">
        <f>T6</f>
        <v>Demand</v>
      </c>
      <c r="U44" s="37" t="str">
        <f>U6</f>
        <v>Requirement</v>
      </c>
      <c r="W44" s="50" t="s">
        <v>14</v>
      </c>
      <c r="X44" s="76" t="str">
        <f>CONCATENATE(X$6,"-",Y$6)</f>
        <v>2007-2012</v>
      </c>
      <c r="Y44" s="76" t="str">
        <f>CONCATENATE(Y$6,"-",Z$6)</f>
        <v>2012-2017</v>
      </c>
      <c r="Z44" s="76" t="str">
        <f>CONCATENATE(Z$6,"-",AA$6)</f>
        <v>2017-2022</v>
      </c>
      <c r="AA44" s="76" t="str">
        <f>CONCATENATE(AA$6,"-",AB$6)</f>
        <v>2022-2027</v>
      </c>
      <c r="AB44" s="76" t="str">
        <f>CONCATENATE(Z$6,"-",AB$6)</f>
        <v>2017-2027</v>
      </c>
      <c r="AC44" s="286"/>
      <c r="AD44" s="37" t="str">
        <f>AD6</f>
        <v>Change</v>
      </c>
      <c r="AE44" s="37" t="str">
        <f>AE6</f>
        <v>Demand</v>
      </c>
      <c r="AF44" s="37" t="str">
        <f>AF6</f>
        <v>Requirement</v>
      </c>
    </row>
    <row r="45" spans="1:32" x14ac:dyDescent="0.25">
      <c r="A45" s="1"/>
      <c r="B45" s="24"/>
      <c r="C45" s="24"/>
      <c r="D45" s="24"/>
      <c r="E45" s="24"/>
      <c r="F45" s="24"/>
      <c r="L45" s="1"/>
      <c r="M45" s="24"/>
      <c r="N45" s="24"/>
      <c r="O45" s="24"/>
      <c r="P45" s="24"/>
      <c r="Q45" s="24"/>
      <c r="R45" s="286"/>
      <c r="S45" s="286"/>
      <c r="T45" s="286"/>
      <c r="U45" s="286"/>
      <c r="W45" s="1"/>
      <c r="X45" s="24"/>
      <c r="Y45" s="24"/>
      <c r="Z45" s="24"/>
      <c r="AA45" s="24"/>
      <c r="AB45" s="24"/>
      <c r="AC45" s="286"/>
      <c r="AD45" s="286"/>
      <c r="AE45" s="286"/>
      <c r="AF45" s="286"/>
    </row>
    <row r="46" spans="1:32" x14ac:dyDescent="0.25">
      <c r="A46" s="18" t="str">
        <f>$A$8</f>
        <v>Managers, directors and senior officials</v>
      </c>
      <c r="B46" s="22">
        <f t="shared" ref="B46:E54" si="42">IF(C$6-B$6 &lt;&gt; 0,(EXP(LN(C8/B8)/(C$6-B$6))-1)*100,0)</f>
        <v>1.8557326830863197</v>
      </c>
      <c r="C46" s="22">
        <f t="shared" si="42"/>
        <v>3.2256177006427356</v>
      </c>
      <c r="D46" s="22">
        <f t="shared" si="42"/>
        <v>1.2645285062389933</v>
      </c>
      <c r="E46" s="22">
        <f t="shared" si="42"/>
        <v>1.0685268782054447</v>
      </c>
      <c r="F46" s="22">
        <f>IF(F$6-D$6 &lt;&gt; 0,(EXP(LN(F8/D8)/(F$6-D$6))-1)*100,0)</f>
        <v>1.1664802251299955</v>
      </c>
      <c r="H46" s="22">
        <f>IF($F$6-$D$6 &lt;&gt; 0,(EXP(LN(1+(H26/100))/($F$6-$D$6))-1)*100,0)</f>
        <v>1.1664802251299955</v>
      </c>
      <c r="I46" s="22">
        <f>IF($F$6-$D$6 &lt;&gt; 0,(EXP(LN(1+(I26/100))/($F$6-$D$6))-1)*100,0)</f>
        <v>3.326063410252833</v>
      </c>
      <c r="J46" s="22">
        <f>IF($F$6-$D$6 &lt;&gt; 0,(EXP(LN(1+(J26/100))/($F$6-$D$6))-1)*100,0)</f>
        <v>4.2074471984079764</v>
      </c>
      <c r="L46" s="18" t="str">
        <f>$A$8</f>
        <v>Managers, directors and senior officials</v>
      </c>
      <c r="M46" s="22">
        <f t="shared" ref="M46:M54" si="43">IF(N$6-M$6 &lt;&gt; 0,(EXP(LN(N8/M8)/(N$6-M$6))-1)*100,0)</f>
        <v>0.91922763430452026</v>
      </c>
      <c r="N46" s="22">
        <f t="shared" ref="N46:N54" si="44">IF(O$6-N$6 &lt;&gt; 0,(EXP(LN(O8/N8)/(O$6-N$6))-1)*100,0)</f>
        <v>2.410370364643577</v>
      </c>
      <c r="O46" s="22">
        <f t="shared" ref="O46:O54" si="45">IF(P$6-O$6 &lt;&gt; 0,(EXP(LN(P8/O8)/(P$6-O$6))-1)*100,0)</f>
        <v>0.684444974819165</v>
      </c>
      <c r="P46" s="22">
        <f t="shared" ref="P46:P54" si="46">IF(Q$6-P$6 &lt;&gt; 0,(EXP(LN(Q8/P8)/(Q$6-P$6))-1)*100,0)</f>
        <v>0.58163921749287972</v>
      </c>
      <c r="Q46" s="22">
        <f>IF(Q$6-O$6 &lt;&gt; 0,(EXP(LN(Q8/O8)/(Q$6-O$6))-1)*100,0)</f>
        <v>0.63302896798234087</v>
      </c>
      <c r="R46" s="286"/>
      <c r="S46" s="22">
        <f>IF($F$6-$D$6 &lt;&gt; 0,(EXP(LN(1+(S26/100))/($F$6-$D$6))-1)*100,0)</f>
        <v>0.63302896798234087</v>
      </c>
      <c r="T46" s="22">
        <f>IF($F$6-$D$6 &lt;&gt; 0,(EXP(LN(1+(T26/100))/($F$6-$D$6))-1)*100,0)</f>
        <v>2.9775961551590013</v>
      </c>
      <c r="U46" s="22">
        <f>IF($F$6-$D$6 &lt;&gt; 0,(EXP(LN(1+(U26/100))/($F$6-$D$6))-1)*100,0)</f>
        <v>3.4671864682828346</v>
      </c>
      <c r="W46" s="18" t="str">
        <f>$A$8</f>
        <v>Managers, directors and senior officials</v>
      </c>
      <c r="X46" s="22">
        <f t="shared" ref="X46:X54" si="47">IF(Y$6-X$6 &lt;&gt; 0,(EXP(LN(Y8/X8)/(Y$6-X$6))-1)*100,0)</f>
        <v>3.9050575441742508</v>
      </c>
      <c r="Y46" s="22">
        <f t="shared" ref="Y46:Y54" si="48">IF(Z$6-Y$6 &lt;&gt; 0,(EXP(LN(Z8/Y8)/(Z$6-Y$6))-1)*100,0)</f>
        <v>4.787105623341148</v>
      </c>
      <c r="Z46" s="22">
        <f t="shared" ref="Z46:Z54" si="49">IF(AA$6-Z$6 &lt;&gt; 0,(EXP(LN(AA8/Z8)/(AA$6-Z$6))-1)*100,0)</f>
        <v>2.2698843783118594</v>
      </c>
      <c r="AA46" s="22">
        <f t="shared" ref="AA46:AA54" si="50">IF(AB$6-AA$6 &lt;&gt; 0,(EXP(LN(AB8/AA8)/(AB$6-AA$6))-1)*100,0)</f>
        <v>1.8537577569011532</v>
      </c>
      <c r="AB46" s="22">
        <f>IF(AB$6-Z$6 &lt;&gt; 0,(EXP(LN(AB8/Z8)/(AB$6-Z$6))-1)*100,0)</f>
        <v>2.0616089883696898</v>
      </c>
      <c r="AC46" s="286"/>
      <c r="AD46" s="22">
        <f>IF($F$6-$D$6 &lt;&gt; 0,(EXP(LN(1+(AD26/100))/($F$6-$D$6))-1)*100,0)</f>
        <v>2.0616089883696898</v>
      </c>
      <c r="AE46" s="22">
        <f>IF($F$6-$D$6 &lt;&gt; 0,(EXP(LN(1+(AE26/100))/($F$6-$D$6))-1)*100,0)</f>
        <v>3.9240225085485969</v>
      </c>
      <c r="AF46" s="22">
        <f>IF($F$6-$D$6 &lt;&gt; 0,(EXP(LN(1+(AF26/100))/($F$6-$D$6))-1)*100,0)</f>
        <v>5.4237759230520322</v>
      </c>
    </row>
    <row r="47" spans="1:32" x14ac:dyDescent="0.25">
      <c r="A47" s="18" t="str">
        <f>$A$9</f>
        <v>Professional occupations</v>
      </c>
      <c r="B47" s="22">
        <f t="shared" si="42"/>
        <v>1.4879345591713111</v>
      </c>
      <c r="C47" s="22">
        <f t="shared" si="42"/>
        <v>3.3056998171139718</v>
      </c>
      <c r="D47" s="22">
        <f t="shared" si="42"/>
        <v>1.142736327637861</v>
      </c>
      <c r="E47" s="22">
        <f t="shared" si="42"/>
        <v>1.1270269703638203</v>
      </c>
      <c r="F47" s="22">
        <f>IF(F$6-D$6 &lt;&gt; 0,(EXP(LN(F9/D9)/(F$6-D$6))-1)*100,0)</f>
        <v>1.1348813439825411</v>
      </c>
      <c r="H47" s="22">
        <f t="shared" ref="H47:J56" si="51">IF($F$6-$D$6 &lt;&gt; 0,(EXP(LN(1+(H27/100))/($F$6-$D$6))-1)*100,0)</f>
        <v>1.1348813439825411</v>
      </c>
      <c r="I47" s="22">
        <f t="shared" si="51"/>
        <v>2.9977261349786843</v>
      </c>
      <c r="J47" s="22">
        <f t="shared" si="51"/>
        <v>3.8787904686972796</v>
      </c>
      <c r="L47" s="18" t="str">
        <f>$A$9</f>
        <v>Professional occupations</v>
      </c>
      <c r="M47" s="22">
        <f t="shared" si="43"/>
        <v>1.6080643907777414</v>
      </c>
      <c r="N47" s="22">
        <f t="shared" si="44"/>
        <v>2.7126072606704188</v>
      </c>
      <c r="O47" s="22">
        <f t="shared" si="45"/>
        <v>0.45895093970609313</v>
      </c>
      <c r="P47" s="22">
        <f t="shared" si="46"/>
        <v>0.43198519127352064</v>
      </c>
      <c r="Q47" s="22">
        <f>IF(Q$6-O$6 &lt;&gt; 0,(EXP(LN(Q9/O9)/(Q$6-O$6))-1)*100,0)</f>
        <v>0.44546716058140312</v>
      </c>
      <c r="R47" s="286"/>
      <c r="S47" s="22">
        <f t="shared" ref="S47:U47" si="52">IF($F$6-$D$6 &lt;&gt; 0,(EXP(LN(1+(S27/100))/($F$6-$D$6))-1)*100,0)</f>
        <v>0.44546716058140312</v>
      </c>
      <c r="T47" s="22">
        <f t="shared" si="52"/>
        <v>2.3946830584129053</v>
      </c>
      <c r="U47" s="22">
        <f t="shared" si="52"/>
        <v>2.7562018319508663</v>
      </c>
      <c r="W47" s="18" t="str">
        <f>$A$9</f>
        <v>Professional occupations</v>
      </c>
      <c r="X47" s="22">
        <f t="shared" si="47"/>
        <v>1.365270894041748</v>
      </c>
      <c r="Y47" s="22">
        <f t="shared" si="48"/>
        <v>3.9017819229824058</v>
      </c>
      <c r="Z47" s="22">
        <f t="shared" si="49"/>
        <v>1.7894025406528513</v>
      </c>
      <c r="AA47" s="22">
        <f t="shared" si="50"/>
        <v>1.7427269571079984</v>
      </c>
      <c r="AB47" s="22">
        <f>IF(AB$6-Z$6 &lt;&gt; 0,(EXP(LN(AB9/Z9)/(AB$6-Z$6))-1)*100,0)</f>
        <v>1.7660620728777054</v>
      </c>
      <c r="AC47" s="286"/>
      <c r="AD47" s="22">
        <f t="shared" ref="AD47:AF47" si="53">IF($F$6-$D$6 &lt;&gt; 0,(EXP(LN(1+(AD27/100))/($F$6-$D$6))-1)*100,0)</f>
        <v>1.7660620728777054</v>
      </c>
      <c r="AE47" s="22">
        <f t="shared" si="53"/>
        <v>3.5543160647958816</v>
      </c>
      <c r="AF47" s="22">
        <f t="shared" si="53"/>
        <v>4.8732789241013652</v>
      </c>
    </row>
    <row r="48" spans="1:32" x14ac:dyDescent="0.25">
      <c r="A48" s="18" t="str">
        <f>$A$10</f>
        <v>Associate professional and technical</v>
      </c>
      <c r="B48" s="22">
        <f t="shared" si="42"/>
        <v>0.25251784699005242</v>
      </c>
      <c r="C48" s="22">
        <f t="shared" si="42"/>
        <v>2.8438901387777937</v>
      </c>
      <c r="D48" s="22">
        <f t="shared" si="42"/>
        <v>0.95908398787774019</v>
      </c>
      <c r="E48" s="22">
        <f t="shared" si="42"/>
        <v>0.71721966582123375</v>
      </c>
      <c r="F48" s="22">
        <f t="shared" ref="F48:F56" si="54">IF(F$6-D$6 &lt;&gt; 0,(EXP(LN(F10/D10)/(F$6-D$6))-1)*100,0)</f>
        <v>0.83807931167261263</v>
      </c>
      <c r="H48" s="22">
        <f t="shared" si="51"/>
        <v>0.83807931167261263</v>
      </c>
      <c r="I48" s="22">
        <f t="shared" si="51"/>
        <v>2.8728721236026988</v>
      </c>
      <c r="J48" s="22">
        <f t="shared" si="51"/>
        <v>3.528305142593946</v>
      </c>
      <c r="L48" s="18" t="str">
        <f>$A$10</f>
        <v>Associate professional and technical</v>
      </c>
      <c r="M48" s="22">
        <f t="shared" si="43"/>
        <v>-9.3351097818306084E-2</v>
      </c>
      <c r="N48" s="22">
        <f t="shared" si="44"/>
        <v>2.1520064157233509</v>
      </c>
      <c r="O48" s="22">
        <f t="shared" si="45"/>
        <v>0.3231186531486685</v>
      </c>
      <c r="P48" s="22">
        <f t="shared" si="46"/>
        <v>0.15682703838757472</v>
      </c>
      <c r="Q48" s="22">
        <f t="shared" ref="Q48:Q54" si="55">IF(Q$6-O$6 &lt;&gt; 0,(EXP(LN(Q10/O10)/(Q$6-O$6))-1)*100,0)</f>
        <v>0.23993836238651589</v>
      </c>
      <c r="R48" s="286"/>
      <c r="S48" s="22">
        <f t="shared" ref="S48:U48" si="56">IF($F$6-$D$6 &lt;&gt; 0,(EXP(LN(1+(S28/100))/($F$6-$D$6))-1)*100,0)</f>
        <v>0.23993836238651589</v>
      </c>
      <c r="T48" s="22">
        <f t="shared" si="56"/>
        <v>2.3845474293180402</v>
      </c>
      <c r="U48" s="22">
        <f t="shared" si="56"/>
        <v>2.57906902677425</v>
      </c>
      <c r="W48" s="18" t="str">
        <f>$A$10</f>
        <v>Associate professional and technical</v>
      </c>
      <c r="X48" s="22">
        <f t="shared" si="47"/>
        <v>0.74697757409698529</v>
      </c>
      <c r="Y48" s="22">
        <f t="shared" si="48"/>
        <v>3.7784530882752021</v>
      </c>
      <c r="Z48" s="22">
        <f t="shared" si="49"/>
        <v>1.7554649295478342</v>
      </c>
      <c r="AA48" s="22">
        <f t="shared" si="50"/>
        <v>1.3737046675762477</v>
      </c>
      <c r="AB48" s="22">
        <f t="shared" ref="AB48:AB54" si="57">IF(AB$6-Z$6 &lt;&gt; 0,(EXP(LN(AB10/Z10)/(AB$6-Z$6))-1)*100,0)</f>
        <v>1.5644054286731546</v>
      </c>
      <c r="AC48" s="286"/>
      <c r="AD48" s="22">
        <f t="shared" ref="AD48:AF48" si="58">IF($F$6-$D$6 &lt;&gt; 0,(EXP(LN(1+(AD28/100))/($F$6-$D$6))-1)*100,0)</f>
        <v>1.5644054286731546</v>
      </c>
      <c r="AE48" s="22">
        <f t="shared" si="58"/>
        <v>3.4727150985253807</v>
      </c>
      <c r="AF48" s="22">
        <f t="shared" si="58"/>
        <v>4.646047353511551</v>
      </c>
    </row>
    <row r="49" spans="1:32" x14ac:dyDescent="0.25">
      <c r="A49" s="18" t="str">
        <f>$A$11</f>
        <v>Administrative and secretarial</v>
      </c>
      <c r="B49" s="22">
        <f t="shared" si="42"/>
        <v>-1.732672031789162</v>
      </c>
      <c r="C49" s="22">
        <f t="shared" si="42"/>
        <v>-3.2042352561001408E-2</v>
      </c>
      <c r="D49" s="22">
        <f t="shared" si="42"/>
        <v>-1.8125206819047723</v>
      </c>
      <c r="E49" s="22">
        <f t="shared" si="42"/>
        <v>-1.7379901936426689</v>
      </c>
      <c r="F49" s="22">
        <f t="shared" si="54"/>
        <v>-1.7752625067586125</v>
      </c>
      <c r="H49" s="22">
        <f t="shared" si="51"/>
        <v>-1.7752625067586125</v>
      </c>
      <c r="I49" s="22">
        <f t="shared" si="51"/>
        <v>2.7607193242156658</v>
      </c>
      <c r="J49" s="22">
        <f t="shared" si="51"/>
        <v>1.3988295123416483</v>
      </c>
      <c r="L49" s="18" t="str">
        <f>$A$11</f>
        <v>Administrative and secretarial</v>
      </c>
      <c r="M49" s="22">
        <f t="shared" si="43"/>
        <v>-0.31256661123205687</v>
      </c>
      <c r="N49" s="22">
        <f t="shared" si="44"/>
        <v>1.3851546164177497</v>
      </c>
      <c r="O49" s="22">
        <f t="shared" si="45"/>
        <v>-0.32038100076298148</v>
      </c>
      <c r="P49" s="22">
        <f t="shared" si="46"/>
        <v>2.855301996418369E-2</v>
      </c>
      <c r="Q49" s="22">
        <f t="shared" si="55"/>
        <v>-0.14606640660063119</v>
      </c>
      <c r="R49" s="286"/>
      <c r="S49" s="22">
        <f t="shared" ref="S49:U49" si="59">IF($F$6-$D$6 &lt;&gt; 0,(EXP(LN(1+(S29/100))/($F$6-$D$6))-1)*100,0)</f>
        <v>-0.14606640660063119</v>
      </c>
      <c r="T49" s="22">
        <f t="shared" si="59"/>
        <v>2.2836778809858238</v>
      </c>
      <c r="U49" s="22">
        <f t="shared" si="59"/>
        <v>2.1646321179588979</v>
      </c>
      <c r="W49" s="18" t="str">
        <f>$A$11</f>
        <v>Administrative and secretarial</v>
      </c>
      <c r="X49" s="22">
        <f t="shared" si="47"/>
        <v>-2.143541742749655</v>
      </c>
      <c r="Y49" s="22">
        <f t="shared" si="48"/>
        <v>-0.48193286415008085</v>
      </c>
      <c r="Z49" s="22">
        <f t="shared" si="49"/>
        <v>-2.3342446132963768</v>
      </c>
      <c r="AA49" s="22">
        <f t="shared" si="50"/>
        <v>-2.4281931623318265</v>
      </c>
      <c r="AB49" s="22">
        <f t="shared" si="57"/>
        <v>-2.3812301898533672</v>
      </c>
      <c r="AC49" s="286"/>
      <c r="AD49" s="22">
        <f t="shared" ref="AD49:AF49" si="60">IF($F$6-$D$6 &lt;&gt; 0,(EXP(LN(1+(AD29/100))/($F$6-$D$6))-1)*100,0)</f>
        <v>-2.3812301898533672</v>
      </c>
      <c r="AE49" s="22">
        <f t="shared" si="60"/>
        <v>2.9164429654539914</v>
      </c>
      <c r="AF49" s="22">
        <f t="shared" si="60"/>
        <v>1.1297255048027699</v>
      </c>
    </row>
    <row r="50" spans="1:32" x14ac:dyDescent="0.25">
      <c r="A50" s="18" t="str">
        <f>$A$12</f>
        <v>Skilled trades occupations</v>
      </c>
      <c r="B50" s="22">
        <f t="shared" si="42"/>
        <v>-1.2742434781335632</v>
      </c>
      <c r="C50" s="22">
        <f t="shared" si="42"/>
        <v>0.42362008282368357</v>
      </c>
      <c r="D50" s="22">
        <f t="shared" si="42"/>
        <v>-0.97357019781557641</v>
      </c>
      <c r="E50" s="22">
        <f t="shared" si="42"/>
        <v>-0.88914827551336284</v>
      </c>
      <c r="F50" s="22">
        <f t="shared" si="54"/>
        <v>-0.93136822924430041</v>
      </c>
      <c r="H50" s="22">
        <f t="shared" si="51"/>
        <v>-0.93136822924430041</v>
      </c>
      <c r="I50" s="22">
        <f t="shared" si="51"/>
        <v>2.4248394221461744</v>
      </c>
      <c r="J50" s="22">
        <f t="shared" si="51"/>
        <v>1.6809757532902481</v>
      </c>
      <c r="L50" s="18" t="str">
        <f>$A$12</f>
        <v>Skilled trades occupations</v>
      </c>
      <c r="M50" s="22">
        <f t="shared" si="43"/>
        <v>-1.2540456887060181</v>
      </c>
      <c r="N50" s="22">
        <f t="shared" si="44"/>
        <v>0.32670510450616419</v>
      </c>
      <c r="O50" s="22">
        <f t="shared" si="45"/>
        <v>-1.0471966607635497</v>
      </c>
      <c r="P50" s="22">
        <f t="shared" si="46"/>
        <v>-0.93042724655906239</v>
      </c>
      <c r="Q50" s="22">
        <f t="shared" si="55"/>
        <v>-0.98882916774785112</v>
      </c>
      <c r="R50" s="286"/>
      <c r="S50" s="22">
        <f t="shared" ref="S50:U50" si="61">IF($F$6-$D$6 &lt;&gt; 0,(EXP(LN(1+(S30/100))/($F$6-$D$6))-1)*100,0)</f>
        <v>-0.98882916774785112</v>
      </c>
      <c r="T50" s="22">
        <f t="shared" si="61"/>
        <v>2.3104949130620778</v>
      </c>
      <c r="U50" s="22">
        <f t="shared" si="61"/>
        <v>1.5129027424887198</v>
      </c>
      <c r="W50" s="18" t="str">
        <f>$A$12</f>
        <v>Skilled trades occupations</v>
      </c>
      <c r="X50" s="22">
        <f t="shared" si="47"/>
        <v>-1.4529866047803486</v>
      </c>
      <c r="Y50" s="22">
        <f t="shared" si="48"/>
        <v>1.270424234569445</v>
      </c>
      <c r="Z50" s="22">
        <f t="shared" si="49"/>
        <v>-0.35668920684885919</v>
      </c>
      <c r="AA50" s="22">
        <f t="shared" si="50"/>
        <v>-0.55298916144999044</v>
      </c>
      <c r="AB50" s="22">
        <f t="shared" si="57"/>
        <v>-0.45488757133522739</v>
      </c>
      <c r="AC50" s="286"/>
      <c r="AD50" s="22">
        <f t="shared" ref="AD50:AF50" si="62">IF($F$6-$D$6 &lt;&gt; 0,(EXP(LN(1+(AD30/100))/($F$6-$D$6))-1)*100,0)</f>
        <v>-0.45488757133522739</v>
      </c>
      <c r="AE50" s="22">
        <f t="shared" si="62"/>
        <v>3.3527119214450174</v>
      </c>
      <c r="AF50" s="22">
        <f t="shared" si="62"/>
        <v>3.016602182950634</v>
      </c>
    </row>
    <row r="51" spans="1:32" x14ac:dyDescent="0.25">
      <c r="A51" s="18" t="str">
        <f>$A$13</f>
        <v>Caring, leisure and other service</v>
      </c>
      <c r="B51" s="22">
        <f t="shared" si="42"/>
        <v>1.7800847178649493</v>
      </c>
      <c r="C51" s="22">
        <f t="shared" si="42"/>
        <v>2.9711186842420689</v>
      </c>
      <c r="D51" s="22">
        <f t="shared" si="42"/>
        <v>1.1936714068548238</v>
      </c>
      <c r="E51" s="22">
        <f t="shared" si="42"/>
        <v>1.430514220963186</v>
      </c>
      <c r="F51" s="22">
        <f t="shared" si="54"/>
        <v>1.312023603837198</v>
      </c>
      <c r="H51" s="22">
        <f t="shared" si="51"/>
        <v>1.312023603837198</v>
      </c>
      <c r="I51" s="22">
        <f t="shared" si="51"/>
        <v>3.4162392536172925</v>
      </c>
      <c r="J51" s="22">
        <f t="shared" si="51"/>
        <v>4.4018883699323386</v>
      </c>
      <c r="L51" s="18" t="str">
        <f>$A$13</f>
        <v>Caring, leisure and other service</v>
      </c>
      <c r="M51" s="22">
        <f t="shared" si="43"/>
        <v>0.7379638106399522</v>
      </c>
      <c r="N51" s="22">
        <f t="shared" si="44"/>
        <v>3.2669780583175934</v>
      </c>
      <c r="O51" s="22">
        <f t="shared" si="45"/>
        <v>1.4656266907631554</v>
      </c>
      <c r="P51" s="22">
        <f t="shared" si="46"/>
        <v>1.8144614530552161</v>
      </c>
      <c r="Q51" s="22">
        <f t="shared" si="55"/>
        <v>1.639894419055743</v>
      </c>
      <c r="R51" s="286"/>
      <c r="S51" s="22">
        <f t="shared" ref="S51:U51" si="63">IF($F$6-$D$6 &lt;&gt; 0,(EXP(LN(1+(S31/100))/($F$6-$D$6))-1)*100,0)</f>
        <v>1.639894419055743</v>
      </c>
      <c r="T51" s="22">
        <f t="shared" si="63"/>
        <v>2.8730248587831131</v>
      </c>
      <c r="U51" s="22">
        <f t="shared" si="63"/>
        <v>4.1662403421050431</v>
      </c>
      <c r="W51" s="18" t="str">
        <f>$A$13</f>
        <v>Caring, leisure and other service</v>
      </c>
      <c r="X51" s="22">
        <f t="shared" si="47"/>
        <v>2.0303234183774332</v>
      </c>
      <c r="Y51" s="22">
        <f t="shared" si="48"/>
        <v>2.9022619357806256</v>
      </c>
      <c r="Z51" s="22">
        <f t="shared" si="49"/>
        <v>1.1292764324629223</v>
      </c>
      <c r="AA51" s="22">
        <f t="shared" si="50"/>
        <v>1.337824663827214</v>
      </c>
      <c r="AB51" s="22">
        <f t="shared" si="57"/>
        <v>1.2334968451285011</v>
      </c>
      <c r="AC51" s="286"/>
      <c r="AD51" s="22">
        <f t="shared" ref="AD51:AF51" si="64">IF($F$6-$D$6 &lt;&gt; 0,(EXP(LN(1+(AD31/100))/($F$6-$D$6))-1)*100,0)</f>
        <v>1.2334968451285011</v>
      </c>
      <c r="AE51" s="22">
        <f t="shared" si="64"/>
        <v>3.5403613404259682</v>
      </c>
      <c r="AF51" s="22">
        <f t="shared" si="64"/>
        <v>4.4566276839663521</v>
      </c>
    </row>
    <row r="52" spans="1:32" x14ac:dyDescent="0.25">
      <c r="A52" s="18" t="str">
        <f>$A$14</f>
        <v>Sales and customer service</v>
      </c>
      <c r="B52" s="22">
        <f t="shared" si="42"/>
        <v>0.11813698782516813</v>
      </c>
      <c r="C52" s="22">
        <f t="shared" si="42"/>
        <v>0.84243105510448668</v>
      </c>
      <c r="D52" s="22">
        <f t="shared" si="42"/>
        <v>-0.328453435238929</v>
      </c>
      <c r="E52" s="22">
        <f t="shared" si="42"/>
        <v>-3.2175123596900335E-2</v>
      </c>
      <c r="F52" s="22">
        <f t="shared" si="54"/>
        <v>-0.18042420373500789</v>
      </c>
      <c r="H52" s="22">
        <f t="shared" si="51"/>
        <v>-0.18042420373500789</v>
      </c>
      <c r="I52" s="22">
        <f t="shared" si="51"/>
        <v>2.7348732357623584</v>
      </c>
      <c r="J52" s="22">
        <f t="shared" si="51"/>
        <v>2.5936208224488499</v>
      </c>
      <c r="L52" s="18" t="str">
        <f>$A$14</f>
        <v>Sales and customer service</v>
      </c>
      <c r="M52" s="22">
        <f t="shared" si="43"/>
        <v>0.20263250336678418</v>
      </c>
      <c r="N52" s="22">
        <f t="shared" si="44"/>
        <v>1.9732301494815419</v>
      </c>
      <c r="O52" s="22">
        <f t="shared" si="45"/>
        <v>0.35637704617210719</v>
      </c>
      <c r="P52" s="22">
        <f t="shared" si="46"/>
        <v>0.1774833589158531</v>
      </c>
      <c r="Q52" s="22">
        <f t="shared" si="55"/>
        <v>0.26689030534452485</v>
      </c>
      <c r="R52" s="286"/>
      <c r="S52" s="22">
        <f t="shared" ref="S52:U52" si="65">IF($F$6-$D$6 &lt;&gt; 0,(EXP(LN(1+(S32/100))/($F$6-$D$6))-1)*100,0)</f>
        <v>0.26689030534452485</v>
      </c>
      <c r="T52" s="22">
        <f t="shared" si="65"/>
        <v>2.1228693998392334</v>
      </c>
      <c r="U52" s="22">
        <f t="shared" si="65"/>
        <v>2.3442840602905468</v>
      </c>
      <c r="W52" s="18" t="str">
        <f>$A$14</f>
        <v>Sales and customer service</v>
      </c>
      <c r="X52" s="22">
        <f t="shared" si="47"/>
        <v>6.8362133738353315E-2</v>
      </c>
      <c r="Y52" s="22">
        <f t="shared" si="48"/>
        <v>0.14897124533261863</v>
      </c>
      <c r="Z52" s="22">
        <f t="shared" si="49"/>
        <v>-0.78200328229468541</v>
      </c>
      <c r="AA52" s="22">
        <f t="shared" si="50"/>
        <v>-0.17688080087006064</v>
      </c>
      <c r="AB52" s="22">
        <f t="shared" si="57"/>
        <v>-0.47990196422442732</v>
      </c>
      <c r="AC52" s="286"/>
      <c r="AD52" s="22">
        <f t="shared" ref="AD52:AF52" si="66">IF($F$6-$D$6 &lt;&gt; 0,(EXP(LN(1+(AD32/100))/($F$6-$D$6))-1)*100,0)</f>
        <v>-0.47990196422442732</v>
      </c>
      <c r="AE52" s="22">
        <f t="shared" si="66"/>
        <v>3.1142191123441521</v>
      </c>
      <c r="AF52" s="22">
        <f t="shared" si="66"/>
        <v>2.7521616197605514</v>
      </c>
    </row>
    <row r="53" spans="1:32" x14ac:dyDescent="0.25">
      <c r="A53" s="18" t="str">
        <f>$A$15</f>
        <v>Process, plant and machine operatives</v>
      </c>
      <c r="B53" s="22">
        <f t="shared" si="42"/>
        <v>-1.39152436587483</v>
      </c>
      <c r="C53" s="22">
        <f t="shared" si="42"/>
        <v>0.20676744827048399</v>
      </c>
      <c r="D53" s="22">
        <f t="shared" si="42"/>
        <v>-1.2465917938316307</v>
      </c>
      <c r="E53" s="22">
        <f t="shared" si="42"/>
        <v>-0.7265054674985949</v>
      </c>
      <c r="F53" s="22">
        <f t="shared" si="54"/>
        <v>-0.98689011236473556</v>
      </c>
      <c r="H53" s="22">
        <f t="shared" si="51"/>
        <v>-0.98689011236473556</v>
      </c>
      <c r="I53" s="22">
        <f t="shared" si="51"/>
        <v>2.6707533519242377</v>
      </c>
      <c r="J53" s="22">
        <f t="shared" si="51"/>
        <v>1.9004574441469968</v>
      </c>
      <c r="L53" s="18" t="str">
        <f>$A$15</f>
        <v>Process, plant and machine operatives</v>
      </c>
      <c r="M53" s="22">
        <f t="shared" si="43"/>
        <v>-1.3001340221723279</v>
      </c>
      <c r="N53" s="22">
        <f t="shared" si="44"/>
        <v>0.3807387799013684</v>
      </c>
      <c r="O53" s="22">
        <f t="shared" si="45"/>
        <v>-1.0255073114889934</v>
      </c>
      <c r="P53" s="22">
        <f t="shared" si="46"/>
        <v>-0.5509818679524936</v>
      </c>
      <c r="Q53" s="22">
        <f t="shared" si="55"/>
        <v>-0.78852829440572147</v>
      </c>
      <c r="R53" s="286"/>
      <c r="S53" s="22">
        <f t="shared" ref="S53:U53" si="67">IF($F$6-$D$6 &lt;&gt; 0,(EXP(LN(1+(S33/100))/($F$6-$D$6))-1)*100,0)</f>
        <v>-0.78852829440572147</v>
      </c>
      <c r="T53" s="22">
        <f t="shared" si="67"/>
        <v>2.6642744755022818</v>
      </c>
      <c r="U53" s="22">
        <f t="shared" si="67"/>
        <v>2.0471074012507806</v>
      </c>
      <c r="W53" s="18" t="str">
        <f>$A$15</f>
        <v>Process, plant and machine operatives</v>
      </c>
      <c r="X53" s="22">
        <f t="shared" si="47"/>
        <v>-2.0308432785928976</v>
      </c>
      <c r="Y53" s="22">
        <f t="shared" si="48"/>
        <v>-1.0744042505111184</v>
      </c>
      <c r="Z53" s="22">
        <f t="shared" si="49"/>
        <v>-3.0179542638824608</v>
      </c>
      <c r="AA53" s="22">
        <f t="shared" si="50"/>
        <v>-2.2746121808952413</v>
      </c>
      <c r="AB53" s="22">
        <f t="shared" si="57"/>
        <v>-2.6469926964131085</v>
      </c>
      <c r="AC53" s="286"/>
      <c r="AD53" s="22">
        <f t="shared" ref="AD53:AF53" si="68">IF($F$6-$D$6 &lt;&gt; 0,(EXP(LN(1+(AD33/100))/($F$6-$D$6))-1)*100,0)</f>
        <v>-2.6469926964131085</v>
      </c>
      <c r="AE53" s="22">
        <f t="shared" si="68"/>
        <v>2.7204875236053194</v>
      </c>
      <c r="AF53" s="22">
        <f t="shared" si="68"/>
        <v>0.70325323110842497</v>
      </c>
    </row>
    <row r="54" spans="1:32" x14ac:dyDescent="0.25">
      <c r="A54" s="18" t="str">
        <f>$A$16</f>
        <v>Elementary occupations</v>
      </c>
      <c r="B54" s="22">
        <f t="shared" si="42"/>
        <v>-1.3802128768733768</v>
      </c>
      <c r="C54" s="22">
        <f t="shared" si="42"/>
        <v>0.98819682615398641</v>
      </c>
      <c r="D54" s="22">
        <f t="shared" si="42"/>
        <v>-4.0235381074271714E-2</v>
      </c>
      <c r="E54" s="22">
        <f t="shared" si="42"/>
        <v>-5.5208452090282911E-3</v>
      </c>
      <c r="F54" s="22">
        <f t="shared" si="54"/>
        <v>-2.2879619860127764E-2</v>
      </c>
      <c r="H54" s="22">
        <f t="shared" si="51"/>
        <v>-2.2879619860127764E-2</v>
      </c>
      <c r="I54" s="22">
        <f t="shared" si="51"/>
        <v>2.7991084822935663</v>
      </c>
      <c r="J54" s="22">
        <f t="shared" si="51"/>
        <v>2.7812667615842779</v>
      </c>
      <c r="L54" s="18" t="str">
        <f>$A$16</f>
        <v>Elementary occupations</v>
      </c>
      <c r="M54" s="22">
        <f t="shared" si="43"/>
        <v>-0.45941737587682496</v>
      </c>
      <c r="N54" s="22">
        <f t="shared" si="44"/>
        <v>1.8606787445903716</v>
      </c>
      <c r="O54" s="22">
        <f t="shared" si="45"/>
        <v>0.46493259310500523</v>
      </c>
      <c r="P54" s="22">
        <f t="shared" si="46"/>
        <v>0.64944703554770111</v>
      </c>
      <c r="Q54" s="22">
        <f t="shared" si="55"/>
        <v>0.55714749315232126</v>
      </c>
      <c r="R54" s="286"/>
      <c r="S54" s="22">
        <f t="shared" ref="S54:U54" si="69">IF($F$6-$D$6 &lt;&gt; 0,(EXP(LN(1+(S34/100))/($F$6-$D$6))-1)*100,0)</f>
        <v>0.55714749315232126</v>
      </c>
      <c r="T54" s="22">
        <f t="shared" si="69"/>
        <v>2.4221646288796084</v>
      </c>
      <c r="U54" s="22">
        <f t="shared" si="69"/>
        <v>2.8737151859137722</v>
      </c>
      <c r="W54" s="18" t="str">
        <f>$A$16</f>
        <v>Elementary occupations</v>
      </c>
      <c r="X54" s="22">
        <f t="shared" si="47"/>
        <v>-2.2774140970246437</v>
      </c>
      <c r="Y54" s="22">
        <f t="shared" si="48"/>
        <v>5.7067476273497952E-2</v>
      </c>
      <c r="Z54" s="22">
        <f t="shared" si="49"/>
        <v>-0.62155064658444559</v>
      </c>
      <c r="AA54" s="22">
        <f t="shared" si="50"/>
        <v>-0.80723521196832682</v>
      </c>
      <c r="AB54" s="22">
        <f t="shared" si="57"/>
        <v>-0.71443633784080696</v>
      </c>
      <c r="AC54" s="286"/>
      <c r="AD54" s="22">
        <f t="shared" ref="AD54:AF54" si="70">IF($F$6-$D$6 &lt;&gt; 0,(EXP(LN(1+(AD34/100))/($F$6-$D$6))-1)*100,0)</f>
        <v>-0.71443633784080696</v>
      </c>
      <c r="AE54" s="22">
        <f t="shared" si="70"/>
        <v>3.209169089667796</v>
      </c>
      <c r="AF54" s="22">
        <f t="shared" si="70"/>
        <v>2.6762668879845686</v>
      </c>
    </row>
    <row r="55" spans="1:32" x14ac:dyDescent="0.25">
      <c r="A55" s="18"/>
      <c r="B55" s="22"/>
      <c r="C55" s="22"/>
      <c r="D55" s="22"/>
      <c r="E55" s="22"/>
      <c r="F55" s="22"/>
      <c r="H55" s="22"/>
      <c r="I55" s="22"/>
      <c r="J55" s="22"/>
      <c r="L55" s="18"/>
      <c r="M55" s="22"/>
      <c r="N55" s="22"/>
      <c r="O55" s="22"/>
      <c r="P55" s="22"/>
      <c r="Q55" s="22"/>
      <c r="R55" s="286"/>
      <c r="S55" s="22"/>
      <c r="T55" s="22"/>
      <c r="U55" s="22"/>
      <c r="W55" s="18"/>
      <c r="X55" s="22"/>
      <c r="Y55" s="22"/>
      <c r="Z55" s="22"/>
      <c r="AA55" s="22"/>
      <c r="AB55" s="22"/>
      <c r="AC55" s="286"/>
      <c r="AD55" s="22"/>
      <c r="AE55" s="22"/>
      <c r="AF55" s="22"/>
    </row>
    <row r="56" spans="1:32" x14ac:dyDescent="0.25">
      <c r="A56" s="28" t="str">
        <f>$A$18</f>
        <v>All occupations</v>
      </c>
      <c r="B56" s="30">
        <f>IF(C$6-B$6 &lt;&gt; 0,(EXP(LN(C18/B18)/(C$6-B$6))-1)*100,0)</f>
        <v>6.2942675480570642E-3</v>
      </c>
      <c r="C56" s="30">
        <f>IF(D$6-C$6 &lt;&gt; 0,(EXP(LN(D18/C18)/(D$6-C$6))-1)*100,0)</f>
        <v>1.8474341286811802</v>
      </c>
      <c r="D56" s="30">
        <f>IF(E$6-D$6 &lt;&gt; 0,(EXP(LN(E18/D18)/(E$6-D$6))-1)*100,0)</f>
        <v>0.22991833206484902</v>
      </c>
      <c r="E56" s="30">
        <f>IF(F$6-E$6 &lt;&gt; 0,(EXP(LN(F18/E18)/(F$6-E$6))-1)*100,0)</f>
        <v>0.32161132563675032</v>
      </c>
      <c r="F56" s="30">
        <f t="shared" si="54"/>
        <v>0.27575434824573808</v>
      </c>
      <c r="H56" s="30">
        <f t="shared" si="51"/>
        <v>0.27575434824573808</v>
      </c>
      <c r="I56" s="30">
        <f t="shared" ref="I56" si="71">IF($F$6-$D$6 &lt;&gt; 0,(EXP(LN(1+(I36/100))/($F$6-$D$6))-1)*100,0)</f>
        <v>2.9108201528928346</v>
      </c>
      <c r="J56" s="30">
        <f t="shared" ref="J56" si="72">IF($F$6-$D$6 &lt;&gt; 0,(EXP(LN(1+(J36/100))/($F$6-$D$6))-1)*100,0)</f>
        <v>3.1244723991264989</v>
      </c>
      <c r="L56" s="28" t="str">
        <f>$A$18</f>
        <v>All occupations</v>
      </c>
      <c r="M56" s="30">
        <f>IF(N$6-M$6 &lt;&gt; 0,(EXP(LN(N18/M18)/(N$6-M$6))-1)*100,0)</f>
        <v>-5.5500267777430778E-2</v>
      </c>
      <c r="N56" s="30">
        <f>IF(O$6-N$6 &lt;&gt; 0,(EXP(LN(O18/N18)/(O$6-N$6))-1)*100,0)</f>
        <v>1.7225975559761464</v>
      </c>
      <c r="O56" s="30">
        <f>IF(P$6-O$6 &lt;&gt; 0,(EXP(LN(P18/O18)/(P$6-O$6))-1)*100,0)</f>
        <v>5.6164720180973404E-2</v>
      </c>
      <c r="P56" s="30">
        <f>IF(Q$6-P$6 &lt;&gt; 0,(EXP(LN(Q18/P18)/(Q$6-P$6))-1)*100,0)</f>
        <v>0.14271402582675119</v>
      </c>
      <c r="Q56" s="30">
        <f t="shared" ref="Q56" si="73">IF(Q$6-O$6 &lt;&gt; 0,(EXP(LN(Q18/O18)/(Q$6-O$6))-1)*100,0)</f>
        <v>9.9430018827284528E-2</v>
      </c>
      <c r="R56" s="286"/>
      <c r="S56" s="30">
        <f t="shared" ref="S56:U56" si="74">IF($F$6-$D$6 &lt;&gt; 0,(EXP(LN(1+(S36/100))/($F$6-$D$6))-1)*100,0)</f>
        <v>9.9430018827284528E-2</v>
      </c>
      <c r="T56" s="30">
        <f t="shared" si="74"/>
        <v>2.4802737809088482</v>
      </c>
      <c r="U56" s="30">
        <f t="shared" si="74"/>
        <v>2.5601056158066626</v>
      </c>
      <c r="W56" s="28" t="str">
        <f>$A$18</f>
        <v>All occupations</v>
      </c>
      <c r="X56" s="30">
        <f>IF(Y$6-X$6 &lt;&gt; 0,(EXP(LN(Y18/X18)/(Y$6-X$6))-1)*100,0)</f>
        <v>7.524841759150025E-2</v>
      </c>
      <c r="Y56" s="30">
        <f>IF(Z$6-Y$6 &lt;&gt; 0,(EXP(LN(Z18/Y18)/(Z$6-Y$6))-1)*100,0)</f>
        <v>1.9854747727221067</v>
      </c>
      <c r="Z56" s="30">
        <f>IF(AA$6-Z$6 &lt;&gt; 0,(EXP(LN(AA18/Z18)/(AA$6-Z$6))-1)*100,0)</f>
        <v>0.41919213249230758</v>
      </c>
      <c r="AA56" s="30">
        <f>IF(AB$6-AA$6 &lt;&gt; 0,(EXP(LN(AB18/AA18)/(AB$6-AA$6))-1)*100,0)</f>
        <v>0.51296483214759991</v>
      </c>
      <c r="AB56" s="30">
        <f t="shared" ref="AB56" si="75">IF(AB$6-Z$6 &lt;&gt; 0,(EXP(LN(AB18/Z18)/(AB$6-Z$6))-1)*100,0)</f>
        <v>0.46606754166240716</v>
      </c>
      <c r="AC56" s="286"/>
      <c r="AD56" s="30">
        <f t="shared" ref="AD56:AF56" si="76">IF($F$6-$D$6 &lt;&gt; 0,(EXP(LN(1+(AD36/100))/($F$6-$D$6))-1)*100,0)</f>
        <v>0.46606754166240716</v>
      </c>
      <c r="AE56" s="30">
        <f t="shared" si="76"/>
        <v>3.3652994177661322</v>
      </c>
      <c r="AF56" s="30">
        <f t="shared" si="76"/>
        <v>3.7133262124077415</v>
      </c>
    </row>
    <row r="57" spans="1:32" x14ac:dyDescent="0.25">
      <c r="A57" s="18"/>
      <c r="B57" s="22"/>
      <c r="C57" s="22"/>
      <c r="D57" s="22"/>
      <c r="E57" s="22"/>
      <c r="F57" s="22"/>
      <c r="L57" s="18"/>
      <c r="M57" s="22"/>
      <c r="N57" s="22"/>
      <c r="O57" s="22"/>
      <c r="P57" s="22"/>
      <c r="Q57" s="22"/>
      <c r="R57" s="286"/>
      <c r="S57" s="286"/>
      <c r="T57" s="286"/>
      <c r="U57" s="286"/>
      <c r="W57" s="18"/>
      <c r="X57" s="22"/>
      <c r="Y57" s="22"/>
      <c r="Z57" s="22"/>
      <c r="AA57" s="22"/>
      <c r="AB57" s="22"/>
      <c r="AC57" s="286"/>
      <c r="AD57" s="286"/>
      <c r="AE57" s="286"/>
      <c r="AF57" s="286"/>
    </row>
    <row r="58" spans="1:32" x14ac:dyDescent="0.25">
      <c r="A58" s="18"/>
      <c r="B58" s="22"/>
      <c r="C58" s="22"/>
      <c r="D58" s="22"/>
      <c r="E58" s="22"/>
      <c r="F58" s="22"/>
      <c r="L58" s="18"/>
      <c r="M58" s="22"/>
      <c r="N58" s="22"/>
      <c r="O58" s="22"/>
      <c r="P58" s="22"/>
      <c r="Q58" s="22"/>
      <c r="R58" s="286"/>
      <c r="S58" s="286"/>
      <c r="T58" s="286"/>
      <c r="U58" s="286"/>
      <c r="W58" s="18"/>
      <c r="X58" s="22"/>
      <c r="Y58" s="22"/>
      <c r="Z58" s="22"/>
      <c r="AA58" s="22"/>
      <c r="AB58" s="22"/>
      <c r="AC58" s="286"/>
      <c r="AD58" s="286"/>
      <c r="AE58" s="286"/>
      <c r="AF58" s="286"/>
    </row>
    <row r="59" spans="1:32" x14ac:dyDescent="0.25">
      <c r="A59" s="18"/>
      <c r="B59" s="22"/>
      <c r="C59" s="22"/>
      <c r="D59" s="22"/>
      <c r="E59" s="22"/>
      <c r="F59" s="19" t="s">
        <v>35</v>
      </c>
      <c r="L59" s="18"/>
      <c r="M59" s="22"/>
      <c r="N59" s="22"/>
      <c r="O59" s="22"/>
      <c r="P59" s="22"/>
      <c r="Q59" s="19" t="s">
        <v>35</v>
      </c>
      <c r="R59" s="286"/>
      <c r="S59" s="286"/>
      <c r="T59" s="286"/>
      <c r="U59" s="286"/>
      <c r="W59" s="18"/>
      <c r="X59" s="22"/>
      <c r="Y59" s="22"/>
      <c r="Z59" s="22"/>
      <c r="AA59" s="22"/>
      <c r="AB59" s="19" t="s">
        <v>35</v>
      </c>
      <c r="AC59" s="286"/>
      <c r="AD59" s="286"/>
      <c r="AE59" s="286"/>
      <c r="AF59" s="286"/>
    </row>
    <row r="60" spans="1:32" x14ac:dyDescent="0.25">
      <c r="A60" s="79"/>
      <c r="B60" s="81"/>
      <c r="C60" s="81"/>
      <c r="D60" s="81"/>
      <c r="E60" s="81"/>
      <c r="F60" s="81"/>
      <c r="L60" s="79"/>
      <c r="M60" s="81"/>
      <c r="N60" s="81"/>
      <c r="O60" s="81"/>
      <c r="P60" s="81"/>
      <c r="Q60" s="81"/>
      <c r="R60" s="286"/>
      <c r="S60" s="286"/>
      <c r="T60" s="286"/>
      <c r="U60" s="286"/>
      <c r="W60" s="79"/>
      <c r="X60" s="81"/>
      <c r="Y60" s="81"/>
      <c r="Z60" s="81"/>
      <c r="AA60" s="81"/>
      <c r="AB60" s="81"/>
      <c r="AC60" s="286"/>
      <c r="AD60" s="286"/>
      <c r="AE60" s="286"/>
      <c r="AF60" s="286"/>
    </row>
    <row r="61" spans="1:32" x14ac:dyDescent="0.25">
      <c r="A61" s="2"/>
      <c r="B61" s="2"/>
      <c r="C61" s="2"/>
      <c r="D61" s="2"/>
      <c r="E61" s="2"/>
      <c r="F61" s="2"/>
      <c r="L61" s="2"/>
      <c r="M61" s="2"/>
      <c r="N61" s="2"/>
      <c r="O61" s="2"/>
      <c r="P61" s="2"/>
      <c r="Q61" s="2"/>
      <c r="R61" s="286"/>
      <c r="S61" s="286"/>
      <c r="T61" s="286"/>
      <c r="U61" s="286"/>
      <c r="W61" s="2"/>
      <c r="X61" s="2"/>
      <c r="Y61" s="2"/>
      <c r="Z61" s="2"/>
      <c r="AA61" s="2"/>
      <c r="AB61" s="2"/>
      <c r="AC61" s="286"/>
      <c r="AD61" s="286"/>
      <c r="AE61" s="286"/>
      <c r="AF61" s="286"/>
    </row>
    <row r="62" spans="1:32" x14ac:dyDescent="0.25">
      <c r="A62" s="50" t="s">
        <v>15</v>
      </c>
      <c r="B62" s="76" t="str">
        <f>CONCATENATE(B$6,"-",C$6)</f>
        <v>2007-2012</v>
      </c>
      <c r="C62" s="76" t="str">
        <f>CONCATENATE(C$6,"-",D$6)</f>
        <v>2012-2017</v>
      </c>
      <c r="D62" s="76" t="str">
        <f>CONCATENATE(D$6,"-",E$6)</f>
        <v>2017-2022</v>
      </c>
      <c r="E62" s="76" t="str">
        <f>CONCATENATE(E$6,"-",F$6)</f>
        <v>2022-2027</v>
      </c>
      <c r="F62" s="76" t="str">
        <f>CONCATENATE(D$6,"-",F$6)</f>
        <v>2017-2027</v>
      </c>
      <c r="L62" s="50" t="s">
        <v>15</v>
      </c>
      <c r="M62" s="76" t="str">
        <f>CONCATENATE(M$6,"-",N$6)</f>
        <v>2007-2012</v>
      </c>
      <c r="N62" s="76" t="str">
        <f>CONCATENATE(N$6,"-",O$6)</f>
        <v>2012-2017</v>
      </c>
      <c r="O62" s="76" t="str">
        <f>CONCATENATE(O$6,"-",P$6)</f>
        <v>2017-2022</v>
      </c>
      <c r="P62" s="76" t="str">
        <f>CONCATENATE(P$6,"-",Q$6)</f>
        <v>2022-2027</v>
      </c>
      <c r="Q62" s="76" t="str">
        <f>CONCATENATE(O$6,"-",Q$6)</f>
        <v>2017-2027</v>
      </c>
      <c r="R62" s="286"/>
      <c r="S62" s="286"/>
      <c r="T62" s="286"/>
      <c r="U62" s="286"/>
      <c r="W62" s="50" t="s">
        <v>15</v>
      </c>
      <c r="X62" s="76" t="str">
        <f>CONCATENATE(X$6,"-",Y$6)</f>
        <v>2007-2012</v>
      </c>
      <c r="Y62" s="76" t="str">
        <f>CONCATENATE(Y$6,"-",Z$6)</f>
        <v>2012-2017</v>
      </c>
      <c r="Z62" s="76" t="str">
        <f>CONCATENATE(Z$6,"-",AA$6)</f>
        <v>2017-2022</v>
      </c>
      <c r="AA62" s="76" t="str">
        <f>CONCATENATE(AA$6,"-",AB$6)</f>
        <v>2022-2027</v>
      </c>
      <c r="AB62" s="76" t="str">
        <f>CONCATENATE(Z$6,"-",AB$6)</f>
        <v>2017-2027</v>
      </c>
      <c r="AC62" s="286"/>
      <c r="AD62" s="286"/>
      <c r="AE62" s="286"/>
      <c r="AF62" s="286"/>
    </row>
    <row r="63" spans="1:32" x14ac:dyDescent="0.25">
      <c r="A63" s="1"/>
      <c r="B63" s="24"/>
      <c r="C63" s="24"/>
      <c r="D63" s="24"/>
      <c r="E63" s="24"/>
      <c r="F63" s="24"/>
      <c r="L63" s="1"/>
      <c r="M63" s="24"/>
      <c r="N63" s="24"/>
      <c r="O63" s="24"/>
      <c r="P63" s="24"/>
      <c r="Q63" s="24"/>
      <c r="R63" s="286"/>
      <c r="S63" s="286"/>
      <c r="T63" s="286"/>
      <c r="U63" s="286"/>
      <c r="W63" s="1"/>
      <c r="X63" s="24"/>
      <c r="Y63" s="24"/>
      <c r="Z63" s="24"/>
      <c r="AA63" s="24"/>
      <c r="AB63" s="24"/>
      <c r="AC63" s="286"/>
      <c r="AD63" s="286"/>
      <c r="AE63" s="286"/>
      <c r="AF63" s="286"/>
    </row>
    <row r="64" spans="1:32" x14ac:dyDescent="0.25">
      <c r="A64" s="18" t="str">
        <f>$A$8</f>
        <v>Managers, directors and senior officials</v>
      </c>
      <c r="B64" s="31">
        <f t="shared" ref="B64:E72" si="77">C8-B8</f>
        <v>267.28302321255796</v>
      </c>
      <c r="C64" s="31">
        <f t="shared" si="77"/>
        <v>523.46910897914859</v>
      </c>
      <c r="D64" s="31">
        <f t="shared" si="77"/>
        <v>231.26766210742289</v>
      </c>
      <c r="E64" s="31">
        <f t="shared" si="77"/>
        <v>207.27939308166287</v>
      </c>
      <c r="F64" s="31">
        <f>F8-D8</f>
        <v>438.54705518908577</v>
      </c>
      <c r="L64" s="18" t="str">
        <f>$A$8</f>
        <v>Managers, directors and senior officials</v>
      </c>
      <c r="M64" s="31">
        <f t="shared" ref="M64:M72" si="78">N8-M8</f>
        <v>90.806616355638425</v>
      </c>
      <c r="N64" s="31">
        <f t="shared" ref="N64:N72" si="79">O8-N8</f>
        <v>256.80164764922233</v>
      </c>
      <c r="O64" s="31">
        <f t="shared" ref="O64:O72" si="80">P8-O8</f>
        <v>79.356591180902342</v>
      </c>
      <c r="P64" s="31">
        <f t="shared" ref="P64:P72" si="81">Q8-P8</f>
        <v>69.633320702604578</v>
      </c>
      <c r="Q64" s="31">
        <f>Q8-O8</f>
        <v>148.98991188350692</v>
      </c>
      <c r="R64" s="286"/>
      <c r="S64" s="286"/>
      <c r="T64" s="286"/>
      <c r="U64" s="286"/>
      <c r="W64" s="18" t="str">
        <f>$A$8</f>
        <v>Managers, directors and senior officials</v>
      </c>
      <c r="X64" s="31">
        <f t="shared" ref="X64:X72" si="82">Y8-X8</f>
        <v>176.47640685691226</v>
      </c>
      <c r="Y64" s="31">
        <f t="shared" ref="Y64:Y72" si="83">Z8-Y8</f>
        <v>266.66746132992057</v>
      </c>
      <c r="Z64" s="31">
        <f t="shared" ref="Z64:Z72" si="84">AA8-Z8</f>
        <v>151.91107092652214</v>
      </c>
      <c r="AA64" s="31">
        <f t="shared" ref="AA64:AA72" si="85">AB8-AA8</f>
        <v>137.64607237906512</v>
      </c>
      <c r="AB64" s="31">
        <f>AB8-Z8</f>
        <v>289.55714330558726</v>
      </c>
      <c r="AC64" s="286"/>
      <c r="AD64" s="286"/>
      <c r="AE64" s="286"/>
      <c r="AF64" s="286"/>
    </row>
    <row r="65" spans="1:32" x14ac:dyDescent="0.25">
      <c r="A65" s="18" t="str">
        <f>$A$9</f>
        <v>Professional occupations</v>
      </c>
      <c r="B65" s="31">
        <f t="shared" si="77"/>
        <v>415.87357805304782</v>
      </c>
      <c r="C65" s="31">
        <f t="shared" si="77"/>
        <v>1031.5665168888909</v>
      </c>
      <c r="D65" s="31">
        <f t="shared" si="77"/>
        <v>401.80832131148145</v>
      </c>
      <c r="E65" s="31">
        <f t="shared" si="77"/>
        <v>419.3187237922557</v>
      </c>
      <c r="F65" s="31">
        <f t="shared" ref="F65:F72" si="86">F9-D9</f>
        <v>821.12704510373715</v>
      </c>
      <c r="L65" s="18" t="str">
        <f>$A$9</f>
        <v>Professional occupations</v>
      </c>
      <c r="M65" s="31">
        <f t="shared" si="78"/>
        <v>227.07731590768844</v>
      </c>
      <c r="N65" s="31">
        <f t="shared" si="79"/>
        <v>424.12104165710844</v>
      </c>
      <c r="O65" s="31">
        <f t="shared" si="80"/>
        <v>78.417997689965432</v>
      </c>
      <c r="P65" s="31">
        <f t="shared" si="81"/>
        <v>75.479205262395681</v>
      </c>
      <c r="Q65" s="31">
        <f t="shared" ref="Q65:Q72" si="87">Q9-O9</f>
        <v>153.89720295236111</v>
      </c>
      <c r="R65" s="286"/>
      <c r="S65" s="286"/>
      <c r="T65" s="286"/>
      <c r="U65" s="286"/>
      <c r="W65" s="18" t="str">
        <f>$A$9</f>
        <v>Professional occupations</v>
      </c>
      <c r="X65" s="31">
        <f t="shared" si="82"/>
        <v>188.79626214535028</v>
      </c>
      <c r="Y65" s="31">
        <f t="shared" si="83"/>
        <v>607.44547523179563</v>
      </c>
      <c r="Z65" s="31">
        <f t="shared" si="84"/>
        <v>323.39032362150419</v>
      </c>
      <c r="AA65" s="31">
        <f t="shared" si="85"/>
        <v>343.8395185298732</v>
      </c>
      <c r="AB65" s="31">
        <f t="shared" ref="AB65:AB72" si="88">AB9-Z9</f>
        <v>667.2298421513774</v>
      </c>
      <c r="AC65" s="286"/>
      <c r="AD65" s="286"/>
      <c r="AE65" s="286"/>
      <c r="AF65" s="286"/>
    </row>
    <row r="66" spans="1:32" x14ac:dyDescent="0.25">
      <c r="A66" s="18" t="str">
        <f>$A$10</f>
        <v>Associate professional and technical</v>
      </c>
      <c r="B66" s="31">
        <f t="shared" si="77"/>
        <v>53.19811831624429</v>
      </c>
      <c r="C66" s="31">
        <f t="shared" si="77"/>
        <v>638.99661201118579</v>
      </c>
      <c r="D66" s="31">
        <f t="shared" si="77"/>
        <v>238.76286807173346</v>
      </c>
      <c r="E66" s="31">
        <f t="shared" si="77"/>
        <v>186.37540940829513</v>
      </c>
      <c r="F66" s="31">
        <f t="shared" si="86"/>
        <v>425.13827748002859</v>
      </c>
      <c r="L66" s="18" t="str">
        <f>$A$10</f>
        <v>Associate professional and technical</v>
      </c>
      <c r="M66" s="31">
        <f t="shared" si="78"/>
        <v>-11.571323274211863</v>
      </c>
      <c r="N66" s="31">
        <f t="shared" si="79"/>
        <v>277.70303246230378</v>
      </c>
      <c r="O66" s="31">
        <f t="shared" si="80"/>
        <v>44.714615283055537</v>
      </c>
      <c r="P66" s="31">
        <f t="shared" si="81"/>
        <v>21.982098240050618</v>
      </c>
      <c r="Q66" s="31">
        <f t="shared" si="87"/>
        <v>66.696713523106155</v>
      </c>
      <c r="R66" s="286"/>
      <c r="S66" s="286"/>
      <c r="T66" s="286"/>
      <c r="U66" s="286"/>
      <c r="W66" s="18" t="str">
        <f>$A$10</f>
        <v>Associate professional and technical</v>
      </c>
      <c r="X66" s="31">
        <f t="shared" si="82"/>
        <v>64.769441590456609</v>
      </c>
      <c r="Y66" s="31">
        <f t="shared" si="83"/>
        <v>361.29357954888883</v>
      </c>
      <c r="Z66" s="31">
        <f t="shared" si="84"/>
        <v>194.04825278867202</v>
      </c>
      <c r="AA66" s="31">
        <f t="shared" si="85"/>
        <v>164.39331116824223</v>
      </c>
      <c r="AB66" s="31">
        <f t="shared" si="88"/>
        <v>358.44156395691425</v>
      </c>
      <c r="AC66" s="286"/>
      <c r="AD66" s="286"/>
      <c r="AE66" s="286"/>
      <c r="AF66" s="286"/>
    </row>
    <row r="67" spans="1:32" x14ac:dyDescent="0.25">
      <c r="A67" s="18" t="str">
        <f>$A$11</f>
        <v>Administrative and secretarial</v>
      </c>
      <c r="B67" s="31">
        <f t="shared" si="77"/>
        <v>-336.68836949335264</v>
      </c>
      <c r="C67" s="31">
        <f t="shared" si="77"/>
        <v>-5.9027256768308689</v>
      </c>
      <c r="D67" s="31">
        <f t="shared" si="77"/>
        <v>-321.70003432540716</v>
      </c>
      <c r="E67" s="31">
        <f t="shared" si="77"/>
        <v>-281.93128626648377</v>
      </c>
      <c r="F67" s="31">
        <f t="shared" si="86"/>
        <v>-603.63132059189093</v>
      </c>
      <c r="L67" s="18" t="str">
        <f>$A$11</f>
        <v>Administrative and secretarial</v>
      </c>
      <c r="M67" s="31">
        <f t="shared" si="78"/>
        <v>-13.620905812840874</v>
      </c>
      <c r="N67" s="31">
        <f t="shared" si="79"/>
        <v>61.476561034219344</v>
      </c>
      <c r="O67" s="31">
        <f t="shared" si="80"/>
        <v>-14.720962162204046</v>
      </c>
      <c r="P67" s="31">
        <f t="shared" si="81"/>
        <v>1.3001220862245191</v>
      </c>
      <c r="Q67" s="31">
        <f t="shared" si="87"/>
        <v>-13.420840075979527</v>
      </c>
      <c r="R67" s="286"/>
      <c r="S67" s="286"/>
      <c r="T67" s="286"/>
      <c r="U67" s="286"/>
      <c r="W67" s="18" t="str">
        <f>$A$11</f>
        <v>Administrative and secretarial</v>
      </c>
      <c r="X67" s="31">
        <f t="shared" si="82"/>
        <v>-323.06746368050517</v>
      </c>
      <c r="Y67" s="31">
        <f t="shared" si="83"/>
        <v>-67.37928671105692</v>
      </c>
      <c r="Z67" s="31">
        <f t="shared" si="84"/>
        <v>-306.97907216319436</v>
      </c>
      <c r="AA67" s="31">
        <f t="shared" si="85"/>
        <v>-283.2314083527076</v>
      </c>
      <c r="AB67" s="31">
        <f t="shared" si="88"/>
        <v>-590.21048051590196</v>
      </c>
      <c r="AC67" s="286"/>
      <c r="AD67" s="286"/>
      <c r="AE67" s="286"/>
      <c r="AF67" s="286"/>
    </row>
    <row r="68" spans="1:32" x14ac:dyDescent="0.25">
      <c r="A68" s="18" t="str">
        <f>$A$12</f>
        <v>Skilled trades occupations</v>
      </c>
      <c r="B68" s="31">
        <f t="shared" si="77"/>
        <v>-222.57489278207095</v>
      </c>
      <c r="C68" s="31">
        <f t="shared" si="77"/>
        <v>71.795923925795705</v>
      </c>
      <c r="D68" s="31">
        <f t="shared" si="77"/>
        <v>-163.88310659761919</v>
      </c>
      <c r="E68" s="31">
        <f t="shared" si="77"/>
        <v>-142.76770009896882</v>
      </c>
      <c r="F68" s="31">
        <f t="shared" si="86"/>
        <v>-306.65080669658801</v>
      </c>
      <c r="L68" s="18" t="str">
        <f>$A$12</f>
        <v>Skilled trades occupations</v>
      </c>
      <c r="M68" s="31">
        <f t="shared" si="78"/>
        <v>-196.80664117249444</v>
      </c>
      <c r="N68" s="31">
        <f t="shared" si="79"/>
        <v>49.683113143218634</v>
      </c>
      <c r="O68" s="31">
        <f t="shared" si="80"/>
        <v>-157.48184364032522</v>
      </c>
      <c r="P68" s="31">
        <f t="shared" si="81"/>
        <v>-133.05750304982803</v>
      </c>
      <c r="Q68" s="31">
        <f t="shared" si="87"/>
        <v>-290.53934669015325</v>
      </c>
      <c r="R68" s="286"/>
      <c r="S68" s="286"/>
      <c r="T68" s="286"/>
      <c r="U68" s="286"/>
      <c r="W68" s="18" t="str">
        <f>$A$12</f>
        <v>Skilled trades occupations</v>
      </c>
      <c r="X68" s="31">
        <f t="shared" si="82"/>
        <v>-25.768251609579465</v>
      </c>
      <c r="Y68" s="31">
        <f t="shared" si="83"/>
        <v>22.112810782581846</v>
      </c>
      <c r="Z68" s="31">
        <f t="shared" si="84"/>
        <v>-6.4012629573005029</v>
      </c>
      <c r="AA68" s="31">
        <f t="shared" si="85"/>
        <v>-9.7101970491370366</v>
      </c>
      <c r="AB68" s="31">
        <f t="shared" si="88"/>
        <v>-16.11146000643754</v>
      </c>
      <c r="AC68" s="286"/>
      <c r="AD68" s="286"/>
      <c r="AE68" s="286"/>
      <c r="AF68" s="286"/>
    </row>
    <row r="69" spans="1:32" x14ac:dyDescent="0.25">
      <c r="A69" s="18" t="str">
        <f>$A$13</f>
        <v>Caring, leisure and other service</v>
      </c>
      <c r="B69" s="31">
        <f t="shared" si="77"/>
        <v>243.99874731894033</v>
      </c>
      <c r="C69" s="31">
        <f t="shared" si="77"/>
        <v>455.53655568389877</v>
      </c>
      <c r="D69" s="31">
        <f t="shared" si="77"/>
        <v>204.47016757162828</v>
      </c>
      <c r="E69" s="31">
        <f t="shared" si="77"/>
        <v>261.25290034551563</v>
      </c>
      <c r="F69" s="31">
        <f t="shared" si="86"/>
        <v>465.72306791714391</v>
      </c>
      <c r="L69" s="18" t="str">
        <f>$A$13</f>
        <v>Caring, leisure and other service</v>
      </c>
      <c r="M69" s="31">
        <f t="shared" si="78"/>
        <v>19.578229853238327</v>
      </c>
      <c r="N69" s="31">
        <f t="shared" si="79"/>
        <v>94.582821468382576</v>
      </c>
      <c r="O69" s="31">
        <f t="shared" si="80"/>
        <v>48.067873797448442</v>
      </c>
      <c r="P69" s="31">
        <f t="shared" si="81"/>
        <v>64.447123828638837</v>
      </c>
      <c r="Q69" s="31">
        <f t="shared" si="87"/>
        <v>112.51499762608728</v>
      </c>
      <c r="R69" s="286"/>
      <c r="S69" s="286"/>
      <c r="T69" s="286"/>
      <c r="U69" s="286"/>
      <c r="W69" s="18" t="str">
        <f>$A$13</f>
        <v>Caring, leisure and other service</v>
      </c>
      <c r="X69" s="31">
        <f t="shared" si="82"/>
        <v>224.42051746570496</v>
      </c>
      <c r="Y69" s="31">
        <f t="shared" si="83"/>
        <v>360.95373421551722</v>
      </c>
      <c r="Z69" s="31">
        <f t="shared" si="84"/>
        <v>156.402293774182</v>
      </c>
      <c r="AA69" s="31">
        <f t="shared" si="85"/>
        <v>196.80577651687418</v>
      </c>
      <c r="AB69" s="31">
        <f t="shared" si="88"/>
        <v>353.20807029105617</v>
      </c>
      <c r="AC69" s="286"/>
      <c r="AD69" s="286"/>
      <c r="AE69" s="286"/>
      <c r="AF69" s="286"/>
    </row>
    <row r="70" spans="1:32" x14ac:dyDescent="0.25">
      <c r="A70" s="18" t="str">
        <f>$A$14</f>
        <v>Sales and customer service</v>
      </c>
      <c r="B70" s="31">
        <f t="shared" si="77"/>
        <v>16.532024575712512</v>
      </c>
      <c r="C70" s="31">
        <f t="shared" si="77"/>
        <v>120.31765738513968</v>
      </c>
      <c r="D70" s="31">
        <f t="shared" si="77"/>
        <v>-47.787604411020311</v>
      </c>
      <c r="E70" s="31">
        <f t="shared" si="77"/>
        <v>-4.6322404687762173</v>
      </c>
      <c r="F70" s="31">
        <f t="shared" si="86"/>
        <v>-52.419844879796528</v>
      </c>
      <c r="L70" s="18" t="str">
        <f>$A$14</f>
        <v>Sales and customer service</v>
      </c>
      <c r="M70" s="31">
        <f t="shared" si="78"/>
        <v>10.511860057665899</v>
      </c>
      <c r="N70" s="31">
        <f t="shared" si="79"/>
        <v>107.13268217567611</v>
      </c>
      <c r="O70" s="31">
        <f t="shared" si="80"/>
        <v>20.655805067557822</v>
      </c>
      <c r="P70" s="31">
        <f t="shared" si="81"/>
        <v>10.434245945911925</v>
      </c>
      <c r="Q70" s="31">
        <f t="shared" si="87"/>
        <v>31.090051013469747</v>
      </c>
      <c r="R70" s="286"/>
      <c r="S70" s="286"/>
      <c r="T70" s="286"/>
      <c r="U70" s="286"/>
      <c r="W70" s="18" t="str">
        <f>$A$14</f>
        <v>Sales and customer service</v>
      </c>
      <c r="X70" s="31">
        <f t="shared" si="82"/>
        <v>6.0201645180486594</v>
      </c>
      <c r="Y70" s="31">
        <f t="shared" si="83"/>
        <v>13.184975209465165</v>
      </c>
      <c r="Z70" s="31">
        <f t="shared" si="84"/>
        <v>-68.443409478577223</v>
      </c>
      <c r="AA70" s="31">
        <f t="shared" si="85"/>
        <v>-15.066486414691326</v>
      </c>
      <c r="AB70" s="31">
        <f t="shared" si="88"/>
        <v>-83.509895893268549</v>
      </c>
      <c r="AC70" s="286"/>
      <c r="AD70" s="286"/>
      <c r="AE70" s="286"/>
      <c r="AF70" s="286"/>
    </row>
    <row r="71" spans="1:32" x14ac:dyDescent="0.25">
      <c r="A71" s="18" t="str">
        <f>$A$15</f>
        <v>Process, plant and machine operatives</v>
      </c>
      <c r="B71" s="31">
        <f t="shared" si="77"/>
        <v>-156.59068810735789</v>
      </c>
      <c r="C71" s="31">
        <f t="shared" si="77"/>
        <v>22.398075437190528</v>
      </c>
      <c r="D71" s="31">
        <f t="shared" si="77"/>
        <v>-132.53013093568734</v>
      </c>
      <c r="E71" s="31">
        <f t="shared" si="77"/>
        <v>-73.300493968654337</v>
      </c>
      <c r="F71" s="31">
        <f t="shared" si="86"/>
        <v>-205.83062490434168</v>
      </c>
      <c r="L71" s="18" t="str">
        <f>$A$15</f>
        <v>Process, plant and machine operatives</v>
      </c>
      <c r="M71" s="31">
        <f t="shared" si="78"/>
        <v>-128.00286065708815</v>
      </c>
      <c r="N71" s="31">
        <f t="shared" si="79"/>
        <v>36.311235658799433</v>
      </c>
      <c r="O71" s="31">
        <f t="shared" si="80"/>
        <v>-96.914839380594913</v>
      </c>
      <c r="P71" s="31">
        <f t="shared" si="81"/>
        <v>-49.926002142628931</v>
      </c>
      <c r="Q71" s="31">
        <f t="shared" si="87"/>
        <v>-146.84084152322384</v>
      </c>
      <c r="R71" s="286"/>
      <c r="S71" s="286"/>
      <c r="T71" s="286"/>
      <c r="U71" s="286"/>
      <c r="W71" s="18" t="str">
        <f>$A$15</f>
        <v>Process, plant and machine operatives</v>
      </c>
      <c r="X71" s="31">
        <f t="shared" si="82"/>
        <v>-28.58782745027105</v>
      </c>
      <c r="Y71" s="31">
        <f t="shared" si="83"/>
        <v>-13.913160221612316</v>
      </c>
      <c r="Z71" s="31">
        <f t="shared" si="84"/>
        <v>-35.615291555094984</v>
      </c>
      <c r="AA71" s="31">
        <f t="shared" si="85"/>
        <v>-23.374491826023558</v>
      </c>
      <c r="AB71" s="31">
        <f t="shared" si="88"/>
        <v>-58.989783381118542</v>
      </c>
      <c r="AC71" s="286"/>
      <c r="AD71" s="286"/>
      <c r="AE71" s="286"/>
      <c r="AF71" s="286"/>
    </row>
    <row r="72" spans="1:32" x14ac:dyDescent="0.25">
      <c r="A72" s="18" t="str">
        <f>$A$16</f>
        <v>Elementary occupations</v>
      </c>
      <c r="B72" s="31">
        <f t="shared" si="77"/>
        <v>-271.02554109353468</v>
      </c>
      <c r="C72" s="31">
        <f t="shared" si="77"/>
        <v>189.80127536530836</v>
      </c>
      <c r="D72" s="31">
        <f t="shared" si="77"/>
        <v>-7.9521427925524222</v>
      </c>
      <c r="E72" s="31">
        <f t="shared" si="77"/>
        <v>-1.089705824673274</v>
      </c>
      <c r="F72" s="31">
        <f t="shared" si="86"/>
        <v>-9.0418486172256962</v>
      </c>
      <c r="L72" s="18" t="str">
        <f>$A$16</f>
        <v>Elementary occupations</v>
      </c>
      <c r="M72" s="31">
        <f t="shared" si="78"/>
        <v>-44.502291257425441</v>
      </c>
      <c r="N72" s="31">
        <f t="shared" si="79"/>
        <v>184.50086475094258</v>
      </c>
      <c r="O72" s="31">
        <f t="shared" si="80"/>
        <v>49.161762164220818</v>
      </c>
      <c r="P72" s="31">
        <f t="shared" si="81"/>
        <v>70.543389126682996</v>
      </c>
      <c r="Q72" s="31">
        <f t="shared" si="87"/>
        <v>119.70515129090381</v>
      </c>
      <c r="R72" s="286"/>
      <c r="S72" s="286"/>
      <c r="T72" s="286"/>
      <c r="U72" s="286"/>
      <c r="W72" s="18" t="str">
        <f>$A$16</f>
        <v>Elementary occupations</v>
      </c>
      <c r="X72" s="31">
        <f t="shared" si="82"/>
        <v>-226.52324983611129</v>
      </c>
      <c r="Y72" s="31">
        <f t="shared" si="83"/>
        <v>5.3004106143700938</v>
      </c>
      <c r="Z72" s="31">
        <f t="shared" si="84"/>
        <v>-57.113904956782335</v>
      </c>
      <c r="AA72" s="31">
        <f t="shared" si="85"/>
        <v>-71.633094951356497</v>
      </c>
      <c r="AB72" s="31">
        <f t="shared" si="88"/>
        <v>-128.74699990813883</v>
      </c>
      <c r="AC72" s="286"/>
      <c r="AD72" s="286"/>
      <c r="AE72" s="286"/>
      <c r="AF72" s="286"/>
    </row>
    <row r="73" spans="1:32" x14ac:dyDescent="0.25">
      <c r="A73" s="18"/>
      <c r="B73" s="31"/>
      <c r="C73" s="31"/>
      <c r="D73" s="31"/>
      <c r="E73" s="31"/>
      <c r="F73" s="31"/>
      <c r="L73" s="18"/>
      <c r="M73" s="31"/>
      <c r="N73" s="31"/>
      <c r="O73" s="31"/>
      <c r="P73" s="31"/>
      <c r="Q73" s="31"/>
      <c r="R73" s="286"/>
      <c r="S73" s="286"/>
      <c r="T73" s="286"/>
      <c r="U73" s="286"/>
      <c r="W73" s="18"/>
      <c r="X73" s="31"/>
      <c r="Y73" s="31"/>
      <c r="Z73" s="31"/>
      <c r="AA73" s="31"/>
      <c r="AB73" s="31"/>
      <c r="AC73" s="286"/>
      <c r="AD73" s="286"/>
      <c r="AE73" s="286"/>
      <c r="AF73" s="286"/>
    </row>
    <row r="74" spans="1:32" x14ac:dyDescent="0.25">
      <c r="A74" s="28" t="str">
        <f>$A$18</f>
        <v>All occupations</v>
      </c>
      <c r="B74" s="33">
        <f>C18-B18</f>
        <v>10.006000000186759</v>
      </c>
      <c r="C74" s="33">
        <f t="shared" ref="C74" si="89">D18-C18</f>
        <v>3047.9789999997301</v>
      </c>
      <c r="D74" s="33">
        <f>E18-D18</f>
        <v>402.45599999997648</v>
      </c>
      <c r="E74" s="33">
        <f>F18-E18</f>
        <v>570.50500000017928</v>
      </c>
      <c r="F74" s="33">
        <f>F18-D18</f>
        <v>972.96100000015576</v>
      </c>
      <c r="L74" s="28" t="str">
        <f>$A$18</f>
        <v>All occupations</v>
      </c>
      <c r="M74" s="33">
        <f>N18-M18</f>
        <v>-46.529999999827851</v>
      </c>
      <c r="N74" s="33">
        <f t="shared" ref="N74" si="90">O18-N18</f>
        <v>1492.3129999998746</v>
      </c>
      <c r="O74" s="33">
        <f>P18-O18</f>
        <v>51.257000000023254</v>
      </c>
      <c r="P74" s="33">
        <f>Q18-P18</f>
        <v>130.8360000000539</v>
      </c>
      <c r="Q74" s="33">
        <f>Q18-O18</f>
        <v>182.09300000007715</v>
      </c>
      <c r="R74" s="286"/>
      <c r="S74" s="286"/>
      <c r="T74" s="286"/>
      <c r="U74" s="286"/>
      <c r="W74" s="28" t="str">
        <f>$A$18</f>
        <v>All occupations</v>
      </c>
      <c r="X74" s="33">
        <f>Y18-X18</f>
        <v>56.536000000007334</v>
      </c>
      <c r="Y74" s="33">
        <f t="shared" ref="Y74" si="91">Z18-Y18</f>
        <v>1555.6659999998665</v>
      </c>
      <c r="Z74" s="33">
        <f>AA18-Z18</f>
        <v>351.1989999999314</v>
      </c>
      <c r="AA74" s="33">
        <f>AB18-AA18</f>
        <v>439.66900000013993</v>
      </c>
      <c r="AB74" s="33">
        <f>AB18-Z18</f>
        <v>790.86800000007133</v>
      </c>
      <c r="AC74" s="286"/>
      <c r="AD74" s="286"/>
      <c r="AE74" s="286"/>
      <c r="AF74" s="286"/>
    </row>
    <row r="75" spans="1:32" x14ac:dyDescent="0.25">
      <c r="L75" s="286"/>
      <c r="M75" s="286"/>
      <c r="N75" s="286"/>
      <c r="O75" s="286"/>
      <c r="P75" s="286"/>
      <c r="Q75" s="286"/>
      <c r="R75" s="286"/>
      <c r="S75" s="286"/>
      <c r="T75" s="286"/>
      <c r="U75" s="286"/>
      <c r="W75" s="286"/>
      <c r="X75" s="286"/>
      <c r="Y75" s="286"/>
      <c r="Z75" s="286"/>
      <c r="AA75" s="286"/>
      <c r="AB75" s="286"/>
      <c r="AC75" s="286"/>
      <c r="AD75" s="286"/>
      <c r="AE75" s="286"/>
      <c r="AF75" s="286"/>
    </row>
    <row r="76" spans="1:32" x14ac:dyDescent="0.25">
      <c r="L76" s="286"/>
      <c r="M76" s="286"/>
      <c r="N76" s="286"/>
      <c r="O76" s="286"/>
      <c r="P76" s="286"/>
      <c r="Q76" s="286"/>
      <c r="R76" s="286"/>
      <c r="S76" s="286"/>
      <c r="T76" s="286"/>
      <c r="U76" s="286"/>
      <c r="W76" s="286"/>
      <c r="X76" s="286"/>
      <c r="Y76" s="286"/>
      <c r="Z76" s="286"/>
      <c r="AA76" s="286"/>
      <c r="AB76" s="286"/>
      <c r="AC76" s="286"/>
      <c r="AD76" s="286"/>
      <c r="AE76" s="286"/>
      <c r="AF76" s="286"/>
    </row>
    <row r="77" spans="1:32" x14ac:dyDescent="0.25">
      <c r="L77" s="286"/>
      <c r="M77" s="286"/>
      <c r="N77" s="286"/>
      <c r="O77" s="286"/>
      <c r="P77" s="286"/>
      <c r="Q77" s="286"/>
      <c r="R77" s="286"/>
      <c r="S77" s="286"/>
      <c r="T77" s="286"/>
      <c r="U77" s="286"/>
      <c r="W77" s="286"/>
      <c r="X77" s="286"/>
      <c r="Y77" s="286"/>
      <c r="Z77" s="286"/>
      <c r="AA77" s="286"/>
      <c r="AB77" s="286"/>
      <c r="AC77" s="286"/>
      <c r="AD77" s="286"/>
      <c r="AE77" s="286"/>
      <c r="AF77" s="286"/>
    </row>
    <row r="78" spans="1:32" x14ac:dyDescent="0.25">
      <c r="D78" s="1" t="s">
        <v>13</v>
      </c>
      <c r="H78" s="50" t="s">
        <v>41</v>
      </c>
      <c r="L78" s="286"/>
      <c r="M78" s="286"/>
      <c r="N78" s="286"/>
      <c r="O78" s="1" t="s">
        <v>13</v>
      </c>
      <c r="P78" s="286"/>
      <c r="Q78" s="286"/>
      <c r="R78" s="286"/>
      <c r="S78" s="50" t="s">
        <v>41</v>
      </c>
      <c r="T78" s="286"/>
      <c r="U78" s="286"/>
      <c r="W78" s="286"/>
      <c r="X78" s="286"/>
      <c r="Y78" s="286"/>
      <c r="Z78" s="1" t="s">
        <v>13</v>
      </c>
      <c r="AA78" s="286"/>
      <c r="AB78" s="286"/>
      <c r="AC78" s="286"/>
      <c r="AD78" s="50" t="s">
        <v>41</v>
      </c>
      <c r="AE78" s="286"/>
      <c r="AF78" s="286"/>
    </row>
    <row r="79" spans="1:32" x14ac:dyDescent="0.25">
      <c r="A79" s="26"/>
      <c r="B79" s="27">
        <f>B6</f>
        <v>2007</v>
      </c>
      <c r="C79" s="27">
        <f>C6</f>
        <v>2012</v>
      </c>
      <c r="D79" s="27">
        <f>D6</f>
        <v>2017</v>
      </c>
      <c r="E79" s="27">
        <f>E6</f>
        <v>2022</v>
      </c>
      <c r="F79" s="27">
        <f>F6</f>
        <v>2027</v>
      </c>
      <c r="H79" s="96" t="str">
        <f>CONCATENATE(B$6,"-",D$6)</f>
        <v>2007-2017</v>
      </c>
      <c r="I79" s="96" t="str">
        <f>F44</f>
        <v>2017-2027</v>
      </c>
      <c r="L79" s="26"/>
      <c r="M79" s="27">
        <f>M6</f>
        <v>2007</v>
      </c>
      <c r="N79" s="27">
        <f>N6</f>
        <v>2012</v>
      </c>
      <c r="O79" s="27">
        <f>O6</f>
        <v>2017</v>
      </c>
      <c r="P79" s="27">
        <f>P6</f>
        <v>2022</v>
      </c>
      <c r="Q79" s="27">
        <f>Q6</f>
        <v>2027</v>
      </c>
      <c r="R79" s="286"/>
      <c r="S79" s="96" t="str">
        <f>CONCATENATE(M$6,"-",O$6)</f>
        <v>2007-2017</v>
      </c>
      <c r="T79" s="96" t="str">
        <f>Q44</f>
        <v>2017-2027</v>
      </c>
      <c r="U79" s="286"/>
      <c r="W79" s="26"/>
      <c r="X79" s="27">
        <f>X6</f>
        <v>2007</v>
      </c>
      <c r="Y79" s="27">
        <f>Y6</f>
        <v>2012</v>
      </c>
      <c r="Z79" s="27">
        <f>Z6</f>
        <v>2017</v>
      </c>
      <c r="AA79" s="27">
        <f>AA6</f>
        <v>2022</v>
      </c>
      <c r="AB79" s="27">
        <f>AB6</f>
        <v>2027</v>
      </c>
      <c r="AC79" s="286"/>
      <c r="AD79" s="96" t="str">
        <f>CONCATENATE(X$6,"-",Z$6)</f>
        <v>2007-2017</v>
      </c>
      <c r="AE79" s="96" t="str">
        <f>AB44</f>
        <v>2017-2027</v>
      </c>
      <c r="AF79" s="286"/>
    </row>
    <row r="80" spans="1:32" x14ac:dyDescent="0.25">
      <c r="A80" t="str">
        <f t="shared" ref="A80:F88" si="92">A8</f>
        <v>Managers, directors and senior officials</v>
      </c>
      <c r="B80" s="13">
        <f t="shared" si="92"/>
        <v>2775.6722245764886</v>
      </c>
      <c r="C80" s="13">
        <f t="shared" si="92"/>
        <v>3042.9552477890466</v>
      </c>
      <c r="D80" s="13">
        <f t="shared" si="92"/>
        <v>3566.4243567681951</v>
      </c>
      <c r="E80" s="13">
        <f t="shared" si="92"/>
        <v>3797.692018875618</v>
      </c>
      <c r="F80" s="13">
        <f t="shared" si="92"/>
        <v>4004.9714119572809</v>
      </c>
      <c r="H80" s="49">
        <f>IF(D$6-B$6 &lt;&gt; 0,(EXP(LN(D8/B8)/(D$6-B$6))-1)*100,0)</f>
        <v>2.5383875558960156</v>
      </c>
      <c r="I80" s="49">
        <f t="shared" ref="I80:I88" si="93">F46</f>
        <v>1.1664802251299955</v>
      </c>
      <c r="L80" s="286" t="str">
        <f t="shared" ref="L80:Q88" si="94">L8</f>
        <v>Managers, directors and senior officials</v>
      </c>
      <c r="M80" s="13">
        <f t="shared" si="94"/>
        <v>1939.7252496281017</v>
      </c>
      <c r="N80" s="13">
        <f t="shared" si="94"/>
        <v>2030.5318659837401</v>
      </c>
      <c r="O80" s="13">
        <f t="shared" si="94"/>
        <v>2287.3335136329624</v>
      </c>
      <c r="P80" s="13">
        <f t="shared" si="94"/>
        <v>2366.6901048138648</v>
      </c>
      <c r="Q80" s="13">
        <f t="shared" si="94"/>
        <v>2436.3234255164693</v>
      </c>
      <c r="R80" s="286"/>
      <c r="S80" s="49">
        <f t="shared" ref="S80:S88" si="95">IF(O$6-M$6 &lt;&gt; 0,(EXP(LN(O8/M8)/(O$6-M$6))-1)*100,0)</f>
        <v>1.6620650928501401</v>
      </c>
      <c r="T80" s="49">
        <f t="shared" ref="T80:T88" si="96">Q46</f>
        <v>0.63302896798234087</v>
      </c>
      <c r="U80" s="286"/>
      <c r="W80" s="286" t="str">
        <f t="shared" ref="W80:AB88" si="97">W8</f>
        <v>Managers, directors and senior officials</v>
      </c>
      <c r="X80" s="13">
        <f t="shared" si="97"/>
        <v>835.94697494839284</v>
      </c>
      <c r="Y80" s="13">
        <f t="shared" si="97"/>
        <v>1012.4233818053051</v>
      </c>
      <c r="Z80" s="13">
        <f t="shared" si="97"/>
        <v>1279.0908431352257</v>
      </c>
      <c r="AA80" s="13">
        <f t="shared" si="97"/>
        <v>1431.0019140617478</v>
      </c>
      <c r="AB80" s="13">
        <f t="shared" si="97"/>
        <v>1568.6479864408129</v>
      </c>
      <c r="AC80" s="286"/>
      <c r="AD80" s="49">
        <f t="shared" ref="AD80:AD88" si="98">IF(Z$6-X$6 &lt;&gt; 0,(EXP(LN(Z8/X8)/(Z$6-X$6))-1)*100,0)</f>
        <v>4.3451495742889312</v>
      </c>
      <c r="AE80" s="49">
        <f t="shared" ref="AE80:AE88" si="99">AB46</f>
        <v>2.0616089883696898</v>
      </c>
      <c r="AF80" s="286"/>
    </row>
    <row r="81" spans="1:32" x14ac:dyDescent="0.25">
      <c r="A81" t="str">
        <f t="shared" si="92"/>
        <v>Professional occupations</v>
      </c>
      <c r="B81" s="13">
        <f t="shared" si="92"/>
        <v>5426.0517436222353</v>
      </c>
      <c r="C81" s="13">
        <f t="shared" si="92"/>
        <v>5841.9253216752832</v>
      </c>
      <c r="D81" s="13">
        <f t="shared" si="92"/>
        <v>6873.491838564174</v>
      </c>
      <c r="E81" s="13">
        <f t="shared" si="92"/>
        <v>7275.3001598756555</v>
      </c>
      <c r="F81" s="13">
        <f t="shared" si="92"/>
        <v>7694.6188836679112</v>
      </c>
      <c r="H81" s="49">
        <f t="shared" ref="H81:H88" si="100">IF(D$6-B$6 &lt;&gt; 0,(EXP(LN(D9/B9)/(D$6-B$6))-1)*100,0)</f>
        <v>2.3927834499514855</v>
      </c>
      <c r="I81" s="49">
        <f t="shared" si="93"/>
        <v>1.1348813439825411</v>
      </c>
      <c r="L81" s="286" t="str">
        <f t="shared" si="94"/>
        <v>Professional occupations</v>
      </c>
      <c r="M81" s="13">
        <f t="shared" si="94"/>
        <v>2734.8495458400162</v>
      </c>
      <c r="N81" s="13">
        <f t="shared" si="94"/>
        <v>2961.9268617477046</v>
      </c>
      <c r="O81" s="13">
        <f t="shared" si="94"/>
        <v>3386.047903404813</v>
      </c>
      <c r="P81" s="13">
        <f t="shared" si="94"/>
        <v>3464.4659010947785</v>
      </c>
      <c r="Q81" s="13">
        <f t="shared" si="94"/>
        <v>3539.9451063571742</v>
      </c>
      <c r="R81" s="286"/>
      <c r="S81" s="49">
        <f t="shared" si="95"/>
        <v>2.1588430449702489</v>
      </c>
      <c r="T81" s="49">
        <f t="shared" si="96"/>
        <v>0.44546716058140312</v>
      </c>
      <c r="U81" s="286"/>
      <c r="W81" s="286" t="str">
        <f t="shared" si="97"/>
        <v>Professional occupations</v>
      </c>
      <c r="X81" s="13">
        <f t="shared" si="97"/>
        <v>2691.202197782221</v>
      </c>
      <c r="Y81" s="13">
        <f t="shared" si="97"/>
        <v>2879.9984599275713</v>
      </c>
      <c r="Z81" s="13">
        <f t="shared" si="97"/>
        <v>3487.4439351593669</v>
      </c>
      <c r="AA81" s="13">
        <f t="shared" si="97"/>
        <v>3810.8342587808711</v>
      </c>
      <c r="AB81" s="13">
        <f t="shared" si="97"/>
        <v>4154.6737773107443</v>
      </c>
      <c r="AC81" s="286"/>
      <c r="AD81" s="49">
        <f t="shared" si="98"/>
        <v>2.6256901121583853</v>
      </c>
      <c r="AE81" s="49">
        <f t="shared" si="99"/>
        <v>1.7660620728777054</v>
      </c>
      <c r="AF81" s="286"/>
    </row>
    <row r="82" spans="1:32" x14ac:dyDescent="0.25">
      <c r="A82" t="str">
        <f t="shared" si="92"/>
        <v>Associate professional and technical</v>
      </c>
      <c r="B82" s="13">
        <f t="shared" si="92"/>
        <v>4192.1889515946241</v>
      </c>
      <c r="C82" s="13">
        <f t="shared" si="92"/>
        <v>4245.3870699108684</v>
      </c>
      <c r="D82" s="13">
        <f t="shared" si="92"/>
        <v>4884.3836819220542</v>
      </c>
      <c r="E82" s="13">
        <f t="shared" si="92"/>
        <v>5123.1465499937876</v>
      </c>
      <c r="F82" s="13">
        <f t="shared" si="92"/>
        <v>5309.5219594020828</v>
      </c>
      <c r="H82" s="49">
        <f t="shared" si="100"/>
        <v>1.5399376186124192</v>
      </c>
      <c r="I82" s="49">
        <f t="shared" si="93"/>
        <v>0.83807931167261263</v>
      </c>
      <c r="L82" s="286" t="str">
        <f t="shared" si="94"/>
        <v>Associate professional and technical</v>
      </c>
      <c r="M82" s="13">
        <f t="shared" si="94"/>
        <v>2483.7302692027915</v>
      </c>
      <c r="N82" s="13">
        <f t="shared" si="94"/>
        <v>2472.1589459285797</v>
      </c>
      <c r="O82" s="13">
        <f t="shared" si="94"/>
        <v>2749.8619783908835</v>
      </c>
      <c r="P82" s="13">
        <f t="shared" si="94"/>
        <v>2794.576593673939</v>
      </c>
      <c r="Q82" s="13">
        <f t="shared" si="94"/>
        <v>2816.5586919139896</v>
      </c>
      <c r="R82" s="286"/>
      <c r="S82" s="49">
        <f t="shared" si="95"/>
        <v>1.023089636127672</v>
      </c>
      <c r="T82" s="49">
        <f t="shared" si="96"/>
        <v>0.23993836238651589</v>
      </c>
      <c r="U82" s="286"/>
      <c r="W82" s="286" t="str">
        <f t="shared" si="97"/>
        <v>Associate professional and technical</v>
      </c>
      <c r="X82" s="13">
        <f t="shared" si="97"/>
        <v>1708.4586823918298</v>
      </c>
      <c r="Y82" s="13">
        <f t="shared" si="97"/>
        <v>1773.2281239822864</v>
      </c>
      <c r="Z82" s="13">
        <f t="shared" si="97"/>
        <v>2134.5217035311753</v>
      </c>
      <c r="AA82" s="13">
        <f t="shared" si="97"/>
        <v>2328.5699563198473</v>
      </c>
      <c r="AB82" s="13">
        <f t="shared" si="97"/>
        <v>2492.9632674880895</v>
      </c>
      <c r="AC82" s="286"/>
      <c r="AD82" s="49">
        <f t="shared" si="98"/>
        <v>2.2514815831973012</v>
      </c>
      <c r="AE82" s="49">
        <f t="shared" si="99"/>
        <v>1.5644054286731546</v>
      </c>
      <c r="AF82" s="286"/>
    </row>
    <row r="83" spans="1:32" x14ac:dyDescent="0.25">
      <c r="A83" t="str">
        <f t="shared" si="92"/>
        <v>Administrative and secretarial</v>
      </c>
      <c r="B83" s="13">
        <f t="shared" si="92"/>
        <v>4023.3774927122436</v>
      </c>
      <c r="C83" s="13">
        <f t="shared" si="92"/>
        <v>3686.6891232188909</v>
      </c>
      <c r="D83" s="13">
        <f t="shared" si="92"/>
        <v>3680.7863975420601</v>
      </c>
      <c r="E83" s="13">
        <f t="shared" si="92"/>
        <v>3359.0863632166529</v>
      </c>
      <c r="F83" s="13">
        <f t="shared" si="92"/>
        <v>3077.1550769501691</v>
      </c>
      <c r="H83" s="49">
        <f t="shared" si="100"/>
        <v>-0.88600461865590008</v>
      </c>
      <c r="I83" s="49">
        <f t="shared" si="93"/>
        <v>-1.7752625067586125</v>
      </c>
      <c r="L83" s="286" t="str">
        <f t="shared" si="94"/>
        <v>Administrative and secretarial</v>
      </c>
      <c r="M83" s="13">
        <f t="shared" si="94"/>
        <v>877.01761417653347</v>
      </c>
      <c r="N83" s="13">
        <f t="shared" si="94"/>
        <v>863.3967083636926</v>
      </c>
      <c r="O83" s="13">
        <f t="shared" si="94"/>
        <v>924.87326939791194</v>
      </c>
      <c r="P83" s="13">
        <f t="shared" si="94"/>
        <v>910.15230723570789</v>
      </c>
      <c r="Q83" s="13">
        <f t="shared" si="94"/>
        <v>911.45242932193241</v>
      </c>
      <c r="R83" s="286"/>
      <c r="S83" s="49">
        <f t="shared" si="95"/>
        <v>0.53271033566180126</v>
      </c>
      <c r="T83" s="49">
        <f t="shared" si="96"/>
        <v>-0.14606640660063119</v>
      </c>
      <c r="U83" s="286"/>
      <c r="W83" s="286" t="str">
        <f t="shared" si="97"/>
        <v>Administrative and secretarial</v>
      </c>
      <c r="X83" s="13">
        <f t="shared" si="97"/>
        <v>3146.3598785357017</v>
      </c>
      <c r="Y83" s="13">
        <f t="shared" si="97"/>
        <v>2823.2924148551965</v>
      </c>
      <c r="Z83" s="13">
        <f t="shared" si="97"/>
        <v>2755.9131281441396</v>
      </c>
      <c r="AA83" s="13">
        <f t="shared" si="97"/>
        <v>2448.9340559809452</v>
      </c>
      <c r="AB83" s="13">
        <f t="shared" si="97"/>
        <v>2165.7026476282376</v>
      </c>
      <c r="AC83" s="286"/>
      <c r="AD83" s="49">
        <f t="shared" si="98"/>
        <v>-1.3162344530695647</v>
      </c>
      <c r="AE83" s="49">
        <f t="shared" si="99"/>
        <v>-2.3812301898533672</v>
      </c>
      <c r="AF83" s="286"/>
    </row>
    <row r="84" spans="1:32" x14ac:dyDescent="0.25">
      <c r="A84" t="str">
        <f t="shared" si="92"/>
        <v>Skilled trades occupations</v>
      </c>
      <c r="B84" s="13">
        <f t="shared" si="92"/>
        <v>3583.6153277284657</v>
      </c>
      <c r="C84" s="13">
        <f t="shared" si="92"/>
        <v>3361.0404349463947</v>
      </c>
      <c r="D84" s="13">
        <f t="shared" si="92"/>
        <v>3432.8363588721904</v>
      </c>
      <c r="E84" s="13">
        <f t="shared" si="92"/>
        <v>3268.9532522745712</v>
      </c>
      <c r="F84" s="13">
        <f t="shared" si="92"/>
        <v>3126.1855521756024</v>
      </c>
      <c r="H84" s="49">
        <f t="shared" si="100"/>
        <v>-0.4289305805081467</v>
      </c>
      <c r="I84" s="49">
        <f t="shared" si="93"/>
        <v>-0.93136822924430041</v>
      </c>
      <c r="L84" s="286" t="str">
        <f t="shared" si="94"/>
        <v>Skilled trades occupations</v>
      </c>
      <c r="M84" s="13">
        <f t="shared" si="94"/>
        <v>3218.4635906932913</v>
      </c>
      <c r="N84" s="13">
        <f t="shared" si="94"/>
        <v>3021.6569495207968</v>
      </c>
      <c r="O84" s="13">
        <f t="shared" si="94"/>
        <v>3071.3400626640155</v>
      </c>
      <c r="P84" s="13">
        <f t="shared" si="94"/>
        <v>2913.8582190236903</v>
      </c>
      <c r="Q84" s="13">
        <f t="shared" si="94"/>
        <v>2780.8007159738622</v>
      </c>
      <c r="R84" s="286"/>
      <c r="S84" s="49">
        <f t="shared" si="95"/>
        <v>-0.46680835795414044</v>
      </c>
      <c r="T84" s="49">
        <f t="shared" si="96"/>
        <v>-0.98882916774785112</v>
      </c>
      <c r="U84" s="286"/>
      <c r="W84" s="286" t="str">
        <f t="shared" si="97"/>
        <v>Skilled trades occupations</v>
      </c>
      <c r="X84" s="13">
        <f t="shared" si="97"/>
        <v>365.1517370351753</v>
      </c>
      <c r="Y84" s="13">
        <f t="shared" si="97"/>
        <v>339.38348542559584</v>
      </c>
      <c r="Z84" s="13">
        <f t="shared" si="97"/>
        <v>361.49629620817768</v>
      </c>
      <c r="AA84" s="13">
        <f t="shared" si="97"/>
        <v>355.09503325087718</v>
      </c>
      <c r="AB84" s="13">
        <f t="shared" si="97"/>
        <v>345.38483620174014</v>
      </c>
      <c r="AC84" s="286"/>
      <c r="AD84" s="49">
        <f t="shared" si="98"/>
        <v>-0.10056129495175092</v>
      </c>
      <c r="AE84" s="49">
        <f t="shared" si="99"/>
        <v>-0.45488757133522739</v>
      </c>
      <c r="AF84" s="286"/>
    </row>
    <row r="85" spans="1:32" x14ac:dyDescent="0.25">
      <c r="A85" t="str">
        <f t="shared" si="92"/>
        <v>Caring, leisure and other service</v>
      </c>
      <c r="B85" s="13">
        <f t="shared" si="92"/>
        <v>2645.5508227224036</v>
      </c>
      <c r="C85" s="13">
        <f t="shared" si="92"/>
        <v>2889.5495700413439</v>
      </c>
      <c r="D85" s="13">
        <f t="shared" si="92"/>
        <v>3345.0861257252427</v>
      </c>
      <c r="E85" s="13">
        <f t="shared" si="92"/>
        <v>3549.556293296871</v>
      </c>
      <c r="F85" s="13">
        <f t="shared" si="92"/>
        <v>3810.8091936423866</v>
      </c>
      <c r="H85" s="49">
        <f t="shared" si="100"/>
        <v>2.3738696307582297</v>
      </c>
      <c r="I85" s="49">
        <f t="shared" si="93"/>
        <v>1.312023603837198</v>
      </c>
      <c r="L85" s="286" t="str">
        <f t="shared" si="94"/>
        <v>Caring, leisure and other service</v>
      </c>
      <c r="M85" s="13">
        <f t="shared" si="94"/>
        <v>522.82764052480752</v>
      </c>
      <c r="N85" s="13">
        <f t="shared" si="94"/>
        <v>542.40587037804585</v>
      </c>
      <c r="O85" s="13">
        <f t="shared" si="94"/>
        <v>636.98869184642842</v>
      </c>
      <c r="P85" s="13">
        <f t="shared" si="94"/>
        <v>685.05656564387687</v>
      </c>
      <c r="Q85" s="13">
        <f t="shared" si="94"/>
        <v>749.5036894725157</v>
      </c>
      <c r="R85" s="286"/>
      <c r="S85" s="49">
        <f t="shared" si="95"/>
        <v>1.9946326944361603</v>
      </c>
      <c r="T85" s="49">
        <f t="shared" si="96"/>
        <v>1.639894419055743</v>
      </c>
      <c r="U85" s="286"/>
      <c r="W85" s="286" t="str">
        <f t="shared" si="97"/>
        <v>Caring, leisure and other service</v>
      </c>
      <c r="X85" s="13">
        <f t="shared" si="97"/>
        <v>2122.7231821975934</v>
      </c>
      <c r="Y85" s="13">
        <f t="shared" si="97"/>
        <v>2347.1436996632983</v>
      </c>
      <c r="Z85" s="13">
        <f t="shared" si="97"/>
        <v>2708.0974338788155</v>
      </c>
      <c r="AA85" s="13">
        <f t="shared" si="97"/>
        <v>2864.4997276529975</v>
      </c>
      <c r="AB85" s="13">
        <f t="shared" si="97"/>
        <v>3061.3055041698717</v>
      </c>
      <c r="AC85" s="286"/>
      <c r="AD85" s="49">
        <f t="shared" si="98"/>
        <v>2.4653652010780069</v>
      </c>
      <c r="AE85" s="49">
        <f t="shared" si="99"/>
        <v>1.2334968451285011</v>
      </c>
      <c r="AF85" s="286"/>
    </row>
    <row r="86" spans="1:32" x14ac:dyDescent="0.25">
      <c r="A86" t="str">
        <f t="shared" si="92"/>
        <v>Sales and customer service</v>
      </c>
      <c r="B86" s="13">
        <f t="shared" si="92"/>
        <v>2792.1839088149745</v>
      </c>
      <c r="C86" s="13">
        <f t="shared" si="92"/>
        <v>2808.715933390687</v>
      </c>
      <c r="D86" s="13">
        <f t="shared" si="92"/>
        <v>2929.0335907758267</v>
      </c>
      <c r="E86" s="13">
        <f t="shared" si="92"/>
        <v>2881.2459863648064</v>
      </c>
      <c r="F86" s="13">
        <f t="shared" si="92"/>
        <v>2876.6137458960302</v>
      </c>
      <c r="H86" s="49">
        <f t="shared" si="100"/>
        <v>0.47963140139530847</v>
      </c>
      <c r="I86" s="49">
        <f t="shared" si="93"/>
        <v>-0.18042420373500789</v>
      </c>
      <c r="L86" s="286" t="str">
        <f t="shared" si="94"/>
        <v>Sales and customer service</v>
      </c>
      <c r="M86" s="13">
        <f t="shared" si="94"/>
        <v>1033.3332736951118</v>
      </c>
      <c r="N86" s="13">
        <f t="shared" si="94"/>
        <v>1043.8451337527777</v>
      </c>
      <c r="O86" s="13">
        <f t="shared" si="94"/>
        <v>1150.9778159284538</v>
      </c>
      <c r="P86" s="13">
        <f t="shared" si="94"/>
        <v>1171.6336209960116</v>
      </c>
      <c r="Q86" s="13">
        <f t="shared" si="94"/>
        <v>1182.0678669419235</v>
      </c>
      <c r="R86" s="286"/>
      <c r="S86" s="49">
        <f t="shared" si="95"/>
        <v>1.0840546567545406</v>
      </c>
      <c r="T86" s="49">
        <f t="shared" si="96"/>
        <v>0.26689030534452485</v>
      </c>
      <c r="U86" s="286"/>
      <c r="W86" s="286" t="str">
        <f t="shared" si="97"/>
        <v>Sales and customer service</v>
      </c>
      <c r="X86" s="13">
        <f t="shared" si="97"/>
        <v>1758.8506351198614</v>
      </c>
      <c r="Y86" s="13">
        <f t="shared" si="97"/>
        <v>1764.8707996379101</v>
      </c>
      <c r="Z86" s="13">
        <f t="shared" si="97"/>
        <v>1778.0557748473752</v>
      </c>
      <c r="AA86" s="13">
        <f t="shared" si="97"/>
        <v>1709.612365368798</v>
      </c>
      <c r="AB86" s="13">
        <f t="shared" si="97"/>
        <v>1694.5458789541067</v>
      </c>
      <c r="AC86" s="286"/>
      <c r="AD86" s="49">
        <f t="shared" si="98"/>
        <v>0.10865857606570106</v>
      </c>
      <c r="AE86" s="49">
        <f t="shared" si="99"/>
        <v>-0.47990196422442732</v>
      </c>
      <c r="AF86" s="286"/>
    </row>
    <row r="87" spans="1:32" x14ac:dyDescent="0.25">
      <c r="A87" t="str">
        <f t="shared" si="92"/>
        <v>Process, plant and machine operatives</v>
      </c>
      <c r="B87" s="13">
        <f t="shared" si="92"/>
        <v>2314.149151355934</v>
      </c>
      <c r="C87" s="13">
        <f t="shared" si="92"/>
        <v>2157.5584632485761</v>
      </c>
      <c r="D87" s="13">
        <f t="shared" si="92"/>
        <v>2179.9565386857666</v>
      </c>
      <c r="E87" s="13">
        <f t="shared" si="92"/>
        <v>2047.4264077500793</v>
      </c>
      <c r="F87" s="13">
        <f t="shared" si="92"/>
        <v>1974.125913781425</v>
      </c>
      <c r="H87" s="49">
        <f t="shared" si="100"/>
        <v>-0.5955907099829516</v>
      </c>
      <c r="I87" s="49">
        <f t="shared" si="93"/>
        <v>-0.98689011236473556</v>
      </c>
      <c r="L87" s="286" t="str">
        <f t="shared" si="94"/>
        <v>Process, plant and machine operatives</v>
      </c>
      <c r="M87" s="13">
        <f t="shared" si="94"/>
        <v>2020.9429232003372</v>
      </c>
      <c r="N87" s="13">
        <f t="shared" si="94"/>
        <v>1892.940062543249</v>
      </c>
      <c r="O87" s="13">
        <f t="shared" si="94"/>
        <v>1929.2512982020485</v>
      </c>
      <c r="P87" s="13">
        <f t="shared" si="94"/>
        <v>1832.3364588214536</v>
      </c>
      <c r="Q87" s="13">
        <f t="shared" si="94"/>
        <v>1782.4104566788246</v>
      </c>
      <c r="R87" s="286"/>
      <c r="S87" s="49">
        <f t="shared" si="95"/>
        <v>-0.46324566105445664</v>
      </c>
      <c r="T87" s="49">
        <f t="shared" si="96"/>
        <v>-0.78852829440572147</v>
      </c>
      <c r="U87" s="286"/>
      <c r="W87" s="286" t="str">
        <f t="shared" si="97"/>
        <v>Process, plant and machine operatives</v>
      </c>
      <c r="X87" s="13">
        <f t="shared" si="97"/>
        <v>293.20622815560193</v>
      </c>
      <c r="Y87" s="13">
        <f t="shared" si="97"/>
        <v>264.61840070533088</v>
      </c>
      <c r="Z87" s="13">
        <f t="shared" si="97"/>
        <v>250.70524048371857</v>
      </c>
      <c r="AA87" s="13">
        <f t="shared" si="97"/>
        <v>215.08994892862358</v>
      </c>
      <c r="AB87" s="13">
        <f t="shared" si="97"/>
        <v>191.71545710260003</v>
      </c>
      <c r="AC87" s="286"/>
      <c r="AD87" s="49">
        <f t="shared" si="98"/>
        <v>-1.5537852746981384</v>
      </c>
      <c r="AE87" s="49">
        <f t="shared" si="99"/>
        <v>-2.6469926964131085</v>
      </c>
      <c r="AF87" s="286"/>
    </row>
    <row r="88" spans="1:32" x14ac:dyDescent="0.25">
      <c r="A88" t="str">
        <f t="shared" si="92"/>
        <v>Elementary occupations</v>
      </c>
      <c r="B88" s="13">
        <f t="shared" si="92"/>
        <v>4037.2173768727057</v>
      </c>
      <c r="C88" s="13">
        <f t="shared" si="92"/>
        <v>3766.191835779171</v>
      </c>
      <c r="D88" s="13">
        <f t="shared" si="92"/>
        <v>3955.9931111444794</v>
      </c>
      <c r="E88" s="13">
        <f t="shared" si="92"/>
        <v>3948.0409683519269</v>
      </c>
      <c r="F88" s="13">
        <f t="shared" si="92"/>
        <v>3946.9512625272537</v>
      </c>
      <c r="H88" s="49">
        <f t="shared" si="100"/>
        <v>-0.20303374879716563</v>
      </c>
      <c r="I88" s="49">
        <f t="shared" si="93"/>
        <v>-2.2879619860127764E-2</v>
      </c>
      <c r="L88" s="286" t="str">
        <f t="shared" si="94"/>
        <v>Elementary occupations</v>
      </c>
      <c r="M88" s="13">
        <f t="shared" si="94"/>
        <v>1955.2188930390139</v>
      </c>
      <c r="N88" s="13">
        <f t="shared" si="94"/>
        <v>1910.7166017815885</v>
      </c>
      <c r="O88" s="13">
        <f t="shared" si="94"/>
        <v>2095.217466532531</v>
      </c>
      <c r="P88" s="13">
        <f t="shared" si="94"/>
        <v>2144.3792286967519</v>
      </c>
      <c r="Q88" s="13">
        <f t="shared" si="94"/>
        <v>2214.9226178234348</v>
      </c>
      <c r="R88" s="286"/>
      <c r="S88" s="49">
        <f t="shared" si="95"/>
        <v>0.69394871949934878</v>
      </c>
      <c r="T88" s="49">
        <f t="shared" si="96"/>
        <v>0.55714749315232126</v>
      </c>
      <c r="U88" s="286"/>
      <c r="W88" s="286" t="str">
        <f t="shared" si="97"/>
        <v>Elementary occupations</v>
      </c>
      <c r="X88" s="13">
        <f t="shared" si="97"/>
        <v>2081.9984838336936</v>
      </c>
      <c r="Y88" s="13">
        <f t="shared" si="97"/>
        <v>1855.4752339975823</v>
      </c>
      <c r="Z88" s="13">
        <f t="shared" si="97"/>
        <v>1860.7756446119524</v>
      </c>
      <c r="AA88" s="13">
        <f t="shared" si="97"/>
        <v>1803.6617396551701</v>
      </c>
      <c r="AB88" s="13">
        <f t="shared" si="97"/>
        <v>1732.0286447038136</v>
      </c>
      <c r="AC88" s="286"/>
      <c r="AD88" s="49">
        <f t="shared" si="98"/>
        <v>-1.1170622824648313</v>
      </c>
      <c r="AE88" s="49">
        <f t="shared" si="99"/>
        <v>-0.71443633784080696</v>
      </c>
      <c r="AF88" s="286"/>
    </row>
    <row r="89" spans="1:32" x14ac:dyDescent="0.25">
      <c r="B89" s="13"/>
      <c r="C89" s="13"/>
      <c r="D89" s="13"/>
      <c r="E89" s="13"/>
      <c r="F89" s="13"/>
      <c r="H89" s="49"/>
      <c r="I89" s="49"/>
      <c r="L89" s="286"/>
      <c r="M89" s="13"/>
      <c r="N89" s="13"/>
      <c r="O89" s="13"/>
      <c r="P89" s="13"/>
      <c r="Q89" s="13"/>
      <c r="R89" s="286"/>
      <c r="S89" s="49"/>
      <c r="T89" s="49"/>
      <c r="U89" s="286"/>
      <c r="W89" s="286"/>
      <c r="X89" s="13"/>
      <c r="Y89" s="13"/>
      <c r="Z89" s="13"/>
      <c r="AA89" s="13"/>
      <c r="AB89" s="13"/>
      <c r="AC89" s="286"/>
      <c r="AD89" s="49"/>
      <c r="AE89" s="49"/>
      <c r="AF89" s="286"/>
    </row>
    <row r="90" spans="1:32" x14ac:dyDescent="0.25">
      <c r="A90" s="37" t="str">
        <f t="shared" ref="A90:F90" si="101">A18</f>
        <v>All occupations</v>
      </c>
      <c r="B90" s="39">
        <f t="shared" si="101"/>
        <v>31790.007000000074</v>
      </c>
      <c r="C90" s="39">
        <f t="shared" si="101"/>
        <v>31800.013000000261</v>
      </c>
      <c r="D90" s="39">
        <f t="shared" si="101"/>
        <v>34847.991999999991</v>
      </c>
      <c r="E90" s="39">
        <f t="shared" si="101"/>
        <v>35250.447999999968</v>
      </c>
      <c r="F90" s="39">
        <f t="shared" si="101"/>
        <v>35820.953000000147</v>
      </c>
      <c r="H90" s="52">
        <f>IF(D$6-B$6 &lt;&gt; 0,(EXP(LN(D18/B18)/(D$6-B$6))-1)*100,0)</f>
        <v>0.92266577864263954</v>
      </c>
      <c r="I90" s="52">
        <f>F56</f>
        <v>0.27575434824573808</v>
      </c>
      <c r="L90" s="37" t="str">
        <f t="shared" ref="L90:Q90" si="102">L18</f>
        <v>All occupations</v>
      </c>
      <c r="M90" s="39">
        <f t="shared" si="102"/>
        <v>16786.109000000004</v>
      </c>
      <c r="N90" s="39">
        <f t="shared" si="102"/>
        <v>16739.579000000176</v>
      </c>
      <c r="O90" s="39">
        <f t="shared" si="102"/>
        <v>18231.892000000051</v>
      </c>
      <c r="P90" s="39">
        <f t="shared" si="102"/>
        <v>18283.149000000074</v>
      </c>
      <c r="Q90" s="39">
        <f t="shared" si="102"/>
        <v>18413.985000000128</v>
      </c>
      <c r="R90" s="286"/>
      <c r="S90" s="52">
        <f>IF(O$6-M$6 &lt;&gt; 0,(EXP(LN(O18/M18)/(O$6-M$6))-1)*100,0)</f>
        <v>0.82962919794082879</v>
      </c>
      <c r="T90" s="52">
        <f>Q56</f>
        <v>9.9430018827284528E-2</v>
      </c>
      <c r="U90" s="286"/>
      <c r="W90" s="37" t="str">
        <f t="shared" ref="W90:AB90" si="103">W18</f>
        <v>All occupations</v>
      </c>
      <c r="X90" s="39">
        <f t="shared" si="103"/>
        <v>15003.89800000007</v>
      </c>
      <c r="Y90" s="39">
        <f t="shared" si="103"/>
        <v>15060.434000000078</v>
      </c>
      <c r="Z90" s="39">
        <f t="shared" si="103"/>
        <v>16616.099999999944</v>
      </c>
      <c r="AA90" s="39">
        <f t="shared" si="103"/>
        <v>16967.298999999875</v>
      </c>
      <c r="AB90" s="39">
        <f t="shared" si="103"/>
        <v>17406.968000000015</v>
      </c>
      <c r="AC90" s="286"/>
      <c r="AD90" s="52">
        <f>IF(Z$6-X$6 &lt;&gt; 0,(EXP(LN(Z18/X18)/(Z$6-X$6))-1)*100,0)</f>
        <v>1.025846805984143</v>
      </c>
      <c r="AE90" s="52">
        <f>AB56</f>
        <v>0.46606754166240716</v>
      </c>
      <c r="AF90" s="286"/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4" orientation="landscape" r:id="rId1"/>
  <headerFooter alignWithMargins="0"/>
  <rowBreaks count="1" manualBreakCount="1">
    <brk id="38" max="31" man="1"/>
  </rowBreaks>
  <colBreaks count="2" manualBreakCount="2">
    <brk id="10" max="89" man="1"/>
    <brk id="21" max="89" man="1"/>
  </colBreaks>
  <ignoredErrors>
    <ignoredError sqref="C45 C57:C61 C63" 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F177"/>
  <sheetViews>
    <sheetView showGridLines="0" zoomScale="85" zoomScaleNormal="85" workbookViewId="0"/>
  </sheetViews>
  <sheetFormatPr defaultColWidth="9.109375" defaultRowHeight="13.2" x14ac:dyDescent="0.25"/>
  <cols>
    <col min="1" max="1" width="55.6640625" style="217" customWidth="1"/>
    <col min="2" max="6" width="10" style="217" customWidth="1"/>
    <col min="7" max="7" width="6.6640625" style="217" customWidth="1"/>
    <col min="8" max="10" width="13" style="217" customWidth="1"/>
    <col min="11" max="11" width="9.109375" style="217"/>
    <col min="12" max="12" width="55.6640625" style="286" customWidth="1"/>
    <col min="13" max="17" width="10" style="286" customWidth="1"/>
    <col min="18" max="18" width="6.6640625" style="286" customWidth="1"/>
    <col min="19" max="21" width="13" style="286" customWidth="1"/>
    <col min="22" max="22" width="9.109375" style="217"/>
    <col min="23" max="23" width="55.6640625" style="286" customWidth="1"/>
    <col min="24" max="28" width="10" style="286" customWidth="1"/>
    <col min="29" max="29" width="6.6640625" style="286" customWidth="1"/>
    <col min="30" max="32" width="13" style="286" customWidth="1"/>
    <col min="33" max="16384" width="9.109375" style="217"/>
  </cols>
  <sheetData>
    <row r="1" spans="1:32" ht="15.6" x14ac:dyDescent="0.3">
      <c r="A1" s="23" t="str">
        <f>CONCATENATE("Occupation Table 2  Employment Change by Occupation (SOC 2010) and Replacement Demand, ",B$6,"-",F$6)</f>
        <v>Occupation Table 2  Employment Change by Occupation (SOC 2010) and Replacement Demand, 2007-2027</v>
      </c>
      <c r="L1" s="23" t="str">
        <f>CONCATENATE("Occupation Table 2.1  Males: Employment Change by Occupation (SOC 2010) and Replacement Demand, ",M$6,"-",Q$6)</f>
        <v>Occupation Table 2.1  Males: Employment Change by Occupation (SOC 2010) and Replacement Demand, 2007-2027</v>
      </c>
      <c r="W1" s="23" t="str">
        <f>CONCATENATE("Occupation Table 2.2  Females: Employment Change by Occupation (SOC 2010) and Replacement Demand, ",X$6,"-",AB$6)</f>
        <v>Occupation Table 2.2  Females: Employment Change by Occupation (SOC 2010) and Replacement Demand, 2007-2027</v>
      </c>
    </row>
    <row r="2" spans="1:32" ht="12.75" customHeight="1" x14ac:dyDescent="0.25">
      <c r="A2" s="112"/>
      <c r="D2" s="487"/>
      <c r="E2" s="286"/>
      <c r="F2" s="286"/>
      <c r="G2" s="112"/>
      <c r="H2" s="286"/>
      <c r="I2" s="286"/>
      <c r="J2" s="112"/>
      <c r="K2" s="286"/>
      <c r="M2" s="112"/>
      <c r="P2" s="112"/>
      <c r="S2" s="112"/>
      <c r="V2" s="112"/>
    </row>
    <row r="3" spans="1:32" x14ac:dyDescent="0.25">
      <c r="F3" s="19" t="s">
        <v>35</v>
      </c>
      <c r="J3" s="19" t="s">
        <v>35</v>
      </c>
      <c r="Q3" s="19" t="s">
        <v>35</v>
      </c>
      <c r="U3" s="19" t="s">
        <v>35</v>
      </c>
      <c r="AB3" s="19" t="s">
        <v>35</v>
      </c>
      <c r="AF3" s="19" t="s">
        <v>35</v>
      </c>
    </row>
    <row r="4" spans="1:32" x14ac:dyDescent="0.25">
      <c r="A4" s="41"/>
      <c r="B4" s="41"/>
      <c r="C4" s="41"/>
      <c r="D4" s="41"/>
      <c r="E4" s="41"/>
      <c r="F4" s="41"/>
      <c r="H4" s="135" t="str">
        <f>CONCATENATE(D6,"-",F6)</f>
        <v>2017-2027</v>
      </c>
      <c r="I4" s="41"/>
      <c r="J4" s="41"/>
      <c r="L4" s="32" t="s">
        <v>98</v>
      </c>
      <c r="M4" s="41"/>
      <c r="N4" s="41"/>
      <c r="O4" s="41"/>
      <c r="P4" s="41"/>
      <c r="Q4" s="41"/>
      <c r="S4" s="135" t="str">
        <f>CONCATENATE(O6,"-",Q6)</f>
        <v>2017-2027</v>
      </c>
      <c r="T4" s="41"/>
      <c r="U4" s="41"/>
      <c r="W4" s="32" t="s">
        <v>99</v>
      </c>
      <c r="X4" s="41"/>
      <c r="Y4" s="41"/>
      <c r="Z4" s="41"/>
      <c r="AA4" s="41"/>
      <c r="AB4" s="41"/>
      <c r="AD4" s="135" t="str">
        <f>CONCATENATE(Z6,"-",AB6)</f>
        <v>2017-2027</v>
      </c>
      <c r="AE4" s="41"/>
      <c r="AF4" s="41"/>
    </row>
    <row r="5" spans="1:32" x14ac:dyDescent="0.25">
      <c r="H5" s="19" t="s">
        <v>29</v>
      </c>
      <c r="I5" s="19" t="s">
        <v>30</v>
      </c>
      <c r="J5" s="19" t="s">
        <v>32</v>
      </c>
      <c r="S5" s="19" t="s">
        <v>29</v>
      </c>
      <c r="T5" s="19" t="s">
        <v>30</v>
      </c>
      <c r="U5" s="19" t="s">
        <v>32</v>
      </c>
      <c r="AD5" s="19" t="s">
        <v>29</v>
      </c>
      <c r="AE5" s="19" t="s">
        <v>30</v>
      </c>
      <c r="AF5" s="19" t="s">
        <v>32</v>
      </c>
    </row>
    <row r="6" spans="1:32" x14ac:dyDescent="0.25">
      <c r="A6" s="78" t="s">
        <v>13</v>
      </c>
      <c r="B6" s="51">
        <v>2007</v>
      </c>
      <c r="C6" s="51">
        <v>2012</v>
      </c>
      <c r="D6" s="51">
        <v>2017</v>
      </c>
      <c r="E6" s="51">
        <v>2022</v>
      </c>
      <c r="F6" s="51">
        <v>2027</v>
      </c>
      <c r="H6" s="75" t="s">
        <v>18</v>
      </c>
      <c r="I6" s="75" t="s">
        <v>31</v>
      </c>
      <c r="J6" s="75" t="s">
        <v>33</v>
      </c>
      <c r="L6" s="78" t="s">
        <v>13</v>
      </c>
      <c r="M6" s="51">
        <v>2007</v>
      </c>
      <c r="N6" s="51">
        <v>2012</v>
      </c>
      <c r="O6" s="51">
        <v>2017</v>
      </c>
      <c r="P6" s="51">
        <v>2022</v>
      </c>
      <c r="Q6" s="51">
        <v>2027</v>
      </c>
      <c r="S6" s="75" t="s">
        <v>18</v>
      </c>
      <c r="T6" s="75" t="s">
        <v>31</v>
      </c>
      <c r="U6" s="75" t="s">
        <v>33</v>
      </c>
      <c r="W6" s="78" t="s">
        <v>13</v>
      </c>
      <c r="X6" s="51">
        <v>2007</v>
      </c>
      <c r="Y6" s="51">
        <v>2012</v>
      </c>
      <c r="Z6" s="51">
        <v>2017</v>
      </c>
      <c r="AA6" s="51">
        <v>2022</v>
      </c>
      <c r="AB6" s="51">
        <v>2027</v>
      </c>
      <c r="AD6" s="75" t="s">
        <v>18</v>
      </c>
      <c r="AE6" s="75" t="s">
        <v>31</v>
      </c>
      <c r="AF6" s="75" t="s">
        <v>33</v>
      </c>
    </row>
    <row r="8" spans="1:32" x14ac:dyDescent="0.25">
      <c r="A8" s="12" t="str">
        <f>name!D4</f>
        <v xml:space="preserve"> 11 Corporate managers and directors</v>
      </c>
      <c r="B8" s="13">
        <v>1959.860057608056</v>
      </c>
      <c r="C8" s="13">
        <v>2116.4390715839208</v>
      </c>
      <c r="D8" s="13">
        <v>2526.0004771128533</v>
      </c>
      <c r="E8" s="13">
        <v>2707.1424196822263</v>
      </c>
      <c r="F8" s="13">
        <v>2874.8665595685711</v>
      </c>
      <c r="G8" s="12"/>
      <c r="H8" s="13">
        <f>F8-D8</f>
        <v>348.86608245571779</v>
      </c>
      <c r="I8" s="13">
        <f>'RD T1'!E7</f>
        <v>954.53757289252019</v>
      </c>
      <c r="J8" s="13">
        <f>SUM(H8:I8)</f>
        <v>1303.4036553482379</v>
      </c>
      <c r="L8" s="12" t="str">
        <f>name!D4</f>
        <v xml:space="preserve"> 11 Corporate managers and directors</v>
      </c>
      <c r="M8" s="13">
        <v>1457.1146997223532</v>
      </c>
      <c r="N8" s="13">
        <v>1507.3321805435983</v>
      </c>
      <c r="O8" s="13">
        <v>1726.2314897407989</v>
      </c>
      <c r="P8" s="13">
        <v>1791.2905463280542</v>
      </c>
      <c r="Q8" s="13">
        <v>1849.2595669097982</v>
      </c>
      <c r="R8" s="12"/>
      <c r="S8" s="13">
        <f>Q8-O8</f>
        <v>123.02807716899929</v>
      </c>
      <c r="T8" s="13">
        <f>'RD T1'!T7</f>
        <v>581.09622705437857</v>
      </c>
      <c r="U8" s="13">
        <f>SUM(S8:T8)</f>
        <v>704.12430422337786</v>
      </c>
      <c r="W8" s="12" t="str">
        <f>name!D4</f>
        <v xml:space="preserve"> 11 Corporate managers and directors</v>
      </c>
      <c r="X8" s="13">
        <v>502.74535788570716</v>
      </c>
      <c r="Y8" s="13">
        <v>609.10689104031894</v>
      </c>
      <c r="Z8" s="13">
        <v>799.76898737204874</v>
      </c>
      <c r="AA8" s="13">
        <v>915.85187335416776</v>
      </c>
      <c r="AB8" s="13">
        <v>1025.606992658777</v>
      </c>
      <c r="AC8" s="12"/>
      <c r="AD8" s="13">
        <f>AB8-Z8</f>
        <v>225.83800528672828</v>
      </c>
      <c r="AE8" s="13">
        <f>'RD T1'!T35</f>
        <v>373.44134583814133</v>
      </c>
      <c r="AF8" s="13">
        <f>SUM(AD8:AE8)</f>
        <v>599.27935112486966</v>
      </c>
    </row>
    <row r="9" spans="1:32" x14ac:dyDescent="0.25">
      <c r="A9" s="12" t="str">
        <f>name!D5</f>
        <v xml:space="preserve"> 12 Other managers and proprietors</v>
      </c>
      <c r="B9" s="13">
        <v>815.81216696843285</v>
      </c>
      <c r="C9" s="13">
        <v>926.5161762051257</v>
      </c>
      <c r="D9" s="13">
        <v>1040.4238796553416</v>
      </c>
      <c r="E9" s="13">
        <v>1090.5495991933917</v>
      </c>
      <c r="F9" s="13">
        <v>1130.1048523887098</v>
      </c>
      <c r="H9" s="13">
        <f t="shared" ref="H9:H34" si="0">F9-D9</f>
        <v>89.680972733368208</v>
      </c>
      <c r="I9" s="13">
        <f>'RD T1'!E8</f>
        <v>425.92351610692054</v>
      </c>
      <c r="J9" s="13">
        <f>SUM(H9:I9)</f>
        <v>515.6044888402887</v>
      </c>
      <c r="L9" s="12" t="str">
        <f>name!D5</f>
        <v xml:space="preserve"> 12 Other managers and proprietors</v>
      </c>
      <c r="M9" s="13">
        <v>482.6105499057486</v>
      </c>
      <c r="N9" s="13">
        <v>523.19968544014182</v>
      </c>
      <c r="O9" s="13">
        <v>561.10202389216329</v>
      </c>
      <c r="P9" s="13">
        <v>575.39955848581042</v>
      </c>
      <c r="Q9" s="13">
        <v>587.06385860667126</v>
      </c>
      <c r="S9" s="13">
        <f t="shared" ref="S9:S32" si="1">Q9-O9</f>
        <v>25.961834714507972</v>
      </c>
      <c r="T9" s="13">
        <f>'RD T1'!T8</f>
        <v>198.87545545963073</v>
      </c>
      <c r="U9" s="13">
        <f>SUM(S9:T9)</f>
        <v>224.8372901741387</v>
      </c>
      <c r="W9" s="12" t="str">
        <f>name!D5</f>
        <v xml:space="preserve"> 12 Other managers and proprietors</v>
      </c>
      <c r="X9" s="13">
        <v>333.20161706268561</v>
      </c>
      <c r="Y9" s="13">
        <v>403.31649076498621</v>
      </c>
      <c r="Z9" s="13">
        <v>479.32185576317693</v>
      </c>
      <c r="AA9" s="13">
        <v>515.15004070758016</v>
      </c>
      <c r="AB9" s="13">
        <v>543.04099378203591</v>
      </c>
      <c r="AD9" s="13">
        <f t="shared" ref="AD9:AD32" si="2">AB9-Z9</f>
        <v>63.719138018858985</v>
      </c>
      <c r="AE9" s="13">
        <f>'RD T1'!T36</f>
        <v>227.04806064728976</v>
      </c>
      <c r="AF9" s="13">
        <f>SUM(AD9:AE9)</f>
        <v>290.76719866614872</v>
      </c>
    </row>
    <row r="10" spans="1:32" x14ac:dyDescent="0.25">
      <c r="A10" s="12" t="str">
        <f>name!D6</f>
        <v xml:space="preserve"> 21 Science, research, engineering and technology professionals</v>
      </c>
      <c r="B10" s="13">
        <v>1309.0639248560215</v>
      </c>
      <c r="C10" s="13">
        <v>1471.4000419031945</v>
      </c>
      <c r="D10" s="13">
        <v>1754.043337473742</v>
      </c>
      <c r="E10" s="13">
        <v>1837.0687006892717</v>
      </c>
      <c r="F10" s="13">
        <v>1913.5093729856687</v>
      </c>
      <c r="G10" s="13"/>
      <c r="H10" s="13">
        <f t="shared" si="0"/>
        <v>159.46603551192675</v>
      </c>
      <c r="I10" s="13">
        <f>'RD T1'!E9</f>
        <v>463.38614489392023</v>
      </c>
      <c r="J10" s="13">
        <f t="shared" ref="J10:J32" si="3">SUM(H10:I10)</f>
        <v>622.85218040584698</v>
      </c>
      <c r="L10" s="12" t="str">
        <f>name!D6</f>
        <v xml:space="preserve"> 21 Science, research, engineering and technology professionals</v>
      </c>
      <c r="M10" s="13">
        <v>1082.2966321815209</v>
      </c>
      <c r="N10" s="13">
        <v>1210.4467774297743</v>
      </c>
      <c r="O10" s="13">
        <v>1417.3468717952001</v>
      </c>
      <c r="P10" s="13">
        <v>1459.715567157551</v>
      </c>
      <c r="Q10" s="13">
        <v>1499.457680342754</v>
      </c>
      <c r="R10" s="13"/>
      <c r="S10" s="13">
        <f t="shared" si="1"/>
        <v>82.110808547553916</v>
      </c>
      <c r="T10" s="13">
        <f>'RD T1'!T9</f>
        <v>330.6839227763075</v>
      </c>
      <c r="U10" s="13">
        <f t="shared" ref="U10:U32" si="4">SUM(S10:T10)</f>
        <v>412.79473132386141</v>
      </c>
      <c r="W10" s="12" t="str">
        <f>name!D6</f>
        <v xml:space="preserve"> 21 Science, research, engineering and technology professionals</v>
      </c>
      <c r="X10" s="13">
        <v>226.76729267450784</v>
      </c>
      <c r="Y10" s="13">
        <v>260.95326447341932</v>
      </c>
      <c r="Z10" s="13">
        <v>336.69646567854301</v>
      </c>
      <c r="AA10" s="13">
        <v>377.35313353171563</v>
      </c>
      <c r="AB10" s="13">
        <v>414.05169264291754</v>
      </c>
      <c r="AC10" s="13"/>
      <c r="AD10" s="13">
        <f t="shared" si="2"/>
        <v>77.355226964374538</v>
      </c>
      <c r="AE10" s="13">
        <f>'RD T1'!T37</f>
        <v>132.70222211761276</v>
      </c>
      <c r="AF10" s="13">
        <f t="shared" ref="AF10:AF32" si="5">SUM(AD10:AE10)</f>
        <v>210.0574490819873</v>
      </c>
    </row>
    <row r="11" spans="1:32" x14ac:dyDescent="0.25">
      <c r="A11" s="12" t="str">
        <f>name!D7</f>
        <v xml:space="preserve"> 22 Health professionals</v>
      </c>
      <c r="B11" s="13">
        <v>1233.7012301866905</v>
      </c>
      <c r="C11" s="13">
        <v>1310.9895866420895</v>
      </c>
      <c r="D11" s="13">
        <v>1543.0008922696509</v>
      </c>
      <c r="E11" s="13">
        <v>1658.5245598766664</v>
      </c>
      <c r="F11" s="13">
        <v>1773.4125813814876</v>
      </c>
      <c r="G11" s="13"/>
      <c r="H11" s="13">
        <f t="shared" si="0"/>
        <v>230.41168911183672</v>
      </c>
      <c r="I11" s="13">
        <f>'RD T1'!E10</f>
        <v>606.04904676536603</v>
      </c>
      <c r="J11" s="13">
        <f t="shared" si="3"/>
        <v>836.46073587720275</v>
      </c>
      <c r="L11" s="12" t="str">
        <f>name!D7</f>
        <v xml:space="preserve"> 22 Health professionals</v>
      </c>
      <c r="M11" s="13">
        <v>324.13430308060452</v>
      </c>
      <c r="N11" s="13">
        <v>343.12675950728323</v>
      </c>
      <c r="O11" s="13">
        <v>378.22462746518778</v>
      </c>
      <c r="P11" s="13">
        <v>382.04476710618451</v>
      </c>
      <c r="Q11" s="13">
        <v>389.37896782496114</v>
      </c>
      <c r="R11" s="13"/>
      <c r="S11" s="13">
        <f t="shared" si="1"/>
        <v>11.154340359773357</v>
      </c>
      <c r="T11" s="13">
        <f>'RD T1'!T10</f>
        <v>100.85987576504327</v>
      </c>
      <c r="U11" s="13">
        <f t="shared" si="4"/>
        <v>112.01421612481663</v>
      </c>
      <c r="W11" s="12" t="str">
        <f>name!D7</f>
        <v xml:space="preserve"> 22 Health professionals</v>
      </c>
      <c r="X11" s="13">
        <v>909.56692710608536</v>
      </c>
      <c r="Y11" s="13">
        <v>967.86282713480387</v>
      </c>
      <c r="Z11" s="13">
        <v>1164.7762648044641</v>
      </c>
      <c r="AA11" s="13">
        <v>1276.4797927704799</v>
      </c>
      <c r="AB11" s="13">
        <v>1384.0336135565285</v>
      </c>
      <c r="AC11" s="13"/>
      <c r="AD11" s="13">
        <f t="shared" si="2"/>
        <v>219.25734875206444</v>
      </c>
      <c r="AE11" s="13">
        <f>'RD T1'!T38</f>
        <v>505.18917100032274</v>
      </c>
      <c r="AF11" s="13">
        <f t="shared" si="5"/>
        <v>724.44651975238719</v>
      </c>
    </row>
    <row r="12" spans="1:32" x14ac:dyDescent="0.25">
      <c r="A12" s="12" t="str">
        <f>name!D8</f>
        <v xml:space="preserve"> 23 Teaching and educational professionals</v>
      </c>
      <c r="B12" s="13">
        <v>1418.9773616722084</v>
      </c>
      <c r="C12" s="13">
        <v>1495.3060186838754</v>
      </c>
      <c r="D12" s="13">
        <v>1720.7393221292084</v>
      </c>
      <c r="E12" s="13">
        <v>1789.5432408636937</v>
      </c>
      <c r="F12" s="13">
        <v>1932.8816486014659</v>
      </c>
      <c r="G12" s="13"/>
      <c r="H12" s="13">
        <f t="shared" si="0"/>
        <v>212.14232647225754</v>
      </c>
      <c r="I12" s="13">
        <f>'RD T1'!E11</f>
        <v>632.46384891749949</v>
      </c>
      <c r="J12" s="13">
        <f t="shared" si="3"/>
        <v>844.60617538975703</v>
      </c>
      <c r="L12" s="12" t="str">
        <f>name!D8</f>
        <v xml:space="preserve"> 23 Teaching and educational professionals</v>
      </c>
      <c r="M12" s="13">
        <v>475.0919193649093</v>
      </c>
      <c r="N12" s="13">
        <v>511.6477775827222</v>
      </c>
      <c r="O12" s="13">
        <v>569.42129059785782</v>
      </c>
      <c r="P12" s="13">
        <v>570.18585756175617</v>
      </c>
      <c r="Q12" s="13">
        <v>600.46352773716023</v>
      </c>
      <c r="R12" s="13"/>
      <c r="S12" s="13">
        <f t="shared" si="1"/>
        <v>31.042237139302415</v>
      </c>
      <c r="T12" s="13">
        <f>'RD T1'!T11</f>
        <v>166.99752888023565</v>
      </c>
      <c r="U12" s="13">
        <f t="shared" si="4"/>
        <v>198.03976601953806</v>
      </c>
      <c r="W12" s="12" t="str">
        <f>name!D8</f>
        <v xml:space="preserve"> 23 Teaching and educational professionals</v>
      </c>
      <c r="X12" s="13">
        <v>943.88544230729633</v>
      </c>
      <c r="Y12" s="13">
        <v>983.65824110114988</v>
      </c>
      <c r="Z12" s="13">
        <v>1151.3180315313523</v>
      </c>
      <c r="AA12" s="13">
        <v>1219.3573833019384</v>
      </c>
      <c r="AB12" s="13">
        <v>1332.418120864306</v>
      </c>
      <c r="AC12" s="13"/>
      <c r="AD12" s="13">
        <f t="shared" si="2"/>
        <v>181.10008933295376</v>
      </c>
      <c r="AE12" s="13">
        <f>'RD T1'!T39</f>
        <v>465.46632003726381</v>
      </c>
      <c r="AF12" s="13">
        <f t="shared" si="5"/>
        <v>646.56640937021757</v>
      </c>
    </row>
    <row r="13" spans="1:32" x14ac:dyDescent="0.25">
      <c r="A13" s="12" t="str">
        <f>name!D9</f>
        <v xml:space="preserve"> 24 Business, media and public service professionals</v>
      </c>
      <c r="B13" s="13">
        <v>1464.3092269073152</v>
      </c>
      <c r="C13" s="13">
        <v>1564.2296744461235</v>
      </c>
      <c r="D13" s="13">
        <v>1855.7082866915723</v>
      </c>
      <c r="E13" s="13">
        <v>1990.1636584460241</v>
      </c>
      <c r="F13" s="13">
        <v>2074.8152806992894</v>
      </c>
      <c r="G13" s="13"/>
      <c r="H13" s="13">
        <f t="shared" si="0"/>
        <v>219.10699400771705</v>
      </c>
      <c r="I13" s="13">
        <f>'RD T1'!E12</f>
        <v>659.96830732820479</v>
      </c>
      <c r="J13" s="13">
        <f t="shared" si="3"/>
        <v>879.07530133592184</v>
      </c>
      <c r="L13" s="12" t="str">
        <f>name!D9</f>
        <v xml:space="preserve"> 24 Business, media and public service professionals</v>
      </c>
      <c r="M13" s="13">
        <v>853.3266912129817</v>
      </c>
      <c r="N13" s="13">
        <v>896.70554722792463</v>
      </c>
      <c r="O13" s="13">
        <v>1021.0551135465674</v>
      </c>
      <c r="P13" s="13">
        <v>1052.5197092692865</v>
      </c>
      <c r="Q13" s="13">
        <v>1050.6449304522987</v>
      </c>
      <c r="R13" s="13"/>
      <c r="S13" s="13">
        <f t="shared" si="1"/>
        <v>29.589816905731254</v>
      </c>
      <c r="T13" s="13">
        <f>'RD T1'!T12</f>
        <v>305.5082316921667</v>
      </c>
      <c r="U13" s="13">
        <f t="shared" si="4"/>
        <v>335.09804859789796</v>
      </c>
      <c r="W13" s="12" t="str">
        <f>name!D9</f>
        <v xml:space="preserve"> 24 Business, media and public service professionals</v>
      </c>
      <c r="X13" s="13">
        <v>610.98253569433155</v>
      </c>
      <c r="Y13" s="13">
        <v>667.52412721819826</v>
      </c>
      <c r="Z13" s="13">
        <v>834.65317314500714</v>
      </c>
      <c r="AA13" s="13">
        <v>937.64394917673712</v>
      </c>
      <c r="AB13" s="13">
        <v>1024.1703502469923</v>
      </c>
      <c r="AC13" s="13"/>
      <c r="AD13" s="13">
        <f t="shared" si="2"/>
        <v>189.51717710198511</v>
      </c>
      <c r="AE13" s="13">
        <f>'RD T1'!T40</f>
        <v>354.46007563603808</v>
      </c>
      <c r="AF13" s="13">
        <f t="shared" si="5"/>
        <v>543.97725273802325</v>
      </c>
    </row>
    <row r="14" spans="1:32" x14ac:dyDescent="0.25">
      <c r="A14" s="12" t="str">
        <f>name!D10</f>
        <v xml:space="preserve"> 31 Science, engineering and technology associate professionals</v>
      </c>
      <c r="B14" s="13">
        <v>609.64387238354675</v>
      </c>
      <c r="C14" s="13">
        <v>599.43705846653575</v>
      </c>
      <c r="D14" s="13">
        <v>671.15032184498148</v>
      </c>
      <c r="E14" s="13">
        <v>673.6704789806239</v>
      </c>
      <c r="F14" s="13">
        <v>680.11357914850748</v>
      </c>
      <c r="G14" s="13"/>
      <c r="H14" s="13">
        <f t="shared" si="0"/>
        <v>8.9632573035260066</v>
      </c>
      <c r="I14" s="13">
        <f>'RD T1'!E13</f>
        <v>185.56752079332244</v>
      </c>
      <c r="J14" s="13">
        <f t="shared" si="3"/>
        <v>194.53077809684845</v>
      </c>
      <c r="L14" s="12" t="str">
        <f>name!D10</f>
        <v xml:space="preserve"> 31 Science, engineering and technology associate professionals</v>
      </c>
      <c r="M14" s="13">
        <v>464.95640666305047</v>
      </c>
      <c r="N14" s="13">
        <v>452.62114373993194</v>
      </c>
      <c r="O14" s="13">
        <v>508.19227290930024</v>
      </c>
      <c r="P14" s="13">
        <v>511.31981716537052</v>
      </c>
      <c r="Q14" s="13">
        <v>517.1781555997527</v>
      </c>
      <c r="R14" s="13"/>
      <c r="S14" s="13">
        <f t="shared" si="1"/>
        <v>8.9858826904524562</v>
      </c>
      <c r="T14" s="13">
        <f>'RD T1'!T13</f>
        <v>128.71592609397155</v>
      </c>
      <c r="U14" s="13">
        <f t="shared" si="4"/>
        <v>137.701808784424</v>
      </c>
      <c r="W14" s="12" t="str">
        <f>name!D10</f>
        <v xml:space="preserve"> 31 Science, engineering and technology associate professionals</v>
      </c>
      <c r="X14" s="13">
        <v>144.68746572049659</v>
      </c>
      <c r="Y14" s="13">
        <v>146.81591472660304</v>
      </c>
      <c r="Z14" s="13">
        <v>162.95804893568049</v>
      </c>
      <c r="AA14" s="13">
        <v>162.35066181525073</v>
      </c>
      <c r="AB14" s="13">
        <v>162.93542354875376</v>
      </c>
      <c r="AC14" s="13"/>
      <c r="AD14" s="13">
        <f t="shared" si="2"/>
        <v>-2.2625386926733881E-2</v>
      </c>
      <c r="AE14" s="13">
        <f>'RD T1'!T41</f>
        <v>56.851594699350855</v>
      </c>
      <c r="AF14" s="13">
        <f t="shared" si="5"/>
        <v>56.828969312424121</v>
      </c>
    </row>
    <row r="15" spans="1:32" x14ac:dyDescent="0.25">
      <c r="A15" s="12" t="str">
        <f>name!D11</f>
        <v xml:space="preserve"> 32 Health and social care associate professionals</v>
      </c>
      <c r="B15" s="13">
        <v>418.2503777870802</v>
      </c>
      <c r="C15" s="13">
        <v>445.88556873648133</v>
      </c>
      <c r="D15" s="13">
        <v>529.88238393074425</v>
      </c>
      <c r="E15" s="13">
        <v>572.19485800004077</v>
      </c>
      <c r="F15" s="13">
        <v>612.80601566154201</v>
      </c>
      <c r="G15" s="13"/>
      <c r="H15" s="13">
        <f t="shared" si="0"/>
        <v>82.923631730797752</v>
      </c>
      <c r="I15" s="13">
        <f>'RD T1'!E14</f>
        <v>222.11012087649291</v>
      </c>
      <c r="J15" s="13">
        <f t="shared" si="3"/>
        <v>305.03375260729069</v>
      </c>
      <c r="L15" s="12" t="str">
        <f>name!D11</f>
        <v xml:space="preserve"> 32 Health and social care associate professionals</v>
      </c>
      <c r="M15" s="13">
        <v>118.59004508790638</v>
      </c>
      <c r="N15" s="13">
        <v>134.67158931016394</v>
      </c>
      <c r="O15" s="13">
        <v>150.88246112444585</v>
      </c>
      <c r="P15" s="13">
        <v>154.64559386536425</v>
      </c>
      <c r="Q15" s="13">
        <v>161.17315046990177</v>
      </c>
      <c r="R15" s="13"/>
      <c r="S15" s="13">
        <f t="shared" si="1"/>
        <v>10.290689345455917</v>
      </c>
      <c r="T15" s="13">
        <f>'RD T1'!T14</f>
        <v>51.587178260061329</v>
      </c>
      <c r="U15" s="13">
        <f t="shared" si="4"/>
        <v>61.877867605517245</v>
      </c>
      <c r="W15" s="12" t="str">
        <f>name!D11</f>
        <v xml:space="preserve"> 32 Health and social care associate professionals</v>
      </c>
      <c r="X15" s="13">
        <v>299.66033269917347</v>
      </c>
      <c r="Y15" s="13">
        <v>311.21397942631756</v>
      </c>
      <c r="Z15" s="13">
        <v>378.99992280629897</v>
      </c>
      <c r="AA15" s="13">
        <v>417.54926413467456</v>
      </c>
      <c r="AB15" s="13">
        <v>451.63286519164058</v>
      </c>
      <c r="AC15" s="13"/>
      <c r="AD15" s="13">
        <f t="shared" si="2"/>
        <v>72.632942385341607</v>
      </c>
      <c r="AE15" s="13">
        <f>'RD T1'!T42</f>
        <v>170.52294261643158</v>
      </c>
      <c r="AF15" s="13">
        <f t="shared" si="5"/>
        <v>243.15588500177319</v>
      </c>
    </row>
    <row r="16" spans="1:32" x14ac:dyDescent="0.25">
      <c r="A16" s="12" t="str">
        <f>name!D12</f>
        <v xml:space="preserve"> 33 Protective service occupations</v>
      </c>
      <c r="B16" s="13">
        <v>400.38621990721509</v>
      </c>
      <c r="C16" s="13">
        <v>374.21993286781867</v>
      </c>
      <c r="D16" s="13">
        <v>386.24918721957175</v>
      </c>
      <c r="E16" s="13">
        <v>376.25438198127227</v>
      </c>
      <c r="F16" s="13">
        <v>375.37070820018812</v>
      </c>
      <c r="G16" s="13"/>
      <c r="H16" s="13">
        <f t="shared" si="0"/>
        <v>-10.878479019383633</v>
      </c>
      <c r="I16" s="13">
        <f>'RD T1'!E15</f>
        <v>88.251477237004309</v>
      </c>
      <c r="J16" s="13">
        <f t="shared" si="3"/>
        <v>77.372998217620676</v>
      </c>
      <c r="L16" s="12" t="str">
        <f>name!D12</f>
        <v xml:space="preserve"> 33 Protective service occupations</v>
      </c>
      <c r="M16" s="13">
        <v>334.30326298195894</v>
      </c>
      <c r="N16" s="13">
        <v>299.60046161994666</v>
      </c>
      <c r="O16" s="13">
        <v>293.13459307738009</v>
      </c>
      <c r="P16" s="13">
        <v>270.24697498518572</v>
      </c>
      <c r="Q16" s="13">
        <v>254.16796912706928</v>
      </c>
      <c r="R16" s="13"/>
      <c r="S16" s="13">
        <f t="shared" si="1"/>
        <v>-38.966623950310805</v>
      </c>
      <c r="T16" s="13">
        <f>'RD T1'!T15</f>
        <v>52.237462890855085</v>
      </c>
      <c r="U16" s="13">
        <f t="shared" si="4"/>
        <v>13.27083894054428</v>
      </c>
      <c r="W16" s="12" t="str">
        <f>name!D12</f>
        <v xml:space="preserve"> 33 Protective service occupations</v>
      </c>
      <c r="X16" s="13">
        <v>66.082956925254877</v>
      </c>
      <c r="Y16" s="13">
        <v>74.61947124787234</v>
      </c>
      <c r="Z16" s="13">
        <v>93.114594142192203</v>
      </c>
      <c r="AA16" s="13">
        <v>106.00740699608629</v>
      </c>
      <c r="AB16" s="13">
        <v>121.20273907311801</v>
      </c>
      <c r="AC16" s="13"/>
      <c r="AD16" s="13">
        <f t="shared" si="2"/>
        <v>28.088144930925807</v>
      </c>
      <c r="AE16" s="13">
        <f>'RD T1'!T43</f>
        <v>36.014014346149253</v>
      </c>
      <c r="AF16" s="13">
        <f t="shared" si="5"/>
        <v>64.10215927707506</v>
      </c>
    </row>
    <row r="17" spans="1:32" x14ac:dyDescent="0.25">
      <c r="A17" s="12" t="str">
        <f>name!D13</f>
        <v xml:space="preserve"> 34 Culture, media and sports occupations</v>
      </c>
      <c r="B17" s="13">
        <v>705.31543668957329</v>
      </c>
      <c r="C17" s="13">
        <v>734.91048616584931</v>
      </c>
      <c r="D17" s="13">
        <v>839.68302886898528</v>
      </c>
      <c r="E17" s="13">
        <v>883.81407897069801</v>
      </c>
      <c r="F17" s="13">
        <v>891.90974845505184</v>
      </c>
      <c r="G17" s="13"/>
      <c r="H17" s="13">
        <f t="shared" si="0"/>
        <v>52.226719586066565</v>
      </c>
      <c r="I17" s="13">
        <f>'RD T1'!E16</f>
        <v>278.66073051467652</v>
      </c>
      <c r="J17" s="13">
        <f t="shared" si="3"/>
        <v>330.88745010074308</v>
      </c>
      <c r="L17" s="12" t="str">
        <f>name!D13</f>
        <v xml:space="preserve"> 34 Culture, media and sports occupations</v>
      </c>
      <c r="M17" s="13">
        <v>389.40724353829012</v>
      </c>
      <c r="N17" s="13">
        <v>392.12359836096556</v>
      </c>
      <c r="O17" s="13">
        <v>448.75607783125827</v>
      </c>
      <c r="P17" s="13">
        <v>475.15301347788431</v>
      </c>
      <c r="Q17" s="13">
        <v>483.52815062273726</v>
      </c>
      <c r="R17" s="13"/>
      <c r="S17" s="13">
        <f t="shared" si="1"/>
        <v>34.77207279147899</v>
      </c>
      <c r="T17" s="13">
        <f>'RD T1'!T16</f>
        <v>130.38906514465165</v>
      </c>
      <c r="U17" s="13">
        <f t="shared" si="4"/>
        <v>165.16113793613064</v>
      </c>
      <c r="W17" s="12" t="str">
        <f>name!D13</f>
        <v xml:space="preserve"> 34 Culture, media and sports occupations</v>
      </c>
      <c r="X17" s="13">
        <v>315.9081931512809</v>
      </c>
      <c r="Y17" s="13">
        <v>342.78688780488289</v>
      </c>
      <c r="Z17" s="13">
        <v>390.92695103772684</v>
      </c>
      <c r="AA17" s="13">
        <v>408.661065492815</v>
      </c>
      <c r="AB17" s="13">
        <v>408.38159783231447</v>
      </c>
      <c r="AC17" s="13"/>
      <c r="AD17" s="13">
        <f t="shared" si="2"/>
        <v>17.454646794587632</v>
      </c>
      <c r="AE17" s="13">
        <f>'RD T1'!T44</f>
        <v>148.27166537002489</v>
      </c>
      <c r="AF17" s="13">
        <f t="shared" si="5"/>
        <v>165.72631216461252</v>
      </c>
    </row>
    <row r="18" spans="1:32" x14ac:dyDescent="0.25">
      <c r="A18" s="12" t="str">
        <f>name!D14</f>
        <v xml:space="preserve"> 35 Business and public service associate professionals</v>
      </c>
      <c r="B18" s="13">
        <v>2058.5930448272088</v>
      </c>
      <c r="C18" s="13">
        <v>2090.9340236741837</v>
      </c>
      <c r="D18" s="13">
        <v>2457.418760057772</v>
      </c>
      <c r="E18" s="13">
        <v>2617.2127520611521</v>
      </c>
      <c r="F18" s="13">
        <v>2749.3219079367932</v>
      </c>
      <c r="G18" s="13"/>
      <c r="H18" s="13">
        <f t="shared" si="0"/>
        <v>291.90314787902116</v>
      </c>
      <c r="I18" s="13">
        <f>'RD T1'!E17</f>
        <v>824.65945372628983</v>
      </c>
      <c r="J18" s="13">
        <f t="shared" si="3"/>
        <v>1116.5626016053111</v>
      </c>
      <c r="L18" s="12" t="str">
        <f>name!D14</f>
        <v xml:space="preserve"> 35 Business and public service associate professionals</v>
      </c>
      <c r="M18" s="13">
        <v>1176.473310931586</v>
      </c>
      <c r="N18" s="13">
        <v>1193.1421528975713</v>
      </c>
      <c r="O18" s="13">
        <v>1348.8965734484989</v>
      </c>
      <c r="P18" s="13">
        <v>1383.2111941801338</v>
      </c>
      <c r="Q18" s="13">
        <v>1400.5112660945288</v>
      </c>
      <c r="R18" s="13"/>
      <c r="S18" s="13">
        <f t="shared" si="1"/>
        <v>51.61469264602988</v>
      </c>
      <c r="T18" s="13">
        <f>'RD T1'!T17</f>
        <v>367.81583848041043</v>
      </c>
      <c r="U18" s="13">
        <f t="shared" si="4"/>
        <v>419.43053112644031</v>
      </c>
      <c r="W18" s="12" t="str">
        <f>name!D14</f>
        <v xml:space="preserve"> 35 Business and public service associate professionals</v>
      </c>
      <c r="X18" s="13">
        <v>882.11973389562399</v>
      </c>
      <c r="Y18" s="13">
        <v>897.79187077661049</v>
      </c>
      <c r="Z18" s="13">
        <v>1108.5221866092768</v>
      </c>
      <c r="AA18" s="13">
        <v>1234.0015578810207</v>
      </c>
      <c r="AB18" s="13">
        <v>1348.8106418422626</v>
      </c>
      <c r="AC18" s="13"/>
      <c r="AD18" s="13">
        <f t="shared" si="2"/>
        <v>240.28845523298583</v>
      </c>
      <c r="AE18" s="13">
        <f>'RD T1'!T45</f>
        <v>456.84361524587945</v>
      </c>
      <c r="AF18" s="13">
        <f t="shared" si="5"/>
        <v>697.13207047886522</v>
      </c>
    </row>
    <row r="19" spans="1:32" x14ac:dyDescent="0.25">
      <c r="A19" s="12" t="str">
        <f>name!D15</f>
        <v xml:space="preserve"> 41 Administrative occupations</v>
      </c>
      <c r="B19" s="13">
        <v>3030.0405454519719</v>
      </c>
      <c r="C19" s="13">
        <v>2822.3371958236908</v>
      </c>
      <c r="D19" s="13">
        <v>2931.8021720360434</v>
      </c>
      <c r="E19" s="13">
        <v>2801.6146683960205</v>
      </c>
      <c r="F19" s="13">
        <v>2688.2376263800124</v>
      </c>
      <c r="G19" s="13"/>
      <c r="H19" s="13">
        <f t="shared" si="0"/>
        <v>-243.56454565603099</v>
      </c>
      <c r="I19" s="13">
        <f>'RD T1'!E18</f>
        <v>960.49746626655337</v>
      </c>
      <c r="J19" s="13">
        <f t="shared" si="3"/>
        <v>716.93292061052239</v>
      </c>
      <c r="L19" s="12" t="str">
        <f>name!D15</f>
        <v xml:space="preserve"> 41 Administrative occupations</v>
      </c>
      <c r="M19" s="13">
        <v>822.48185776113496</v>
      </c>
      <c r="N19" s="13">
        <v>808.83695962624006</v>
      </c>
      <c r="O19" s="13">
        <v>865.49314287638765</v>
      </c>
      <c r="P19" s="13">
        <v>850.67079217167941</v>
      </c>
      <c r="Q19" s="13">
        <v>850.47165791337102</v>
      </c>
      <c r="R19" s="13"/>
      <c r="S19" s="13">
        <f t="shared" si="1"/>
        <v>-15.021484963016633</v>
      </c>
      <c r="T19" s="13">
        <f>'RD T1'!T18</f>
        <v>220.66016030301444</v>
      </c>
      <c r="U19" s="13">
        <f t="shared" si="4"/>
        <v>205.6386753399978</v>
      </c>
      <c r="W19" s="12" t="str">
        <f>name!D15</f>
        <v xml:space="preserve"> 41 Administrative occupations</v>
      </c>
      <c r="X19" s="13">
        <v>2207.5586876908269</v>
      </c>
      <c r="Y19" s="13">
        <v>2013.5002361974493</v>
      </c>
      <c r="Z19" s="13">
        <v>2066.3090291596477</v>
      </c>
      <c r="AA19" s="13">
        <v>1950.943876224341</v>
      </c>
      <c r="AB19" s="13">
        <v>1837.7659684666426</v>
      </c>
      <c r="AC19" s="13"/>
      <c r="AD19" s="13">
        <f t="shared" si="2"/>
        <v>-228.54306069300515</v>
      </c>
      <c r="AE19" s="13">
        <f>'RD T1'!T46</f>
        <v>739.83730596353894</v>
      </c>
      <c r="AF19" s="13">
        <f t="shared" si="5"/>
        <v>511.29424527053379</v>
      </c>
    </row>
    <row r="20" spans="1:32" x14ac:dyDescent="0.25">
      <c r="A20" s="12" t="str">
        <f>name!D16</f>
        <v xml:space="preserve"> 42 Secretarial and related occupations</v>
      </c>
      <c r="B20" s="13">
        <v>993.33694726027159</v>
      </c>
      <c r="C20" s="13">
        <v>864.35192739519994</v>
      </c>
      <c r="D20" s="13">
        <v>748.98422550601674</v>
      </c>
      <c r="E20" s="13">
        <v>557.47169482063259</v>
      </c>
      <c r="F20" s="13">
        <v>388.91745057015663</v>
      </c>
      <c r="G20" s="13"/>
      <c r="H20" s="13">
        <f t="shared" si="0"/>
        <v>-360.06677493586011</v>
      </c>
      <c r="I20" s="13">
        <f>'RD T1'!E19</f>
        <v>191.66246203132914</v>
      </c>
      <c r="J20" s="13">
        <f t="shared" si="3"/>
        <v>-168.40431290453097</v>
      </c>
      <c r="L20" s="12" t="str">
        <f>name!D16</f>
        <v xml:space="preserve"> 42 Secretarial and related occupations</v>
      </c>
      <c r="M20" s="13">
        <v>54.535756415398467</v>
      </c>
      <c r="N20" s="13">
        <v>54.559748737452544</v>
      </c>
      <c r="O20" s="13">
        <v>59.380126521524275</v>
      </c>
      <c r="P20" s="13">
        <v>59.481515064028457</v>
      </c>
      <c r="Q20" s="13">
        <v>60.980771408561374</v>
      </c>
      <c r="R20" s="13"/>
      <c r="S20" s="13">
        <f t="shared" si="1"/>
        <v>1.6006448870370988</v>
      </c>
      <c r="T20" s="13">
        <f>'RD T1'!T19</f>
        <v>13.632442105988083</v>
      </c>
      <c r="U20" s="13">
        <f t="shared" si="4"/>
        <v>15.233086993025182</v>
      </c>
      <c r="W20" s="12" t="str">
        <f>name!D16</f>
        <v xml:space="preserve"> 42 Secretarial and related occupations</v>
      </c>
      <c r="X20" s="13">
        <v>938.80119084487467</v>
      </c>
      <c r="Y20" s="13">
        <v>809.79217865774706</v>
      </c>
      <c r="Z20" s="13">
        <v>689.604098984492</v>
      </c>
      <c r="AA20" s="13">
        <v>497.99017975660411</v>
      </c>
      <c r="AB20" s="13">
        <v>327.93667916159518</v>
      </c>
      <c r="AC20" s="13"/>
      <c r="AD20" s="13">
        <f t="shared" si="2"/>
        <v>-361.66741982289682</v>
      </c>
      <c r="AE20" s="13">
        <f>'RD T1'!T47</f>
        <v>178.03001992534109</v>
      </c>
      <c r="AF20" s="13">
        <f t="shared" si="5"/>
        <v>-183.63739989755572</v>
      </c>
    </row>
    <row r="21" spans="1:32" x14ac:dyDescent="0.25">
      <c r="A21" s="12" t="str">
        <f>name!D17</f>
        <v xml:space="preserve"> 51 Skilled agricultural and related trades</v>
      </c>
      <c r="B21" s="13">
        <v>326.59568567127343</v>
      </c>
      <c r="C21" s="13">
        <v>361.16839275811896</v>
      </c>
      <c r="D21" s="13">
        <v>354.96114624116797</v>
      </c>
      <c r="E21" s="13">
        <v>349.16485691298192</v>
      </c>
      <c r="F21" s="13">
        <v>360.42857252278969</v>
      </c>
      <c r="G21" s="13"/>
      <c r="H21" s="13">
        <f t="shared" si="0"/>
        <v>5.4674262816217265</v>
      </c>
      <c r="I21" s="13">
        <f>'RD T1'!E20</f>
        <v>129.89677238858209</v>
      </c>
      <c r="J21" s="13">
        <f t="shared" si="3"/>
        <v>135.36419867020382</v>
      </c>
      <c r="L21" s="12" t="str">
        <f>name!D17</f>
        <v xml:space="preserve"> 51 Skilled agricultural and related trades</v>
      </c>
      <c r="M21" s="13">
        <v>286.08896380498379</v>
      </c>
      <c r="N21" s="13">
        <v>313.34225917657415</v>
      </c>
      <c r="O21" s="13">
        <v>306.41072262869426</v>
      </c>
      <c r="P21" s="13">
        <v>300.56346469499221</v>
      </c>
      <c r="Q21" s="13">
        <v>313.95691907405677</v>
      </c>
      <c r="R21" s="13"/>
      <c r="S21" s="13">
        <f t="shared" si="1"/>
        <v>7.5461964453625114</v>
      </c>
      <c r="T21" s="13">
        <f>'RD T1'!T20</f>
        <v>107.85161889697216</v>
      </c>
      <c r="U21" s="13">
        <f t="shared" si="4"/>
        <v>115.39781534233467</v>
      </c>
      <c r="W21" s="12" t="str">
        <f>name!D17</f>
        <v xml:space="preserve"> 51 Skilled agricultural and related trades</v>
      </c>
      <c r="X21" s="13">
        <v>40.506721866289517</v>
      </c>
      <c r="Y21" s="13">
        <v>47.826133581545143</v>
      </c>
      <c r="Z21" s="13">
        <v>48.550423612473352</v>
      </c>
      <c r="AA21" s="13">
        <v>48.601392217988838</v>
      </c>
      <c r="AB21" s="13">
        <v>46.471653448732688</v>
      </c>
      <c r="AC21" s="13"/>
      <c r="AD21" s="13">
        <f t="shared" si="2"/>
        <v>-2.0787701637406641</v>
      </c>
      <c r="AE21" s="13">
        <f>'RD T1'!T48</f>
        <v>22.045153491609984</v>
      </c>
      <c r="AF21" s="13">
        <f t="shared" si="5"/>
        <v>19.96638332786932</v>
      </c>
    </row>
    <row r="22" spans="1:32" x14ac:dyDescent="0.25">
      <c r="A22" s="12" t="str">
        <f>name!D18</f>
        <v xml:space="preserve"> 52 Skilled metal, electrical and electronic trades</v>
      </c>
      <c r="B22" s="13">
        <v>1279.19315247642</v>
      </c>
      <c r="C22" s="13">
        <v>1207.166298134011</v>
      </c>
      <c r="D22" s="13">
        <v>1228.0409620922514</v>
      </c>
      <c r="E22" s="13">
        <v>1118.2338508289929</v>
      </c>
      <c r="F22" s="13">
        <v>1043.8089392652857</v>
      </c>
      <c r="G22" s="13"/>
      <c r="H22" s="13">
        <f t="shared" si="0"/>
        <v>-184.2320228269657</v>
      </c>
      <c r="I22" s="13">
        <f>'RD T1'!E21</f>
        <v>289.96483773706444</v>
      </c>
      <c r="J22" s="13">
        <f t="shared" si="3"/>
        <v>105.73281491009874</v>
      </c>
      <c r="L22" s="12" t="str">
        <f>name!D18</f>
        <v xml:space="preserve"> 52 Skilled metal, electrical and electronic trades</v>
      </c>
      <c r="M22" s="13">
        <v>1246.3324341114048</v>
      </c>
      <c r="N22" s="13">
        <v>1177.0581375846284</v>
      </c>
      <c r="O22" s="13">
        <v>1197.4415647505721</v>
      </c>
      <c r="P22" s="13">
        <v>1090.5720912096695</v>
      </c>
      <c r="Q22" s="13">
        <v>1018.9832719874057</v>
      </c>
      <c r="R22" s="13"/>
      <c r="S22" s="13">
        <f t="shared" si="1"/>
        <v>-178.45829276316636</v>
      </c>
      <c r="T22" s="13">
        <f>'RD T1'!T21</f>
        <v>279.33359257529139</v>
      </c>
      <c r="U22" s="13">
        <f t="shared" si="4"/>
        <v>100.87529981212504</v>
      </c>
      <c r="W22" s="12" t="str">
        <f>name!D18</f>
        <v xml:space="preserve"> 52 Skilled metal, electrical and electronic trades</v>
      </c>
      <c r="X22" s="13">
        <v>32.860718365017711</v>
      </c>
      <c r="Y22" s="13">
        <v>30.108160549381353</v>
      </c>
      <c r="Z22" s="13">
        <v>30.599397341679701</v>
      </c>
      <c r="AA22" s="13">
        <v>27.661759619320531</v>
      </c>
      <c r="AB22" s="13">
        <v>24.825667277881504</v>
      </c>
      <c r="AC22" s="13"/>
      <c r="AD22" s="13">
        <f t="shared" si="2"/>
        <v>-5.7737300637981974</v>
      </c>
      <c r="AE22" s="13">
        <f>'RD T1'!T49</f>
        <v>10.631245161773009</v>
      </c>
      <c r="AF22" s="13">
        <f t="shared" si="5"/>
        <v>4.8575150979748116</v>
      </c>
    </row>
    <row r="23" spans="1:32" x14ac:dyDescent="0.25">
      <c r="A23" s="12" t="str">
        <f>name!D19</f>
        <v xml:space="preserve"> 53 Skilled construction and building trades</v>
      </c>
      <c r="B23" s="13">
        <v>1134.0272967353342</v>
      </c>
      <c r="C23" s="13">
        <v>997.18720072581925</v>
      </c>
      <c r="D23" s="13">
        <v>1069.1049856779691</v>
      </c>
      <c r="E23" s="13">
        <v>1083.6604766975181</v>
      </c>
      <c r="F23" s="13">
        <v>1063.8777838174137</v>
      </c>
      <c r="G23" s="13"/>
      <c r="H23" s="13">
        <f t="shared" si="0"/>
        <v>-5.2272018605553967</v>
      </c>
      <c r="I23" s="13">
        <f>'RD T1'!E22</f>
        <v>307.90512775491777</v>
      </c>
      <c r="J23" s="13">
        <f t="shared" si="3"/>
        <v>302.67792589436237</v>
      </c>
      <c r="L23" s="12" t="str">
        <f>name!D19</f>
        <v xml:space="preserve"> 53 Skilled construction and building trades</v>
      </c>
      <c r="M23" s="13">
        <v>1116.7137118636197</v>
      </c>
      <c r="N23" s="13">
        <v>978.73969963573938</v>
      </c>
      <c r="O23" s="13">
        <v>1045.5692954804213</v>
      </c>
      <c r="P23" s="13">
        <v>1056.2091120722073</v>
      </c>
      <c r="Q23" s="13">
        <v>1034.2090868069351</v>
      </c>
      <c r="R23" s="13"/>
      <c r="S23" s="13">
        <f t="shared" si="1"/>
        <v>-11.360208673486113</v>
      </c>
      <c r="T23" s="13">
        <f>'RD T1'!T22</f>
        <v>298.02351632983596</v>
      </c>
      <c r="U23" s="13">
        <f t="shared" si="4"/>
        <v>286.66330765634984</v>
      </c>
      <c r="W23" s="12" t="str">
        <f>name!D19</f>
        <v xml:space="preserve"> 53 Skilled construction and building trades</v>
      </c>
      <c r="X23" s="13">
        <v>17.31358487171385</v>
      </c>
      <c r="Y23" s="13">
        <v>18.447501090078038</v>
      </c>
      <c r="Z23" s="13">
        <v>23.53569019755037</v>
      </c>
      <c r="AA23" s="13">
        <v>27.451364625310674</v>
      </c>
      <c r="AB23" s="13">
        <v>29.668697010478695</v>
      </c>
      <c r="AC23" s="13"/>
      <c r="AD23" s="13">
        <f t="shared" si="2"/>
        <v>6.1330068129283255</v>
      </c>
      <c r="AE23" s="13">
        <f>'RD T1'!T50</f>
        <v>9.8816114250818927</v>
      </c>
      <c r="AF23" s="13">
        <f t="shared" si="5"/>
        <v>16.014618238010218</v>
      </c>
    </row>
    <row r="24" spans="1:32" x14ac:dyDescent="0.25">
      <c r="A24" s="12" t="str">
        <f>name!D20</f>
        <v xml:space="preserve"> 54 Textiles, printing and other skilled trades</v>
      </c>
      <c r="B24" s="13">
        <v>843.79919284543814</v>
      </c>
      <c r="C24" s="13">
        <v>795.51854332844539</v>
      </c>
      <c r="D24" s="13">
        <v>780.72926486080155</v>
      </c>
      <c r="E24" s="13">
        <v>717.8940678350782</v>
      </c>
      <c r="F24" s="13">
        <v>658.07025657011309</v>
      </c>
      <c r="G24" s="13"/>
      <c r="H24" s="13">
        <f t="shared" si="0"/>
        <v>-122.65900829068846</v>
      </c>
      <c r="I24" s="13">
        <f>'RD T1'!E23</f>
        <v>201.60137809982982</v>
      </c>
      <c r="J24" s="13">
        <f t="shared" si="3"/>
        <v>78.942369809141354</v>
      </c>
      <c r="L24" s="12" t="str">
        <f>name!D20</f>
        <v xml:space="preserve"> 54 Textiles, printing and other skilled trades</v>
      </c>
      <c r="M24" s="13">
        <v>569.32848091328276</v>
      </c>
      <c r="N24" s="13">
        <v>552.5168531238553</v>
      </c>
      <c r="O24" s="13">
        <v>521.91847980432783</v>
      </c>
      <c r="P24" s="13">
        <v>466.51355104682102</v>
      </c>
      <c r="Q24" s="13">
        <v>413.65143810546431</v>
      </c>
      <c r="R24" s="13"/>
      <c r="S24" s="13">
        <f t="shared" si="1"/>
        <v>-108.26704169886352</v>
      </c>
      <c r="T24" s="13">
        <f>'RD T1'!T23</f>
        <v>102.93978631323256</v>
      </c>
      <c r="U24" s="13">
        <f t="shared" si="4"/>
        <v>-5.3272553856309628</v>
      </c>
      <c r="W24" s="12" t="str">
        <f>name!D20</f>
        <v xml:space="preserve"> 54 Textiles, printing and other skilled trades</v>
      </c>
      <c r="X24" s="13">
        <v>274.47071193215419</v>
      </c>
      <c r="Y24" s="13">
        <v>243.00169020459128</v>
      </c>
      <c r="Z24" s="13">
        <v>258.81078505647423</v>
      </c>
      <c r="AA24" s="13">
        <v>251.38051678825715</v>
      </c>
      <c r="AB24" s="13">
        <v>244.41881846464725</v>
      </c>
      <c r="AC24" s="13"/>
      <c r="AD24" s="13">
        <f t="shared" si="2"/>
        <v>-14.391966591826986</v>
      </c>
      <c r="AE24" s="13">
        <f>'RD T1'!T51</f>
        <v>98.66159178659727</v>
      </c>
      <c r="AF24" s="13">
        <f t="shared" si="5"/>
        <v>84.269625194770285</v>
      </c>
    </row>
    <row r="25" spans="1:32" x14ac:dyDescent="0.25">
      <c r="A25" s="12" t="str">
        <f>name!D21</f>
        <v xml:space="preserve"> 61 Caring personal service occupations</v>
      </c>
      <c r="B25" s="13">
        <v>1960.332640697347</v>
      </c>
      <c r="C25" s="13">
        <v>2188.2931420126838</v>
      </c>
      <c r="D25" s="13">
        <v>2578.4645595025959</v>
      </c>
      <c r="E25" s="13">
        <v>2787.4164334872221</v>
      </c>
      <c r="F25" s="13">
        <v>3056.5262037008101</v>
      </c>
      <c r="G25" s="13"/>
      <c r="H25" s="13">
        <f t="shared" si="0"/>
        <v>478.06164419821425</v>
      </c>
      <c r="I25" s="13">
        <f>'RD T1'!E24</f>
        <v>1074.6766906809703</v>
      </c>
      <c r="J25" s="13">
        <f t="shared" si="3"/>
        <v>1552.7383348791845</v>
      </c>
      <c r="L25" s="12" t="str">
        <f>name!D21</f>
        <v xml:space="preserve"> 61 Caring personal service occupations</v>
      </c>
      <c r="M25" s="13">
        <v>270.02507759424935</v>
      </c>
      <c r="N25" s="13">
        <v>301.96288162953476</v>
      </c>
      <c r="O25" s="13">
        <v>374.99676792649984</v>
      </c>
      <c r="P25" s="13">
        <v>419.72474296088899</v>
      </c>
      <c r="Q25" s="13">
        <v>475.44484243020986</v>
      </c>
      <c r="R25" s="13"/>
      <c r="S25" s="13">
        <f t="shared" si="1"/>
        <v>100.44807450371002</v>
      </c>
      <c r="T25" s="13">
        <f>'RD T1'!T24</f>
        <v>129.071416184409</v>
      </c>
      <c r="U25" s="13">
        <f t="shared" si="4"/>
        <v>229.51949068811902</v>
      </c>
      <c r="W25" s="12" t="str">
        <f>name!D21</f>
        <v xml:space="preserve"> 61 Caring personal service occupations</v>
      </c>
      <c r="X25" s="13">
        <v>1690.3075631030961</v>
      </c>
      <c r="Y25" s="13">
        <v>1886.3302603831507</v>
      </c>
      <c r="Z25" s="13">
        <v>2203.4677915760963</v>
      </c>
      <c r="AA25" s="13">
        <v>2367.6916905263347</v>
      </c>
      <c r="AB25" s="13">
        <v>2581.0813612706002</v>
      </c>
      <c r="AC25" s="13"/>
      <c r="AD25" s="13">
        <f t="shared" si="2"/>
        <v>377.61356969450389</v>
      </c>
      <c r="AE25" s="13">
        <f>'RD T1'!T52</f>
        <v>945.60527449656138</v>
      </c>
      <c r="AF25" s="13">
        <f t="shared" si="5"/>
        <v>1323.2188441910653</v>
      </c>
    </row>
    <row r="26" spans="1:32" x14ac:dyDescent="0.25">
      <c r="A26" s="12" t="str">
        <f>name!D22</f>
        <v xml:space="preserve"> 62 Leisure, travel and related personal service occupations</v>
      </c>
      <c r="B26" s="13">
        <v>685.21818202505688</v>
      </c>
      <c r="C26" s="13">
        <v>701.25642802866014</v>
      </c>
      <c r="D26" s="13">
        <v>766.62156622264706</v>
      </c>
      <c r="E26" s="13">
        <v>762.13985980964901</v>
      </c>
      <c r="F26" s="13">
        <v>754.2829899415766</v>
      </c>
      <c r="G26" s="13"/>
      <c r="H26" s="13">
        <f t="shared" si="0"/>
        <v>-12.338576281070459</v>
      </c>
      <c r="I26" s="13">
        <f>'RD T1'!E25</f>
        <v>260.76369400513448</v>
      </c>
      <c r="J26" s="13">
        <f t="shared" si="3"/>
        <v>248.42511772406402</v>
      </c>
      <c r="L26" s="12" t="str">
        <f>name!D22</f>
        <v xml:space="preserve"> 62 Leisure, travel and related personal service occupations</v>
      </c>
      <c r="M26" s="13">
        <v>252.8025629305582</v>
      </c>
      <c r="N26" s="13">
        <v>240.44298874851103</v>
      </c>
      <c r="O26" s="13">
        <v>261.99192391992858</v>
      </c>
      <c r="P26" s="13">
        <v>265.33182268298782</v>
      </c>
      <c r="Q26" s="13">
        <v>274.05884704230584</v>
      </c>
      <c r="R26" s="13"/>
      <c r="S26" s="13">
        <f t="shared" si="1"/>
        <v>12.066923122377261</v>
      </c>
      <c r="T26" s="13">
        <f>'RD T1'!T25</f>
        <v>79.504548841149727</v>
      </c>
      <c r="U26" s="13">
        <f t="shared" si="4"/>
        <v>91.571471963526989</v>
      </c>
      <c r="W26" s="12" t="str">
        <f>name!D22</f>
        <v xml:space="preserve"> 62 Leisure, travel and related personal service occupations</v>
      </c>
      <c r="X26" s="13">
        <v>432.41561909449712</v>
      </c>
      <c r="Y26" s="13">
        <v>460.8134392801478</v>
      </c>
      <c r="Z26" s="13">
        <v>504.62964230271922</v>
      </c>
      <c r="AA26" s="13">
        <v>496.8080371266629</v>
      </c>
      <c r="AB26" s="13">
        <v>480.22414289927156</v>
      </c>
      <c r="AC26" s="13"/>
      <c r="AD26" s="13">
        <f t="shared" si="2"/>
        <v>-24.405499403447664</v>
      </c>
      <c r="AE26" s="13">
        <f>'RD T1'!T53</f>
        <v>181.25914516398475</v>
      </c>
      <c r="AF26" s="13">
        <f t="shared" si="5"/>
        <v>156.85364576053709</v>
      </c>
    </row>
    <row r="27" spans="1:32" x14ac:dyDescent="0.25">
      <c r="A27" s="12" t="str">
        <f>name!D23</f>
        <v xml:space="preserve"> 71 Sales occupations</v>
      </c>
      <c r="B27" s="13">
        <v>2266.5991740353952</v>
      </c>
      <c r="C27" s="13">
        <v>2222.9839668671279</v>
      </c>
      <c r="D27" s="13">
        <v>2232.1008314340879</v>
      </c>
      <c r="E27" s="13">
        <v>2134.0816003374703</v>
      </c>
      <c r="F27" s="13">
        <v>2077.8628337740365</v>
      </c>
      <c r="G27" s="13"/>
      <c r="H27" s="13">
        <f t="shared" si="0"/>
        <v>-154.23799766005141</v>
      </c>
      <c r="I27" s="13">
        <f>'RD T1'!E26</f>
        <v>673.40743790417287</v>
      </c>
      <c r="J27" s="13">
        <f t="shared" si="3"/>
        <v>519.16944024412146</v>
      </c>
      <c r="L27" s="12" t="str">
        <f>name!D23</f>
        <v xml:space="preserve"> 71 Sales occupations</v>
      </c>
      <c r="M27" s="13">
        <v>831.1098423584441</v>
      </c>
      <c r="N27" s="13">
        <v>812.51524072254779</v>
      </c>
      <c r="O27" s="13">
        <v>866.89845362455344</v>
      </c>
      <c r="P27" s="13">
        <v>860.56955805027428</v>
      </c>
      <c r="Q27" s="13">
        <v>847.40896512919085</v>
      </c>
      <c r="R27" s="13"/>
      <c r="S27" s="13">
        <f t="shared" si="1"/>
        <v>-19.489488495362593</v>
      </c>
      <c r="T27" s="13">
        <f>'RD T1'!T26</f>
        <v>195.69427641209913</v>
      </c>
      <c r="U27" s="13">
        <f t="shared" si="4"/>
        <v>176.20478791673654</v>
      </c>
      <c r="W27" s="12" t="str">
        <f>name!D23</f>
        <v xml:space="preserve"> 71 Sales occupations</v>
      </c>
      <c r="X27" s="13">
        <v>1435.4893316769512</v>
      </c>
      <c r="Y27" s="13">
        <v>1410.4687261445799</v>
      </c>
      <c r="Z27" s="13">
        <v>1365.2023778095363</v>
      </c>
      <c r="AA27" s="13">
        <v>1273.5120422871971</v>
      </c>
      <c r="AB27" s="13">
        <v>1230.4538686448473</v>
      </c>
      <c r="AC27" s="13"/>
      <c r="AD27" s="13">
        <f t="shared" si="2"/>
        <v>-134.74850916468904</v>
      </c>
      <c r="AE27" s="13">
        <f>'RD T1'!T54</f>
        <v>477.71316149207388</v>
      </c>
      <c r="AF27" s="13">
        <f t="shared" si="5"/>
        <v>342.96465232738484</v>
      </c>
    </row>
    <row r="28" spans="1:32" x14ac:dyDescent="0.25">
      <c r="A28" s="12" t="str">
        <f>name!D24</f>
        <v xml:space="preserve"> 72 Customer service occupations</v>
      </c>
      <c r="B28" s="13">
        <v>525.58473477957932</v>
      </c>
      <c r="C28" s="13">
        <v>585.73196652355909</v>
      </c>
      <c r="D28" s="13">
        <v>696.93275934173869</v>
      </c>
      <c r="E28" s="13">
        <v>747.16438602733615</v>
      </c>
      <c r="F28" s="13">
        <v>798.75091212199368</v>
      </c>
      <c r="G28" s="13"/>
      <c r="H28" s="13">
        <f t="shared" si="0"/>
        <v>101.81815278025499</v>
      </c>
      <c r="I28" s="13">
        <f>'RD T1'!E27</f>
        <v>233.77668369079618</v>
      </c>
      <c r="J28" s="13">
        <f t="shared" si="3"/>
        <v>335.59483647105117</v>
      </c>
      <c r="L28" s="12" t="str">
        <f>name!D24</f>
        <v xml:space="preserve"> 72 Customer service occupations</v>
      </c>
      <c r="M28" s="13">
        <v>202.22343133666763</v>
      </c>
      <c r="N28" s="13">
        <v>231.32989303022984</v>
      </c>
      <c r="O28" s="13">
        <v>284.07936230390033</v>
      </c>
      <c r="P28" s="13">
        <v>311.06406294573736</v>
      </c>
      <c r="Q28" s="13">
        <v>334.65890181273278</v>
      </c>
      <c r="R28" s="13"/>
      <c r="S28" s="13">
        <f t="shared" si="1"/>
        <v>50.579539508832454</v>
      </c>
      <c r="T28" s="13">
        <f>'RD T1'!T27</f>
        <v>73.356346638302981</v>
      </c>
      <c r="U28" s="13">
        <f t="shared" si="4"/>
        <v>123.93588614713543</v>
      </c>
      <c r="W28" s="12" t="str">
        <f>name!D24</f>
        <v xml:space="preserve"> 72 Customer service occupations</v>
      </c>
      <c r="X28" s="13">
        <v>323.36130344291013</v>
      </c>
      <c r="Y28" s="13">
        <v>354.40207349333019</v>
      </c>
      <c r="Z28" s="13">
        <v>412.85339703783899</v>
      </c>
      <c r="AA28" s="13">
        <v>436.10032308160089</v>
      </c>
      <c r="AB28" s="13">
        <v>464.09201030925942</v>
      </c>
      <c r="AC28" s="13"/>
      <c r="AD28" s="13">
        <f t="shared" si="2"/>
        <v>51.238613271420434</v>
      </c>
      <c r="AE28" s="13">
        <f>'RD T1'!T55</f>
        <v>160.42033705249318</v>
      </c>
      <c r="AF28" s="13">
        <f t="shared" si="5"/>
        <v>211.65895032391361</v>
      </c>
    </row>
    <row r="29" spans="1:32" x14ac:dyDescent="0.25">
      <c r="A29" s="12" t="str">
        <f>name!D25</f>
        <v xml:space="preserve"> 81 Process, plant and machine operatives</v>
      </c>
      <c r="B29" s="13">
        <v>1062.9416018239299</v>
      </c>
      <c r="C29" s="13">
        <v>947.27616497072279</v>
      </c>
      <c r="D29" s="13">
        <v>910.36505814126201</v>
      </c>
      <c r="E29" s="13">
        <v>788.01412016119968</v>
      </c>
      <c r="F29" s="13">
        <v>708.95931242337531</v>
      </c>
      <c r="G29" s="13"/>
      <c r="H29" s="13">
        <f t="shared" si="0"/>
        <v>-201.4057457178867</v>
      </c>
      <c r="I29" s="13">
        <f>'RD T1'!E28</f>
        <v>206.58997935358079</v>
      </c>
      <c r="J29" s="13">
        <f t="shared" si="3"/>
        <v>5.1842336356940848</v>
      </c>
      <c r="L29" s="12" t="str">
        <f>name!D25</f>
        <v xml:space="preserve"> 81 Process, plant and machine operatives</v>
      </c>
      <c r="M29" s="13">
        <v>815.87896294858808</v>
      </c>
      <c r="N29" s="13">
        <v>732.56542790449737</v>
      </c>
      <c r="O29" s="13">
        <v>719.68703195597607</v>
      </c>
      <c r="P29" s="13">
        <v>640.68912600770375</v>
      </c>
      <c r="Q29" s="13">
        <v>589.65211558646297</v>
      </c>
      <c r="R29" s="13"/>
      <c r="S29" s="13">
        <f t="shared" si="1"/>
        <v>-130.0349163695131</v>
      </c>
      <c r="T29" s="13">
        <f>'RD T1'!T28</f>
        <v>157.8510803914524</v>
      </c>
      <c r="U29" s="13">
        <f t="shared" si="4"/>
        <v>27.816164021939301</v>
      </c>
      <c r="W29" s="12" t="str">
        <f>name!D25</f>
        <v xml:space="preserve"> 81 Process, plant and machine operatives</v>
      </c>
      <c r="X29" s="13">
        <v>247.06263887534641</v>
      </c>
      <c r="Y29" s="13">
        <v>214.71073706622587</v>
      </c>
      <c r="Z29" s="13">
        <v>190.67802618528535</v>
      </c>
      <c r="AA29" s="13">
        <v>147.32499415349579</v>
      </c>
      <c r="AB29" s="13">
        <v>119.3071968369111</v>
      </c>
      <c r="AC29" s="13"/>
      <c r="AD29" s="13">
        <f t="shared" si="2"/>
        <v>-71.370829348374244</v>
      </c>
      <c r="AE29" s="13">
        <f>'RD T1'!T56</f>
        <v>48.73889896212841</v>
      </c>
      <c r="AF29" s="13">
        <f t="shared" si="5"/>
        <v>-22.631930386245834</v>
      </c>
    </row>
    <row r="30" spans="1:32" x14ac:dyDescent="0.25">
      <c r="A30" s="12" t="str">
        <f>name!D26</f>
        <v xml:space="preserve"> 82 Transport and mobile machine drivers and operatives</v>
      </c>
      <c r="B30" s="13">
        <v>1251.2075495320041</v>
      </c>
      <c r="C30" s="13">
        <v>1210.2822982778534</v>
      </c>
      <c r="D30" s="13">
        <v>1269.5914805445047</v>
      </c>
      <c r="E30" s="13">
        <v>1259.4122875888795</v>
      </c>
      <c r="F30" s="13">
        <v>1265.1666013580495</v>
      </c>
      <c r="G30" s="13"/>
      <c r="H30" s="13">
        <f t="shared" si="0"/>
        <v>-4.4248791864552004</v>
      </c>
      <c r="I30" s="13">
        <f>'RD T1'!E29</f>
        <v>450.81923286049846</v>
      </c>
      <c r="J30" s="13">
        <f t="shared" si="3"/>
        <v>446.39435367404326</v>
      </c>
      <c r="L30" s="12" t="str">
        <f>name!D26</f>
        <v xml:space="preserve"> 82 Transport and mobile machine drivers and operatives</v>
      </c>
      <c r="M30" s="13">
        <v>1205.0639602517492</v>
      </c>
      <c r="N30" s="13">
        <v>1160.3746346387516</v>
      </c>
      <c r="O30" s="13">
        <v>1209.5642662460725</v>
      </c>
      <c r="P30" s="13">
        <v>1191.6473328137499</v>
      </c>
      <c r="Q30" s="13">
        <v>1192.7583410923617</v>
      </c>
      <c r="R30" s="13"/>
      <c r="S30" s="13">
        <f t="shared" si="1"/>
        <v>-16.805925153710859</v>
      </c>
      <c r="T30" s="13">
        <f>'RD T1'!T29</f>
        <v>422.3688726733069</v>
      </c>
      <c r="U30" s="13">
        <f t="shared" si="4"/>
        <v>405.56294751959604</v>
      </c>
      <c r="W30" s="12" t="str">
        <f>name!D26</f>
        <v xml:space="preserve"> 82 Transport and mobile machine drivers and operatives</v>
      </c>
      <c r="X30" s="13">
        <v>46.143589280255497</v>
      </c>
      <c r="Y30" s="13">
        <v>49.907663639105031</v>
      </c>
      <c r="Z30" s="13">
        <v>60.027214298433236</v>
      </c>
      <c r="AA30" s="13">
        <v>67.764954775127805</v>
      </c>
      <c r="AB30" s="13">
        <v>72.408260265688924</v>
      </c>
      <c r="AC30" s="13"/>
      <c r="AD30" s="13">
        <f t="shared" si="2"/>
        <v>12.381045967255687</v>
      </c>
      <c r="AE30" s="13">
        <f>'RD T1'!T57</f>
        <v>28.450360187191659</v>
      </c>
      <c r="AF30" s="13">
        <f t="shared" si="5"/>
        <v>40.83140615444735</v>
      </c>
    </row>
    <row r="31" spans="1:32" x14ac:dyDescent="0.25">
      <c r="A31" s="12" t="str">
        <f>name!D27</f>
        <v xml:space="preserve"> 91 Elementary trades and related occupations</v>
      </c>
      <c r="B31" s="13">
        <v>553.13527715257499</v>
      </c>
      <c r="C31" s="13">
        <v>530.50403474238635</v>
      </c>
      <c r="D31" s="13">
        <v>555.13378958997748</v>
      </c>
      <c r="E31" s="13">
        <v>539.00070305465908</v>
      </c>
      <c r="F31" s="13">
        <v>530.97531625291219</v>
      </c>
      <c r="G31" s="13"/>
      <c r="H31" s="13">
        <f t="shared" si="0"/>
        <v>-24.158473337065288</v>
      </c>
      <c r="I31" s="13">
        <f>'RD T1'!E30</f>
        <v>147.4889730119375</v>
      </c>
      <c r="J31" s="13">
        <f t="shared" si="3"/>
        <v>123.33049967487221</v>
      </c>
      <c r="L31" s="12" t="str">
        <f>name!D27</f>
        <v xml:space="preserve"> 91 Elementary trades and related occupations</v>
      </c>
      <c r="M31" s="13">
        <v>469.73342515105156</v>
      </c>
      <c r="N31" s="13">
        <v>435.84164422828604</v>
      </c>
      <c r="O31" s="13">
        <v>442.18288190204635</v>
      </c>
      <c r="P31" s="13">
        <v>416.27468082567066</v>
      </c>
      <c r="Q31" s="13">
        <v>399.61327908899227</v>
      </c>
      <c r="R31" s="13"/>
      <c r="S31" s="13">
        <f t="shared" si="1"/>
        <v>-42.569602813054075</v>
      </c>
      <c r="T31" s="13">
        <f>'RD T1'!T30</f>
        <v>95.311107518979512</v>
      </c>
      <c r="U31" s="13">
        <f t="shared" si="4"/>
        <v>52.741504705925436</v>
      </c>
      <c r="W31" s="12" t="str">
        <f>name!D27</f>
        <v xml:space="preserve"> 91 Elementary trades and related occupations</v>
      </c>
      <c r="X31" s="13">
        <v>83.401852001522514</v>
      </c>
      <c r="Y31" s="13">
        <v>94.662390514099783</v>
      </c>
      <c r="Z31" s="13">
        <v>112.95090768793037</v>
      </c>
      <c r="AA31" s="13">
        <v>122.7260222289881</v>
      </c>
      <c r="AB31" s="13">
        <v>131.36203716391941</v>
      </c>
      <c r="AC31" s="13"/>
      <c r="AD31" s="13">
        <f t="shared" si="2"/>
        <v>18.411129475989043</v>
      </c>
      <c r="AE31" s="13">
        <f>'RD T1'!T58</f>
        <v>52.177865492957999</v>
      </c>
      <c r="AF31" s="13">
        <f t="shared" si="5"/>
        <v>70.588994968947048</v>
      </c>
    </row>
    <row r="32" spans="1:32" x14ac:dyDescent="0.25">
      <c r="A32" s="12" t="str">
        <f>name!D28</f>
        <v xml:space="preserve"> 92 Elementary administration and service occupations</v>
      </c>
      <c r="B32" s="13">
        <v>3484.0820997201308</v>
      </c>
      <c r="C32" s="13">
        <v>3235.6878010367845</v>
      </c>
      <c r="D32" s="13">
        <v>3400.859321554502</v>
      </c>
      <c r="E32" s="13">
        <v>3409.040265297268</v>
      </c>
      <c r="F32" s="13">
        <v>3415.9759462743414</v>
      </c>
      <c r="G32" s="13"/>
      <c r="H32" s="13">
        <f t="shared" si="0"/>
        <v>15.116624719839365</v>
      </c>
      <c r="I32" s="13">
        <f>'RD T1'!E31</f>
        <v>1110.2535900547869</v>
      </c>
      <c r="J32" s="13">
        <f t="shared" si="3"/>
        <v>1125.3702147746262</v>
      </c>
      <c r="L32" s="12" t="str">
        <f>name!D28</f>
        <v xml:space="preserve"> 92 Elementary administration and service occupations</v>
      </c>
      <c r="M32" s="13">
        <v>1485.4854678879624</v>
      </c>
      <c r="N32" s="13">
        <v>1474.8749575533025</v>
      </c>
      <c r="O32" s="13">
        <v>1653.0345846304847</v>
      </c>
      <c r="P32" s="13">
        <v>1728.104547871081</v>
      </c>
      <c r="Q32" s="13">
        <v>1815.3093387344427</v>
      </c>
      <c r="R32" s="13"/>
      <c r="S32" s="13">
        <f t="shared" si="1"/>
        <v>162.274754103958</v>
      </c>
      <c r="T32" s="13">
        <f>'RD T1'!T31</f>
        <v>471.22966648651413</v>
      </c>
      <c r="U32" s="13">
        <f t="shared" si="4"/>
        <v>633.50442059047214</v>
      </c>
      <c r="W32" s="12" t="str">
        <f>name!D28</f>
        <v xml:space="preserve"> 92 Elementary administration and service occupations</v>
      </c>
      <c r="X32" s="13">
        <v>1998.5966318321712</v>
      </c>
      <c r="Y32" s="13">
        <v>1760.8128434834825</v>
      </c>
      <c r="Z32" s="13">
        <v>1747.8247369240221</v>
      </c>
      <c r="AA32" s="13">
        <v>1680.935717426182</v>
      </c>
      <c r="AB32" s="13">
        <v>1600.6666075398941</v>
      </c>
      <c r="AC32" s="13"/>
      <c r="AD32" s="13">
        <f t="shared" si="2"/>
        <v>-147.15812938412796</v>
      </c>
      <c r="AE32" s="13">
        <f>'RD T1'!T59</f>
        <v>639.02392356827283</v>
      </c>
      <c r="AF32" s="13">
        <f t="shared" si="5"/>
        <v>491.86579418414487</v>
      </c>
    </row>
    <row r="33" spans="1:32" x14ac:dyDescent="0.25">
      <c r="H33" s="13"/>
      <c r="L33" s="12"/>
      <c r="S33" s="13"/>
      <c r="W33" s="12"/>
      <c r="AD33" s="13"/>
    </row>
    <row r="34" spans="1:32" x14ac:dyDescent="0.25">
      <c r="A34" s="336" t="str">
        <f>name!D3</f>
        <v>All occupations</v>
      </c>
      <c r="B34" s="39">
        <f>SUM(B8:B32)</f>
        <v>31790.007000000074</v>
      </c>
      <c r="C34" s="39">
        <f>SUM(C8:C32)</f>
        <v>31800.013000000261</v>
      </c>
      <c r="D34" s="39">
        <f>SUM(D8:D32)</f>
        <v>34847.991999999984</v>
      </c>
      <c r="E34" s="39">
        <f>SUM(E8:E32)</f>
        <v>35250.447999999968</v>
      </c>
      <c r="F34" s="39">
        <f>SUM(F8:F32)</f>
        <v>35820.953000000147</v>
      </c>
      <c r="G34" s="13"/>
      <c r="H34" s="39">
        <f t="shared" si="0"/>
        <v>972.96100000016304</v>
      </c>
      <c r="I34" s="39">
        <f>SUM(I8:I32)</f>
        <v>11580.882065892369</v>
      </c>
      <c r="J34" s="39">
        <f>SUM(J8:J32)</f>
        <v>12553.843065892523</v>
      </c>
      <c r="L34" s="336" t="str">
        <f>name!D3</f>
        <v>All occupations</v>
      </c>
      <c r="M34" s="39">
        <f>SUM(M8:M32)</f>
        <v>16786.109000000004</v>
      </c>
      <c r="N34" s="39">
        <f t="shared" ref="N34:Q34" si="6">SUM(N8:N32)</f>
        <v>16739.57900000018</v>
      </c>
      <c r="O34" s="39">
        <f t="shared" si="6"/>
        <v>18231.892000000047</v>
      </c>
      <c r="P34" s="39">
        <f t="shared" si="6"/>
        <v>18283.14900000007</v>
      </c>
      <c r="Q34" s="39">
        <f t="shared" si="6"/>
        <v>18413.985000000124</v>
      </c>
      <c r="R34" s="13"/>
      <c r="S34" s="39">
        <f t="shared" ref="S34" si="7">Q34-O34</f>
        <v>182.09300000007715</v>
      </c>
      <c r="T34" s="39">
        <f>SUM(T8:T32)</f>
        <v>5061.595144168261</v>
      </c>
      <c r="U34" s="39">
        <f>SUM(U8:U32)</f>
        <v>5243.6881441683399</v>
      </c>
      <c r="W34" s="336" t="str">
        <f>name!D3</f>
        <v>All occupations</v>
      </c>
      <c r="X34" s="39">
        <f>SUM(X8:X32)</f>
        <v>15003.898000000074</v>
      </c>
      <c r="Y34" s="39">
        <f t="shared" ref="Y34:AA34" si="8">SUM(Y8:Y32)</f>
        <v>15060.434000000081</v>
      </c>
      <c r="Z34" s="39">
        <f t="shared" si="8"/>
        <v>16616.099999999948</v>
      </c>
      <c r="AA34" s="39">
        <f t="shared" si="8"/>
        <v>16967.298999999875</v>
      </c>
      <c r="AB34" s="39">
        <f>SUM(AB8:AB32)</f>
        <v>17406.968000000015</v>
      </c>
      <c r="AC34" s="13"/>
      <c r="AD34" s="39">
        <f t="shared" ref="AD34" si="9">AB34-Z34</f>
        <v>790.8680000000677</v>
      </c>
      <c r="AE34" s="39">
        <f>SUM(AE8:AE32)</f>
        <v>6519.2869217241105</v>
      </c>
      <c r="AF34" s="39">
        <f>SUM(AF8:AF32)</f>
        <v>7310.15492172418</v>
      </c>
    </row>
    <row r="35" spans="1:32" x14ac:dyDescent="0.25">
      <c r="A35" s="18"/>
      <c r="B35" s="13"/>
      <c r="C35" s="13"/>
      <c r="D35" s="13"/>
      <c r="E35" s="13"/>
      <c r="F35" s="13"/>
      <c r="G35" s="13"/>
      <c r="L35" s="18"/>
      <c r="M35" s="13"/>
      <c r="N35" s="13"/>
      <c r="O35" s="13"/>
      <c r="P35" s="13"/>
      <c r="Q35" s="13"/>
      <c r="R35" s="13"/>
      <c r="W35" s="18"/>
      <c r="X35" s="13"/>
      <c r="Y35" s="13"/>
      <c r="Z35" s="13"/>
      <c r="AA35" s="13"/>
      <c r="AB35" s="13"/>
      <c r="AC35" s="13"/>
    </row>
    <row r="36" spans="1:32" x14ac:dyDescent="0.25">
      <c r="A36" s="18"/>
      <c r="B36" s="13"/>
      <c r="C36" s="13"/>
      <c r="D36" s="13"/>
      <c r="E36" s="13"/>
      <c r="F36" s="13"/>
      <c r="G36" s="13"/>
      <c r="H36" s="13"/>
      <c r="I36" s="13"/>
      <c r="J36" s="13"/>
      <c r="L36" s="18"/>
      <c r="M36" s="13"/>
      <c r="N36" s="13"/>
      <c r="O36" s="13"/>
      <c r="P36" s="13"/>
      <c r="Q36" s="13"/>
      <c r="R36" s="13"/>
      <c r="S36" s="13"/>
      <c r="T36" s="13"/>
      <c r="U36" s="13"/>
      <c r="W36" s="18"/>
      <c r="X36" s="13"/>
      <c r="Y36" s="13"/>
      <c r="Z36" s="13"/>
      <c r="AA36" s="13"/>
      <c r="AB36" s="13"/>
      <c r="AC36" s="13"/>
      <c r="AD36" s="13"/>
      <c r="AE36" s="13"/>
      <c r="AF36" s="13"/>
    </row>
    <row r="37" spans="1:32" ht="15.6" x14ac:dyDescent="0.3">
      <c r="A37" s="23" t="str">
        <f>CONCATENATE(A$1," (Continued)")</f>
        <v>Occupation Table 2  Employment Change by Occupation (SOC 2010) and Replacement Demand, 2007-2027 (Continued)</v>
      </c>
      <c r="L37" s="23" t="str">
        <f>CONCATENATE(L$1," (Continued)")</f>
        <v>Occupation Table 2.1  Males: Employment Change by Occupation (SOC 2010) and Replacement Demand, 2007-2027 (Continued)</v>
      </c>
      <c r="W37" s="23" t="str">
        <f>CONCATENATE(W$1," (Continued)")</f>
        <v>Occupation Table 2.2  Females: Employment Change by Occupation (SOC 2010) and Replacement Demand, 2007-2027 (Continued)</v>
      </c>
    </row>
    <row r="39" spans="1:32" x14ac:dyDescent="0.25">
      <c r="F39" s="19" t="s">
        <v>34</v>
      </c>
      <c r="J39" s="19" t="s">
        <v>34</v>
      </c>
      <c r="Q39" s="19" t="s">
        <v>34</v>
      </c>
      <c r="U39" s="19" t="s">
        <v>34</v>
      </c>
      <c r="AB39" s="19" t="s">
        <v>34</v>
      </c>
      <c r="AF39" s="19" t="s">
        <v>34</v>
      </c>
    </row>
    <row r="40" spans="1:32" x14ac:dyDescent="0.25">
      <c r="A40" s="41"/>
      <c r="B40" s="41"/>
      <c r="C40" s="41"/>
      <c r="D40" s="41"/>
      <c r="E40" s="41"/>
      <c r="F40" s="41"/>
      <c r="H40" s="135" t="str">
        <f>$H$4</f>
        <v>2017-2027</v>
      </c>
      <c r="I40" s="41"/>
      <c r="J40" s="41"/>
      <c r="L40" s="41"/>
      <c r="M40" s="41"/>
      <c r="N40" s="41"/>
      <c r="O40" s="41"/>
      <c r="P40" s="41"/>
      <c r="Q40" s="41"/>
      <c r="S40" s="135" t="str">
        <f>$H$4</f>
        <v>2017-2027</v>
      </c>
      <c r="T40" s="41"/>
      <c r="U40" s="41"/>
      <c r="W40" s="41"/>
      <c r="X40" s="41"/>
      <c r="Y40" s="41"/>
      <c r="Z40" s="41"/>
      <c r="AA40" s="41"/>
      <c r="AB40" s="41"/>
      <c r="AD40" s="135" t="str">
        <f>$H$4</f>
        <v>2017-2027</v>
      </c>
      <c r="AE40" s="41"/>
      <c r="AF40" s="41"/>
    </row>
    <row r="41" spans="1:32" x14ac:dyDescent="0.25">
      <c r="A41" s="2"/>
      <c r="B41" s="2"/>
      <c r="C41" s="2"/>
      <c r="D41" s="2"/>
      <c r="E41" s="2"/>
      <c r="F41" s="2"/>
      <c r="H41" s="19" t="str">
        <f t="shared" ref="H41:J42" si="10">H5</f>
        <v>Net</v>
      </c>
      <c r="I41" s="19" t="str">
        <f t="shared" si="10"/>
        <v>Replacement</v>
      </c>
      <c r="J41" s="19" t="str">
        <f t="shared" si="10"/>
        <v>Total</v>
      </c>
      <c r="L41" s="2"/>
      <c r="M41" s="2"/>
      <c r="N41" s="2"/>
      <c r="O41" s="2"/>
      <c r="P41" s="2"/>
      <c r="Q41" s="2"/>
      <c r="S41" s="19" t="str">
        <f t="shared" ref="S41:U41" si="11">S5</f>
        <v>Net</v>
      </c>
      <c r="T41" s="19" t="str">
        <f t="shared" si="11"/>
        <v>Replacement</v>
      </c>
      <c r="U41" s="19" t="str">
        <f t="shared" si="11"/>
        <v>Total</v>
      </c>
      <c r="W41" s="2"/>
      <c r="X41" s="2"/>
      <c r="Y41" s="2"/>
      <c r="Z41" s="2"/>
      <c r="AA41" s="2"/>
      <c r="AB41" s="2"/>
      <c r="AD41" s="19" t="str">
        <f t="shared" ref="AD41:AF41" si="12">AD5</f>
        <v>Net</v>
      </c>
      <c r="AE41" s="19" t="str">
        <f t="shared" si="12"/>
        <v>Replacement</v>
      </c>
      <c r="AF41" s="19" t="str">
        <f t="shared" si="12"/>
        <v>Total</v>
      </c>
    </row>
    <row r="42" spans="1:32" x14ac:dyDescent="0.25">
      <c r="A42" s="78" t="s">
        <v>515</v>
      </c>
      <c r="B42" s="40">
        <f>B$6</f>
        <v>2007</v>
      </c>
      <c r="C42" s="40">
        <f>C$6</f>
        <v>2012</v>
      </c>
      <c r="D42" s="40">
        <f>D$6</f>
        <v>2017</v>
      </c>
      <c r="E42" s="40">
        <f>E$6</f>
        <v>2022</v>
      </c>
      <c r="F42" s="40">
        <f>F$6</f>
        <v>2027</v>
      </c>
      <c r="H42" s="75" t="str">
        <f t="shared" si="10"/>
        <v>Change</v>
      </c>
      <c r="I42" s="75" t="str">
        <f t="shared" si="10"/>
        <v>Demand</v>
      </c>
      <c r="J42" s="75" t="str">
        <f t="shared" si="10"/>
        <v>Requirement</v>
      </c>
      <c r="L42" s="78" t="s">
        <v>515</v>
      </c>
      <c r="M42" s="40">
        <f>M$6</f>
        <v>2007</v>
      </c>
      <c r="N42" s="40">
        <f>N$6</f>
        <v>2012</v>
      </c>
      <c r="O42" s="40">
        <f>O$6</f>
        <v>2017</v>
      </c>
      <c r="P42" s="40">
        <f>P$6</f>
        <v>2022</v>
      </c>
      <c r="Q42" s="40">
        <f>Q$6</f>
        <v>2027</v>
      </c>
      <c r="S42" s="75" t="str">
        <f t="shared" ref="S42:U42" si="13">S6</f>
        <v>Change</v>
      </c>
      <c r="T42" s="75" t="str">
        <f t="shared" si="13"/>
        <v>Demand</v>
      </c>
      <c r="U42" s="75" t="str">
        <f t="shared" si="13"/>
        <v>Requirement</v>
      </c>
      <c r="W42" s="78" t="s">
        <v>515</v>
      </c>
      <c r="X42" s="40">
        <f>X$6</f>
        <v>2007</v>
      </c>
      <c r="Y42" s="40">
        <f>Y$6</f>
        <v>2012</v>
      </c>
      <c r="Z42" s="40">
        <f>Z$6</f>
        <v>2017</v>
      </c>
      <c r="AA42" s="40">
        <f>AA$6</f>
        <v>2022</v>
      </c>
      <c r="AB42" s="40">
        <f>AB$6</f>
        <v>2027</v>
      </c>
      <c r="AD42" s="75" t="str">
        <f t="shared" ref="AD42:AF42" si="14">AD6</f>
        <v>Change</v>
      </c>
      <c r="AE42" s="75" t="str">
        <f t="shared" si="14"/>
        <v>Demand</v>
      </c>
      <c r="AF42" s="75" t="str">
        <f t="shared" si="14"/>
        <v>Requirement</v>
      </c>
    </row>
    <row r="43" spans="1:32" x14ac:dyDescent="0.25">
      <c r="G43" s="13"/>
      <c r="R43" s="13"/>
      <c r="AC43" s="13"/>
    </row>
    <row r="44" spans="1:32" x14ac:dyDescent="0.25">
      <c r="A44" s="217" t="str">
        <f t="shared" ref="A44:A68" si="15">A8</f>
        <v xml:space="preserve"> 11 Corporate managers and directors</v>
      </c>
      <c r="B44" s="249">
        <f t="shared" ref="B44:F53" si="16">B8/B$34*100</f>
        <v>6.1650192703891236</v>
      </c>
      <c r="C44" s="249">
        <f t="shared" si="16"/>
        <v>6.6554660577777227</v>
      </c>
      <c r="D44" s="249">
        <f t="shared" si="16"/>
        <v>7.24862562271265</v>
      </c>
      <c r="E44" s="249">
        <f t="shared" si="16"/>
        <v>7.6797390480887753</v>
      </c>
      <c r="F44" s="249">
        <f t="shared" si="16"/>
        <v>8.0256562676279426</v>
      </c>
      <c r="H44" s="83">
        <f>IF(D8&gt;0,(H8/D8)*100,0)</f>
        <v>13.811006198006018</v>
      </c>
      <c r="I44" s="84">
        <f>IF(D8&gt;0,I8/D8*100,0)</f>
        <v>37.788495352286297</v>
      </c>
      <c r="J44" s="84">
        <f>IF(D8&gt;0,(J8/D8)*100,0)</f>
        <v>51.599501550292302</v>
      </c>
      <c r="L44" s="286" t="str">
        <f t="shared" ref="L44:L68" si="17">L8</f>
        <v xml:space="preserve"> 11 Corporate managers and directors</v>
      </c>
      <c r="M44" s="249">
        <f t="shared" ref="M44:Q44" si="18">M8/M$34*100</f>
        <v>8.6804791969500066</v>
      </c>
      <c r="N44" s="249">
        <f t="shared" si="18"/>
        <v>9.0046002981531501</v>
      </c>
      <c r="O44" s="249">
        <f t="shared" si="18"/>
        <v>9.4681972103651901</v>
      </c>
      <c r="P44" s="249">
        <f t="shared" si="18"/>
        <v>9.7974946565717289</v>
      </c>
      <c r="Q44" s="249">
        <f t="shared" si="18"/>
        <v>10.042690742442691</v>
      </c>
      <c r="S44" s="83">
        <f>IF(O8&gt;0,(S8/O8)*100,0)</f>
        <v>7.12697444694816</v>
      </c>
      <c r="T44" s="84">
        <f>IF(O8&gt;0,T8/O8*100,0)</f>
        <v>33.662705755740362</v>
      </c>
      <c r="U44" s="84">
        <f>IF(O8&gt;0,(U8/O8)*100,0)</f>
        <v>40.78968020268853</v>
      </c>
      <c r="W44" s="286" t="str">
        <f t="shared" ref="W44:W68" si="19">W8</f>
        <v xml:space="preserve"> 11 Corporate managers and directors</v>
      </c>
      <c r="X44" s="249">
        <f t="shared" ref="X44:AB44" si="20">X8/X$34*100</f>
        <v>3.3507649671152433</v>
      </c>
      <c r="Y44" s="249">
        <f t="shared" si="20"/>
        <v>4.0444179167766059</v>
      </c>
      <c r="Z44" s="249">
        <f t="shared" si="20"/>
        <v>4.8132172252938492</v>
      </c>
      <c r="AA44" s="249">
        <f t="shared" si="20"/>
        <v>5.3977470035400126</v>
      </c>
      <c r="AB44" s="249">
        <f t="shared" si="20"/>
        <v>5.8919335788907992</v>
      </c>
      <c r="AD44" s="83">
        <f>IF(Z8&gt;0,(AD8/Z8)*100,0)</f>
        <v>28.237904801586101</v>
      </c>
      <c r="AE44" s="84">
        <f>IF(Z8&gt;0,AE8/Z8*100,0)</f>
        <v>46.693651758769462</v>
      </c>
      <c r="AF44" s="84">
        <f>IF(Z8&gt;0,(AF8/Z8)*100,0)</f>
        <v>74.93155656035556</v>
      </c>
    </row>
    <row r="45" spans="1:32" x14ac:dyDescent="0.25">
      <c r="A45" s="243" t="str">
        <f t="shared" si="15"/>
        <v xml:space="preserve"> 12 Other managers and proprietors</v>
      </c>
      <c r="B45" s="249">
        <f t="shared" si="16"/>
        <v>2.5662534989955521</v>
      </c>
      <c r="C45" s="249">
        <f t="shared" si="16"/>
        <v>2.9135716900654036</v>
      </c>
      <c r="D45" s="249">
        <f t="shared" si="16"/>
        <v>2.9856064006653296</v>
      </c>
      <c r="E45" s="249">
        <f t="shared" si="16"/>
        <v>3.0937184094607613</v>
      </c>
      <c r="F45" s="249">
        <f t="shared" si="16"/>
        <v>3.1548709839984022</v>
      </c>
      <c r="H45" s="83">
        <f t="shared" ref="H45:H70" si="21">IF(D9&gt;0,(H9/D9)*100,0)</f>
        <v>8.6196572845941013</v>
      </c>
      <c r="I45" s="84">
        <f t="shared" ref="I45:I70" si="22">IF(D9&gt;0,I9/D9*100,0)</f>
        <v>40.937499074705499</v>
      </c>
      <c r="J45" s="84">
        <f t="shared" ref="J45:J70" si="23">IF(D9&gt;0,(J9/D9)*100,0)</f>
        <v>49.557156359299597</v>
      </c>
      <c r="L45" s="286" t="str">
        <f t="shared" si="17"/>
        <v xml:space="preserve"> 12 Other managers and proprietors</v>
      </c>
      <c r="M45" s="249">
        <f t="shared" ref="M45:Q45" si="24">M9/M$34*100</f>
        <v>2.8750590735813075</v>
      </c>
      <c r="N45" s="249">
        <f t="shared" si="24"/>
        <v>3.1255247544764191</v>
      </c>
      <c r="O45" s="249">
        <f t="shared" si="24"/>
        <v>3.0775852768991934</v>
      </c>
      <c r="P45" s="249">
        <f t="shared" si="24"/>
        <v>3.1471578472932</v>
      </c>
      <c r="Q45" s="249">
        <f t="shared" si="24"/>
        <v>3.1881412883016216</v>
      </c>
      <c r="S45" s="83">
        <f t="shared" ref="S45:S68" si="25">IF(O9&gt;0,(S9/O9)*100,0)</f>
        <v>4.626936565728287</v>
      </c>
      <c r="T45" s="84">
        <f t="shared" ref="T45:T68" si="26">IF(O9&gt;0,T9/O9*100,0)</f>
        <v>35.443724490619921</v>
      </c>
      <c r="U45" s="84">
        <f t="shared" ref="U45:U68" si="27">IF(O9&gt;0,(U9/O9)*100,0)</f>
        <v>40.070661056348214</v>
      </c>
      <c r="W45" s="286" t="str">
        <f t="shared" si="19"/>
        <v xml:space="preserve"> 12 Other managers and proprietors</v>
      </c>
      <c r="X45" s="249">
        <f t="shared" ref="X45:AB45" si="28">X9/X$34*100</f>
        <v>2.2207670104307824</v>
      </c>
      <c r="Y45" s="249">
        <f t="shared" si="28"/>
        <v>2.6779871733111014</v>
      </c>
      <c r="Z45" s="249">
        <f t="shared" si="28"/>
        <v>2.8846832636008357</v>
      </c>
      <c r="AA45" s="249">
        <f t="shared" si="28"/>
        <v>3.0361346299583922</v>
      </c>
      <c r="AB45" s="249">
        <f t="shared" si="28"/>
        <v>3.1196759469083615</v>
      </c>
      <c r="AD45" s="83">
        <f t="shared" ref="AD45:AD68" si="29">IF(Z9&gt;0,(AD9/Z9)*100,0)</f>
        <v>13.293601627533819</v>
      </c>
      <c r="AE45" s="84">
        <f t="shared" ref="AE45:AE68" si="30">IF(Z9&gt;0,AE9/Z9*100,0)</f>
        <v>47.368601685350548</v>
      </c>
      <c r="AF45" s="84">
        <f t="shared" ref="AF45:AF68" si="31">IF(Z9&gt;0,(AF9/Z9)*100,0)</f>
        <v>60.662203312884365</v>
      </c>
    </row>
    <row r="46" spans="1:32" x14ac:dyDescent="0.25">
      <c r="A46" s="243" t="str">
        <f t="shared" si="15"/>
        <v xml:space="preserve"> 21 Science, research, engineering and technology professionals</v>
      </c>
      <c r="B46" s="249">
        <f t="shared" si="16"/>
        <v>4.1178472368880525</v>
      </c>
      <c r="C46" s="249">
        <f t="shared" si="16"/>
        <v>4.627042265370088</v>
      </c>
      <c r="D46" s="249">
        <f t="shared" si="16"/>
        <v>5.0334129366011764</v>
      </c>
      <c r="E46" s="249">
        <f t="shared" si="16"/>
        <v>5.2114761795063522</v>
      </c>
      <c r="F46" s="249">
        <f t="shared" si="16"/>
        <v>5.3418717614399061</v>
      </c>
      <c r="H46" s="83">
        <f t="shared" si="21"/>
        <v>9.0913395413363869</v>
      </c>
      <c r="I46" s="84">
        <f t="shared" si="22"/>
        <v>26.418169665141306</v>
      </c>
      <c r="J46" s="84">
        <f t="shared" si="23"/>
        <v>35.509509206477688</v>
      </c>
      <c r="L46" s="286" t="str">
        <f t="shared" si="17"/>
        <v xml:space="preserve"> 21 Science, research, engineering and technology professionals</v>
      </c>
      <c r="M46" s="249">
        <f t="shared" ref="M46:Q46" si="32">M10/M$34*100</f>
        <v>6.4475730032583529</v>
      </c>
      <c r="N46" s="249">
        <f t="shared" si="32"/>
        <v>7.2310467152714013</v>
      </c>
      <c r="O46" s="249">
        <f t="shared" si="32"/>
        <v>7.7739977386614427</v>
      </c>
      <c r="P46" s="249">
        <f t="shared" si="32"/>
        <v>7.983939567289779</v>
      </c>
      <c r="Q46" s="249">
        <f t="shared" si="32"/>
        <v>8.1430373726422811</v>
      </c>
      <c r="S46" s="83">
        <f t="shared" si="25"/>
        <v>5.7932754628761431</v>
      </c>
      <c r="T46" s="84">
        <f t="shared" si="26"/>
        <v>23.331192198383018</v>
      </c>
      <c r="U46" s="84">
        <f t="shared" si="27"/>
        <v>29.124467661259164</v>
      </c>
      <c r="W46" s="286" t="str">
        <f t="shared" si="19"/>
        <v xml:space="preserve"> 21 Science, research, engineering and technology professionals</v>
      </c>
      <c r="X46" s="249">
        <f t="shared" ref="X46:AB46" si="33">X10/X$34*100</f>
        <v>1.5113891914921491</v>
      </c>
      <c r="Y46" s="249">
        <f t="shared" si="33"/>
        <v>1.7327074669522664</v>
      </c>
      <c r="Z46" s="249">
        <f t="shared" si="33"/>
        <v>2.0263266691855732</v>
      </c>
      <c r="AA46" s="249">
        <f t="shared" si="33"/>
        <v>2.2240023797053285</v>
      </c>
      <c r="AB46" s="249">
        <f t="shared" si="33"/>
        <v>2.3786548733984989</v>
      </c>
      <c r="AD46" s="83">
        <f t="shared" si="29"/>
        <v>22.974766547810614</v>
      </c>
      <c r="AE46" s="84">
        <f t="shared" si="30"/>
        <v>39.413013097769984</v>
      </c>
      <c r="AF46" s="84">
        <f t="shared" si="31"/>
        <v>62.387779645580586</v>
      </c>
    </row>
    <row r="47" spans="1:32" x14ac:dyDescent="0.25">
      <c r="A47" s="243" t="str">
        <f t="shared" si="15"/>
        <v xml:space="preserve"> 22 Health professionals</v>
      </c>
      <c r="B47" s="249">
        <f t="shared" si="16"/>
        <v>3.8807831347337784</v>
      </c>
      <c r="C47" s="249">
        <f t="shared" si="16"/>
        <v>4.1226070776828889</v>
      </c>
      <c r="D47" s="249">
        <f t="shared" si="16"/>
        <v>4.4278043115644987</v>
      </c>
      <c r="E47" s="249">
        <f t="shared" si="16"/>
        <v>4.704974415861801</v>
      </c>
      <c r="F47" s="249">
        <f t="shared" si="16"/>
        <v>4.9507688457687893</v>
      </c>
      <c r="H47" s="83">
        <f t="shared" si="21"/>
        <v>14.932699667653242</v>
      </c>
      <c r="I47" s="84">
        <f t="shared" si="22"/>
        <v>39.277297233050106</v>
      </c>
      <c r="J47" s="84">
        <f t="shared" si="23"/>
        <v>54.209996900703352</v>
      </c>
      <c r="L47" s="286" t="str">
        <f t="shared" si="17"/>
        <v xml:space="preserve"> 22 Health professionals</v>
      </c>
      <c r="M47" s="249">
        <f t="shared" ref="M47:Q47" si="34">M11/M$34*100</f>
        <v>1.9309674629218985</v>
      </c>
      <c r="N47" s="249">
        <f t="shared" si="34"/>
        <v>2.0497932445450364</v>
      </c>
      <c r="O47" s="249">
        <f t="shared" si="34"/>
        <v>2.0745220927437855</v>
      </c>
      <c r="P47" s="249">
        <f t="shared" si="34"/>
        <v>2.0896004682026224</v>
      </c>
      <c r="Q47" s="249">
        <f t="shared" si="34"/>
        <v>2.1145828446420398</v>
      </c>
      <c r="S47" s="83">
        <f t="shared" si="25"/>
        <v>2.9491311643369955</v>
      </c>
      <c r="T47" s="84">
        <f t="shared" si="26"/>
        <v>26.666660085302489</v>
      </c>
      <c r="U47" s="84">
        <f t="shared" si="27"/>
        <v>29.615791249639482</v>
      </c>
      <c r="W47" s="286" t="str">
        <f t="shared" si="19"/>
        <v xml:space="preserve"> 22 Health professionals</v>
      </c>
      <c r="X47" s="249">
        <f t="shared" ref="X47:AB47" si="35">X11/X$34*100</f>
        <v>6.0622041492556189</v>
      </c>
      <c r="Y47" s="249">
        <f t="shared" si="35"/>
        <v>6.426526799525158</v>
      </c>
      <c r="Z47" s="249">
        <f t="shared" si="35"/>
        <v>7.0099257034109543</v>
      </c>
      <c r="AA47" s="249">
        <f t="shared" si="35"/>
        <v>7.5231761565025135</v>
      </c>
      <c r="AB47" s="249">
        <f t="shared" si="35"/>
        <v>7.9510321013776055</v>
      </c>
      <c r="AD47" s="83">
        <f t="shared" si="29"/>
        <v>18.823988381053773</v>
      </c>
      <c r="AE47" s="84">
        <f t="shared" si="30"/>
        <v>43.372206857694771</v>
      </c>
      <c r="AF47" s="84">
        <f t="shared" si="31"/>
        <v>62.196195238748544</v>
      </c>
    </row>
    <row r="48" spans="1:32" x14ac:dyDescent="0.25">
      <c r="A48" s="243" t="str">
        <f t="shared" si="15"/>
        <v xml:space="preserve"> 23 Teaching and educational professionals</v>
      </c>
      <c r="B48" s="249">
        <f t="shared" si="16"/>
        <v>4.4635956251038413</v>
      </c>
      <c r="C48" s="249">
        <f t="shared" si="16"/>
        <v>4.702218262249966</v>
      </c>
      <c r="D48" s="249">
        <f t="shared" si="16"/>
        <v>4.93784354096847</v>
      </c>
      <c r="E48" s="249">
        <f t="shared" si="16"/>
        <v>5.0766538934872409</v>
      </c>
      <c r="F48" s="249">
        <f t="shared" si="16"/>
        <v>5.395952610756777</v>
      </c>
      <c r="H48" s="83">
        <f t="shared" si="21"/>
        <v>12.328556902492172</v>
      </c>
      <c r="I48" s="84">
        <f t="shared" si="22"/>
        <v>36.755355142050298</v>
      </c>
      <c r="J48" s="84">
        <f t="shared" si="23"/>
        <v>49.083912044542473</v>
      </c>
      <c r="L48" s="286" t="str">
        <f t="shared" si="17"/>
        <v xml:space="preserve"> 23 Teaching and educational professionals</v>
      </c>
      <c r="M48" s="249">
        <f t="shared" ref="M48:Q48" si="36">M12/M$34*100</f>
        <v>2.8302682853120351</v>
      </c>
      <c r="N48" s="249">
        <f t="shared" si="36"/>
        <v>3.0565152061632896</v>
      </c>
      <c r="O48" s="249">
        <f t="shared" si="36"/>
        <v>3.1232155752011712</v>
      </c>
      <c r="P48" s="249">
        <f t="shared" si="36"/>
        <v>3.1186414198219023</v>
      </c>
      <c r="Q48" s="249">
        <f t="shared" si="36"/>
        <v>3.2609102686743592</v>
      </c>
      <c r="S48" s="83">
        <f t="shared" si="25"/>
        <v>5.4515413546813374</v>
      </c>
      <c r="T48" s="84">
        <f t="shared" si="26"/>
        <v>29.3275877874005</v>
      </c>
      <c r="U48" s="84">
        <f t="shared" si="27"/>
        <v>34.779129142081835</v>
      </c>
      <c r="W48" s="286" t="str">
        <f t="shared" si="19"/>
        <v xml:space="preserve"> 23 Teaching and educational professionals</v>
      </c>
      <c r="X48" s="249">
        <f t="shared" ref="X48:AB48" si="37">X12/X$34*100</f>
        <v>6.2909348111223604</v>
      </c>
      <c r="Y48" s="249">
        <f t="shared" si="37"/>
        <v>6.5314070039491856</v>
      </c>
      <c r="Z48" s="249">
        <f t="shared" si="37"/>
        <v>6.9289305645208925</v>
      </c>
      <c r="AA48" s="249">
        <f t="shared" si="37"/>
        <v>7.186514384534318</v>
      </c>
      <c r="AB48" s="249">
        <f t="shared" si="37"/>
        <v>7.6545100839175717</v>
      </c>
      <c r="AD48" s="83">
        <f t="shared" si="29"/>
        <v>15.729805698610924</v>
      </c>
      <c r="AE48" s="84">
        <f t="shared" si="30"/>
        <v>40.428995923754748</v>
      </c>
      <c r="AF48" s="84">
        <f t="shared" si="31"/>
        <v>56.158801622365672</v>
      </c>
    </row>
    <row r="49" spans="1:32" x14ac:dyDescent="0.25">
      <c r="A49" s="243" t="str">
        <f t="shared" si="15"/>
        <v xml:space="preserve"> 24 Business, media and public service professionals</v>
      </c>
      <c r="B49" s="249">
        <f t="shared" si="16"/>
        <v>4.6061934711348496</v>
      </c>
      <c r="C49" s="249">
        <f t="shared" si="16"/>
        <v>4.9189592295012918</v>
      </c>
      <c r="D49" s="249">
        <f t="shared" si="16"/>
        <v>5.3251512646455303</v>
      </c>
      <c r="E49" s="249">
        <f t="shared" si="16"/>
        <v>5.645782596709199</v>
      </c>
      <c r="F49" s="249">
        <f t="shared" si="16"/>
        <v>5.7921833645779355</v>
      </c>
      <c r="H49" s="83">
        <f t="shared" si="21"/>
        <v>11.80718950166189</v>
      </c>
      <c r="I49" s="84">
        <f t="shared" si="22"/>
        <v>35.564226988759188</v>
      </c>
      <c r="J49" s="84">
        <f t="shared" si="23"/>
        <v>47.371416490421069</v>
      </c>
      <c r="L49" s="286" t="str">
        <f t="shared" si="17"/>
        <v xml:space="preserve"> 24 Business, media and public service professionals</v>
      </c>
      <c r="M49" s="249">
        <f t="shared" ref="M49:Q49" si="38">M13/M$34*100</f>
        <v>5.0835288345439755</v>
      </c>
      <c r="N49" s="249">
        <f t="shared" si="38"/>
        <v>5.356798681901827</v>
      </c>
      <c r="O49" s="249">
        <f t="shared" si="38"/>
        <v>5.6003793437706015</v>
      </c>
      <c r="P49" s="249">
        <f t="shared" si="38"/>
        <v>5.7567747726022604</v>
      </c>
      <c r="Q49" s="249">
        <f t="shared" si="38"/>
        <v>5.7056901613219058</v>
      </c>
      <c r="S49" s="83">
        <f t="shared" si="25"/>
        <v>2.8979647144563021</v>
      </c>
      <c r="T49" s="84">
        <f t="shared" si="26"/>
        <v>29.920836558078051</v>
      </c>
      <c r="U49" s="84">
        <f t="shared" si="27"/>
        <v>32.818801272534351</v>
      </c>
      <c r="W49" s="286" t="str">
        <f t="shared" si="19"/>
        <v xml:space="preserve"> 24 Business, media and public service professionals</v>
      </c>
      <c r="X49" s="249">
        <f t="shared" ref="X49:AB49" si="39">X13/X$34*100</f>
        <v>4.0721586863249035</v>
      </c>
      <c r="Y49" s="249">
        <f t="shared" si="39"/>
        <v>4.4323033932368396</v>
      </c>
      <c r="Z49" s="249">
        <f t="shared" si="39"/>
        <v>5.0231593041989981</v>
      </c>
      <c r="AA49" s="249">
        <f t="shared" si="39"/>
        <v>5.5261827423253642</v>
      </c>
      <c r="AB49" s="249">
        <f t="shared" si="39"/>
        <v>5.8836803184046254</v>
      </c>
      <c r="AD49" s="83">
        <f t="shared" si="29"/>
        <v>22.706099155877723</v>
      </c>
      <c r="AE49" s="84">
        <f t="shared" si="30"/>
        <v>42.467948010119947</v>
      </c>
      <c r="AF49" s="84">
        <f t="shared" si="31"/>
        <v>65.174047165997678</v>
      </c>
    </row>
    <row r="50" spans="1:32" x14ac:dyDescent="0.25">
      <c r="A50" s="243" t="str">
        <f t="shared" si="15"/>
        <v xml:space="preserve"> 31 Science, engineering and technology associate professionals</v>
      </c>
      <c r="B50" s="249">
        <f t="shared" si="16"/>
        <v>1.9177217305537093</v>
      </c>
      <c r="C50" s="249">
        <f t="shared" si="16"/>
        <v>1.8850214258293883</v>
      </c>
      <c r="D50" s="249">
        <f t="shared" si="16"/>
        <v>1.9259368569786801</v>
      </c>
      <c r="E50" s="249">
        <f t="shared" si="16"/>
        <v>1.9110976376261219</v>
      </c>
      <c r="F50" s="249">
        <f t="shared" si="16"/>
        <v>1.8986473619183295</v>
      </c>
      <c r="H50" s="83">
        <f t="shared" si="21"/>
        <v>1.3355066684444337</v>
      </c>
      <c r="I50" s="84">
        <f t="shared" si="22"/>
        <v>27.649174075220628</v>
      </c>
      <c r="J50" s="84">
        <f t="shared" si="23"/>
        <v>28.984680743665063</v>
      </c>
      <c r="L50" s="286" t="str">
        <f t="shared" si="17"/>
        <v xml:space="preserve"> 31 Science, engineering and technology associate professionals</v>
      </c>
      <c r="M50" s="249">
        <f t="shared" ref="M50:Q50" si="40">M14/M$34*100</f>
        <v>2.7698879273514212</v>
      </c>
      <c r="N50" s="249">
        <f t="shared" si="40"/>
        <v>2.7038980116520674</v>
      </c>
      <c r="O50" s="249">
        <f t="shared" si="40"/>
        <v>2.7873808867960546</v>
      </c>
      <c r="P50" s="249">
        <f t="shared" si="40"/>
        <v>2.7966725926992586</v>
      </c>
      <c r="Q50" s="249">
        <f t="shared" si="40"/>
        <v>2.808616144738628</v>
      </c>
      <c r="S50" s="83">
        <f t="shared" si="25"/>
        <v>1.7682052973788946</v>
      </c>
      <c r="T50" s="84">
        <f t="shared" si="26"/>
        <v>25.328194259447972</v>
      </c>
      <c r="U50" s="84">
        <f t="shared" si="27"/>
        <v>27.096399556826867</v>
      </c>
      <c r="W50" s="286" t="str">
        <f t="shared" si="19"/>
        <v xml:space="preserve"> 31 Science, engineering and technology associate professionals</v>
      </c>
      <c r="X50" s="249">
        <f t="shared" ref="X50:AB50" si="41">X14/X$34*100</f>
        <v>0.96433250692917194</v>
      </c>
      <c r="Y50" s="249">
        <f t="shared" si="41"/>
        <v>0.9748451786090776</v>
      </c>
      <c r="Z50" s="249">
        <f t="shared" si="41"/>
        <v>0.98072380965257189</v>
      </c>
      <c r="AA50" s="249">
        <f t="shared" si="41"/>
        <v>0.95684446779214483</v>
      </c>
      <c r="AB50" s="249">
        <f t="shared" si="41"/>
        <v>0.93603563554981906</v>
      </c>
      <c r="AD50" s="83">
        <f t="shared" si="29"/>
        <v>-1.3884178826701661E-2</v>
      </c>
      <c r="AE50" s="84">
        <f t="shared" si="30"/>
        <v>34.887257837623089</v>
      </c>
      <c r="AF50" s="84">
        <f t="shared" si="31"/>
        <v>34.873373658796382</v>
      </c>
    </row>
    <row r="51" spans="1:32" x14ac:dyDescent="0.25">
      <c r="A51" s="243" t="str">
        <f t="shared" si="15"/>
        <v xml:space="preserve"> 32 Health and social care associate professionals</v>
      </c>
      <c r="B51" s="249">
        <f t="shared" si="16"/>
        <v>1.3156662022348067</v>
      </c>
      <c r="C51" s="249">
        <f t="shared" si="16"/>
        <v>1.4021553033216612</v>
      </c>
      <c r="D51" s="249">
        <f t="shared" si="16"/>
        <v>1.5205535628300892</v>
      </c>
      <c r="E51" s="249">
        <f t="shared" si="16"/>
        <v>1.6232271941623018</v>
      </c>
      <c r="F51" s="249">
        <f t="shared" si="16"/>
        <v>1.7107473820183943</v>
      </c>
      <c r="H51" s="83">
        <f t="shared" si="21"/>
        <v>15.649441129870793</v>
      </c>
      <c r="I51" s="84">
        <f t="shared" si="22"/>
        <v>41.916872047877469</v>
      </c>
      <c r="J51" s="84">
        <f t="shared" si="23"/>
        <v>57.566313177748263</v>
      </c>
      <c r="L51" s="286" t="str">
        <f t="shared" si="17"/>
        <v xml:space="preserve"> 32 Health and social care associate professionals</v>
      </c>
      <c r="M51" s="249">
        <f t="shared" ref="M51:Q51" si="42">M15/M$34*100</f>
        <v>0.70647727289216544</v>
      </c>
      <c r="N51" s="249">
        <f t="shared" si="42"/>
        <v>0.80451001372353803</v>
      </c>
      <c r="O51" s="249">
        <f t="shared" si="42"/>
        <v>0.82757434677895991</v>
      </c>
      <c r="P51" s="249">
        <f t="shared" si="42"/>
        <v>0.84583675309632744</v>
      </c>
      <c r="Q51" s="249">
        <f t="shared" si="42"/>
        <v>0.8752757780018865</v>
      </c>
      <c r="S51" s="83">
        <f t="shared" si="25"/>
        <v>6.8203350268579541</v>
      </c>
      <c r="T51" s="84">
        <f t="shared" si="26"/>
        <v>34.190308055429256</v>
      </c>
      <c r="U51" s="84">
        <f t="shared" si="27"/>
        <v>41.01064308228721</v>
      </c>
      <c r="W51" s="286" t="str">
        <f t="shared" si="19"/>
        <v xml:space="preserve"> 32 Health and social care associate professionals</v>
      </c>
      <c r="X51" s="249">
        <f t="shared" ref="X51:AB51" si="43">X15/X$34*100</f>
        <v>1.9972165413226082</v>
      </c>
      <c r="Y51" s="249">
        <f t="shared" si="43"/>
        <v>2.0664343366619842</v>
      </c>
      <c r="Z51" s="249">
        <f t="shared" si="43"/>
        <v>2.2809198476555883</v>
      </c>
      <c r="AA51" s="249">
        <f t="shared" si="43"/>
        <v>2.4609059116284659</v>
      </c>
      <c r="AB51" s="249">
        <f t="shared" si="43"/>
        <v>2.5945521654985528</v>
      </c>
      <c r="AD51" s="83">
        <f t="shared" si="29"/>
        <v>19.164368648819803</v>
      </c>
      <c r="AE51" s="84">
        <f t="shared" si="30"/>
        <v>44.992870012689487</v>
      </c>
      <c r="AF51" s="84">
        <f t="shared" si="31"/>
        <v>64.157238661509282</v>
      </c>
    </row>
    <row r="52" spans="1:32" x14ac:dyDescent="0.25">
      <c r="A52" s="243" t="str">
        <f t="shared" si="15"/>
        <v xml:space="preserve"> 33 Protective service occupations</v>
      </c>
      <c r="B52" s="249">
        <f t="shared" si="16"/>
        <v>1.2594719463484678</v>
      </c>
      <c r="C52" s="249">
        <f t="shared" si="16"/>
        <v>1.1767917606442979</v>
      </c>
      <c r="D52" s="249">
        <f t="shared" si="16"/>
        <v>1.1083829083167029</v>
      </c>
      <c r="E52" s="249">
        <f t="shared" si="16"/>
        <v>1.0673747521769728</v>
      </c>
      <c r="F52" s="249">
        <f t="shared" si="16"/>
        <v>1.0479082122694687</v>
      </c>
      <c r="H52" s="83">
        <f t="shared" si="21"/>
        <v>-2.8164406241713396</v>
      </c>
      <c r="I52" s="84">
        <f t="shared" si="22"/>
        <v>22.848326975724049</v>
      </c>
      <c r="J52" s="84">
        <f t="shared" si="23"/>
        <v>20.031886351552714</v>
      </c>
      <c r="L52" s="286" t="str">
        <f t="shared" si="17"/>
        <v xml:space="preserve"> 33 Protective service occupations</v>
      </c>
      <c r="M52" s="249">
        <f t="shared" ref="M52:Q52" si="44">M16/M$34*100</f>
        <v>1.9915470761089356</v>
      </c>
      <c r="N52" s="249">
        <f t="shared" si="44"/>
        <v>1.7897729782806571</v>
      </c>
      <c r="O52" s="249">
        <f t="shared" si="44"/>
        <v>1.6078122505189221</v>
      </c>
      <c r="P52" s="249">
        <f t="shared" si="44"/>
        <v>1.4781205085906408</v>
      </c>
      <c r="Q52" s="249">
        <f t="shared" si="44"/>
        <v>1.3802985563802055</v>
      </c>
      <c r="S52" s="83">
        <f t="shared" si="25"/>
        <v>-13.293082723956978</v>
      </c>
      <c r="T52" s="84">
        <f t="shared" si="26"/>
        <v>17.820299659094047</v>
      </c>
      <c r="U52" s="84">
        <f t="shared" si="27"/>
        <v>4.5272169351370666</v>
      </c>
      <c r="W52" s="286" t="str">
        <f t="shared" si="19"/>
        <v xml:space="preserve"> 33 Protective service occupations</v>
      </c>
      <c r="X52" s="249">
        <f t="shared" ref="X52:AB52" si="45">X16/X$34*100</f>
        <v>0.44043859085988551</v>
      </c>
      <c r="Y52" s="249">
        <f t="shared" si="45"/>
        <v>0.49546693838884021</v>
      </c>
      <c r="Z52" s="249">
        <f t="shared" si="45"/>
        <v>0.56038778138186762</v>
      </c>
      <c r="AA52" s="249">
        <f t="shared" si="45"/>
        <v>0.62477479176907924</v>
      </c>
      <c r="AB52" s="249">
        <f t="shared" si="45"/>
        <v>0.69628863035261457</v>
      </c>
      <c r="AD52" s="83">
        <f t="shared" si="29"/>
        <v>30.165137043966851</v>
      </c>
      <c r="AE52" s="84">
        <f t="shared" si="30"/>
        <v>38.677088890226429</v>
      </c>
      <c r="AF52" s="84">
        <f t="shared" si="31"/>
        <v>68.84222593419328</v>
      </c>
    </row>
    <row r="53" spans="1:32" x14ac:dyDescent="0.25">
      <c r="A53" s="243" t="str">
        <f t="shared" si="15"/>
        <v xml:space="preserve"> 34 Culture, media and sports occupations</v>
      </c>
      <c r="B53" s="249">
        <f t="shared" si="16"/>
        <v>2.2186702780202965</v>
      </c>
      <c r="C53" s="249">
        <f t="shared" si="16"/>
        <v>2.3110383199083699</v>
      </c>
      <c r="D53" s="249">
        <f t="shared" si="16"/>
        <v>2.4095592907303973</v>
      </c>
      <c r="E53" s="249">
        <f t="shared" si="16"/>
        <v>2.5072421178042865</v>
      </c>
      <c r="F53" s="249">
        <f t="shared" si="16"/>
        <v>2.4899107191677681</v>
      </c>
      <c r="H53" s="83">
        <f t="shared" si="21"/>
        <v>6.21981364282348</v>
      </c>
      <c r="I53" s="84">
        <f t="shared" si="22"/>
        <v>33.186419271807814</v>
      </c>
      <c r="J53" s="84">
        <f t="shared" si="23"/>
        <v>39.406232914631296</v>
      </c>
      <c r="L53" s="286" t="str">
        <f t="shared" si="17"/>
        <v xml:space="preserve"> 34 Culture, media and sports occupations</v>
      </c>
      <c r="M53" s="249">
        <f t="shared" ref="M53:Q53" si="46">M17/M$34*100</f>
        <v>2.3198183899454605</v>
      </c>
      <c r="N53" s="249">
        <f t="shared" si="46"/>
        <v>2.3424937888877695</v>
      </c>
      <c r="O53" s="249">
        <f t="shared" si="46"/>
        <v>2.4613796408582118</v>
      </c>
      <c r="P53" s="249">
        <f t="shared" si="46"/>
        <v>2.5988576337581808</v>
      </c>
      <c r="Q53" s="249">
        <f t="shared" si="46"/>
        <v>2.6258745764305447</v>
      </c>
      <c r="S53" s="83">
        <f t="shared" si="25"/>
        <v>7.7485463727923083</v>
      </c>
      <c r="T53" s="84">
        <f t="shared" si="26"/>
        <v>29.055665557733278</v>
      </c>
      <c r="U53" s="84">
        <f t="shared" si="27"/>
        <v>36.804211930525589</v>
      </c>
      <c r="W53" s="286" t="str">
        <f t="shared" si="19"/>
        <v xml:space="preserve"> 34 Culture, media and sports occupations</v>
      </c>
      <c r="X53" s="249">
        <f t="shared" ref="X53:AB53" si="47">X17/X$34*100</f>
        <v>2.1055074698007101</v>
      </c>
      <c r="Y53" s="249">
        <f t="shared" si="47"/>
        <v>2.2760757611957336</v>
      </c>
      <c r="Z53" s="249">
        <f t="shared" si="47"/>
        <v>2.3526997974117156</v>
      </c>
      <c r="AA53" s="249">
        <f t="shared" si="47"/>
        <v>2.408521624407149</v>
      </c>
      <c r="AB53" s="249">
        <f t="shared" si="47"/>
        <v>2.346081166072771</v>
      </c>
      <c r="AD53" s="83">
        <f t="shared" si="29"/>
        <v>4.4649382060392027</v>
      </c>
      <c r="AE53" s="84">
        <f t="shared" si="30"/>
        <v>37.928228017135552</v>
      </c>
      <c r="AF53" s="84">
        <f t="shared" si="31"/>
        <v>42.393166223174752</v>
      </c>
    </row>
    <row r="54" spans="1:32" x14ac:dyDescent="0.25">
      <c r="A54" s="243" t="str">
        <f t="shared" si="15"/>
        <v xml:space="preserve"> 35 Business and public service associate professionals</v>
      </c>
      <c r="B54" s="249">
        <f t="shared" ref="B54:F63" si="48">B18/B$34*100</f>
        <v>6.4755979601615197</v>
      </c>
      <c r="C54" s="249">
        <f t="shared" si="48"/>
        <v>6.5752615373904613</v>
      </c>
      <c r="D54" s="249">
        <f t="shared" si="48"/>
        <v>7.0518231296017673</v>
      </c>
      <c r="E54" s="249">
        <f t="shared" si="48"/>
        <v>7.4246226659620165</v>
      </c>
      <c r="F54" s="249">
        <f t="shared" si="48"/>
        <v>7.6751780108607992</v>
      </c>
      <c r="H54" s="83">
        <f t="shared" si="21"/>
        <v>11.878445490184129</v>
      </c>
      <c r="I54" s="84">
        <f t="shared" si="22"/>
        <v>33.557953863219581</v>
      </c>
      <c r="J54" s="84">
        <f t="shared" si="23"/>
        <v>45.436399353403715</v>
      </c>
      <c r="L54" s="286" t="str">
        <f t="shared" si="17"/>
        <v xml:space="preserve"> 35 Business and public service associate professionals</v>
      </c>
      <c r="M54" s="249">
        <f t="shared" ref="M54:Q54" si="49">M18/M$34*100</f>
        <v>7.0086123647331595</v>
      </c>
      <c r="N54" s="249">
        <f t="shared" si="49"/>
        <v>7.1276712090403134</v>
      </c>
      <c r="O54" s="249">
        <f t="shared" si="49"/>
        <v>7.3985550893373846</v>
      </c>
      <c r="P54" s="249">
        <f t="shared" si="49"/>
        <v>7.5654975747346835</v>
      </c>
      <c r="Q54" s="249">
        <f t="shared" si="49"/>
        <v>7.6056935318157324</v>
      </c>
      <c r="S54" s="83">
        <f t="shared" si="25"/>
        <v>3.8264381170511244</v>
      </c>
      <c r="T54" s="84">
        <f t="shared" si="26"/>
        <v>27.267905169339784</v>
      </c>
      <c r="U54" s="84">
        <f t="shared" si="27"/>
        <v>31.094343286390906</v>
      </c>
      <c r="W54" s="286" t="str">
        <f t="shared" si="19"/>
        <v xml:space="preserve"> 35 Business and public service associate professionals</v>
      </c>
      <c r="X54" s="249">
        <f t="shared" ref="X54:AB54" si="50">X18/X$34*100</f>
        <v>5.8792703995696298</v>
      </c>
      <c r="Y54" s="249">
        <f t="shared" si="50"/>
        <v>5.9612616128898122</v>
      </c>
      <c r="Z54" s="249">
        <f t="shared" si="50"/>
        <v>6.6713740685797527</v>
      </c>
      <c r="AA54" s="249">
        <f t="shared" si="50"/>
        <v>7.2728226094266963</v>
      </c>
      <c r="AB54" s="249">
        <f t="shared" si="50"/>
        <v>7.7486822624265264</v>
      </c>
      <c r="AD54" s="83">
        <f t="shared" si="29"/>
        <v>21.6764678357927</v>
      </c>
      <c r="AE54" s="84">
        <f t="shared" si="30"/>
        <v>41.211950537793257</v>
      </c>
      <c r="AF54" s="84">
        <f t="shared" si="31"/>
        <v>62.888418373585949</v>
      </c>
    </row>
    <row r="55" spans="1:32" x14ac:dyDescent="0.25">
      <c r="A55" s="243" t="str">
        <f t="shared" si="15"/>
        <v xml:space="preserve"> 41 Administrative occupations</v>
      </c>
      <c r="B55" s="249">
        <f t="shared" si="48"/>
        <v>9.5314245934326625</v>
      </c>
      <c r="C55" s="249">
        <f t="shared" si="48"/>
        <v>8.8752705724480929</v>
      </c>
      <c r="D55" s="249">
        <f t="shared" si="48"/>
        <v>8.4131165205617719</v>
      </c>
      <c r="E55" s="249">
        <f t="shared" si="48"/>
        <v>7.9477420213099794</v>
      </c>
      <c r="F55" s="249">
        <f t="shared" si="48"/>
        <v>7.5046513318057215</v>
      </c>
      <c r="H55" s="83">
        <f t="shared" si="21"/>
        <v>-8.3076732795679433</v>
      </c>
      <c r="I55" s="84">
        <f t="shared" si="22"/>
        <v>32.761332788000445</v>
      </c>
      <c r="J55" s="84">
        <f t="shared" si="23"/>
        <v>24.453659508432494</v>
      </c>
      <c r="L55" s="286" t="str">
        <f t="shared" si="17"/>
        <v xml:space="preserve"> 41 Administrative occupations</v>
      </c>
      <c r="M55" s="249">
        <f t="shared" ref="M55:Q55" si="51">M19/M$34*100</f>
        <v>4.8997767008491051</v>
      </c>
      <c r="N55" s="249">
        <f t="shared" si="51"/>
        <v>4.8318835236312179</v>
      </c>
      <c r="O55" s="249">
        <f t="shared" si="51"/>
        <v>4.7471383818880968</v>
      </c>
      <c r="P55" s="249">
        <f t="shared" si="51"/>
        <v>4.6527586258345108</v>
      </c>
      <c r="Q55" s="249">
        <f t="shared" si="51"/>
        <v>4.6186181747914166</v>
      </c>
      <c r="S55" s="83">
        <f t="shared" si="25"/>
        <v>-1.7355983795659078</v>
      </c>
      <c r="T55" s="84">
        <f t="shared" si="26"/>
        <v>25.495310057532112</v>
      </c>
      <c r="U55" s="84">
        <f t="shared" si="27"/>
        <v>23.759711677966205</v>
      </c>
      <c r="W55" s="286" t="str">
        <f t="shared" si="19"/>
        <v xml:space="preserve"> 41 Administrative occupations</v>
      </c>
      <c r="X55" s="249">
        <f t="shared" ref="X55:AB55" si="52">X19/X$34*100</f>
        <v>14.713234438749289</v>
      </c>
      <c r="Y55" s="249">
        <f t="shared" si="52"/>
        <v>13.369470203829707</v>
      </c>
      <c r="Z55" s="249">
        <f t="shared" si="52"/>
        <v>12.435583736012989</v>
      </c>
      <c r="AA55" s="249">
        <f t="shared" si="52"/>
        <v>11.498258362891791</v>
      </c>
      <c r="AB55" s="249">
        <f t="shared" si="52"/>
        <v>10.557645469714434</v>
      </c>
      <c r="AD55" s="83">
        <f t="shared" si="29"/>
        <v>-11.060449210056053</v>
      </c>
      <c r="AE55" s="84">
        <f t="shared" si="30"/>
        <v>35.804775351750031</v>
      </c>
      <c r="AF55" s="84">
        <f t="shared" si="31"/>
        <v>24.744326141693982</v>
      </c>
    </row>
    <row r="56" spans="1:32" x14ac:dyDescent="0.25">
      <c r="A56" s="243" t="str">
        <f t="shared" si="15"/>
        <v xml:space="preserve"> 42 Secretarial and related occupations</v>
      </c>
      <c r="B56" s="249">
        <f t="shared" si="48"/>
        <v>3.1246830089099045</v>
      </c>
      <c r="C56" s="249">
        <f t="shared" si="48"/>
        <v>2.7180867108299385</v>
      </c>
      <c r="D56" s="249">
        <f t="shared" si="48"/>
        <v>2.149289478446899</v>
      </c>
      <c r="E56" s="249">
        <f t="shared" si="48"/>
        <v>1.5814598861853701</v>
      </c>
      <c r="F56" s="249">
        <f t="shared" si="48"/>
        <v>1.085726140703613</v>
      </c>
      <c r="H56" s="83">
        <f t="shared" si="21"/>
        <v>-48.074013133266938</v>
      </c>
      <c r="I56" s="84">
        <f t="shared" si="22"/>
        <v>25.589652692864291</v>
      </c>
      <c r="J56" s="84">
        <f t="shared" si="23"/>
        <v>-22.484360440402646</v>
      </c>
      <c r="L56" s="286" t="str">
        <f t="shared" si="17"/>
        <v xml:space="preserve"> 42 Secretarial and related occupations</v>
      </c>
      <c r="M56" s="249">
        <f t="shared" ref="M56:Q56" si="53">M20/M$34*100</f>
        <v>0.32488622834153197</v>
      </c>
      <c r="N56" s="249">
        <f t="shared" si="53"/>
        <v>0.32593262194617895</v>
      </c>
      <c r="O56" s="249">
        <f t="shared" si="53"/>
        <v>0.32569371583335466</v>
      </c>
      <c r="P56" s="249">
        <f t="shared" si="53"/>
        <v>0.32533517647331006</v>
      </c>
      <c r="Q56" s="249">
        <f t="shared" si="53"/>
        <v>0.33116553211355915</v>
      </c>
      <c r="S56" s="83">
        <f t="shared" si="25"/>
        <v>2.695590226566615</v>
      </c>
      <c r="T56" s="84">
        <f t="shared" si="26"/>
        <v>22.957920274970377</v>
      </c>
      <c r="U56" s="84">
        <f t="shared" si="27"/>
        <v>25.653510501536992</v>
      </c>
      <c r="W56" s="286" t="str">
        <f t="shared" si="19"/>
        <v xml:space="preserve"> 42 Secretarial and related occupations</v>
      </c>
      <c r="X56" s="249">
        <f t="shared" ref="X56:AB56" si="54">X20/X$34*100</f>
        <v>6.2570486072677252</v>
      </c>
      <c r="Y56" s="249">
        <f t="shared" si="54"/>
        <v>5.3769511466783939</v>
      </c>
      <c r="Z56" s="249">
        <f t="shared" si="54"/>
        <v>4.1502163503138174</v>
      </c>
      <c r="AA56" s="249">
        <f t="shared" si="54"/>
        <v>2.9349997295185744</v>
      </c>
      <c r="AB56" s="249">
        <f t="shared" si="54"/>
        <v>1.8839391165744366</v>
      </c>
      <c r="AD56" s="83">
        <f t="shared" si="29"/>
        <v>-52.445659814883157</v>
      </c>
      <c r="AE56" s="84">
        <f t="shared" si="30"/>
        <v>25.816264750674673</v>
      </c>
      <c r="AF56" s="84">
        <f t="shared" si="31"/>
        <v>-26.629395064208488</v>
      </c>
    </row>
    <row r="57" spans="1:32" x14ac:dyDescent="0.25">
      <c r="A57" s="243" t="str">
        <f t="shared" si="15"/>
        <v xml:space="preserve"> 51 Skilled agricultural and related trades</v>
      </c>
      <c r="B57" s="249">
        <f t="shared" si="48"/>
        <v>1.027353299013972</v>
      </c>
      <c r="C57" s="249">
        <f t="shared" si="48"/>
        <v>1.1357491984613843</v>
      </c>
      <c r="D57" s="249">
        <f t="shared" si="48"/>
        <v>1.0185985644199187</v>
      </c>
      <c r="E57" s="249">
        <f t="shared" si="48"/>
        <v>0.99052601235871451</v>
      </c>
      <c r="F57" s="249">
        <f t="shared" si="48"/>
        <v>1.0061948171026835</v>
      </c>
      <c r="H57" s="83">
        <f t="shared" si="21"/>
        <v>1.5402886596233389</v>
      </c>
      <c r="I57" s="84">
        <f t="shared" si="22"/>
        <v>36.594645291213794</v>
      </c>
      <c r="J57" s="84">
        <f t="shared" si="23"/>
        <v>38.134933950837137</v>
      </c>
      <c r="L57" s="286" t="str">
        <f t="shared" si="17"/>
        <v xml:space="preserve"> 51 Skilled agricultural and related trades</v>
      </c>
      <c r="M57" s="249">
        <f t="shared" ref="M57:Q57" si="55">M21/M$34*100</f>
        <v>1.704319707473505</v>
      </c>
      <c r="N57" s="249">
        <f t="shared" si="55"/>
        <v>1.8718646339706082</v>
      </c>
      <c r="O57" s="249">
        <f t="shared" si="55"/>
        <v>1.6806304174503308</v>
      </c>
      <c r="P57" s="249">
        <f t="shared" si="55"/>
        <v>1.6439370739416446</v>
      </c>
      <c r="Q57" s="249">
        <f t="shared" si="55"/>
        <v>1.7049917172956026</v>
      </c>
      <c r="S57" s="83">
        <f t="shared" si="25"/>
        <v>2.462771661717245</v>
      </c>
      <c r="T57" s="84">
        <f t="shared" si="26"/>
        <v>35.198382736646515</v>
      </c>
      <c r="U57" s="84">
        <f t="shared" si="27"/>
        <v>37.661154398363763</v>
      </c>
      <c r="W57" s="286" t="str">
        <f t="shared" si="19"/>
        <v xml:space="preserve"> 51 Skilled agricultural and related trades</v>
      </c>
      <c r="X57" s="249">
        <f t="shared" ref="X57:AB57" si="56">X21/X$34*100</f>
        <v>0.26997465502824208</v>
      </c>
      <c r="Y57" s="249">
        <f t="shared" si="56"/>
        <v>0.31756145660573182</v>
      </c>
      <c r="Z57" s="249">
        <f t="shared" si="56"/>
        <v>0.29218904323200695</v>
      </c>
      <c r="AA57" s="249">
        <f t="shared" si="56"/>
        <v>0.28644153803141675</v>
      </c>
      <c r="AB57" s="249">
        <f t="shared" si="56"/>
        <v>0.2669715567279301</v>
      </c>
      <c r="AD57" s="83">
        <f t="shared" si="29"/>
        <v>-4.2816725562134863</v>
      </c>
      <c r="AE57" s="84">
        <f t="shared" si="30"/>
        <v>45.406717081550333</v>
      </c>
      <c r="AF57" s="84">
        <f t="shared" si="31"/>
        <v>41.125044525336847</v>
      </c>
    </row>
    <row r="58" spans="1:32" x14ac:dyDescent="0.25">
      <c r="A58" s="243" t="str">
        <f t="shared" si="15"/>
        <v xml:space="preserve"> 52 Skilled metal, electrical and electronic trades</v>
      </c>
      <c r="B58" s="249">
        <f t="shared" si="48"/>
        <v>4.0238844630528607</v>
      </c>
      <c r="C58" s="249">
        <f t="shared" si="48"/>
        <v>3.796118882511152</v>
      </c>
      <c r="D58" s="249">
        <f t="shared" si="48"/>
        <v>3.5239934688123551</v>
      </c>
      <c r="E58" s="249">
        <f t="shared" si="48"/>
        <v>3.1722542954035475</v>
      </c>
      <c r="F58" s="249">
        <f t="shared" si="48"/>
        <v>2.9139619464208044</v>
      </c>
      <c r="H58" s="83">
        <f t="shared" si="21"/>
        <v>-15.002107300483194</v>
      </c>
      <c r="I58" s="84">
        <f t="shared" si="22"/>
        <v>23.61198418357661</v>
      </c>
      <c r="J58" s="84">
        <f t="shared" si="23"/>
        <v>8.6098768830934169</v>
      </c>
      <c r="L58" s="286" t="str">
        <f t="shared" si="17"/>
        <v xml:space="preserve"> 52 Skilled metal, electrical and electronic trades</v>
      </c>
      <c r="M58" s="249">
        <f t="shared" ref="M58:Q58" si="57">M22/M$34*100</f>
        <v>7.424784588920545</v>
      </c>
      <c r="N58" s="249">
        <f t="shared" si="57"/>
        <v>7.0315874585891063</v>
      </c>
      <c r="O58" s="249">
        <f t="shared" si="57"/>
        <v>6.5678403796521438</v>
      </c>
      <c r="P58" s="249">
        <f t="shared" si="57"/>
        <v>5.9649029344434332</v>
      </c>
      <c r="Q58" s="249">
        <f t="shared" si="57"/>
        <v>5.533746616972909</v>
      </c>
      <c r="S58" s="83">
        <f t="shared" si="25"/>
        <v>-14.903298667466863</v>
      </c>
      <c r="T58" s="84">
        <f t="shared" si="26"/>
        <v>23.327534369785869</v>
      </c>
      <c r="U58" s="84">
        <f t="shared" si="27"/>
        <v>8.424235702319006</v>
      </c>
      <c r="W58" s="286" t="str">
        <f t="shared" si="19"/>
        <v xml:space="preserve"> 52 Skilled metal, electrical and electronic trades</v>
      </c>
      <c r="X58" s="249">
        <f t="shared" ref="X58:AB58" si="58">X22/X$34*100</f>
        <v>0.21901454118801361</v>
      </c>
      <c r="Y58" s="249">
        <f t="shared" si="58"/>
        <v>0.19991562360939394</v>
      </c>
      <c r="Z58" s="249">
        <f t="shared" si="58"/>
        <v>0.1841551106558085</v>
      </c>
      <c r="AA58" s="249">
        <f t="shared" si="58"/>
        <v>0.16302983532806684</v>
      </c>
      <c r="AB58" s="249">
        <f t="shared" si="58"/>
        <v>0.14261913549724156</v>
      </c>
      <c r="AD58" s="83">
        <f t="shared" si="29"/>
        <v>-18.868770516384487</v>
      </c>
      <c r="AE58" s="84">
        <f t="shared" si="30"/>
        <v>34.74331550736818</v>
      </c>
      <c r="AF58" s="84">
        <f t="shared" si="31"/>
        <v>15.874544990983692</v>
      </c>
    </row>
    <row r="59" spans="1:32" x14ac:dyDescent="0.25">
      <c r="A59" s="243" t="str">
        <f t="shared" si="15"/>
        <v xml:space="preserve"> 53 Skilled construction and building trades</v>
      </c>
      <c r="B59" s="249">
        <f t="shared" si="48"/>
        <v>3.56724456441715</v>
      </c>
      <c r="C59" s="249">
        <f t="shared" si="48"/>
        <v>3.1358075253799771</v>
      </c>
      <c r="D59" s="249">
        <f t="shared" si="48"/>
        <v>3.0679098688899193</v>
      </c>
      <c r="E59" s="249">
        <f t="shared" si="48"/>
        <v>3.074175047924268</v>
      </c>
      <c r="F59" s="249">
        <f t="shared" si="48"/>
        <v>2.9699873808980164</v>
      </c>
      <c r="H59" s="83">
        <f t="shared" si="21"/>
        <v>-0.48893251182816111</v>
      </c>
      <c r="I59" s="84">
        <f t="shared" si="22"/>
        <v>28.80027049538646</v>
      </c>
      <c r="J59" s="84">
        <f t="shared" si="23"/>
        <v>28.3113379835583</v>
      </c>
      <c r="L59" s="286" t="str">
        <f t="shared" si="17"/>
        <v xml:space="preserve"> 53 Skilled construction and building trades</v>
      </c>
      <c r="M59" s="249">
        <f t="shared" ref="M59:Q59" si="59">M23/M$34*100</f>
        <v>6.6526061034371891</v>
      </c>
      <c r="N59" s="249">
        <f t="shared" si="59"/>
        <v>5.8468597067807311</v>
      </c>
      <c r="O59" s="249">
        <f t="shared" si="59"/>
        <v>5.734837039844348</v>
      </c>
      <c r="P59" s="249">
        <f t="shared" si="59"/>
        <v>5.7769540251091493</v>
      </c>
      <c r="Q59" s="249">
        <f t="shared" si="59"/>
        <v>5.6164327645913046</v>
      </c>
      <c r="S59" s="83">
        <f t="shared" si="25"/>
        <v>-1.0865093994813888</v>
      </c>
      <c r="T59" s="84">
        <f t="shared" si="26"/>
        <v>28.503468647948317</v>
      </c>
      <c r="U59" s="84">
        <f t="shared" si="27"/>
        <v>27.416959248466927</v>
      </c>
      <c r="W59" s="286" t="str">
        <f t="shared" si="19"/>
        <v xml:space="preserve"> 53 Skilled construction and building trades</v>
      </c>
      <c r="X59" s="249">
        <f t="shared" ref="X59:AB59" si="60">X23/X$34*100</f>
        <v>0.11539391211346389</v>
      </c>
      <c r="Y59" s="249">
        <f t="shared" si="60"/>
        <v>0.12248983721238006</v>
      </c>
      <c r="Z59" s="249">
        <f t="shared" si="60"/>
        <v>0.1416438887437512</v>
      </c>
      <c r="AA59" s="249">
        <f t="shared" si="60"/>
        <v>0.16178983246131795</v>
      </c>
      <c r="AB59" s="249">
        <f t="shared" si="60"/>
        <v>0.17044149797069008</v>
      </c>
      <c r="AD59" s="83">
        <f t="shared" si="29"/>
        <v>26.058325723401381</v>
      </c>
      <c r="AE59" s="84">
        <f t="shared" si="30"/>
        <v>41.985645384261502</v>
      </c>
      <c r="AF59" s="84">
        <f t="shared" si="31"/>
        <v>68.043971107662884</v>
      </c>
    </row>
    <row r="60" spans="1:32" x14ac:dyDescent="0.25">
      <c r="A60" s="243" t="str">
        <f t="shared" si="15"/>
        <v xml:space="preserve"> 54 Textiles, printing and other skilled trades</v>
      </c>
      <c r="B60" s="249">
        <f t="shared" si="48"/>
        <v>2.6542906796007819</v>
      </c>
      <c r="C60" s="249">
        <f t="shared" si="48"/>
        <v>2.5016296167188323</v>
      </c>
      <c r="D60" s="249">
        <f t="shared" si="48"/>
        <v>2.2403852275356408</v>
      </c>
      <c r="E60" s="249">
        <f t="shared" si="48"/>
        <v>2.0365530328439481</v>
      </c>
      <c r="F60" s="249">
        <f t="shared" si="48"/>
        <v>1.8371098517957085</v>
      </c>
      <c r="H60" s="83">
        <f t="shared" si="21"/>
        <v>-15.710824969851448</v>
      </c>
      <c r="I60" s="84">
        <f t="shared" si="22"/>
        <v>25.822187943188464</v>
      </c>
      <c r="J60" s="84">
        <f t="shared" si="23"/>
        <v>10.111362973337014</v>
      </c>
      <c r="L60" s="286" t="str">
        <f t="shared" si="17"/>
        <v xml:space="preserve"> 54 Textiles, printing and other skilled trades</v>
      </c>
      <c r="M60" s="249">
        <f t="shared" ref="M60:Q60" si="61">M24/M$34*100</f>
        <v>3.391664386983801</v>
      </c>
      <c r="N60" s="249">
        <f t="shared" si="61"/>
        <v>3.3006615824917063</v>
      </c>
      <c r="O60" s="249">
        <f t="shared" si="61"/>
        <v>2.8626676803719904</v>
      </c>
      <c r="P60" s="249">
        <f t="shared" si="61"/>
        <v>2.5516039444125256</v>
      </c>
      <c r="Q60" s="249">
        <f t="shared" si="61"/>
        <v>2.246398257115239</v>
      </c>
      <c r="S60" s="83">
        <f t="shared" si="25"/>
        <v>-20.744052162984122</v>
      </c>
      <c r="T60" s="84">
        <f t="shared" si="26"/>
        <v>19.723345751586656</v>
      </c>
      <c r="U60" s="84">
        <f t="shared" si="27"/>
        <v>-1.020706411397466</v>
      </c>
      <c r="W60" s="286" t="str">
        <f t="shared" si="19"/>
        <v xml:space="preserve"> 54 Textiles, printing and other skilled trades</v>
      </c>
      <c r="X60" s="249">
        <f t="shared" ref="X60:AB60" si="62">X24/X$34*100</f>
        <v>1.8293293644901669</v>
      </c>
      <c r="Y60" s="249">
        <f t="shared" si="62"/>
        <v>1.6135105416257591</v>
      </c>
      <c r="Z60" s="249">
        <f t="shared" si="62"/>
        <v>1.5575904397330003</v>
      </c>
      <c r="AA60" s="249">
        <f t="shared" si="62"/>
        <v>1.4815588314218957</v>
      </c>
      <c r="AB60" s="249">
        <f t="shared" si="62"/>
        <v>1.4041435502417596</v>
      </c>
      <c r="AD60" s="83">
        <f t="shared" si="29"/>
        <v>-5.5608063584701712</v>
      </c>
      <c r="AE60" s="84">
        <f t="shared" si="30"/>
        <v>38.12112843947699</v>
      </c>
      <c r="AF60" s="84">
        <f t="shared" si="31"/>
        <v>32.560322081006824</v>
      </c>
    </row>
    <row r="61" spans="1:32" x14ac:dyDescent="0.25">
      <c r="A61" s="243" t="str">
        <f t="shared" si="15"/>
        <v xml:space="preserve"> 61 Caring personal service occupations</v>
      </c>
      <c r="B61" s="249">
        <f t="shared" si="48"/>
        <v>6.1665058478827719</v>
      </c>
      <c r="C61" s="249">
        <f t="shared" si="48"/>
        <v>6.8814221617225932</v>
      </c>
      <c r="D61" s="249">
        <f t="shared" si="48"/>
        <v>7.3991768578878157</v>
      </c>
      <c r="E61" s="249">
        <f t="shared" si="48"/>
        <v>7.9074638526217447</v>
      </c>
      <c r="F61" s="249">
        <f t="shared" si="48"/>
        <v>8.532788627094309</v>
      </c>
      <c r="H61" s="83">
        <f t="shared" si="21"/>
        <v>18.540555170183755</v>
      </c>
      <c r="I61" s="84">
        <f t="shared" si="22"/>
        <v>41.678939767482518</v>
      </c>
      <c r="J61" s="84">
        <f t="shared" si="23"/>
        <v>60.219494937666262</v>
      </c>
      <c r="L61" s="286" t="str">
        <f t="shared" si="17"/>
        <v xml:space="preserve"> 61 Caring personal service occupations</v>
      </c>
      <c r="M61" s="249">
        <f t="shared" ref="M61:Q61" si="63">M25/M$34*100</f>
        <v>1.6086222101515562</v>
      </c>
      <c r="N61" s="249">
        <f t="shared" si="63"/>
        <v>1.8038857585936392</v>
      </c>
      <c r="O61" s="249">
        <f t="shared" si="63"/>
        <v>2.056817624448954</v>
      </c>
      <c r="P61" s="249">
        <f t="shared" si="63"/>
        <v>2.2956917485105404</v>
      </c>
      <c r="Q61" s="249">
        <f t="shared" si="63"/>
        <v>2.5819769182510286</v>
      </c>
      <c r="S61" s="83">
        <f t="shared" si="25"/>
        <v>26.786384069154977</v>
      </c>
      <c r="T61" s="84">
        <f t="shared" si="26"/>
        <v>34.419340971415323</v>
      </c>
      <c r="U61" s="84">
        <f t="shared" si="27"/>
        <v>61.2057250405703</v>
      </c>
      <c r="W61" s="286" t="str">
        <f t="shared" si="19"/>
        <v xml:space="preserve"> 61 Caring personal service occupations</v>
      </c>
      <c r="X61" s="249">
        <f t="shared" ref="X61:AB61" si="64">X25/X$34*100</f>
        <v>11.265789484193292</v>
      </c>
      <c r="Y61" s="249">
        <f t="shared" si="64"/>
        <v>12.52507238757622</v>
      </c>
      <c r="Z61" s="249">
        <f t="shared" si="64"/>
        <v>13.261040747083269</v>
      </c>
      <c r="AA61" s="249">
        <f t="shared" si="64"/>
        <v>13.954440777676824</v>
      </c>
      <c r="AB61" s="249">
        <f t="shared" si="64"/>
        <v>14.827862964248558</v>
      </c>
      <c r="AD61" s="83">
        <f t="shared" si="29"/>
        <v>17.137240269094402</v>
      </c>
      <c r="AE61" s="84">
        <f t="shared" si="30"/>
        <v>42.914413276728176</v>
      </c>
      <c r="AF61" s="84">
        <f t="shared" si="31"/>
        <v>60.051653545822582</v>
      </c>
    </row>
    <row r="62" spans="1:32" x14ac:dyDescent="0.25">
      <c r="A62" s="243" t="str">
        <f t="shared" si="15"/>
        <v xml:space="preserve"> 62 Leisure, travel and related personal service occupations</v>
      </c>
      <c r="B62" s="249">
        <f t="shared" si="48"/>
        <v>2.155451497777447</v>
      </c>
      <c r="C62" s="249">
        <f t="shared" si="48"/>
        <v>2.2052079916717466</v>
      </c>
      <c r="D62" s="249">
        <f t="shared" si="48"/>
        <v>2.1999016936833762</v>
      </c>
      <c r="E62" s="249">
        <f t="shared" si="48"/>
        <v>2.1620714148360602</v>
      </c>
      <c r="F62" s="249">
        <f t="shared" si="48"/>
        <v>2.1057033014771367</v>
      </c>
      <c r="H62" s="83">
        <f t="shared" si="21"/>
        <v>-1.6094741949233153</v>
      </c>
      <c r="I62" s="84">
        <f t="shared" si="22"/>
        <v>34.014656708653284</v>
      </c>
      <c r="J62" s="84">
        <f t="shared" si="23"/>
        <v>32.405182513729969</v>
      </c>
      <c r="L62" s="286" t="str">
        <f t="shared" si="17"/>
        <v xml:space="preserve"> 62 Leisure, travel and related personal service occupations</v>
      </c>
      <c r="M62" s="249">
        <f t="shared" ref="M62:Q62" si="65">M26/M$34*100</f>
        <v>1.5060224077572602</v>
      </c>
      <c r="N62" s="249">
        <f t="shared" si="65"/>
        <v>1.4363741689591383</v>
      </c>
      <c r="O62" s="249">
        <f t="shared" si="65"/>
        <v>1.4369980028399021</v>
      </c>
      <c r="P62" s="249">
        <f t="shared" si="65"/>
        <v>1.4512369979754953</v>
      </c>
      <c r="Q62" s="249">
        <f t="shared" si="65"/>
        <v>1.4883190522980441</v>
      </c>
      <c r="S62" s="83">
        <f t="shared" si="25"/>
        <v>4.6058378219571461</v>
      </c>
      <c r="T62" s="84">
        <f t="shared" si="26"/>
        <v>30.346183062287196</v>
      </c>
      <c r="U62" s="84">
        <f t="shared" si="27"/>
        <v>34.952020884244348</v>
      </c>
      <c r="W62" s="286" t="str">
        <f t="shared" si="19"/>
        <v xml:space="preserve"> 62 Leisure, travel and related personal service occupations</v>
      </c>
      <c r="X62" s="249">
        <f t="shared" ref="X62:AB62" si="66">X26/X$34*100</f>
        <v>2.8820218525512171</v>
      </c>
      <c r="Y62" s="249">
        <f t="shared" si="66"/>
        <v>3.0597620180145229</v>
      </c>
      <c r="Z62" s="249">
        <f t="shared" si="66"/>
        <v>3.0369920878107424</v>
      </c>
      <c r="AA62" s="249">
        <f t="shared" si="66"/>
        <v>2.9280325473528022</v>
      </c>
      <c r="AB62" s="249">
        <f t="shared" si="66"/>
        <v>2.7588040771906464</v>
      </c>
      <c r="AD62" s="83">
        <f t="shared" si="29"/>
        <v>-4.8363190263815685</v>
      </c>
      <c r="AE62" s="84">
        <f t="shared" si="30"/>
        <v>35.919242543276972</v>
      </c>
      <c r="AF62" s="84">
        <f t="shared" si="31"/>
        <v>31.082923516895406</v>
      </c>
    </row>
    <row r="63" spans="1:32" x14ac:dyDescent="0.25">
      <c r="A63" s="243" t="str">
        <f t="shared" si="15"/>
        <v xml:space="preserve"> 71 Sales occupations</v>
      </c>
      <c r="B63" s="249">
        <f t="shared" si="48"/>
        <v>7.1299108994703584</v>
      </c>
      <c r="C63" s="249">
        <f t="shared" si="48"/>
        <v>6.9905127613221723</v>
      </c>
      <c r="D63" s="249">
        <f t="shared" si="48"/>
        <v>6.4052494945306719</v>
      </c>
      <c r="E63" s="249">
        <f t="shared" si="48"/>
        <v>6.0540552572196304</v>
      </c>
      <c r="F63" s="249">
        <f t="shared" si="48"/>
        <v>5.8006911032602293</v>
      </c>
      <c r="H63" s="83">
        <f t="shared" si="21"/>
        <v>-6.9099923931732077</v>
      </c>
      <c r="I63" s="84">
        <f t="shared" si="22"/>
        <v>30.169221229648468</v>
      </c>
      <c r="J63" s="84">
        <f t="shared" si="23"/>
        <v>23.259228836475263</v>
      </c>
      <c r="L63" s="286" t="str">
        <f t="shared" si="17"/>
        <v xml:space="preserve"> 71 Sales occupations</v>
      </c>
      <c r="M63" s="249">
        <f t="shared" ref="M63:Q63" si="67">M27/M$34*100</f>
        <v>4.9511762514972579</v>
      </c>
      <c r="N63" s="249">
        <f t="shared" si="67"/>
        <v>4.8538570816060496</v>
      </c>
      <c r="O63" s="249">
        <f t="shared" si="67"/>
        <v>4.7548463627612048</v>
      </c>
      <c r="P63" s="249">
        <f t="shared" si="67"/>
        <v>4.7069000971893349</v>
      </c>
      <c r="Q63" s="249">
        <f t="shared" si="67"/>
        <v>4.6019857468613399</v>
      </c>
      <c r="S63" s="83">
        <f t="shared" si="25"/>
        <v>-2.2481858646622213</v>
      </c>
      <c r="T63" s="84">
        <f t="shared" si="26"/>
        <v>22.574071460606472</v>
      </c>
      <c r="U63" s="84">
        <f t="shared" si="27"/>
        <v>20.32588559594425</v>
      </c>
      <c r="W63" s="286" t="str">
        <f t="shared" si="19"/>
        <v xml:space="preserve"> 71 Sales occupations</v>
      </c>
      <c r="X63" s="249">
        <f t="shared" ref="X63:AB63" si="68">X27/X$34*100</f>
        <v>9.5674426184245203</v>
      </c>
      <c r="Y63" s="249">
        <f t="shared" si="68"/>
        <v>9.3653922997476187</v>
      </c>
      <c r="Z63" s="249">
        <f t="shared" si="68"/>
        <v>8.2161420418121001</v>
      </c>
      <c r="AA63" s="249">
        <f t="shared" si="68"/>
        <v>7.5056851552342332</v>
      </c>
      <c r="AB63" s="249">
        <f t="shared" si="68"/>
        <v>7.0687432104479431</v>
      </c>
      <c r="AD63" s="83">
        <f t="shared" si="29"/>
        <v>-9.8702222728979336</v>
      </c>
      <c r="AE63" s="84">
        <f t="shared" si="30"/>
        <v>34.992113202920393</v>
      </c>
      <c r="AF63" s="84">
        <f t="shared" si="31"/>
        <v>25.12189093002246</v>
      </c>
    </row>
    <row r="64" spans="1:32" x14ac:dyDescent="0.25">
      <c r="A64" s="243" t="str">
        <f t="shared" si="15"/>
        <v xml:space="preserve"> 72 Customer service occupations</v>
      </c>
      <c r="B64" s="249">
        <f t="shared" ref="B64:F68" si="69">B28/B$34*100</f>
        <v>1.6533017271105919</v>
      </c>
      <c r="C64" s="249">
        <f t="shared" si="69"/>
        <v>1.8419236700423811</v>
      </c>
      <c r="D64" s="249">
        <f t="shared" si="69"/>
        <v>1.9999222891859565</v>
      </c>
      <c r="E64" s="249">
        <f t="shared" si="69"/>
        <v>2.1195883411959384</v>
      </c>
      <c r="F64" s="249">
        <f t="shared" si="69"/>
        <v>2.2298427183720948</v>
      </c>
      <c r="H64" s="83">
        <f t="shared" si="21"/>
        <v>14.609465750530001</v>
      </c>
      <c r="I64" s="84">
        <f t="shared" si="22"/>
        <v>33.543649736253037</v>
      </c>
      <c r="J64" s="84">
        <f t="shared" si="23"/>
        <v>48.153115486783044</v>
      </c>
      <c r="L64" s="286" t="str">
        <f t="shared" si="17"/>
        <v xml:space="preserve"> 72 Customer service occupations</v>
      </c>
      <c r="M64" s="249">
        <f t="shared" ref="M64:Q64" si="70">M28/M$34*100</f>
        <v>1.2047070070655896</v>
      </c>
      <c r="N64" s="249">
        <f t="shared" si="70"/>
        <v>1.3819337572959711</v>
      </c>
      <c r="O64" s="249">
        <f t="shared" si="70"/>
        <v>1.5581452671170912</v>
      </c>
      <c r="P64" s="249">
        <f t="shared" si="70"/>
        <v>1.7013702778757431</v>
      </c>
      <c r="Q64" s="249">
        <f t="shared" si="70"/>
        <v>1.817417043691143</v>
      </c>
      <c r="S64" s="83">
        <f t="shared" si="25"/>
        <v>17.804721574502778</v>
      </c>
      <c r="T64" s="84">
        <f t="shared" si="26"/>
        <v>25.822483563529115</v>
      </c>
      <c r="U64" s="84">
        <f t="shared" si="27"/>
        <v>43.627205138031897</v>
      </c>
      <c r="W64" s="286" t="str">
        <f t="shared" si="19"/>
        <v xml:space="preserve"> 72 Customer service occupations</v>
      </c>
      <c r="X64" s="249">
        <f t="shared" ref="X64:AB64" si="71">X28/X$34*100</f>
        <v>2.1551819629999387</v>
      </c>
      <c r="Y64" s="249">
        <f t="shared" si="71"/>
        <v>2.3531996056244351</v>
      </c>
      <c r="Z64" s="249">
        <f t="shared" si="71"/>
        <v>2.4846588371389213</v>
      </c>
      <c r="AA64" s="249">
        <f t="shared" si="71"/>
        <v>2.5702401017486878</v>
      </c>
      <c r="AB64" s="249">
        <f t="shared" si="71"/>
        <v>2.6661277846277365</v>
      </c>
      <c r="AD64" s="83">
        <f t="shared" si="29"/>
        <v>12.410849381172536</v>
      </c>
      <c r="AE64" s="84">
        <f t="shared" si="30"/>
        <v>38.85648954410572</v>
      </c>
      <c r="AF64" s="84">
        <f t="shared" si="31"/>
        <v>51.26733892527826</v>
      </c>
    </row>
    <row r="65" spans="1:32" x14ac:dyDescent="0.25">
      <c r="A65" s="243" t="str">
        <f t="shared" si="15"/>
        <v xml:space="preserve"> 81 Process, plant and machine operatives</v>
      </c>
      <c r="B65" s="249">
        <f t="shared" si="69"/>
        <v>3.3436343748648039</v>
      </c>
      <c r="C65" s="249">
        <f t="shared" si="69"/>
        <v>2.9788546469170152</v>
      </c>
      <c r="D65" s="249">
        <f t="shared" si="69"/>
        <v>2.6123888519638734</v>
      </c>
      <c r="E65" s="249">
        <f t="shared" si="69"/>
        <v>2.2354726389894402</v>
      </c>
      <c r="F65" s="249">
        <f t="shared" si="69"/>
        <v>1.9791749047641822</v>
      </c>
      <c r="H65" s="83">
        <f t="shared" si="21"/>
        <v>-22.123624354509708</v>
      </c>
      <c r="I65" s="84">
        <f t="shared" si="22"/>
        <v>22.693091909237587</v>
      </c>
      <c r="J65" s="84">
        <f t="shared" si="23"/>
        <v>0.56946755472787969</v>
      </c>
      <c r="L65" s="286" t="str">
        <f t="shared" si="17"/>
        <v xml:space="preserve"> 81 Process, plant and machine operatives</v>
      </c>
      <c r="M65" s="249">
        <f t="shared" ref="M65:Q65" si="72">M29/M$34*100</f>
        <v>4.8604412311905509</v>
      </c>
      <c r="N65" s="249">
        <f t="shared" si="72"/>
        <v>4.3762476219054829</v>
      </c>
      <c r="O65" s="249">
        <f t="shared" si="72"/>
        <v>3.9474072792663217</v>
      </c>
      <c r="P65" s="249">
        <f t="shared" si="72"/>
        <v>3.5042602672422638</v>
      </c>
      <c r="Q65" s="249">
        <f t="shared" si="72"/>
        <v>3.2021972190509493</v>
      </c>
      <c r="S65" s="83">
        <f t="shared" si="25"/>
        <v>-18.068258923063027</v>
      </c>
      <c r="T65" s="84">
        <f t="shared" si="26"/>
        <v>21.933295082786529</v>
      </c>
      <c r="U65" s="84">
        <f t="shared" si="27"/>
        <v>3.8650361597235006</v>
      </c>
      <c r="W65" s="286" t="str">
        <f t="shared" si="19"/>
        <v xml:space="preserve"> 81 Process, plant and machine operatives</v>
      </c>
      <c r="X65" s="249">
        <f t="shared" ref="X65:AB65" si="73">X29/X$34*100</f>
        <v>1.6466563480726486</v>
      </c>
      <c r="Y65" s="249">
        <f t="shared" si="73"/>
        <v>1.4256610205670348</v>
      </c>
      <c r="Z65" s="249">
        <f t="shared" si="73"/>
        <v>1.1475498232755337</v>
      </c>
      <c r="AA65" s="249">
        <f t="shared" si="73"/>
        <v>0.86828784094331624</v>
      </c>
      <c r="AB65" s="249">
        <f t="shared" si="73"/>
        <v>0.68539907028559477</v>
      </c>
      <c r="AD65" s="83">
        <f t="shared" si="29"/>
        <v>-37.430023152757983</v>
      </c>
      <c r="AE65" s="84">
        <f t="shared" si="30"/>
        <v>25.560836734678556</v>
      </c>
      <c r="AF65" s="84">
        <f t="shared" si="31"/>
        <v>-11.869186418079433</v>
      </c>
    </row>
    <row r="66" spans="1:32" x14ac:dyDescent="0.25">
      <c r="A66" s="243" t="str">
        <f t="shared" si="15"/>
        <v xml:space="preserve"> 82 Transport and mobile machine drivers and operatives</v>
      </c>
      <c r="B66" s="249">
        <f t="shared" si="69"/>
        <v>3.9358517584849895</v>
      </c>
      <c r="C66" s="249">
        <f t="shared" si="69"/>
        <v>3.8059176210960777</v>
      </c>
      <c r="D66" s="249">
        <f t="shared" si="69"/>
        <v>3.643227077601789</v>
      </c>
      <c r="E66" s="249">
        <f t="shared" si="69"/>
        <v>3.572755408920989</v>
      </c>
      <c r="F66" s="249">
        <f t="shared" si="69"/>
        <v>3.5319177615348321</v>
      </c>
      <c r="H66" s="83">
        <f t="shared" si="21"/>
        <v>-0.34852779451209376</v>
      </c>
      <c r="I66" s="84">
        <f t="shared" si="22"/>
        <v>35.508999530081148</v>
      </c>
      <c r="J66" s="84">
        <f t="shared" si="23"/>
        <v>35.160471735569054</v>
      </c>
      <c r="L66" s="286" t="str">
        <f t="shared" si="17"/>
        <v xml:space="preserve"> 82 Transport and mobile machine drivers and operatives</v>
      </c>
      <c r="M66" s="249">
        <f t="shared" ref="M66:Q66" si="74">M30/M$34*100</f>
        <v>7.1789356321452988</v>
      </c>
      <c r="N66" s="249">
        <f t="shared" si="74"/>
        <v>6.9319224494160769</v>
      </c>
      <c r="O66" s="249">
        <f t="shared" si="74"/>
        <v>6.6343321156469628</v>
      </c>
      <c r="P66" s="249">
        <f t="shared" si="74"/>
        <v>6.517735718358721</v>
      </c>
      <c r="Q66" s="249">
        <f t="shared" si="74"/>
        <v>6.4774590676181907</v>
      </c>
      <c r="S66" s="83">
        <f t="shared" si="25"/>
        <v>-1.3894197788984515</v>
      </c>
      <c r="T66" s="84">
        <f t="shared" si="26"/>
        <v>34.919093136253466</v>
      </c>
      <c r="U66" s="84">
        <f t="shared" si="27"/>
        <v>33.529673357355009</v>
      </c>
      <c r="W66" s="286" t="str">
        <f t="shared" si="19"/>
        <v xml:space="preserve"> 82 Transport and mobile machine drivers and operatives</v>
      </c>
      <c r="X66" s="249">
        <f t="shared" ref="X66:AB66" si="75">X30/X$34*100</f>
        <v>0.30754400809879723</v>
      </c>
      <c r="Y66" s="249">
        <f t="shared" si="75"/>
        <v>0.33138263903354159</v>
      </c>
      <c r="Z66" s="249">
        <f t="shared" si="75"/>
        <v>0.36125934664833159</v>
      </c>
      <c r="AA66" s="249">
        <f t="shared" si="75"/>
        <v>0.39938563453810949</v>
      </c>
      <c r="AB66" s="249">
        <f t="shared" si="75"/>
        <v>0.41597284642385085</v>
      </c>
      <c r="AD66" s="83">
        <f t="shared" si="29"/>
        <v>20.625721369813498</v>
      </c>
      <c r="AE66" s="84">
        <f t="shared" si="30"/>
        <v>47.39576960167922</v>
      </c>
      <c r="AF66" s="84">
        <f t="shared" si="31"/>
        <v>68.02149097149271</v>
      </c>
    </row>
    <row r="67" spans="1:32" x14ac:dyDescent="0.25">
      <c r="A67" s="243" t="str">
        <f t="shared" si="15"/>
        <v xml:space="preserve"> 91 Elementary trades and related occupations</v>
      </c>
      <c r="B67" s="249">
        <f t="shared" si="69"/>
        <v>1.739965886615167</v>
      </c>
      <c r="C67" s="249">
        <f t="shared" si="69"/>
        <v>1.6682509995904153</v>
      </c>
      <c r="D67" s="249">
        <f t="shared" si="69"/>
        <v>1.5930151429958368</v>
      </c>
      <c r="E67" s="249">
        <f t="shared" si="69"/>
        <v>1.5290605754986706</v>
      </c>
      <c r="F67" s="249">
        <f t="shared" si="69"/>
        <v>1.482303712726208</v>
      </c>
      <c r="H67" s="83">
        <f t="shared" si="21"/>
        <v>-4.3518290167328431</v>
      </c>
      <c r="I67" s="84">
        <f t="shared" si="22"/>
        <v>26.56818514341796</v>
      </c>
      <c r="J67" s="84">
        <f t="shared" si="23"/>
        <v>22.216356126685113</v>
      </c>
      <c r="L67" s="286" t="str">
        <f t="shared" si="17"/>
        <v xml:space="preserve"> 91 Elementary trades and related occupations</v>
      </c>
      <c r="M67" s="249">
        <f t="shared" ref="M67:Q67" si="76">M31/M$34*100</f>
        <v>2.7983460917062519</v>
      </c>
      <c r="N67" s="249">
        <f t="shared" si="76"/>
        <v>2.6036595318692384</v>
      </c>
      <c r="O67" s="249">
        <f t="shared" si="76"/>
        <v>2.4253263561568117</v>
      </c>
      <c r="P67" s="249">
        <f t="shared" si="76"/>
        <v>2.2768215739294639</v>
      </c>
      <c r="Q67" s="249">
        <f t="shared" si="76"/>
        <v>2.1701618584406881</v>
      </c>
      <c r="S67" s="83">
        <f t="shared" si="25"/>
        <v>-9.6271485295724801</v>
      </c>
      <c r="T67" s="84">
        <f t="shared" si="26"/>
        <v>21.554680522457019</v>
      </c>
      <c r="U67" s="84">
        <f t="shared" si="27"/>
        <v>11.927531992884539</v>
      </c>
      <c r="W67" s="286" t="str">
        <f t="shared" si="19"/>
        <v xml:space="preserve"> 91 Elementary trades and related occupations</v>
      </c>
      <c r="X67" s="249">
        <f t="shared" ref="X67:AB67" si="77">X31/X$34*100</f>
        <v>0.55586789513979695</v>
      </c>
      <c r="Y67" s="249">
        <f t="shared" si="77"/>
        <v>0.62855021650836407</v>
      </c>
      <c r="Z67" s="249">
        <f t="shared" si="77"/>
        <v>0.67976786182034721</v>
      </c>
      <c r="AA67" s="249">
        <f t="shared" si="77"/>
        <v>0.7233091267442685</v>
      </c>
      <c r="AB67" s="249">
        <f t="shared" si="77"/>
        <v>0.75465202879628035</v>
      </c>
      <c r="AD67" s="83">
        <f t="shared" si="29"/>
        <v>16.300116442496201</v>
      </c>
      <c r="AE67" s="84">
        <f t="shared" si="30"/>
        <v>46.195171478496746</v>
      </c>
      <c r="AF67" s="84">
        <f t="shared" si="31"/>
        <v>62.495287920992958</v>
      </c>
    </row>
    <row r="68" spans="1:32" x14ac:dyDescent="0.25">
      <c r="A68" s="243" t="str">
        <f t="shared" si="15"/>
        <v xml:space="preserve"> 92 Elementary administration and service occupations</v>
      </c>
      <c r="B68" s="249">
        <f t="shared" si="69"/>
        <v>10.959677044802547</v>
      </c>
      <c r="C68" s="249">
        <f t="shared" si="69"/>
        <v>10.175114711546684</v>
      </c>
      <c r="D68" s="249">
        <f t="shared" si="69"/>
        <v>9.7591256378689017</v>
      </c>
      <c r="E68" s="249">
        <f t="shared" si="69"/>
        <v>9.6709133038458717</v>
      </c>
      <c r="F68" s="249">
        <f t="shared" si="69"/>
        <v>9.5362508816399369</v>
      </c>
      <c r="H68" s="83">
        <f t="shared" si="21"/>
        <v>0.44449426719978796</v>
      </c>
      <c r="I68" s="84">
        <f t="shared" si="22"/>
        <v>32.646266283878511</v>
      </c>
      <c r="J68" s="84">
        <f t="shared" si="23"/>
        <v>33.090760551078297</v>
      </c>
      <c r="L68" s="286" t="str">
        <f t="shared" si="17"/>
        <v xml:space="preserve"> 92 Elementary administration and service occupations</v>
      </c>
      <c r="M68" s="249">
        <f t="shared" ref="M68:Q68" si="78">M32/M$34*100</f>
        <v>8.8494925648818441</v>
      </c>
      <c r="N68" s="249">
        <f t="shared" si="78"/>
        <v>8.8107052008493554</v>
      </c>
      <c r="O68" s="249">
        <f t="shared" si="78"/>
        <v>9.0667199247915704</v>
      </c>
      <c r="P68" s="249">
        <f t="shared" si="78"/>
        <v>9.4518977440432952</v>
      </c>
      <c r="Q68" s="249">
        <f t="shared" si="78"/>
        <v>9.8583187655167013</v>
      </c>
      <c r="S68" s="83">
        <f t="shared" si="25"/>
        <v>9.8167791292904205</v>
      </c>
      <c r="T68" s="84">
        <f t="shared" si="26"/>
        <v>28.506945400168483</v>
      </c>
      <c r="U68" s="84">
        <f t="shared" si="27"/>
        <v>38.3237245294589</v>
      </c>
      <c r="W68" s="286" t="str">
        <f t="shared" si="19"/>
        <v xml:space="preserve"> 92 Elementary administration and service occupations</v>
      </c>
      <c r="X68" s="249">
        <f t="shared" ref="X68:AB68" si="79">X32/X$34*100</f>
        <v>13.320515987459803</v>
      </c>
      <c r="Y68" s="249">
        <f t="shared" si="79"/>
        <v>11.691647421870266</v>
      </c>
      <c r="Z68" s="249">
        <f t="shared" si="79"/>
        <v>10.518862650826774</v>
      </c>
      <c r="AA68" s="249">
        <f t="shared" si="79"/>
        <v>9.9069139845192478</v>
      </c>
      <c r="AB68" s="249">
        <f t="shared" si="79"/>
        <v>9.1955509284551606</v>
      </c>
      <c r="AD68" s="83">
        <f t="shared" si="29"/>
        <v>-8.4195014680424975</v>
      </c>
      <c r="AE68" s="84">
        <f t="shared" si="30"/>
        <v>36.561098493941913</v>
      </c>
      <c r="AF68" s="84">
        <f t="shared" si="31"/>
        <v>28.141597025899419</v>
      </c>
    </row>
    <row r="69" spans="1:32" x14ac:dyDescent="0.25">
      <c r="H69" s="83"/>
      <c r="I69" s="84"/>
      <c r="J69" s="84"/>
      <c r="S69" s="83"/>
      <c r="T69" s="84"/>
      <c r="U69" s="84"/>
      <c r="AD69" s="83"/>
      <c r="AE69" s="84"/>
      <c r="AF69" s="84"/>
    </row>
    <row r="70" spans="1:32" x14ac:dyDescent="0.25">
      <c r="A70" s="28" t="str">
        <f>A34</f>
        <v>All occupations</v>
      </c>
      <c r="B70" s="30">
        <f>B34/B$34*100</f>
        <v>100</v>
      </c>
      <c r="C70" s="30">
        <f>C34/C$34*100</f>
        <v>100</v>
      </c>
      <c r="D70" s="30">
        <f>D34/D$34*100</f>
        <v>100</v>
      </c>
      <c r="E70" s="30">
        <f>E34/E$34*100</f>
        <v>100</v>
      </c>
      <c r="F70" s="30">
        <f>F34/F$34*100</f>
        <v>100</v>
      </c>
      <c r="H70" s="85">
        <f t="shared" si="21"/>
        <v>2.7920145298476982</v>
      </c>
      <c r="I70" s="82">
        <f t="shared" si="22"/>
        <v>33.232566358177465</v>
      </c>
      <c r="J70" s="82">
        <f t="shared" si="23"/>
        <v>36.024580888025135</v>
      </c>
      <c r="L70" s="28" t="str">
        <f>L34</f>
        <v>All occupations</v>
      </c>
      <c r="M70" s="30">
        <f>M34/M$34*100</f>
        <v>100</v>
      </c>
      <c r="N70" s="30">
        <f>N34/N$34*100</f>
        <v>100</v>
      </c>
      <c r="O70" s="30">
        <f>O34/O$34*100</f>
        <v>100</v>
      </c>
      <c r="P70" s="30">
        <f>P34/P$34*100</f>
        <v>100</v>
      </c>
      <c r="Q70" s="30">
        <f>Q34/Q$34*100</f>
        <v>100</v>
      </c>
      <c r="S70" s="85">
        <f t="shared" ref="S70" si="80">IF(O34&gt;0,(S34/O34)*100,0)</f>
        <v>0.99876085268647208</v>
      </c>
      <c r="T70" s="82">
        <f t="shared" ref="T70" si="81">IF(O34&gt;0,T34/O34*100,0)</f>
        <v>27.762314213841595</v>
      </c>
      <c r="U70" s="82">
        <f t="shared" ref="U70" si="82">IF(O34&gt;0,(U34/O34)*100,0)</f>
        <v>28.761075066528075</v>
      </c>
      <c r="W70" s="28" t="str">
        <f>W34</f>
        <v>All occupations</v>
      </c>
      <c r="X70" s="30">
        <f>X34/X$34*100</f>
        <v>100</v>
      </c>
      <c r="Y70" s="30">
        <f>Y34/Y$34*100</f>
        <v>100</v>
      </c>
      <c r="Z70" s="30">
        <f>Z34/Z$34*100</f>
        <v>100</v>
      </c>
      <c r="AA70" s="30">
        <f>AA34/AA$34*100</f>
        <v>100</v>
      </c>
      <c r="AB70" s="30">
        <f>AB34/AB$34*100</f>
        <v>100</v>
      </c>
      <c r="AD70" s="85">
        <f t="shared" ref="AD70" si="83">IF(Z34&gt;0,(AD34/Z34)*100,0)</f>
        <v>4.7596487743818958</v>
      </c>
      <c r="AE70" s="82">
        <f t="shared" ref="AE70" si="84">IF(Z34&gt;0,AE34/Z34*100,0)</f>
        <v>39.234759791552356</v>
      </c>
      <c r="AF70" s="82">
        <f t="shared" ref="AF70" si="85">IF(Z34&gt;0,(AF34/Z34)*100,0)</f>
        <v>43.994408565934265</v>
      </c>
    </row>
    <row r="71" spans="1:32" x14ac:dyDescent="0.25">
      <c r="A71" s="44"/>
      <c r="B71" s="45"/>
      <c r="C71" s="45"/>
      <c r="D71" s="45"/>
      <c r="E71" s="45"/>
      <c r="F71" s="45"/>
      <c r="L71" s="44"/>
      <c r="M71" s="45"/>
      <c r="N71" s="45"/>
      <c r="O71" s="45"/>
      <c r="P71" s="45"/>
      <c r="Q71" s="45"/>
      <c r="W71" s="44"/>
      <c r="X71" s="45"/>
      <c r="Y71" s="45"/>
      <c r="Z71" s="45"/>
      <c r="AA71" s="45"/>
      <c r="AB71" s="45"/>
    </row>
    <row r="72" spans="1:32" x14ac:dyDescent="0.25">
      <c r="A72" s="44"/>
      <c r="B72" s="45"/>
      <c r="C72" s="45"/>
      <c r="D72" s="45"/>
      <c r="E72" s="45"/>
      <c r="F72" s="45"/>
      <c r="L72" s="44"/>
      <c r="M72" s="45"/>
      <c r="N72" s="45"/>
      <c r="O72" s="45"/>
      <c r="P72" s="45"/>
      <c r="Q72" s="45"/>
      <c r="W72" s="44"/>
      <c r="X72" s="45"/>
      <c r="Y72" s="45"/>
      <c r="Z72" s="45"/>
      <c r="AA72" s="45"/>
      <c r="AB72" s="45"/>
    </row>
    <row r="73" spans="1:32" ht="15.6" x14ac:dyDescent="0.3">
      <c r="A73" s="23" t="str">
        <f>CONCATENATE(A$1," (Continued)")</f>
        <v>Occupation Table 2  Employment Change by Occupation (SOC 2010) and Replacement Demand, 2007-2027 (Continued)</v>
      </c>
      <c r="B73" s="22"/>
      <c r="C73" s="22"/>
      <c r="D73" s="22"/>
      <c r="E73" s="22"/>
      <c r="F73" s="22"/>
      <c r="L73" s="23" t="str">
        <f>CONCATENATE(L$1," (Continued)")</f>
        <v>Occupation Table 2.1  Males: Employment Change by Occupation (SOC 2010) and Replacement Demand, 2007-2027 (Continued)</v>
      </c>
      <c r="M73" s="22"/>
      <c r="N73" s="22"/>
      <c r="O73" s="22"/>
      <c r="P73" s="22"/>
      <c r="Q73" s="22"/>
      <c r="W73" s="23" t="str">
        <f>CONCATENATE(W$1," (Continued)")</f>
        <v>Occupation Table 2.2  Females: Employment Change by Occupation (SOC 2010) and Replacement Demand, 2007-2027 (Continued)</v>
      </c>
      <c r="X73" s="22"/>
      <c r="Y73" s="22"/>
      <c r="Z73" s="22"/>
      <c r="AA73" s="22"/>
      <c r="AB73" s="22"/>
    </row>
    <row r="75" spans="1:32" x14ac:dyDescent="0.25">
      <c r="F75" s="19" t="s">
        <v>36</v>
      </c>
      <c r="J75" s="19" t="s">
        <v>36</v>
      </c>
      <c r="Q75" s="19" t="s">
        <v>36</v>
      </c>
      <c r="U75" s="19" t="s">
        <v>36</v>
      </c>
      <c r="AB75" s="19" t="s">
        <v>36</v>
      </c>
      <c r="AF75" s="19" t="s">
        <v>36</v>
      </c>
    </row>
    <row r="76" spans="1:32" x14ac:dyDescent="0.25">
      <c r="A76" s="41"/>
      <c r="B76" s="41"/>
      <c r="C76" s="41"/>
      <c r="D76" s="41"/>
      <c r="E76" s="41"/>
      <c r="F76" s="41"/>
      <c r="H76" s="135" t="str">
        <f>$H$4</f>
        <v>2017-2027</v>
      </c>
      <c r="I76" s="41"/>
      <c r="J76" s="41"/>
      <c r="L76" s="41"/>
      <c r="M76" s="41"/>
      <c r="N76" s="41"/>
      <c r="O76" s="41"/>
      <c r="P76" s="41"/>
      <c r="Q76" s="41"/>
      <c r="S76" s="135" t="str">
        <f>$H$4</f>
        <v>2017-2027</v>
      </c>
      <c r="T76" s="41"/>
      <c r="U76" s="41"/>
      <c r="W76" s="41"/>
      <c r="X76" s="41"/>
      <c r="Y76" s="41"/>
      <c r="Z76" s="41"/>
      <c r="AA76" s="41"/>
      <c r="AB76" s="41"/>
      <c r="AD76" s="135" t="str">
        <f>$H$4</f>
        <v>2017-2027</v>
      </c>
      <c r="AE76" s="41"/>
      <c r="AF76" s="41"/>
    </row>
    <row r="77" spans="1:32" x14ac:dyDescent="0.25">
      <c r="A77" s="2"/>
      <c r="B77" s="2"/>
      <c r="C77" s="2"/>
      <c r="D77" s="2"/>
      <c r="E77" s="2"/>
      <c r="F77" s="2"/>
      <c r="H77" s="19" t="str">
        <f t="shared" ref="H77:J78" si="86">H41</f>
        <v>Net</v>
      </c>
      <c r="I77" s="19" t="str">
        <f t="shared" si="86"/>
        <v>Replacement</v>
      </c>
      <c r="J77" s="19" t="str">
        <f t="shared" si="86"/>
        <v>Total</v>
      </c>
      <c r="L77" s="2"/>
      <c r="M77" s="2"/>
      <c r="N77" s="2"/>
      <c r="O77" s="2"/>
      <c r="P77" s="2"/>
      <c r="Q77" s="2"/>
      <c r="S77" s="19" t="str">
        <f t="shared" ref="S77:U77" si="87">S41</f>
        <v>Net</v>
      </c>
      <c r="T77" s="19" t="str">
        <f t="shared" si="87"/>
        <v>Replacement</v>
      </c>
      <c r="U77" s="19" t="str">
        <f t="shared" si="87"/>
        <v>Total</v>
      </c>
      <c r="W77" s="2"/>
      <c r="X77" s="2"/>
      <c r="Y77" s="2"/>
      <c r="Z77" s="2"/>
      <c r="AA77" s="2"/>
      <c r="AB77" s="2"/>
      <c r="AD77" s="19" t="str">
        <f t="shared" ref="AD77:AF77" si="88">AD41</f>
        <v>Net</v>
      </c>
      <c r="AE77" s="19" t="str">
        <f t="shared" si="88"/>
        <v>Replacement</v>
      </c>
      <c r="AF77" s="19" t="str">
        <f t="shared" si="88"/>
        <v>Total</v>
      </c>
    </row>
    <row r="78" spans="1:32" x14ac:dyDescent="0.25">
      <c r="A78" s="50" t="s">
        <v>14</v>
      </c>
      <c r="B78" s="76" t="str">
        <f>CONCATENATE(B$6,"-",C$6)</f>
        <v>2007-2012</v>
      </c>
      <c r="C78" s="76" t="str">
        <f>CONCATENATE(C$6,"-",D$6)</f>
        <v>2012-2017</v>
      </c>
      <c r="D78" s="76" t="str">
        <f>CONCATENATE(D$6,"-",E$6)</f>
        <v>2017-2022</v>
      </c>
      <c r="E78" s="76" t="str">
        <f>CONCATENATE(E$6,"-",F$6)</f>
        <v>2022-2027</v>
      </c>
      <c r="F78" s="76" t="str">
        <f>CONCATENATE(D$6,"-",F$6)</f>
        <v>2017-2027</v>
      </c>
      <c r="H78" s="75" t="str">
        <f t="shared" si="86"/>
        <v>Change</v>
      </c>
      <c r="I78" s="75" t="str">
        <f t="shared" si="86"/>
        <v>Demand</v>
      </c>
      <c r="J78" s="75" t="str">
        <f t="shared" si="86"/>
        <v>Requirement</v>
      </c>
      <c r="L78" s="50" t="s">
        <v>14</v>
      </c>
      <c r="M78" s="76" t="str">
        <f>CONCATENATE(M$6,"-",N$6)</f>
        <v>2007-2012</v>
      </c>
      <c r="N78" s="76" t="str">
        <f>CONCATENATE(N$6,"-",O$6)</f>
        <v>2012-2017</v>
      </c>
      <c r="O78" s="76" t="str">
        <f>CONCATENATE(O$6,"-",P$6)</f>
        <v>2017-2022</v>
      </c>
      <c r="P78" s="76" t="str">
        <f>CONCATENATE(P$6,"-",Q$6)</f>
        <v>2022-2027</v>
      </c>
      <c r="Q78" s="76" t="str">
        <f>CONCATENATE(O$6,"-",Q$6)</f>
        <v>2017-2027</v>
      </c>
      <c r="S78" s="75" t="str">
        <f t="shared" ref="S78:U78" si="89">S42</f>
        <v>Change</v>
      </c>
      <c r="T78" s="75" t="str">
        <f t="shared" si="89"/>
        <v>Demand</v>
      </c>
      <c r="U78" s="75" t="str">
        <f t="shared" si="89"/>
        <v>Requirement</v>
      </c>
      <c r="W78" s="50" t="s">
        <v>14</v>
      </c>
      <c r="X78" s="76" t="str">
        <f>CONCATENATE(X$6,"-",Y$6)</f>
        <v>2007-2012</v>
      </c>
      <c r="Y78" s="76" t="str">
        <f>CONCATENATE(Y$6,"-",Z$6)</f>
        <v>2012-2017</v>
      </c>
      <c r="Z78" s="76" t="str">
        <f>CONCATENATE(Z$6,"-",AA$6)</f>
        <v>2017-2022</v>
      </c>
      <c r="AA78" s="76" t="str">
        <f>CONCATENATE(AA$6,"-",AB$6)</f>
        <v>2022-2027</v>
      </c>
      <c r="AB78" s="76" t="str">
        <f>CONCATENATE(Z$6,"-",AB$6)</f>
        <v>2017-2027</v>
      </c>
      <c r="AD78" s="75" t="str">
        <f t="shared" ref="AD78:AF78" si="90">AD42</f>
        <v>Change</v>
      </c>
      <c r="AE78" s="75" t="str">
        <f t="shared" si="90"/>
        <v>Demand</v>
      </c>
      <c r="AF78" s="75" t="str">
        <f t="shared" si="90"/>
        <v>Requirement</v>
      </c>
    </row>
    <row r="80" spans="1:32" x14ac:dyDescent="0.25">
      <c r="A80" s="217" t="str">
        <f t="shared" ref="A80:A104" si="91">A8</f>
        <v xml:space="preserve"> 11 Corporate managers and directors</v>
      </c>
      <c r="B80" s="22">
        <f t="shared" ref="B80:E104" si="92">IF(AND(C$6-B$6 &lt;&gt; 0,B8&lt;&gt;0,C8&lt;&gt;0),(EXP(LN(C8/B8)/(C$6-B$6))-1)*100,0)</f>
        <v>1.5491147217074008</v>
      </c>
      <c r="C80" s="22">
        <f t="shared" si="92"/>
        <v>3.6013778975196642</v>
      </c>
      <c r="D80" s="22">
        <f t="shared" si="92"/>
        <v>1.3947655066181674</v>
      </c>
      <c r="E80" s="22">
        <f t="shared" si="92"/>
        <v>1.2095088729320302</v>
      </c>
      <c r="F80" s="22">
        <f>IF(AND(F$6-D$6 &lt;&gt; 0,D8&lt;&gt;0,F8&lt;&gt;0),(EXP(LN(F8/D8)/(F$6-D$6))-1)*100,0)</f>
        <v>1.302094841177559</v>
      </c>
      <c r="H80" s="22">
        <f>IF($F$6-$D$6 &lt;&gt; 0,(EXP(LN(1+(H44/100))/($F$6-$D$6))-1)*100,0)</f>
        <v>1.302094841177559</v>
      </c>
      <c r="I80" s="22">
        <f>IF(D8&gt;0,((1+(I8/D8))^(1/($F$6-$D$6))-1)*100,0)</f>
        <v>3.2574262400478338</v>
      </c>
      <c r="J80" s="22">
        <f>IF($F$6-$D$6 &lt;&gt; 0,(EXP(LN(1+(J44/100))/($F$6-$D$6))-1)*100,0)</f>
        <v>4.2484910169799939</v>
      </c>
      <c r="L80" s="286" t="str">
        <f t="shared" ref="L80:L104" si="93">L8</f>
        <v xml:space="preserve"> 11 Corporate managers and directors</v>
      </c>
      <c r="M80" s="22">
        <f t="shared" ref="M80:M104" si="94">IF(AND(N$6-M$6 &lt;&gt; 0,M8&lt;&gt;0,N8&lt;&gt;0),(EXP(LN(N8/M8)/(N$6-M$6))-1)*100,0)</f>
        <v>0.67996278216437833</v>
      </c>
      <c r="N80" s="22">
        <f t="shared" ref="N80:N104" si="95">IF(AND(O$6-N$6 &lt;&gt; 0,N8&lt;&gt;0,O8&lt;&gt;0),(EXP(LN(O8/N8)/(O$6-N$6))-1)*100,0)</f>
        <v>2.749096739568091</v>
      </c>
      <c r="O80" s="22">
        <f t="shared" ref="O80:O104" si="96">IF(AND(P$6-O$6 &lt;&gt; 0,O8&lt;&gt;0,P8&lt;&gt;0),(EXP(LN(P8/O8)/(P$6-O$6))-1)*100,0)</f>
        <v>0.74265677370062289</v>
      </c>
      <c r="P80" s="22">
        <f t="shared" ref="P80:P104" si="97">IF(AND(Q$6-P$6 &lt;&gt; 0,P8&lt;&gt;0,Q8&lt;&gt;0),(EXP(LN(Q8/P8)/(Q$6-P$6))-1)*100,0)</f>
        <v>0.63901281450788883</v>
      </c>
      <c r="Q80" s="22">
        <f>IF(AND(Q$6-O$6 &lt;&gt; 0,O8&lt;&gt;0,Q8&lt;&gt;0),(EXP(LN(Q8/O8)/(Q$6-O$6))-1)*100,0)</f>
        <v>0.69082145864154398</v>
      </c>
      <c r="S80" s="22">
        <f>IF($F$6-$D$6 &lt;&gt; 0,(EXP(LN(1+(S44/100))/($F$6-$D$6))-1)*100,0)</f>
        <v>0.69082145864154398</v>
      </c>
      <c r="T80" s="22">
        <f>IF(O8&gt;0,((1+(T8/O8))^(1/($F$6-$D$6))-1)*100,0)</f>
        <v>2.9439965902476439</v>
      </c>
      <c r="U80" s="22">
        <f>IF($F$6-$D$6 &lt;&gt; 0,(EXP(LN(1+(U44/100))/($F$6-$D$6))-1)*100,0)</f>
        <v>3.4801577837063613</v>
      </c>
      <c r="W80" s="286" t="str">
        <f t="shared" ref="W80:W104" si="98">W8</f>
        <v xml:space="preserve"> 11 Corporate managers and directors</v>
      </c>
      <c r="X80" s="22">
        <f t="shared" ref="X80:X104" si="99">IF(AND(Y$6-X$6 &lt;&gt; 0,X8&lt;&gt;0,Y8&lt;&gt;0),(EXP(LN(Y8/X8)/(Y$6-X$6))-1)*100,0)</f>
        <v>3.9128099038399977</v>
      </c>
      <c r="Y80" s="22">
        <f t="shared" ref="Y80:Y104" si="100">IF(AND(Z$6-Y$6 &lt;&gt; 0,Y8&lt;&gt;0,Z8&lt;&gt;0),(EXP(LN(Z8/Y8)/(Z$6-Y$6))-1)*100,0)</f>
        <v>5.5976392856700086</v>
      </c>
      <c r="Z80" s="22">
        <f t="shared" ref="Z80:Z104" si="101">IF(AND(AA$6-Z$6 &lt;&gt; 0,Z8&lt;&gt;0,AA8&lt;&gt;0),(EXP(LN(AA8/Z8)/(AA$6-Z$6))-1)*100,0)</f>
        <v>2.7477063201339913</v>
      </c>
      <c r="AA80" s="22">
        <f t="shared" ref="AA80:AA104" si="102">IF(AND(AB$6-AA$6 &lt;&gt; 0,AA8&lt;&gt;0,AB8&lt;&gt;0),(EXP(LN(AB8/AA8)/(AB$6-AA$6))-1)*100,0)</f>
        <v>2.2895215001297098</v>
      </c>
      <c r="AB80" s="22">
        <f>IF(AND(AB$6-Z$6 &lt;&gt; 0,Z8&lt;&gt;0,AB8&lt;&gt;0),(EXP(LN(AB8/Z8)/(AB$6-Z$6))-1)*100,0)</f>
        <v>2.5183579400409606</v>
      </c>
      <c r="AD80" s="22">
        <f>IF($F$6-$D$6 &lt;&gt; 0,(EXP(LN(1+(AD44/100))/($F$6-$D$6))-1)*100,0)</f>
        <v>2.5183579400409606</v>
      </c>
      <c r="AE80" s="22">
        <f>IF(Z8&gt;0,((1+(AE8/Z8))^(1/($F$6-$D$6))-1)*100,0)</f>
        <v>3.9061209648841855</v>
      </c>
      <c r="AF80" s="22">
        <f>IF($F$6-$D$6 &lt;&gt; 0,(EXP(LN(1+(AF44/100))/($F$6-$D$6))-1)*100,0)</f>
        <v>5.7515681432826593</v>
      </c>
    </row>
    <row r="81" spans="1:32" x14ac:dyDescent="0.25">
      <c r="A81" s="243" t="str">
        <f t="shared" si="91"/>
        <v xml:space="preserve"> 12 Other managers and proprietors</v>
      </c>
      <c r="B81" s="22">
        <f t="shared" si="92"/>
        <v>2.5776075393022291</v>
      </c>
      <c r="C81" s="22">
        <f t="shared" si="92"/>
        <v>2.3461384082627434</v>
      </c>
      <c r="D81" s="22">
        <f t="shared" si="92"/>
        <v>0.94551364035522223</v>
      </c>
      <c r="E81" s="22">
        <f t="shared" si="92"/>
        <v>0.71511743021266394</v>
      </c>
      <c r="F81" s="22">
        <f t="shared" ref="F81:F106" si="103">IF(AND(F$6-D$6 &lt;&gt; 0,D9&lt;&gt;0,F9&lt;&gt;0),(EXP(LN(F9/D9)/(F$6-D$6))-1)*100,0)</f>
        <v>0.83024972864795821</v>
      </c>
      <c r="H81" s="22">
        <f t="shared" ref="H81:H106" si="104">IF($F$6-$D$6 &lt;&gt; 0,(EXP(LN(1+(H45/100))/($F$6-$D$6))-1)*100,0)</f>
        <v>0.83024972864795821</v>
      </c>
      <c r="I81" s="22">
        <f t="shared" ref="I81:I106" si="105">IF(D9&gt;0,((1+(I9/D9))^(1/($F$6-$D$6))-1)*100,0)</f>
        <v>3.4910173140153766</v>
      </c>
      <c r="J81" s="22">
        <f t="shared" ref="J81:J106" si="106">IF($F$6-$D$6 &lt;&gt; 0,(EXP(LN(1+(J45/100))/($F$6-$D$6))-1)*100,0)</f>
        <v>4.1071889177952237</v>
      </c>
      <c r="L81" s="286" t="str">
        <f t="shared" si="93"/>
        <v xml:space="preserve"> 12 Other managers and proprietors</v>
      </c>
      <c r="M81" s="22">
        <f t="shared" si="94"/>
        <v>1.628176359531297</v>
      </c>
      <c r="N81" s="22">
        <f t="shared" si="95"/>
        <v>1.4086198732307764</v>
      </c>
      <c r="O81" s="22">
        <f t="shared" si="96"/>
        <v>0.50450705344005087</v>
      </c>
      <c r="P81" s="22">
        <f t="shared" si="97"/>
        <v>0.40218496571413631</v>
      </c>
      <c r="Q81" s="22">
        <f t="shared" ref="Q81:Q104" si="107">IF(AND(Q$6-O$6 &lt;&gt; 0,O9&lt;&gt;0,Q9&lt;&gt;0),(EXP(LN(Q9/O9)/(Q$6-O$6))-1)*100,0)</f>
        <v>0.45333298137701927</v>
      </c>
      <c r="S81" s="22">
        <f t="shared" ref="S81:S106" si="108">IF($F$6-$D$6 &lt;&gt; 0,(EXP(LN(1+(S45/100))/($F$6-$D$6))-1)*100,0)</f>
        <v>0.45333298137701927</v>
      </c>
      <c r="T81" s="22">
        <f t="shared" ref="T81:T104" si="109">IF(O9&gt;0,((1+(T9/O9))^(1/($F$6-$D$6))-1)*100,0)</f>
        <v>3.0803510157300096</v>
      </c>
      <c r="U81" s="22">
        <f t="shared" ref="U81:U106" si="110">IF($F$6-$D$6 &lt;&gt; 0,(EXP(LN(1+(U45/100))/($F$6-$D$6))-1)*100,0)</f>
        <v>3.4271881603179732</v>
      </c>
      <c r="W81" s="286" t="str">
        <f t="shared" si="98"/>
        <v xml:space="preserve"> 12 Other managers and proprietors</v>
      </c>
      <c r="X81" s="22">
        <f t="shared" si="99"/>
        <v>3.8933561528163407</v>
      </c>
      <c r="Y81" s="22">
        <f t="shared" si="100"/>
        <v>3.5133229688334433</v>
      </c>
      <c r="Z81" s="22">
        <f t="shared" si="101"/>
        <v>1.452160776699718</v>
      </c>
      <c r="AA81" s="22">
        <f t="shared" si="102"/>
        <v>1.0601120410115739</v>
      </c>
      <c r="AB81" s="22">
        <f t="shared" ref="AB81:AB104" si="111">IF(AND(AB$6-Z$6 &lt;&gt; 0,Z9&lt;&gt;0,AB9&lt;&gt;0),(EXP(LN(AB9/Z9)/(AB$6-Z$6))-1)*100,0)</f>
        <v>1.2559466643613737</v>
      </c>
      <c r="AD81" s="22">
        <f t="shared" ref="AD81:AD106" si="112">IF($F$6-$D$6 &lt;&gt; 0,(EXP(LN(1+(AD45/100))/($F$6-$D$6))-1)*100,0)</f>
        <v>1.2559466643613737</v>
      </c>
      <c r="AE81" s="22">
        <f t="shared" ref="AE81:AE104" si="113">IF(Z9&gt;0,((1+(AE9/Z9))^(1/($F$6-$D$6))-1)*100,0)</f>
        <v>3.953830353336496</v>
      </c>
      <c r="AF81" s="22">
        <f t="shared" ref="AF81:AF106" si="114">IF($F$6-$D$6 &lt;&gt; 0,(EXP(LN(1+(AF45/100))/($F$6-$D$6))-1)*100,0)</f>
        <v>4.8555377486562579</v>
      </c>
    </row>
    <row r="82" spans="1:32" x14ac:dyDescent="0.25">
      <c r="A82" s="243" t="str">
        <f t="shared" si="91"/>
        <v xml:space="preserve"> 21 Science, research, engineering and technology professionals</v>
      </c>
      <c r="B82" s="22">
        <f t="shared" si="92"/>
        <v>2.3655871631945047</v>
      </c>
      <c r="C82" s="22">
        <f t="shared" si="92"/>
        <v>3.5766620724356324</v>
      </c>
      <c r="D82" s="22">
        <f t="shared" si="92"/>
        <v>0.92924294883980352</v>
      </c>
      <c r="E82" s="22">
        <f t="shared" si="92"/>
        <v>0.81868747421218746</v>
      </c>
      <c r="F82" s="22">
        <f t="shared" si="103"/>
        <v>0.87395006575243794</v>
      </c>
      <c r="H82" s="22">
        <f t="shared" si="104"/>
        <v>0.87395006575243794</v>
      </c>
      <c r="I82" s="22">
        <f t="shared" si="105"/>
        <v>2.3719438538886806</v>
      </c>
      <c r="J82" s="22">
        <f t="shared" si="106"/>
        <v>3.0853565115375625</v>
      </c>
      <c r="L82" s="286" t="str">
        <f t="shared" si="93"/>
        <v xml:space="preserve"> 21 Science, research, engineering and technology professionals</v>
      </c>
      <c r="M82" s="22">
        <f t="shared" si="94"/>
        <v>2.2633176973563263</v>
      </c>
      <c r="N82" s="22">
        <f t="shared" si="95"/>
        <v>3.2062718513319322</v>
      </c>
      <c r="O82" s="22">
        <f t="shared" si="96"/>
        <v>0.59083610961885302</v>
      </c>
      <c r="P82" s="22">
        <f t="shared" si="97"/>
        <v>0.53868364219937792</v>
      </c>
      <c r="Q82" s="22">
        <f t="shared" si="107"/>
        <v>0.56475649515237425</v>
      </c>
      <c r="S82" s="22">
        <f t="shared" si="108"/>
        <v>0.56475649515237425</v>
      </c>
      <c r="T82" s="22">
        <f t="shared" si="109"/>
        <v>2.1191739181615654</v>
      </c>
      <c r="U82" s="22">
        <f t="shared" si="110"/>
        <v>2.5890136805351682</v>
      </c>
      <c r="W82" s="286" t="str">
        <f t="shared" si="98"/>
        <v xml:space="preserve"> 21 Science, research, engineering and technology professionals</v>
      </c>
      <c r="X82" s="22">
        <f t="shared" si="99"/>
        <v>2.8481451818499037</v>
      </c>
      <c r="Y82" s="22">
        <f t="shared" si="100"/>
        <v>5.2289324970458351</v>
      </c>
      <c r="Z82" s="22">
        <f t="shared" si="101"/>
        <v>2.3061827636055909</v>
      </c>
      <c r="AA82" s="22">
        <f t="shared" si="102"/>
        <v>1.8735219446549545</v>
      </c>
      <c r="AB82" s="22">
        <f t="shared" si="111"/>
        <v>2.0896231496720485</v>
      </c>
      <c r="AD82" s="22">
        <f t="shared" si="112"/>
        <v>2.0896231496720485</v>
      </c>
      <c r="AE82" s="22">
        <f t="shared" si="113"/>
        <v>3.3785249945709417</v>
      </c>
      <c r="AF82" s="22">
        <f t="shared" si="114"/>
        <v>4.9676161565235244</v>
      </c>
    </row>
    <row r="83" spans="1:32" x14ac:dyDescent="0.25">
      <c r="A83" s="243" t="str">
        <f t="shared" si="91"/>
        <v xml:space="preserve"> 22 Health professionals</v>
      </c>
      <c r="B83" s="22">
        <f t="shared" si="92"/>
        <v>1.2226840144393458</v>
      </c>
      <c r="C83" s="22">
        <f t="shared" si="92"/>
        <v>3.3126227766320016</v>
      </c>
      <c r="D83" s="22">
        <f t="shared" si="92"/>
        <v>1.4544605444049452</v>
      </c>
      <c r="E83" s="22">
        <f t="shared" si="92"/>
        <v>1.3485584099482528</v>
      </c>
      <c r="F83" s="22">
        <f t="shared" si="103"/>
        <v>1.4014956518611621</v>
      </c>
      <c r="H83" s="22">
        <f t="shared" si="104"/>
        <v>1.4014956518611621</v>
      </c>
      <c r="I83" s="22">
        <f t="shared" si="105"/>
        <v>3.3684568843497908</v>
      </c>
      <c r="J83" s="22">
        <f t="shared" si="106"/>
        <v>4.42662757898038</v>
      </c>
      <c r="L83" s="286" t="str">
        <f t="shared" si="93"/>
        <v xml:space="preserve"> 22 Health professionals</v>
      </c>
      <c r="M83" s="22">
        <f t="shared" si="94"/>
        <v>1.1453493599361542</v>
      </c>
      <c r="N83" s="22">
        <f t="shared" si="95"/>
        <v>1.9668593640846721</v>
      </c>
      <c r="O83" s="22">
        <f t="shared" si="96"/>
        <v>0.20119255001016523</v>
      </c>
      <c r="P83" s="22">
        <f t="shared" si="97"/>
        <v>0.38102981212109199</v>
      </c>
      <c r="Q83" s="22">
        <f t="shared" si="107"/>
        <v>0.29107087160180622</v>
      </c>
      <c r="S83" s="22">
        <f t="shared" si="108"/>
        <v>0.29107087160180622</v>
      </c>
      <c r="T83" s="22">
        <f t="shared" si="109"/>
        <v>2.3920485384486323</v>
      </c>
      <c r="U83" s="22">
        <f t="shared" si="110"/>
        <v>2.6279825179985172</v>
      </c>
      <c r="W83" s="286" t="str">
        <f t="shared" si="98"/>
        <v xml:space="preserve"> 22 Health professionals</v>
      </c>
      <c r="X83" s="22">
        <f t="shared" si="99"/>
        <v>1.2501860527864173</v>
      </c>
      <c r="Y83" s="22">
        <f t="shared" si="100"/>
        <v>3.7733269673275949</v>
      </c>
      <c r="Z83" s="22">
        <f t="shared" si="101"/>
        <v>1.8484177271298918</v>
      </c>
      <c r="AA83" s="22">
        <f t="shared" si="102"/>
        <v>1.6310795389860466</v>
      </c>
      <c r="AB83" s="22">
        <f t="shared" si="111"/>
        <v>1.739690597847865</v>
      </c>
      <c r="AD83" s="22">
        <f t="shared" si="112"/>
        <v>1.739690597847865</v>
      </c>
      <c r="AE83" s="22">
        <f t="shared" si="113"/>
        <v>3.6684241701935738</v>
      </c>
      <c r="AF83" s="22">
        <f t="shared" si="114"/>
        <v>4.9552255424319069</v>
      </c>
    </row>
    <row r="84" spans="1:32" x14ac:dyDescent="0.25">
      <c r="A84" s="243" t="str">
        <f t="shared" si="91"/>
        <v xml:space="preserve"> 23 Teaching and educational professionals</v>
      </c>
      <c r="B84" s="22">
        <f t="shared" si="92"/>
        <v>1.0533983085850629</v>
      </c>
      <c r="C84" s="22">
        <f t="shared" si="92"/>
        <v>2.8482722516945724</v>
      </c>
      <c r="D84" s="22">
        <f t="shared" si="92"/>
        <v>0.7872098847071296</v>
      </c>
      <c r="E84" s="22">
        <f t="shared" si="92"/>
        <v>1.5529662533122046</v>
      </c>
      <c r="F84" s="22">
        <f t="shared" si="103"/>
        <v>1.169363565197723</v>
      </c>
      <c r="H84" s="22">
        <f t="shared" si="104"/>
        <v>1.169363565197723</v>
      </c>
      <c r="I84" s="22">
        <f t="shared" si="105"/>
        <v>3.179741187236873</v>
      </c>
      <c r="J84" s="22">
        <f t="shared" si="106"/>
        <v>4.0741992353813705</v>
      </c>
      <c r="L84" s="286" t="str">
        <f t="shared" si="93"/>
        <v xml:space="preserve"> 23 Teaching and educational professionals</v>
      </c>
      <c r="M84" s="22">
        <f t="shared" si="94"/>
        <v>1.4936075620231914</v>
      </c>
      <c r="N84" s="22">
        <f t="shared" si="95"/>
        <v>2.1627375743504151</v>
      </c>
      <c r="O84" s="22">
        <f t="shared" si="96"/>
        <v>2.6839764185693227E-2</v>
      </c>
      <c r="P84" s="22">
        <f t="shared" si="97"/>
        <v>1.040163065259514</v>
      </c>
      <c r="Q84" s="22">
        <f t="shared" si="107"/>
        <v>0.5322246877880854</v>
      </c>
      <c r="S84" s="22">
        <f t="shared" si="108"/>
        <v>0.5322246877880854</v>
      </c>
      <c r="T84" s="22">
        <f t="shared" si="109"/>
        <v>2.6051401032184618</v>
      </c>
      <c r="U84" s="22">
        <f t="shared" si="110"/>
        <v>3.0296595120803183</v>
      </c>
      <c r="W84" s="286" t="str">
        <f t="shared" si="98"/>
        <v xml:space="preserve"> 23 Teaching and educational professionals</v>
      </c>
      <c r="X84" s="22">
        <f t="shared" si="99"/>
        <v>0.82889074283025721</v>
      </c>
      <c r="Y84" s="22">
        <f t="shared" si="100"/>
        <v>3.1977466191210446</v>
      </c>
      <c r="Z84" s="22">
        <f t="shared" si="101"/>
        <v>1.1549503289447483</v>
      </c>
      <c r="AA84" s="22">
        <f t="shared" si="102"/>
        <v>1.789247470519495</v>
      </c>
      <c r="AB84" s="22">
        <f t="shared" si="111"/>
        <v>1.4716032784594546</v>
      </c>
      <c r="AD84" s="22">
        <f t="shared" si="112"/>
        <v>1.4716032784594546</v>
      </c>
      <c r="AE84" s="22">
        <f t="shared" si="113"/>
        <v>3.4536169433647013</v>
      </c>
      <c r="AF84" s="22">
        <f t="shared" si="114"/>
        <v>4.5578505751820098</v>
      </c>
    </row>
    <row r="85" spans="1:32" x14ac:dyDescent="0.25">
      <c r="A85" s="243" t="str">
        <f t="shared" si="91"/>
        <v xml:space="preserve"> 24 Business, media and public service professionals</v>
      </c>
      <c r="B85" s="22">
        <f t="shared" si="92"/>
        <v>1.3289504465118451</v>
      </c>
      <c r="C85" s="22">
        <f t="shared" si="92"/>
        <v>3.4765254117188782</v>
      </c>
      <c r="D85" s="22">
        <f t="shared" si="92"/>
        <v>1.4088404584982506</v>
      </c>
      <c r="E85" s="22">
        <f t="shared" si="92"/>
        <v>0.8365850291856658</v>
      </c>
      <c r="F85" s="22">
        <f t="shared" si="103"/>
        <v>1.1223079424341531</v>
      </c>
      <c r="H85" s="22">
        <f t="shared" si="104"/>
        <v>1.1223079424341531</v>
      </c>
      <c r="I85" s="22">
        <f t="shared" si="105"/>
        <v>3.0895182692276313</v>
      </c>
      <c r="J85" s="22">
        <f t="shared" si="106"/>
        <v>3.9540289080153057</v>
      </c>
      <c r="L85" s="286" t="str">
        <f t="shared" si="93"/>
        <v xml:space="preserve"> 24 Business, media and public service professionals</v>
      </c>
      <c r="M85" s="22">
        <f t="shared" si="94"/>
        <v>0.99663523907287388</v>
      </c>
      <c r="N85" s="22">
        <f t="shared" si="95"/>
        <v>2.6313084201261328</v>
      </c>
      <c r="O85" s="22">
        <f t="shared" si="96"/>
        <v>0.60885593545214611</v>
      </c>
      <c r="P85" s="22">
        <f t="shared" si="97"/>
        <v>-3.5649992947817122E-2</v>
      </c>
      <c r="Q85" s="22">
        <f t="shared" si="107"/>
        <v>0.28608521894066818</v>
      </c>
      <c r="S85" s="22">
        <f t="shared" si="108"/>
        <v>0.28608521894066818</v>
      </c>
      <c r="T85" s="22">
        <f t="shared" si="109"/>
        <v>2.6521100402779219</v>
      </c>
      <c r="U85" s="22">
        <f t="shared" si="110"/>
        <v>2.8788155686016781</v>
      </c>
      <c r="W85" s="286" t="str">
        <f t="shared" si="98"/>
        <v xml:space="preserve"> 24 Business, media and public service professionals</v>
      </c>
      <c r="X85" s="22">
        <f t="shared" si="99"/>
        <v>1.7859030812482635</v>
      </c>
      <c r="Y85" s="22">
        <f t="shared" si="100"/>
        <v>4.57017052626425</v>
      </c>
      <c r="Z85" s="22">
        <f t="shared" si="101"/>
        <v>2.3543680675499834</v>
      </c>
      <c r="AA85" s="22">
        <f t="shared" si="102"/>
        <v>1.7810316822705063</v>
      </c>
      <c r="AB85" s="22">
        <f t="shared" si="111"/>
        <v>2.0672973047786813</v>
      </c>
      <c r="AD85" s="22">
        <f t="shared" si="112"/>
        <v>2.0672973047786813</v>
      </c>
      <c r="AE85" s="22">
        <f t="shared" si="113"/>
        <v>3.6028534298963688</v>
      </c>
      <c r="AF85" s="22">
        <f t="shared" si="114"/>
        <v>5.1463450671013877</v>
      </c>
    </row>
    <row r="86" spans="1:32" x14ac:dyDescent="0.25">
      <c r="A86" s="243" t="str">
        <f t="shared" si="91"/>
        <v xml:space="preserve"> 31 Science, engineering and technology associate professionals</v>
      </c>
      <c r="B86" s="22">
        <f t="shared" si="92"/>
        <v>-0.33711034298681275</v>
      </c>
      <c r="C86" s="22">
        <f t="shared" si="92"/>
        <v>2.2857756567853826</v>
      </c>
      <c r="D86" s="22">
        <f t="shared" si="92"/>
        <v>7.4987087155298227E-2</v>
      </c>
      <c r="E86" s="22">
        <f t="shared" si="92"/>
        <v>0.19055581951861189</v>
      </c>
      <c r="F86" s="22">
        <f t="shared" si="103"/>
        <v>0.13275478030772003</v>
      </c>
      <c r="H86" s="22">
        <f t="shared" si="104"/>
        <v>0.13275478030772003</v>
      </c>
      <c r="I86" s="22">
        <f t="shared" si="105"/>
        <v>2.4711950040512631</v>
      </c>
      <c r="J86" s="22">
        <f t="shared" si="106"/>
        <v>2.5779022365117532</v>
      </c>
      <c r="L86" s="286" t="str">
        <f t="shared" si="93"/>
        <v xml:space="preserve"> 31 Science, engineering and technology associate professionals</v>
      </c>
      <c r="M86" s="22">
        <f t="shared" si="94"/>
        <v>-0.5363207134384651</v>
      </c>
      <c r="N86" s="22">
        <f t="shared" si="95"/>
        <v>2.3431179527247492</v>
      </c>
      <c r="O86" s="22">
        <f t="shared" si="96"/>
        <v>0.12278319247331915</v>
      </c>
      <c r="P86" s="22">
        <f t="shared" si="97"/>
        <v>0.22810276730012014</v>
      </c>
      <c r="Q86" s="22">
        <f t="shared" si="107"/>
        <v>0.17542913890273848</v>
      </c>
      <c r="S86" s="22">
        <f t="shared" si="108"/>
        <v>0.17542913890273848</v>
      </c>
      <c r="T86" s="22">
        <f t="shared" si="109"/>
        <v>2.2833345899342383</v>
      </c>
      <c r="U86" s="22">
        <f t="shared" si="110"/>
        <v>2.4267339645996699</v>
      </c>
      <c r="W86" s="286" t="str">
        <f t="shared" si="98"/>
        <v xml:space="preserve"> 31 Science, engineering and technology associate professionals</v>
      </c>
      <c r="X86" s="22">
        <f t="shared" si="99"/>
        <v>0.29249721857003141</v>
      </c>
      <c r="Y86" s="22">
        <f t="shared" si="100"/>
        <v>2.1081802126893923</v>
      </c>
      <c r="Z86" s="22">
        <f t="shared" si="101"/>
        <v>-7.4656601608624751E-2</v>
      </c>
      <c r="AA86" s="22">
        <f t="shared" si="102"/>
        <v>7.1933314582195429E-2</v>
      </c>
      <c r="AB86" s="22">
        <f t="shared" si="111"/>
        <v>-1.3885046369899179E-3</v>
      </c>
      <c r="AD86" s="22">
        <f t="shared" si="112"/>
        <v>-1.3885046369899179E-3</v>
      </c>
      <c r="AE86" s="22">
        <f t="shared" si="113"/>
        <v>3.0379222474700596</v>
      </c>
      <c r="AF86" s="22">
        <f t="shared" si="114"/>
        <v>3.0368616111802638</v>
      </c>
    </row>
    <row r="87" spans="1:32" x14ac:dyDescent="0.25">
      <c r="A87" s="243" t="str">
        <f t="shared" si="91"/>
        <v xml:space="preserve"> 32 Health and social care associate professionals</v>
      </c>
      <c r="B87" s="22">
        <f t="shared" si="92"/>
        <v>1.2878645271389155</v>
      </c>
      <c r="C87" s="22">
        <f t="shared" si="92"/>
        <v>3.5121223081806541</v>
      </c>
      <c r="D87" s="22">
        <f t="shared" si="92"/>
        <v>1.5483552934471012</v>
      </c>
      <c r="E87" s="22">
        <f t="shared" si="92"/>
        <v>1.3808233218885579</v>
      </c>
      <c r="F87" s="22">
        <f t="shared" si="103"/>
        <v>1.4645547303753226</v>
      </c>
      <c r="H87" s="22">
        <f t="shared" si="104"/>
        <v>1.4645547303753226</v>
      </c>
      <c r="I87" s="22">
        <f t="shared" si="105"/>
        <v>3.5627091974399061</v>
      </c>
      <c r="J87" s="22">
        <f t="shared" si="106"/>
        <v>4.6517119904360804</v>
      </c>
      <c r="L87" s="286" t="str">
        <f t="shared" si="93"/>
        <v xml:space="preserve"> 32 Health and social care associate professionals</v>
      </c>
      <c r="M87" s="22">
        <f t="shared" si="94"/>
        <v>2.5759505675658101</v>
      </c>
      <c r="N87" s="22">
        <f t="shared" si="95"/>
        <v>2.2992747527919022</v>
      </c>
      <c r="O87" s="22">
        <f t="shared" si="96"/>
        <v>0.49391329344419255</v>
      </c>
      <c r="P87" s="22">
        <f t="shared" si="97"/>
        <v>0.83029293252077085</v>
      </c>
      <c r="Q87" s="22">
        <f t="shared" si="107"/>
        <v>0.66196260412032526</v>
      </c>
      <c r="S87" s="22">
        <f t="shared" si="108"/>
        <v>0.66196260412032526</v>
      </c>
      <c r="T87" s="22">
        <f t="shared" si="109"/>
        <v>2.9845593292061601</v>
      </c>
      <c r="U87" s="22">
        <f t="shared" si="110"/>
        <v>3.4963870563002653</v>
      </c>
      <c r="W87" s="286" t="str">
        <f t="shared" si="98"/>
        <v xml:space="preserve"> 32 Health and social care associate professionals</v>
      </c>
      <c r="X87" s="22">
        <f t="shared" si="99"/>
        <v>0.75949168682176715</v>
      </c>
      <c r="Y87" s="22">
        <f t="shared" si="100"/>
        <v>4.0197977289352593</v>
      </c>
      <c r="Z87" s="22">
        <f t="shared" si="101"/>
        <v>1.9562187051466395</v>
      </c>
      <c r="AA87" s="22">
        <f t="shared" si="102"/>
        <v>1.581720220040661</v>
      </c>
      <c r="AB87" s="22">
        <f t="shared" si="111"/>
        <v>1.7687971983529005</v>
      </c>
      <c r="AD87" s="22">
        <f t="shared" si="112"/>
        <v>1.7687971983529005</v>
      </c>
      <c r="AE87" s="22">
        <f t="shared" si="113"/>
        <v>3.7850179194083733</v>
      </c>
      <c r="AF87" s="22">
        <f t="shared" si="114"/>
        <v>5.0814371526435753</v>
      </c>
    </row>
    <row r="88" spans="1:32" x14ac:dyDescent="0.25">
      <c r="A88" s="243" t="str">
        <f t="shared" si="91"/>
        <v xml:space="preserve"> 33 Protective service occupations</v>
      </c>
      <c r="B88" s="22">
        <f t="shared" si="92"/>
        <v>-1.3426243160925111</v>
      </c>
      <c r="C88" s="22">
        <f t="shared" si="92"/>
        <v>0.63478715872389291</v>
      </c>
      <c r="D88" s="22">
        <f t="shared" si="92"/>
        <v>-0.52297293929696176</v>
      </c>
      <c r="E88" s="22">
        <f t="shared" si="92"/>
        <v>-4.7016335557725775E-2</v>
      </c>
      <c r="F88" s="22">
        <f t="shared" si="103"/>
        <v>-0.28527861551368439</v>
      </c>
      <c r="H88" s="22">
        <f t="shared" si="104"/>
        <v>-0.28527861551368439</v>
      </c>
      <c r="I88" s="22">
        <f t="shared" si="105"/>
        <v>2.0791216908323529</v>
      </c>
      <c r="J88" s="22">
        <f t="shared" si="106"/>
        <v>1.8426433778904849</v>
      </c>
      <c r="L88" s="286" t="str">
        <f t="shared" si="93"/>
        <v xml:space="preserve"> 33 Protective service occupations</v>
      </c>
      <c r="M88" s="22">
        <f t="shared" si="94"/>
        <v>-2.1681260287430337</v>
      </c>
      <c r="N88" s="22">
        <f t="shared" si="95"/>
        <v>-0.43540787636070499</v>
      </c>
      <c r="O88" s="22">
        <f t="shared" si="96"/>
        <v>-1.6127654475721731</v>
      </c>
      <c r="P88" s="22">
        <f t="shared" si="97"/>
        <v>-1.2193236401506047</v>
      </c>
      <c r="Q88" s="22">
        <f t="shared" si="107"/>
        <v>-1.4162408189667186</v>
      </c>
      <c r="S88" s="22">
        <f t="shared" si="108"/>
        <v>-1.4162408189667075</v>
      </c>
      <c r="T88" s="22">
        <f t="shared" si="109"/>
        <v>1.653424164382411</v>
      </c>
      <c r="U88" s="22">
        <f t="shared" si="110"/>
        <v>0.44375469448318938</v>
      </c>
      <c r="W88" s="286" t="str">
        <f t="shared" si="98"/>
        <v xml:space="preserve"> 33 Protective service occupations</v>
      </c>
      <c r="X88" s="22">
        <f t="shared" si="99"/>
        <v>2.4595726064785106</v>
      </c>
      <c r="Y88" s="22">
        <f t="shared" si="100"/>
        <v>4.5281147156183588</v>
      </c>
      <c r="Z88" s="22">
        <f t="shared" si="101"/>
        <v>2.6274862309301206</v>
      </c>
      <c r="AA88" s="22">
        <f t="shared" si="102"/>
        <v>2.7153249952686753</v>
      </c>
      <c r="AB88" s="22">
        <f t="shared" si="111"/>
        <v>2.6713962194799823</v>
      </c>
      <c r="AD88" s="22">
        <f t="shared" si="112"/>
        <v>2.6713962194799823</v>
      </c>
      <c r="AE88" s="22">
        <f t="shared" si="113"/>
        <v>3.3238241573381844</v>
      </c>
      <c r="AF88" s="22">
        <f t="shared" si="114"/>
        <v>5.3775523734742592</v>
      </c>
    </row>
    <row r="89" spans="1:32" x14ac:dyDescent="0.25">
      <c r="A89" s="243" t="str">
        <f t="shared" si="91"/>
        <v xml:space="preserve"> 34 Culture, media and sports occupations</v>
      </c>
      <c r="B89" s="22">
        <f t="shared" si="92"/>
        <v>0.82545975770977886</v>
      </c>
      <c r="C89" s="22">
        <f t="shared" si="92"/>
        <v>2.701358011918531</v>
      </c>
      <c r="D89" s="22">
        <f t="shared" si="92"/>
        <v>1.0297103739528524</v>
      </c>
      <c r="E89" s="22">
        <f t="shared" si="92"/>
        <v>0.18253090497253321</v>
      </c>
      <c r="F89" s="22">
        <f t="shared" si="103"/>
        <v>0.60522889919270018</v>
      </c>
      <c r="H89" s="22">
        <f t="shared" si="104"/>
        <v>0.60522889919270018</v>
      </c>
      <c r="I89" s="22">
        <f t="shared" si="105"/>
        <v>2.9072551274619496</v>
      </c>
      <c r="J89" s="22">
        <f t="shared" si="106"/>
        <v>3.3780222146245986</v>
      </c>
      <c r="L89" s="286" t="str">
        <f t="shared" si="93"/>
        <v xml:space="preserve"> 34 Culture, media and sports occupations</v>
      </c>
      <c r="M89" s="22">
        <f t="shared" si="94"/>
        <v>0.13912463817975507</v>
      </c>
      <c r="N89" s="22">
        <f t="shared" si="95"/>
        <v>2.7347747011697621</v>
      </c>
      <c r="O89" s="22">
        <f t="shared" si="96"/>
        <v>1.1497069495677747</v>
      </c>
      <c r="P89" s="22">
        <f t="shared" si="97"/>
        <v>0.35006429867669997</v>
      </c>
      <c r="Q89" s="22">
        <f t="shared" si="107"/>
        <v>0.74909228465251942</v>
      </c>
      <c r="S89" s="22">
        <f t="shared" si="108"/>
        <v>0.74909228465251942</v>
      </c>
      <c r="T89" s="22">
        <f t="shared" si="109"/>
        <v>2.5835460623063966</v>
      </c>
      <c r="U89" s="22">
        <f t="shared" si="110"/>
        <v>3.1834267617753875</v>
      </c>
      <c r="W89" s="286" t="str">
        <f t="shared" si="98"/>
        <v xml:space="preserve"> 34 Culture, media and sports occupations</v>
      </c>
      <c r="X89" s="22">
        <f t="shared" si="99"/>
        <v>1.6465545688245875</v>
      </c>
      <c r="Y89" s="22">
        <f t="shared" si="100"/>
        <v>2.6630783084241605</v>
      </c>
      <c r="Z89" s="22">
        <f t="shared" si="101"/>
        <v>0.89125635185685059</v>
      </c>
      <c r="AA89" s="22">
        <f t="shared" si="102"/>
        <v>-1.3680977337060529E-2</v>
      </c>
      <c r="AB89" s="22">
        <f t="shared" si="111"/>
        <v>0.43776851460823885</v>
      </c>
      <c r="AD89" s="22">
        <f t="shared" si="112"/>
        <v>0.43776851460823885</v>
      </c>
      <c r="AE89" s="22">
        <f t="shared" si="113"/>
        <v>3.2678929013717495</v>
      </c>
      <c r="AF89" s="22">
        <f t="shared" si="114"/>
        <v>3.5974140049161107</v>
      </c>
    </row>
    <row r="90" spans="1:32" x14ac:dyDescent="0.25">
      <c r="A90" s="243" t="str">
        <f t="shared" si="91"/>
        <v xml:space="preserve"> 35 Business and public service associate professionals</v>
      </c>
      <c r="B90" s="22">
        <f t="shared" si="92"/>
        <v>0.31224860180947278</v>
      </c>
      <c r="C90" s="22">
        <f t="shared" si="92"/>
        <v>3.2827440694177312</v>
      </c>
      <c r="D90" s="22">
        <f t="shared" si="92"/>
        <v>1.2679390771579424</v>
      </c>
      <c r="E90" s="22">
        <f t="shared" si="92"/>
        <v>0.98975369945144553</v>
      </c>
      <c r="F90" s="22">
        <f t="shared" si="103"/>
        <v>1.1287507341667613</v>
      </c>
      <c r="H90" s="22">
        <f t="shared" si="104"/>
        <v>1.1287507341667613</v>
      </c>
      <c r="I90" s="22">
        <f t="shared" si="105"/>
        <v>2.9359259894764733</v>
      </c>
      <c r="J90" s="22">
        <f t="shared" si="106"/>
        <v>3.816721863657202</v>
      </c>
      <c r="L90" s="286" t="str">
        <f t="shared" si="93"/>
        <v xml:space="preserve"> 35 Business and public service associate professionals</v>
      </c>
      <c r="M90" s="22">
        <f t="shared" si="94"/>
        <v>0.28177720887354596</v>
      </c>
      <c r="N90" s="22">
        <f t="shared" si="95"/>
        <v>2.4842889882487729</v>
      </c>
      <c r="O90" s="22">
        <f t="shared" si="96"/>
        <v>0.50368109143217321</v>
      </c>
      <c r="P90" s="22">
        <f t="shared" si="97"/>
        <v>0.24890148090428443</v>
      </c>
      <c r="Q90" s="22">
        <f t="shared" si="107"/>
        <v>0.37621044950444382</v>
      </c>
      <c r="S90" s="22">
        <f t="shared" si="108"/>
        <v>0.37621044950444382</v>
      </c>
      <c r="T90" s="22">
        <f t="shared" si="109"/>
        <v>2.4405471817670277</v>
      </c>
      <c r="U90" s="22">
        <f t="shared" si="110"/>
        <v>2.7444555734703835</v>
      </c>
      <c r="W90" s="286" t="str">
        <f t="shared" si="98"/>
        <v xml:space="preserve"> 35 Business and public service associate professionals</v>
      </c>
      <c r="X90" s="22">
        <f t="shared" si="99"/>
        <v>0.35283043017675375</v>
      </c>
      <c r="Y90" s="22">
        <f t="shared" si="100"/>
        <v>4.3070695276058446</v>
      </c>
      <c r="Z90" s="22">
        <f t="shared" si="101"/>
        <v>2.1678522051024718</v>
      </c>
      <c r="AA90" s="22">
        <f t="shared" si="102"/>
        <v>1.7951426170153661</v>
      </c>
      <c r="AB90" s="22">
        <f t="shared" si="111"/>
        <v>1.9813271442010283</v>
      </c>
      <c r="AD90" s="22">
        <f t="shared" si="112"/>
        <v>1.9813271442010283</v>
      </c>
      <c r="AE90" s="22">
        <f t="shared" si="113"/>
        <v>3.5111527657264219</v>
      </c>
      <c r="AF90" s="22">
        <f t="shared" si="114"/>
        <v>4.9999326830286295</v>
      </c>
    </row>
    <row r="91" spans="1:32" x14ac:dyDescent="0.25">
      <c r="A91" s="243" t="str">
        <f t="shared" si="91"/>
        <v xml:space="preserve"> 41 Administrative occupations</v>
      </c>
      <c r="B91" s="22">
        <f t="shared" si="92"/>
        <v>-1.4101758691643984</v>
      </c>
      <c r="C91" s="22">
        <f t="shared" si="92"/>
        <v>0.76394276978810627</v>
      </c>
      <c r="D91" s="22">
        <f t="shared" si="92"/>
        <v>-0.90431409001955343</v>
      </c>
      <c r="E91" s="22">
        <f t="shared" si="92"/>
        <v>-0.82279826861374472</v>
      </c>
      <c r="F91" s="22">
        <f t="shared" si="103"/>
        <v>-0.86356455770552065</v>
      </c>
      <c r="H91" s="22">
        <f t="shared" si="104"/>
        <v>-0.86356455770552065</v>
      </c>
      <c r="I91" s="22">
        <f t="shared" si="105"/>
        <v>2.8743633065367868</v>
      </c>
      <c r="J91" s="22">
        <f t="shared" si="106"/>
        <v>2.2117366067634592</v>
      </c>
      <c r="L91" s="286" t="str">
        <f t="shared" si="93"/>
        <v xml:space="preserve"> 41 Administrative occupations</v>
      </c>
      <c r="M91" s="22">
        <f t="shared" si="94"/>
        <v>-0.33402212939871445</v>
      </c>
      <c r="N91" s="22">
        <f t="shared" si="95"/>
        <v>1.3632504281179347</v>
      </c>
      <c r="O91" s="22">
        <f t="shared" si="96"/>
        <v>-0.34488881426844031</v>
      </c>
      <c r="P91" s="22">
        <f t="shared" si="97"/>
        <v>-4.6822556731607179E-3</v>
      </c>
      <c r="Q91" s="22">
        <f t="shared" si="107"/>
        <v>-0.17493046401897416</v>
      </c>
      <c r="S91" s="22">
        <f t="shared" si="108"/>
        <v>-0.17493046401897416</v>
      </c>
      <c r="T91" s="22">
        <f t="shared" si="109"/>
        <v>2.2969651327184426</v>
      </c>
      <c r="U91" s="22">
        <f t="shared" si="110"/>
        <v>2.1546003045360917</v>
      </c>
      <c r="W91" s="286" t="str">
        <f t="shared" si="98"/>
        <v xml:space="preserve"> 41 Administrative occupations</v>
      </c>
      <c r="X91" s="22">
        <f t="shared" si="99"/>
        <v>-1.8234231495082298</v>
      </c>
      <c r="Y91" s="22">
        <f t="shared" si="100"/>
        <v>0.51912921808230372</v>
      </c>
      <c r="Z91" s="22">
        <f t="shared" si="101"/>
        <v>-1.1424369262839629</v>
      </c>
      <c r="AA91" s="22">
        <f t="shared" si="102"/>
        <v>-1.1881373996319722</v>
      </c>
      <c r="AB91" s="22">
        <f t="shared" si="111"/>
        <v>-1.1652898044050231</v>
      </c>
      <c r="AD91" s="22">
        <f t="shared" si="112"/>
        <v>-1.1652898044050231</v>
      </c>
      <c r="AE91" s="22">
        <f t="shared" si="113"/>
        <v>3.1077961266337883</v>
      </c>
      <c r="AF91" s="22">
        <f t="shared" si="114"/>
        <v>2.2355835254082912</v>
      </c>
    </row>
    <row r="92" spans="1:32" x14ac:dyDescent="0.25">
      <c r="A92" s="243" t="str">
        <f t="shared" si="91"/>
        <v xml:space="preserve"> 42 Secretarial and related occupations</v>
      </c>
      <c r="B92" s="22">
        <f t="shared" si="92"/>
        <v>-2.7434626802927631</v>
      </c>
      <c r="C92" s="22">
        <f t="shared" si="92"/>
        <v>-2.8245829325496463</v>
      </c>
      <c r="D92" s="22">
        <f t="shared" si="92"/>
        <v>-5.735095895451348</v>
      </c>
      <c r="E92" s="22">
        <f t="shared" si="92"/>
        <v>-6.9477407959242949</v>
      </c>
      <c r="F92" s="22">
        <f t="shared" si="103"/>
        <v>-6.3433809569029886</v>
      </c>
      <c r="H92" s="22">
        <f t="shared" si="104"/>
        <v>-6.3433809569029886</v>
      </c>
      <c r="I92" s="22">
        <f t="shared" si="105"/>
        <v>2.3046528319417892</v>
      </c>
      <c r="J92" s="22">
        <f t="shared" si="106"/>
        <v>-2.5147446814022367</v>
      </c>
      <c r="L92" s="286" t="str">
        <f t="shared" si="93"/>
        <v xml:space="preserve"> 42 Secretarial and related occupations</v>
      </c>
      <c r="M92" s="22">
        <f t="shared" si="94"/>
        <v>8.7972012112524922E-3</v>
      </c>
      <c r="N92" s="22">
        <f t="shared" si="95"/>
        <v>1.7076808049773629</v>
      </c>
      <c r="O92" s="22">
        <f t="shared" si="96"/>
        <v>3.412568244158809E-2</v>
      </c>
      <c r="P92" s="22">
        <f t="shared" si="97"/>
        <v>0.49910135360016206</v>
      </c>
      <c r="Q92" s="22">
        <f t="shared" si="107"/>
        <v>0.26634398330516174</v>
      </c>
      <c r="S92" s="22">
        <f t="shared" si="108"/>
        <v>0.26634398330516174</v>
      </c>
      <c r="T92" s="22">
        <f t="shared" si="109"/>
        <v>2.0882245410609235</v>
      </c>
      <c r="U92" s="22">
        <f t="shared" si="110"/>
        <v>2.3098534647101321</v>
      </c>
      <c r="W92" s="286" t="str">
        <f t="shared" si="98"/>
        <v xml:space="preserve"> 42 Secretarial and related occupations</v>
      </c>
      <c r="X92" s="22">
        <f t="shared" si="99"/>
        <v>-2.9132441932521846</v>
      </c>
      <c r="Y92" s="22">
        <f t="shared" si="100"/>
        <v>-3.1621248837879756</v>
      </c>
      <c r="Z92" s="22">
        <f t="shared" si="101"/>
        <v>-6.3033229581729078</v>
      </c>
      <c r="AA92" s="22">
        <f t="shared" si="102"/>
        <v>-8.0156713133435087</v>
      </c>
      <c r="AB92" s="22">
        <f t="shared" si="111"/>
        <v>-7.163445034496652</v>
      </c>
      <c r="AD92" s="22">
        <f t="shared" si="112"/>
        <v>-7.163445034496652</v>
      </c>
      <c r="AE92" s="22">
        <f t="shared" si="113"/>
        <v>2.3230975561173928</v>
      </c>
      <c r="AF92" s="22">
        <f t="shared" si="114"/>
        <v>-3.0490185246149992</v>
      </c>
    </row>
    <row r="93" spans="1:32" x14ac:dyDescent="0.25">
      <c r="A93" s="243" t="str">
        <f t="shared" si="91"/>
        <v xml:space="preserve"> 51 Skilled agricultural and related trades</v>
      </c>
      <c r="B93" s="22">
        <f t="shared" si="92"/>
        <v>2.0328126464582041</v>
      </c>
      <c r="C93" s="22">
        <f t="shared" si="92"/>
        <v>-0.34611912659249233</v>
      </c>
      <c r="D93" s="22">
        <f t="shared" si="92"/>
        <v>-0.32874158225193462</v>
      </c>
      <c r="E93" s="22">
        <f t="shared" si="92"/>
        <v>0.63701280260866078</v>
      </c>
      <c r="F93" s="22">
        <f t="shared" si="103"/>
        <v>0.1529715457261327</v>
      </c>
      <c r="H93" s="22">
        <f t="shared" si="104"/>
        <v>0.1529715457261327</v>
      </c>
      <c r="I93" s="22">
        <f t="shared" si="105"/>
        <v>3.1676094675828104</v>
      </c>
      <c r="J93" s="22">
        <f t="shared" si="106"/>
        <v>3.2833587016308785</v>
      </c>
      <c r="L93" s="286" t="str">
        <f t="shared" si="93"/>
        <v xml:space="preserve"> 51 Skilled agricultural and related trades</v>
      </c>
      <c r="M93" s="22">
        <f t="shared" si="94"/>
        <v>1.8365254192872493</v>
      </c>
      <c r="N93" s="22">
        <f t="shared" si="95"/>
        <v>-0.44639349214409263</v>
      </c>
      <c r="O93" s="22">
        <f t="shared" si="96"/>
        <v>-0.38460856163812229</v>
      </c>
      <c r="P93" s="22">
        <f t="shared" si="97"/>
        <v>0.87574939144843267</v>
      </c>
      <c r="Q93" s="22">
        <f t="shared" si="107"/>
        <v>0.24358963179256232</v>
      </c>
      <c r="S93" s="22">
        <f t="shared" si="108"/>
        <v>0.24358963179256232</v>
      </c>
      <c r="T93" s="22">
        <f t="shared" si="109"/>
        <v>3.0616638802596352</v>
      </c>
      <c r="U93" s="22">
        <f t="shared" si="110"/>
        <v>3.2478794555462764</v>
      </c>
      <c r="W93" s="286" t="str">
        <f t="shared" si="98"/>
        <v xml:space="preserve"> 51 Skilled agricultural and related trades</v>
      </c>
      <c r="X93" s="22">
        <f t="shared" si="99"/>
        <v>3.3778831403624698</v>
      </c>
      <c r="Y93" s="22">
        <f t="shared" si="100"/>
        <v>0.30106634189375203</v>
      </c>
      <c r="Z93" s="22">
        <f t="shared" si="101"/>
        <v>2.0987341532197057E-2</v>
      </c>
      <c r="AA93" s="22">
        <f t="shared" si="102"/>
        <v>-0.89218922955083269</v>
      </c>
      <c r="AB93" s="22">
        <f t="shared" si="111"/>
        <v>-0.43664787424007034</v>
      </c>
      <c r="AD93" s="22">
        <f t="shared" si="112"/>
        <v>-0.43664787424007034</v>
      </c>
      <c r="AE93" s="22">
        <f t="shared" si="113"/>
        <v>3.814602862347316</v>
      </c>
      <c r="AF93" s="22">
        <f t="shared" si="114"/>
        <v>3.504780618199721</v>
      </c>
    </row>
    <row r="94" spans="1:32" x14ac:dyDescent="0.25">
      <c r="A94" s="243" t="str">
        <f t="shared" si="91"/>
        <v xml:space="preserve"> 52 Skilled metal, electrical and electronic trades</v>
      </c>
      <c r="B94" s="22">
        <f t="shared" si="92"/>
        <v>-1.1523849646148498</v>
      </c>
      <c r="C94" s="22">
        <f t="shared" si="92"/>
        <v>0.34347804301788631</v>
      </c>
      <c r="D94" s="22">
        <f t="shared" si="92"/>
        <v>-1.8559543410639479</v>
      </c>
      <c r="E94" s="22">
        <f t="shared" si="92"/>
        <v>-1.3680372888872916</v>
      </c>
      <c r="F94" s="22">
        <f t="shared" si="103"/>
        <v>-1.6122982698044575</v>
      </c>
      <c r="H94" s="22">
        <f t="shared" si="104"/>
        <v>-1.6122982698044575</v>
      </c>
      <c r="I94" s="22">
        <f t="shared" si="105"/>
        <v>2.1423999242937475</v>
      </c>
      <c r="J94" s="22">
        <f t="shared" si="106"/>
        <v>0.82934178959612748</v>
      </c>
      <c r="L94" s="286" t="str">
        <f t="shared" si="93"/>
        <v xml:space="preserve"> 52 Skilled metal, electrical and electronic trades</v>
      </c>
      <c r="M94" s="22">
        <f t="shared" si="94"/>
        <v>-1.1372234484244514</v>
      </c>
      <c r="N94" s="22">
        <f t="shared" si="95"/>
        <v>0.34397081917096894</v>
      </c>
      <c r="O94" s="22">
        <f t="shared" si="96"/>
        <v>-1.8523263670552237</v>
      </c>
      <c r="P94" s="22">
        <f t="shared" si="97"/>
        <v>-1.3487630648282067</v>
      </c>
      <c r="Q94" s="22">
        <f t="shared" si="107"/>
        <v>-1.6008668422350936</v>
      </c>
      <c r="S94" s="22">
        <f t="shared" si="108"/>
        <v>-1.6008668422350936</v>
      </c>
      <c r="T94" s="22">
        <f t="shared" si="109"/>
        <v>2.1188710431033986</v>
      </c>
      <c r="U94" s="22">
        <f t="shared" si="110"/>
        <v>0.81209428740476319</v>
      </c>
      <c r="W94" s="286" t="str">
        <f t="shared" si="98"/>
        <v xml:space="preserve"> 52 Skilled metal, electrical and electronic trades</v>
      </c>
      <c r="X94" s="22">
        <f t="shared" si="99"/>
        <v>-1.7344172566413074</v>
      </c>
      <c r="Y94" s="22">
        <f t="shared" si="100"/>
        <v>0.3242057023554068</v>
      </c>
      <c r="Z94" s="22">
        <f t="shared" si="101"/>
        <v>-1.9983503956236159</v>
      </c>
      <c r="AA94" s="22">
        <f t="shared" si="102"/>
        <v>-2.1402221569199908</v>
      </c>
      <c r="AB94" s="22">
        <f t="shared" si="111"/>
        <v>-2.0693119673937832</v>
      </c>
      <c r="AD94" s="22">
        <f t="shared" si="112"/>
        <v>-2.0693119673937832</v>
      </c>
      <c r="AE94" s="22">
        <f t="shared" si="113"/>
        <v>3.0269214710335834</v>
      </c>
      <c r="AF94" s="22">
        <f t="shared" si="114"/>
        <v>1.4842868466299786</v>
      </c>
    </row>
    <row r="95" spans="1:32" x14ac:dyDescent="0.25">
      <c r="A95" s="243" t="str">
        <f t="shared" si="91"/>
        <v xml:space="preserve"> 53 Skilled construction and building trades</v>
      </c>
      <c r="B95" s="22">
        <f t="shared" si="92"/>
        <v>-2.5390506565260984</v>
      </c>
      <c r="C95" s="22">
        <f t="shared" si="92"/>
        <v>1.4025162366080535</v>
      </c>
      <c r="D95" s="22">
        <f t="shared" si="92"/>
        <v>0.27082214472355925</v>
      </c>
      <c r="E95" s="22">
        <f t="shared" si="92"/>
        <v>-0.36780435839804948</v>
      </c>
      <c r="F95" s="22">
        <f t="shared" si="103"/>
        <v>-4.9001160231676444E-2</v>
      </c>
      <c r="H95" s="22">
        <f t="shared" si="104"/>
        <v>-4.9001160231676444E-2</v>
      </c>
      <c r="I95" s="22">
        <f t="shared" si="105"/>
        <v>2.5632271622642699</v>
      </c>
      <c r="J95" s="22">
        <f t="shared" si="106"/>
        <v>2.5242269614002666</v>
      </c>
      <c r="L95" s="286" t="str">
        <f t="shared" si="93"/>
        <v xml:space="preserve"> 53 Skilled construction and building trades</v>
      </c>
      <c r="M95" s="22">
        <f t="shared" si="94"/>
        <v>-2.6031141270832392</v>
      </c>
      <c r="N95" s="22">
        <f t="shared" si="95"/>
        <v>1.3297855010919957</v>
      </c>
      <c r="O95" s="22">
        <f t="shared" si="96"/>
        <v>0.20269857705839112</v>
      </c>
      <c r="P95" s="22">
        <f t="shared" si="97"/>
        <v>-0.42009952715639232</v>
      </c>
      <c r="Q95" s="22">
        <f t="shared" si="107"/>
        <v>-0.10918585068082631</v>
      </c>
      <c r="S95" s="22">
        <f t="shared" si="108"/>
        <v>-0.10918585068082631</v>
      </c>
      <c r="T95" s="22">
        <f t="shared" si="109"/>
        <v>2.5395683862333041</v>
      </c>
      <c r="U95" s="22">
        <f t="shared" si="110"/>
        <v>2.4525385318350246</v>
      </c>
      <c r="W95" s="286" t="str">
        <f t="shared" si="98"/>
        <v xml:space="preserve"> 53 Skilled construction and building trades</v>
      </c>
      <c r="X95" s="22">
        <f t="shared" si="99"/>
        <v>1.2768322329028692</v>
      </c>
      <c r="Y95" s="22">
        <f t="shared" si="100"/>
        <v>4.9924037550664879</v>
      </c>
      <c r="Z95" s="22">
        <f t="shared" si="101"/>
        <v>3.1258164574329728</v>
      </c>
      <c r="AA95" s="22">
        <f t="shared" si="102"/>
        <v>1.5656628020190411</v>
      </c>
      <c r="AB95" s="22">
        <f t="shared" si="111"/>
        <v>2.3427667229030114</v>
      </c>
      <c r="AD95" s="22">
        <f t="shared" si="112"/>
        <v>2.3427667229030114</v>
      </c>
      <c r="AE95" s="22">
        <f t="shared" si="113"/>
        <v>3.5677267828962522</v>
      </c>
      <c r="AF95" s="22">
        <f t="shared" si="114"/>
        <v>5.3276255025225261</v>
      </c>
    </row>
    <row r="96" spans="1:32" x14ac:dyDescent="0.25">
      <c r="A96" s="243" t="str">
        <f t="shared" si="91"/>
        <v xml:space="preserve"> 54 Textiles, printing and other skilled trades</v>
      </c>
      <c r="B96" s="22">
        <f t="shared" si="92"/>
        <v>-1.1714916760229621</v>
      </c>
      <c r="C96" s="22">
        <f t="shared" si="92"/>
        <v>-0.37461097483812988</v>
      </c>
      <c r="D96" s="22">
        <f t="shared" si="92"/>
        <v>-1.66412621035682</v>
      </c>
      <c r="E96" s="22">
        <f t="shared" si="92"/>
        <v>-1.7251522946850506</v>
      </c>
      <c r="F96" s="22">
        <f t="shared" si="103"/>
        <v>-1.6946439879990227</v>
      </c>
      <c r="H96" s="22">
        <f t="shared" si="104"/>
        <v>-1.6946439879990227</v>
      </c>
      <c r="I96" s="22">
        <f t="shared" si="105"/>
        <v>2.3235792637623653</v>
      </c>
      <c r="J96" s="22">
        <f t="shared" si="106"/>
        <v>0.96787448339326065</v>
      </c>
      <c r="L96" s="286" t="str">
        <f t="shared" si="93"/>
        <v xml:space="preserve"> 54 Textiles, printing and other skilled trades</v>
      </c>
      <c r="M96" s="22">
        <f t="shared" si="94"/>
        <v>-0.59767927538262322</v>
      </c>
      <c r="N96" s="22">
        <f t="shared" si="95"/>
        <v>-1.1329834401534344</v>
      </c>
      <c r="O96" s="22">
        <f t="shared" si="96"/>
        <v>-2.2194855652464152</v>
      </c>
      <c r="P96" s="22">
        <f t="shared" si="97"/>
        <v>-2.376571687410467</v>
      </c>
      <c r="Q96" s="22">
        <f t="shared" si="107"/>
        <v>-2.2980601968963343</v>
      </c>
      <c r="S96" s="22">
        <f t="shared" si="108"/>
        <v>-2.2980601968963343</v>
      </c>
      <c r="T96" s="22">
        <f t="shared" si="109"/>
        <v>1.8164345115100566</v>
      </c>
      <c r="U96" s="22">
        <f t="shared" si="110"/>
        <v>-0.10254252318878665</v>
      </c>
      <c r="W96" s="286" t="str">
        <f t="shared" si="98"/>
        <v xml:space="preserve"> 54 Textiles, printing and other skilled trades</v>
      </c>
      <c r="X96" s="22">
        <f t="shared" si="99"/>
        <v>-2.4061036636235378</v>
      </c>
      <c r="Y96" s="22">
        <f t="shared" si="100"/>
        <v>1.2685554831126211</v>
      </c>
      <c r="Z96" s="22">
        <f t="shared" si="101"/>
        <v>-0.58089505784477691</v>
      </c>
      <c r="AA96" s="22">
        <f t="shared" si="102"/>
        <v>-0.5601168898680231</v>
      </c>
      <c r="AB96" s="22">
        <f t="shared" si="111"/>
        <v>-0.57050651661821883</v>
      </c>
      <c r="AD96" s="22">
        <f t="shared" si="112"/>
        <v>-0.57050651661821883</v>
      </c>
      <c r="AE96" s="22">
        <f t="shared" si="113"/>
        <v>3.2823264184331125</v>
      </c>
      <c r="AF96" s="22">
        <f t="shared" si="114"/>
        <v>2.8587767266236019</v>
      </c>
    </row>
    <row r="97" spans="1:32" x14ac:dyDescent="0.25">
      <c r="A97" s="243" t="str">
        <f t="shared" si="91"/>
        <v xml:space="preserve"> 61 Caring personal service occupations</v>
      </c>
      <c r="B97" s="22">
        <f t="shared" si="92"/>
        <v>2.2245354485873614</v>
      </c>
      <c r="C97" s="22">
        <f t="shared" si="92"/>
        <v>3.3358779054647014</v>
      </c>
      <c r="D97" s="22">
        <f t="shared" si="92"/>
        <v>1.5706280642167947</v>
      </c>
      <c r="E97" s="22">
        <f t="shared" si="92"/>
        <v>1.8603709523047129</v>
      </c>
      <c r="F97" s="22">
        <f t="shared" si="103"/>
        <v>1.7153963393924609</v>
      </c>
      <c r="H97" s="22">
        <f t="shared" si="104"/>
        <v>1.7153963393924609</v>
      </c>
      <c r="I97" s="22">
        <f t="shared" si="105"/>
        <v>3.5453331650018738</v>
      </c>
      <c r="J97" s="22">
        <f t="shared" si="106"/>
        <v>4.8266086756765914</v>
      </c>
      <c r="L97" s="286" t="str">
        <f t="shared" si="93"/>
        <v xml:space="preserve"> 61 Caring personal service occupations</v>
      </c>
      <c r="M97" s="22">
        <f t="shared" si="94"/>
        <v>2.2609663273437608</v>
      </c>
      <c r="N97" s="22">
        <f t="shared" si="95"/>
        <v>4.4274787402752924</v>
      </c>
      <c r="O97" s="22">
        <f t="shared" si="96"/>
        <v>2.2792204918722136</v>
      </c>
      <c r="P97" s="22">
        <f t="shared" si="97"/>
        <v>2.5243710559233801</v>
      </c>
      <c r="Q97" s="22">
        <f t="shared" si="107"/>
        <v>2.4017224123662251</v>
      </c>
      <c r="S97" s="22">
        <f t="shared" si="108"/>
        <v>2.4017224123662251</v>
      </c>
      <c r="T97" s="22">
        <f t="shared" si="109"/>
        <v>3.0021230101834773</v>
      </c>
      <c r="U97" s="22">
        <f t="shared" si="110"/>
        <v>4.8909565879415418</v>
      </c>
      <c r="W97" s="286" t="str">
        <f t="shared" si="98"/>
        <v xml:space="preserve"> 61 Caring personal service occupations</v>
      </c>
      <c r="X97" s="22">
        <f t="shared" si="99"/>
        <v>2.2187108359049246</v>
      </c>
      <c r="Y97" s="22">
        <f t="shared" si="100"/>
        <v>3.1567841959575293</v>
      </c>
      <c r="Z97" s="22">
        <f t="shared" si="101"/>
        <v>1.4480465100762618</v>
      </c>
      <c r="AA97" s="22">
        <f t="shared" si="102"/>
        <v>1.7408376507860757</v>
      </c>
      <c r="AB97" s="22">
        <f t="shared" si="111"/>
        <v>1.5943366038238427</v>
      </c>
      <c r="AD97" s="22">
        <f t="shared" si="112"/>
        <v>1.5943366038238427</v>
      </c>
      <c r="AE97" s="22">
        <f t="shared" si="113"/>
        <v>3.6352747401894536</v>
      </c>
      <c r="AF97" s="22">
        <f t="shared" si="114"/>
        <v>4.8156221577938974</v>
      </c>
    </row>
    <row r="98" spans="1:32" x14ac:dyDescent="0.25">
      <c r="A98" s="243" t="str">
        <f t="shared" si="91"/>
        <v xml:space="preserve"> 62 Leisure, travel and related personal service occupations</v>
      </c>
      <c r="B98" s="22">
        <f t="shared" si="92"/>
        <v>0.46379866940606806</v>
      </c>
      <c r="C98" s="22">
        <f t="shared" si="92"/>
        <v>1.7983726562631031</v>
      </c>
      <c r="D98" s="22">
        <f t="shared" si="92"/>
        <v>-0.11719533158314199</v>
      </c>
      <c r="E98" s="22">
        <f t="shared" si="92"/>
        <v>-0.20703470854777084</v>
      </c>
      <c r="F98" s="22">
        <f t="shared" si="103"/>
        <v>-0.16212512534019563</v>
      </c>
      <c r="H98" s="22">
        <f t="shared" si="104"/>
        <v>-0.16212512534019563</v>
      </c>
      <c r="I98" s="22">
        <f t="shared" si="105"/>
        <v>2.9710709924058554</v>
      </c>
      <c r="J98" s="22">
        <f t="shared" si="106"/>
        <v>2.846732491904902</v>
      </c>
      <c r="L98" s="286" t="str">
        <f t="shared" si="93"/>
        <v xml:space="preserve"> 62 Leisure, travel and related personal service occupations</v>
      </c>
      <c r="M98" s="22">
        <f t="shared" si="94"/>
        <v>-0.99750740017883199</v>
      </c>
      <c r="N98" s="22">
        <f t="shared" si="95"/>
        <v>1.7314318810176976</v>
      </c>
      <c r="O98" s="22">
        <f t="shared" si="96"/>
        <v>0.25367170761581015</v>
      </c>
      <c r="P98" s="22">
        <f t="shared" si="97"/>
        <v>0.64933207498396595</v>
      </c>
      <c r="Q98" s="22">
        <f t="shared" si="107"/>
        <v>0.45130708674849807</v>
      </c>
      <c r="S98" s="22">
        <f t="shared" si="108"/>
        <v>0.45130708674849807</v>
      </c>
      <c r="T98" s="22">
        <f t="shared" si="109"/>
        <v>2.6856678007246337</v>
      </c>
      <c r="U98" s="22">
        <f t="shared" si="110"/>
        <v>3.042868310238811</v>
      </c>
      <c r="W98" s="286" t="str">
        <f t="shared" si="98"/>
        <v xml:space="preserve"> 62 Leisure, travel and related personal service occupations</v>
      </c>
      <c r="X98" s="22">
        <f t="shared" si="99"/>
        <v>1.2802472256763009</v>
      </c>
      <c r="Y98" s="22">
        <f t="shared" si="100"/>
        <v>1.8332311905316701</v>
      </c>
      <c r="Z98" s="22">
        <f t="shared" si="101"/>
        <v>-0.31193387939070227</v>
      </c>
      <c r="AA98" s="22">
        <f t="shared" si="102"/>
        <v>-0.67671488219447351</v>
      </c>
      <c r="AB98" s="22">
        <f t="shared" si="111"/>
        <v>-0.49449153870964047</v>
      </c>
      <c r="AD98" s="22">
        <f t="shared" si="112"/>
        <v>-0.49449153870964047</v>
      </c>
      <c r="AE98" s="22">
        <f t="shared" si="113"/>
        <v>3.1164835866856144</v>
      </c>
      <c r="AF98" s="22">
        <f t="shared" si="114"/>
        <v>2.7435605203607105</v>
      </c>
    </row>
    <row r="99" spans="1:32" x14ac:dyDescent="0.25">
      <c r="A99" s="243" t="str">
        <f t="shared" si="91"/>
        <v xml:space="preserve"> 71 Sales occupations</v>
      </c>
      <c r="B99" s="22">
        <f t="shared" si="92"/>
        <v>-0.38784840443052415</v>
      </c>
      <c r="C99" s="22">
        <f t="shared" si="92"/>
        <v>8.1889437141935417E-2</v>
      </c>
      <c r="D99" s="22">
        <f t="shared" si="92"/>
        <v>-0.89411537143219144</v>
      </c>
      <c r="E99" s="22">
        <f t="shared" si="92"/>
        <v>-0.53250729896028304</v>
      </c>
      <c r="F99" s="22">
        <f t="shared" si="103"/>
        <v>-0.71347596011757108</v>
      </c>
      <c r="H99" s="22">
        <f t="shared" si="104"/>
        <v>-0.71347596011757108</v>
      </c>
      <c r="I99" s="22">
        <f t="shared" si="105"/>
        <v>2.6717183665119881</v>
      </c>
      <c r="J99" s="22">
        <f t="shared" si="106"/>
        <v>2.1132137313963462</v>
      </c>
      <c r="L99" s="286" t="str">
        <f t="shared" si="93"/>
        <v xml:space="preserve"> 71 Sales occupations</v>
      </c>
      <c r="M99" s="22">
        <f t="shared" si="94"/>
        <v>-0.45152345828454177</v>
      </c>
      <c r="N99" s="22">
        <f t="shared" si="95"/>
        <v>1.3041746164873302</v>
      </c>
      <c r="O99" s="22">
        <f t="shared" si="96"/>
        <v>-0.14644065552095187</v>
      </c>
      <c r="P99" s="22">
        <f t="shared" si="97"/>
        <v>-0.30774607066871296</v>
      </c>
      <c r="Q99" s="22">
        <f t="shared" si="107"/>
        <v>-0.22712596142498986</v>
      </c>
      <c r="S99" s="22">
        <f t="shared" si="108"/>
        <v>-0.22712596142498986</v>
      </c>
      <c r="T99" s="22">
        <f t="shared" si="109"/>
        <v>2.0563098809212033</v>
      </c>
      <c r="U99" s="22">
        <f t="shared" si="110"/>
        <v>1.8675606814388068</v>
      </c>
      <c r="W99" s="286" t="str">
        <f t="shared" si="98"/>
        <v xml:space="preserve"> 71 Sales occupations</v>
      </c>
      <c r="X99" s="22">
        <f t="shared" si="99"/>
        <v>-0.35105654519611562</v>
      </c>
      <c r="Y99" s="22">
        <f t="shared" si="100"/>
        <v>-0.65026455493264468</v>
      </c>
      <c r="Z99" s="22">
        <f t="shared" si="101"/>
        <v>-1.3808615872939356</v>
      </c>
      <c r="AA99" s="22">
        <f t="shared" si="102"/>
        <v>-0.68554675763233819</v>
      </c>
      <c r="AB99" s="22">
        <f t="shared" si="111"/>
        <v>-1.0338148118698043</v>
      </c>
      <c r="AD99" s="22">
        <f t="shared" si="112"/>
        <v>-1.0338148118698043</v>
      </c>
      <c r="AE99" s="22">
        <f t="shared" si="113"/>
        <v>3.0459291575625658</v>
      </c>
      <c r="AF99" s="22">
        <f t="shared" si="114"/>
        <v>2.2664851972607813</v>
      </c>
    </row>
    <row r="100" spans="1:32" x14ac:dyDescent="0.25">
      <c r="A100" s="243" t="str">
        <f t="shared" si="91"/>
        <v xml:space="preserve"> 72 Customer service occupations</v>
      </c>
      <c r="B100" s="22">
        <f t="shared" si="92"/>
        <v>2.1906676793102875</v>
      </c>
      <c r="C100" s="22">
        <f t="shared" si="92"/>
        <v>3.5376707327269941</v>
      </c>
      <c r="D100" s="22">
        <f t="shared" si="92"/>
        <v>1.4016581493491387</v>
      </c>
      <c r="E100" s="22">
        <f t="shared" si="92"/>
        <v>1.3442331573035649</v>
      </c>
      <c r="F100" s="22">
        <f t="shared" si="103"/>
        <v>1.3729415871159834</v>
      </c>
      <c r="H100" s="22">
        <f t="shared" si="104"/>
        <v>1.3729415871159834</v>
      </c>
      <c r="I100" s="22">
        <f t="shared" si="105"/>
        <v>2.9348234871693801</v>
      </c>
      <c r="J100" s="22">
        <f t="shared" si="106"/>
        <v>4.0090378424070039</v>
      </c>
      <c r="L100" s="286" t="str">
        <f t="shared" si="93"/>
        <v xml:space="preserve"> 72 Customer service occupations</v>
      </c>
      <c r="M100" s="22">
        <f t="shared" si="94"/>
        <v>2.7259240019676056</v>
      </c>
      <c r="N100" s="22">
        <f t="shared" si="95"/>
        <v>4.1937299973946018</v>
      </c>
      <c r="O100" s="22">
        <f t="shared" si="96"/>
        <v>1.8314742303042975</v>
      </c>
      <c r="P100" s="22">
        <f t="shared" si="97"/>
        <v>1.4730018699655512</v>
      </c>
      <c r="Q100" s="22">
        <f t="shared" si="107"/>
        <v>1.6520800327913587</v>
      </c>
      <c r="S100" s="22">
        <f t="shared" si="108"/>
        <v>1.6520800327913587</v>
      </c>
      <c r="T100" s="22">
        <f t="shared" si="109"/>
        <v>2.3236033047521643</v>
      </c>
      <c r="U100" s="22">
        <f t="shared" si="110"/>
        <v>3.686847640519697</v>
      </c>
      <c r="W100" s="286" t="str">
        <f t="shared" si="98"/>
        <v xml:space="preserve"> 72 Customer service occupations</v>
      </c>
      <c r="X100" s="22">
        <f t="shared" si="99"/>
        <v>1.8501426190972836</v>
      </c>
      <c r="Y100" s="22">
        <f t="shared" si="100"/>
        <v>3.1002982581850524</v>
      </c>
      <c r="Z100" s="22">
        <f t="shared" si="101"/>
        <v>1.1016187535374922</v>
      </c>
      <c r="AA100" s="22">
        <f t="shared" si="102"/>
        <v>1.2519827974340814</v>
      </c>
      <c r="AB100" s="22">
        <f t="shared" si="111"/>
        <v>1.1767728425151835</v>
      </c>
      <c r="AD100" s="22">
        <f t="shared" si="112"/>
        <v>1.1767728425151835</v>
      </c>
      <c r="AE100" s="22">
        <f t="shared" si="113"/>
        <v>3.3371829462556013</v>
      </c>
      <c r="AF100" s="22">
        <f t="shared" si="114"/>
        <v>4.2256270620861125</v>
      </c>
    </row>
    <row r="101" spans="1:32" x14ac:dyDescent="0.25">
      <c r="A101" s="243" t="str">
        <f t="shared" si="91"/>
        <v xml:space="preserve"> 81 Process, plant and machine operatives</v>
      </c>
      <c r="B101" s="22">
        <f t="shared" si="92"/>
        <v>-2.2777537852629703</v>
      </c>
      <c r="C101" s="22">
        <f t="shared" si="92"/>
        <v>-0.79174881996433299</v>
      </c>
      <c r="D101" s="22">
        <f t="shared" si="92"/>
        <v>-2.8453293500354748</v>
      </c>
      <c r="E101" s="22">
        <f t="shared" si="92"/>
        <v>-2.0921615931860038</v>
      </c>
      <c r="F101" s="22">
        <f t="shared" si="103"/>
        <v>-2.4694724998169493</v>
      </c>
      <c r="H101" s="22">
        <f t="shared" si="104"/>
        <v>-2.4694724998169493</v>
      </c>
      <c r="I101" s="22">
        <f t="shared" si="105"/>
        <v>2.0662153065304389</v>
      </c>
      <c r="J101" s="22">
        <f t="shared" si="106"/>
        <v>5.6801347648605116E-2</v>
      </c>
      <c r="L101" s="286" t="str">
        <f t="shared" si="93"/>
        <v xml:space="preserve"> 81 Process, plant and machine operatives</v>
      </c>
      <c r="M101" s="22">
        <f t="shared" si="94"/>
        <v>-2.1312285194959979</v>
      </c>
      <c r="N101" s="22">
        <f t="shared" si="95"/>
        <v>-0.35409596839764967</v>
      </c>
      <c r="O101" s="22">
        <f t="shared" si="96"/>
        <v>-2.2986116442836546</v>
      </c>
      <c r="P101" s="22">
        <f t="shared" si="97"/>
        <v>-1.6465266550805269</v>
      </c>
      <c r="Q101" s="22">
        <f t="shared" si="107"/>
        <v>-1.9731113652709409</v>
      </c>
      <c r="S101" s="22">
        <f t="shared" si="108"/>
        <v>-1.9731113652709409</v>
      </c>
      <c r="T101" s="22">
        <f t="shared" si="109"/>
        <v>2.0028323206328968</v>
      </c>
      <c r="U101" s="22">
        <f t="shared" si="110"/>
        <v>0.3799413655807049</v>
      </c>
      <c r="W101" s="286" t="str">
        <f t="shared" si="98"/>
        <v xml:space="preserve"> 81 Process, plant and machine operatives</v>
      </c>
      <c r="X101" s="22">
        <f t="shared" si="99"/>
        <v>-2.7679734931791433</v>
      </c>
      <c r="Y101" s="22">
        <f t="shared" si="100"/>
        <v>-2.3461484342117811</v>
      </c>
      <c r="Z101" s="22">
        <f t="shared" si="101"/>
        <v>-5.0280933465424615</v>
      </c>
      <c r="AA101" s="22">
        <f t="shared" si="102"/>
        <v>-4.1310343112959007</v>
      </c>
      <c r="AB101" s="22">
        <f t="shared" si="111"/>
        <v>-4.5806180047725853</v>
      </c>
      <c r="AD101" s="22">
        <f t="shared" si="112"/>
        <v>-4.5806180047725853</v>
      </c>
      <c r="AE101" s="22">
        <f t="shared" si="113"/>
        <v>2.3023052571519376</v>
      </c>
      <c r="AF101" s="22">
        <f t="shared" si="114"/>
        <v>-1.2555311805736435</v>
      </c>
    </row>
    <row r="102" spans="1:32" x14ac:dyDescent="0.25">
      <c r="A102" s="243" t="str">
        <f t="shared" si="91"/>
        <v xml:space="preserve"> 82 Transport and mobile machine drivers and operatives</v>
      </c>
      <c r="B102" s="22">
        <f t="shared" si="92"/>
        <v>-0.66290279795608864</v>
      </c>
      <c r="C102" s="22">
        <f t="shared" si="92"/>
        <v>0.96142312357379023</v>
      </c>
      <c r="D102" s="22">
        <f t="shared" si="92"/>
        <v>-0.16087058704441493</v>
      </c>
      <c r="E102" s="22">
        <f t="shared" si="92"/>
        <v>9.1214384247528812E-2</v>
      </c>
      <c r="F102" s="22">
        <f t="shared" si="103"/>
        <v>-3.4907562645791756E-2</v>
      </c>
      <c r="H102" s="22">
        <f t="shared" si="104"/>
        <v>-3.4907562645791756E-2</v>
      </c>
      <c r="I102" s="22">
        <f t="shared" si="105"/>
        <v>3.0853177391574782</v>
      </c>
      <c r="J102" s="22">
        <f t="shared" si="106"/>
        <v>3.0587735616895539</v>
      </c>
      <c r="L102" s="286" t="str">
        <f t="shared" si="93"/>
        <v xml:space="preserve"> 82 Transport and mobile machine drivers and operatives</v>
      </c>
      <c r="M102" s="22">
        <f t="shared" si="94"/>
        <v>-0.75294566857602163</v>
      </c>
      <c r="N102" s="22">
        <f t="shared" si="95"/>
        <v>0.83380233579368745</v>
      </c>
      <c r="O102" s="22">
        <f t="shared" si="96"/>
        <v>-0.29802544143533449</v>
      </c>
      <c r="P102" s="22">
        <f t="shared" si="97"/>
        <v>1.8639645291340656E-2</v>
      </c>
      <c r="Q102" s="22">
        <f t="shared" si="107"/>
        <v>-0.13981841946669737</v>
      </c>
      <c r="S102" s="22">
        <f t="shared" si="108"/>
        <v>-0.13981841946669737</v>
      </c>
      <c r="T102" s="22">
        <f t="shared" si="109"/>
        <v>3.0403538297758992</v>
      </c>
      <c r="U102" s="22">
        <f t="shared" si="110"/>
        <v>2.9337461436512724</v>
      </c>
      <c r="W102" s="286" t="str">
        <f t="shared" si="98"/>
        <v xml:space="preserve"> 82 Transport and mobile machine drivers and operatives</v>
      </c>
      <c r="X102" s="22">
        <f t="shared" si="99"/>
        <v>1.5806934521736871</v>
      </c>
      <c r="Y102" s="22">
        <f t="shared" si="100"/>
        <v>3.7614877220099041</v>
      </c>
      <c r="Z102" s="22">
        <f t="shared" si="101"/>
        <v>2.4545836248750508</v>
      </c>
      <c r="AA102" s="22">
        <f t="shared" si="102"/>
        <v>1.3343280487391196</v>
      </c>
      <c r="AB102" s="22">
        <f t="shared" si="111"/>
        <v>1.8929162755687567</v>
      </c>
      <c r="AD102" s="22">
        <f t="shared" si="112"/>
        <v>1.8929162755687567</v>
      </c>
      <c r="AE102" s="22">
        <f t="shared" si="113"/>
        <v>3.955746619533218</v>
      </c>
      <c r="AF102" s="22">
        <f t="shared" si="114"/>
        <v>5.326216394002925</v>
      </c>
    </row>
    <row r="103" spans="1:32" x14ac:dyDescent="0.25">
      <c r="A103" s="243" t="str">
        <f t="shared" si="91"/>
        <v xml:space="preserve"> 91 Elementary trades and related occupations</v>
      </c>
      <c r="B103" s="22">
        <f t="shared" si="92"/>
        <v>-0.83202003723169549</v>
      </c>
      <c r="C103" s="22">
        <f t="shared" si="92"/>
        <v>0.91176313523766428</v>
      </c>
      <c r="D103" s="22">
        <f t="shared" si="92"/>
        <v>-0.58810926193398894</v>
      </c>
      <c r="E103" s="22">
        <f t="shared" si="92"/>
        <v>-0.29957717964214092</v>
      </c>
      <c r="F103" s="22">
        <f t="shared" si="103"/>
        <v>-0.44394774823381944</v>
      </c>
      <c r="H103" s="22">
        <f t="shared" si="104"/>
        <v>-0.44394774823381944</v>
      </c>
      <c r="I103" s="22">
        <f t="shared" si="105"/>
        <v>2.3840854483447416</v>
      </c>
      <c r="J103" s="22">
        <f t="shared" si="106"/>
        <v>2.0264869838443778</v>
      </c>
      <c r="L103" s="286" t="str">
        <f t="shared" si="93"/>
        <v xml:space="preserve"> 91 Elementary trades and related occupations</v>
      </c>
      <c r="M103" s="22">
        <f t="shared" si="94"/>
        <v>-1.4865673907693444</v>
      </c>
      <c r="N103" s="22">
        <f t="shared" si="95"/>
        <v>0.28930930189323689</v>
      </c>
      <c r="O103" s="22">
        <f t="shared" si="96"/>
        <v>-1.2003026729199173</v>
      </c>
      <c r="P103" s="22">
        <f t="shared" si="97"/>
        <v>-0.81363305456981783</v>
      </c>
      <c r="Q103" s="22">
        <f t="shared" si="107"/>
        <v>-1.0071566567501633</v>
      </c>
      <c r="S103" s="22">
        <f t="shared" si="108"/>
        <v>-1.0071566567501633</v>
      </c>
      <c r="T103" s="22">
        <f t="shared" si="109"/>
        <v>1.9711151206940336</v>
      </c>
      <c r="U103" s="22">
        <f t="shared" si="110"/>
        <v>1.1331868673815748</v>
      </c>
      <c r="W103" s="286" t="str">
        <f t="shared" si="98"/>
        <v xml:space="preserve"> 91 Elementary trades and related occupations</v>
      </c>
      <c r="X103" s="22">
        <f t="shared" si="99"/>
        <v>2.5652763668050582</v>
      </c>
      <c r="Y103" s="22">
        <f t="shared" si="100"/>
        <v>3.5958722861109349</v>
      </c>
      <c r="Z103" s="22">
        <f t="shared" si="101"/>
        <v>1.6738775393465133</v>
      </c>
      <c r="AA103" s="22">
        <f t="shared" si="102"/>
        <v>1.3693457087853966</v>
      </c>
      <c r="AB103" s="22">
        <f t="shared" si="111"/>
        <v>1.5214974369405443</v>
      </c>
      <c r="AD103" s="22">
        <f t="shared" si="112"/>
        <v>1.5214974369405443</v>
      </c>
      <c r="AE103" s="22">
        <f t="shared" si="113"/>
        <v>3.8707584764980485</v>
      </c>
      <c r="AF103" s="22">
        <f t="shared" si="114"/>
        <v>4.9745634322460264</v>
      </c>
    </row>
    <row r="104" spans="1:32" x14ac:dyDescent="0.25">
      <c r="A104" s="243" t="str">
        <f t="shared" si="91"/>
        <v xml:space="preserve"> 92 Elementary administration and service occupations</v>
      </c>
      <c r="B104" s="22">
        <f t="shared" si="92"/>
        <v>-1.4683747835414485</v>
      </c>
      <c r="C104" s="22">
        <f t="shared" si="92"/>
        <v>1.0007063828549434</v>
      </c>
      <c r="D104" s="22">
        <f t="shared" si="92"/>
        <v>4.806481208763369E-2</v>
      </c>
      <c r="E104" s="22">
        <f t="shared" si="92"/>
        <v>4.0656859819909741E-2</v>
      </c>
      <c r="F104" s="22">
        <f t="shared" si="103"/>
        <v>4.4360767386986133E-2</v>
      </c>
      <c r="H104" s="22">
        <f t="shared" si="104"/>
        <v>4.4360767386986133E-2</v>
      </c>
      <c r="I104" s="22">
        <f t="shared" si="105"/>
        <v>2.8654435311110671</v>
      </c>
      <c r="J104" s="22">
        <f t="shared" si="106"/>
        <v>2.8998616112936526</v>
      </c>
      <c r="L104" s="286" t="str">
        <f t="shared" si="93"/>
        <v xml:space="preserve"> 92 Elementary administration and service occupations</v>
      </c>
      <c r="M104" s="22">
        <f t="shared" si="94"/>
        <v>-0.14326570804864547</v>
      </c>
      <c r="N104" s="22">
        <f t="shared" si="95"/>
        <v>2.3069994920152936</v>
      </c>
      <c r="O104" s="22">
        <f t="shared" si="96"/>
        <v>0.89220523069339919</v>
      </c>
      <c r="P104" s="22">
        <f t="shared" si="97"/>
        <v>0.98947761472403251</v>
      </c>
      <c r="Q104" s="22">
        <f t="shared" si="107"/>
        <v>0.9408297055520265</v>
      </c>
      <c r="S104" s="22">
        <f t="shared" si="108"/>
        <v>0.9408297055520265</v>
      </c>
      <c r="T104" s="22">
        <f t="shared" si="109"/>
        <v>2.5398458109093802</v>
      </c>
      <c r="U104" s="22">
        <f t="shared" si="110"/>
        <v>3.2974658812075397</v>
      </c>
      <c r="W104" s="286" t="str">
        <f t="shared" si="98"/>
        <v xml:space="preserve"> 92 Elementary administration and service occupations</v>
      </c>
      <c r="X104" s="22">
        <f t="shared" si="99"/>
        <v>-2.5015729535887488</v>
      </c>
      <c r="Y104" s="22">
        <f t="shared" si="100"/>
        <v>-0.1479611899951272</v>
      </c>
      <c r="Z104" s="22">
        <f t="shared" si="101"/>
        <v>-0.77739045373101945</v>
      </c>
      <c r="AA104" s="22">
        <f t="shared" si="102"/>
        <v>-0.97383602217825382</v>
      </c>
      <c r="AB104" s="22">
        <f t="shared" si="111"/>
        <v>-0.875661902657765</v>
      </c>
      <c r="AD104" s="22">
        <f t="shared" si="112"/>
        <v>-0.875661902657765</v>
      </c>
      <c r="AE104" s="22">
        <f t="shared" si="113"/>
        <v>3.1650754550483384</v>
      </c>
      <c r="AF104" s="22">
        <f t="shared" si="114"/>
        <v>2.5106561194687016</v>
      </c>
    </row>
    <row r="105" spans="1:32" x14ac:dyDescent="0.25">
      <c r="C105" s="22"/>
      <c r="F105" s="22"/>
      <c r="H105" s="22"/>
      <c r="I105" s="22"/>
      <c r="J105" s="22"/>
      <c r="N105" s="22"/>
      <c r="Q105" s="22"/>
      <c r="S105" s="22"/>
      <c r="T105" s="22"/>
      <c r="U105" s="22"/>
      <c r="Y105" s="22"/>
      <c r="AB105" s="22"/>
      <c r="AD105" s="22"/>
      <c r="AE105" s="22"/>
      <c r="AF105" s="22"/>
    </row>
    <row r="106" spans="1:32" x14ac:dyDescent="0.25">
      <c r="A106" s="28" t="str">
        <f>A34</f>
        <v>All occupations</v>
      </c>
      <c r="B106" s="30">
        <f>IF(AND(C$6-B$6 &lt;&gt; 0,B34&lt;&gt;0,C34&lt;&gt;0),(EXP(LN(C34/B34)/(C$6-B$6))-1)*100,0)</f>
        <v>6.2942675480570642E-3</v>
      </c>
      <c r="C106" s="30">
        <f>IF(AND(D$6-C$6 &lt;&gt; 0,C34&lt;&gt;0,D34&lt;&gt;0),(EXP(LN(D34/C34)/(D$6-C$6))-1)*100,0)</f>
        <v>1.8474341286811802</v>
      </c>
      <c r="D106" s="30">
        <f>IF(AND(E$6-D$6 &lt;&gt; 0,D34&lt;&gt;0,E34&lt;&gt;0),(EXP(LN(E34/D34)/(E$6-D$6))-1)*100,0)</f>
        <v>0.22991833206487122</v>
      </c>
      <c r="E106" s="30">
        <f>IF(AND(F$6-E$6 &lt;&gt; 0,E34&lt;&gt;0,F34&lt;&gt;0),(EXP(LN(F34/E34)/(F$6-E$6))-1)*100,0)</f>
        <v>0.32161132563675032</v>
      </c>
      <c r="F106" s="30">
        <f t="shared" si="103"/>
        <v>0.27575434824573808</v>
      </c>
      <c r="H106" s="30">
        <f t="shared" si="104"/>
        <v>0.27575434824573808</v>
      </c>
      <c r="I106" s="30">
        <f t="shared" si="105"/>
        <v>2.9108201528928346</v>
      </c>
      <c r="J106" s="30">
        <f t="shared" si="106"/>
        <v>3.1244723991265211</v>
      </c>
      <c r="L106" s="28" t="str">
        <f>L34</f>
        <v>All occupations</v>
      </c>
      <c r="M106" s="30">
        <f>IF(AND(N$6-M$6 &lt;&gt; 0,M34&lt;&gt;0,N34&lt;&gt;0),(EXP(LN(N34/M34)/(N$6-M$6))-1)*100,0)</f>
        <v>-5.5500267777430778E-2</v>
      </c>
      <c r="N106" s="30">
        <f>IF(AND(O$6-N$6 &lt;&gt; 0,N34&lt;&gt;0,O34&lt;&gt;0),(EXP(LN(O34/N34)/(O$6-N$6))-1)*100,0)</f>
        <v>1.7225975559761242</v>
      </c>
      <c r="O106" s="30">
        <f>IF(AND(P$6-O$6 &lt;&gt; 0,O34&lt;&gt;0,P34&lt;&gt;0),(EXP(LN(P34/O34)/(P$6-O$6))-1)*100,0)</f>
        <v>5.6164720180973404E-2</v>
      </c>
      <c r="P106" s="30">
        <f>IF(AND(Q$6-P$6 &lt;&gt; 0,P34&lt;&gt;0,Q34&lt;&gt;0),(EXP(LN(Q34/P34)/(Q$6-P$6))-1)*100,0)</f>
        <v>0.14271402582675119</v>
      </c>
      <c r="Q106" s="30">
        <f t="shared" ref="Q106" si="115">IF(AND(Q$6-O$6 &lt;&gt; 0,O34&lt;&gt;0,Q34&lt;&gt;0),(EXP(LN(Q34/O34)/(Q$6-O$6))-1)*100,0)</f>
        <v>9.9430018827284528E-2</v>
      </c>
      <c r="S106" s="30">
        <f t="shared" si="108"/>
        <v>9.9430018827284528E-2</v>
      </c>
      <c r="T106" s="30">
        <f t="shared" ref="T106" si="116">IF(O34&gt;0,((1+(T34/O34))^(1/($F$6-$D$6))-1)*100,0)</f>
        <v>2.4802737809088482</v>
      </c>
      <c r="U106" s="30">
        <f t="shared" si="110"/>
        <v>2.5601056158066626</v>
      </c>
      <c r="W106" s="28" t="str">
        <f>W34</f>
        <v>All occupations</v>
      </c>
      <c r="X106" s="30">
        <f>IF(AND(Y$6-X$6 &lt;&gt; 0,X34&lt;&gt;0,Y34&lt;&gt;0),(EXP(LN(Y34/X34)/(Y$6-X$6))-1)*100,0)</f>
        <v>7.524841759150025E-2</v>
      </c>
      <c r="Y106" s="30">
        <f>IF(AND(Z$6-Y$6 &lt;&gt; 0,Y34&lt;&gt;0,Z34&lt;&gt;0),(EXP(LN(Z34/Y34)/(Z$6-Y$6))-1)*100,0)</f>
        <v>1.9854747727221067</v>
      </c>
      <c r="Z106" s="30">
        <f>IF(AND(AA$6-Z$6 &lt;&gt; 0,Z34&lt;&gt;0,AA34&lt;&gt;0),(EXP(LN(AA34/Z34)/(AA$6-Z$6))-1)*100,0)</f>
        <v>0.41919213249230758</v>
      </c>
      <c r="AA106" s="30">
        <f>IF(AND(AB$6-AA$6 &lt;&gt; 0,AA34&lt;&gt;0,AB34&lt;&gt;0),(EXP(LN(AB34/AA34)/(AB$6-AA$6))-1)*100,0)</f>
        <v>0.51296483214759991</v>
      </c>
      <c r="AB106" s="30">
        <f t="shared" ref="AB106" si="117">IF(AND(AB$6-Z$6 &lt;&gt; 0,Z34&lt;&gt;0,AB34&lt;&gt;0),(EXP(LN(AB34/Z34)/(AB$6-Z$6))-1)*100,0)</f>
        <v>0.46606754166240716</v>
      </c>
      <c r="AD106" s="30">
        <f t="shared" si="112"/>
        <v>0.46606754166240716</v>
      </c>
      <c r="AE106" s="30">
        <f t="shared" ref="AE106" si="118">IF(Z34&gt;0,((1+(AE34/Z34))^(1/($F$6-$D$6))-1)*100,0)</f>
        <v>3.3652994177661322</v>
      </c>
      <c r="AF106" s="30">
        <f t="shared" si="114"/>
        <v>3.7133262124077415</v>
      </c>
    </row>
    <row r="109" spans="1:32" ht="15.6" x14ac:dyDescent="0.3">
      <c r="A109" s="23" t="str">
        <f>CONCATENATE(A$1," (Continued)")</f>
        <v>Occupation Table 2  Employment Change by Occupation (SOC 2010) and Replacement Demand, 2007-2027 (Continued)</v>
      </c>
      <c r="L109" s="23" t="str">
        <f>CONCATENATE(L$1," (Continued)")</f>
        <v>Occupation Table 2.1  Males: Employment Change by Occupation (SOC 2010) and Replacement Demand, 2007-2027 (Continued)</v>
      </c>
      <c r="W109" s="23" t="str">
        <f>CONCATENATE(W$1," (Continued)")</f>
        <v>Occupation Table 2.2  Females: Employment Change by Occupation (SOC 2010) and Replacement Demand, 2007-2027 (Continued)</v>
      </c>
    </row>
    <row r="111" spans="1:32" x14ac:dyDescent="0.25">
      <c r="F111" s="19" t="s">
        <v>35</v>
      </c>
      <c r="Q111" s="19" t="s">
        <v>35</v>
      </c>
      <c r="AB111" s="19" t="s">
        <v>35</v>
      </c>
    </row>
    <row r="112" spans="1:32" x14ac:dyDescent="0.25">
      <c r="A112" s="41"/>
      <c r="B112" s="41"/>
      <c r="C112" s="41"/>
      <c r="D112" s="41"/>
      <c r="E112" s="41"/>
      <c r="F112" s="41"/>
      <c r="L112" s="41"/>
      <c r="M112" s="41"/>
      <c r="N112" s="41"/>
      <c r="O112" s="41"/>
      <c r="P112" s="41"/>
      <c r="Q112" s="41"/>
      <c r="W112" s="41"/>
      <c r="X112" s="41"/>
      <c r="Y112" s="41"/>
      <c r="Z112" s="41"/>
      <c r="AA112" s="41"/>
      <c r="AB112" s="41"/>
    </row>
    <row r="113" spans="1:28" x14ac:dyDescent="0.25">
      <c r="A113" s="2"/>
      <c r="B113" s="2"/>
      <c r="C113" s="2"/>
      <c r="D113" s="2"/>
      <c r="E113" s="2"/>
      <c r="F113" s="2"/>
      <c r="L113" s="2"/>
      <c r="M113" s="2"/>
      <c r="N113" s="2"/>
      <c r="O113" s="2"/>
      <c r="P113" s="2"/>
      <c r="Q113" s="2"/>
      <c r="W113" s="2"/>
      <c r="X113" s="2"/>
      <c r="Y113" s="2"/>
      <c r="Z113" s="2"/>
      <c r="AA113" s="2"/>
      <c r="AB113" s="2"/>
    </row>
    <row r="114" spans="1:28" x14ac:dyDescent="0.25">
      <c r="A114" s="50" t="s">
        <v>15</v>
      </c>
      <c r="B114" s="76" t="str">
        <f>CONCATENATE(B$6,"-",C$6)</f>
        <v>2007-2012</v>
      </c>
      <c r="C114" s="76" t="str">
        <f>CONCATENATE(C$6,"-",D$6)</f>
        <v>2012-2017</v>
      </c>
      <c r="D114" s="76" t="str">
        <f>CONCATENATE(D$6,"-",E$6)</f>
        <v>2017-2022</v>
      </c>
      <c r="E114" s="76" t="str">
        <f>CONCATENATE(E$6,"-",F$6)</f>
        <v>2022-2027</v>
      </c>
      <c r="F114" s="76" t="str">
        <f>CONCATENATE(D$6,"-",F$6)</f>
        <v>2017-2027</v>
      </c>
      <c r="L114" s="50" t="s">
        <v>15</v>
      </c>
      <c r="M114" s="76" t="str">
        <f>CONCATENATE(M$6,"-",N$6)</f>
        <v>2007-2012</v>
      </c>
      <c r="N114" s="76" t="str">
        <f>CONCATENATE(N$6,"-",O$6)</f>
        <v>2012-2017</v>
      </c>
      <c r="O114" s="76" t="str">
        <f>CONCATENATE(O$6,"-",P$6)</f>
        <v>2017-2022</v>
      </c>
      <c r="P114" s="76" t="str">
        <f>CONCATENATE(P$6,"-",Q$6)</f>
        <v>2022-2027</v>
      </c>
      <c r="Q114" s="76" t="str">
        <f>CONCATENATE(O$6,"-",Q$6)</f>
        <v>2017-2027</v>
      </c>
      <c r="W114" s="50" t="s">
        <v>15</v>
      </c>
      <c r="X114" s="76" t="str">
        <f>CONCATENATE(X$6,"-",Y$6)</f>
        <v>2007-2012</v>
      </c>
      <c r="Y114" s="76" t="str">
        <f>CONCATENATE(Y$6,"-",Z$6)</f>
        <v>2012-2017</v>
      </c>
      <c r="Z114" s="76" t="str">
        <f>CONCATENATE(Z$6,"-",AA$6)</f>
        <v>2017-2022</v>
      </c>
      <c r="AA114" s="76" t="str">
        <f>CONCATENATE(AA$6,"-",AB$6)</f>
        <v>2022-2027</v>
      </c>
      <c r="AB114" s="76" t="str">
        <f>CONCATENATE(Z$6,"-",AB$6)</f>
        <v>2017-2027</v>
      </c>
    </row>
    <row r="115" spans="1:28" x14ac:dyDescent="0.25">
      <c r="B115" s="77"/>
      <c r="C115" s="77"/>
      <c r="D115" s="77"/>
      <c r="E115" s="77"/>
      <c r="F115" s="77"/>
      <c r="M115" s="77"/>
      <c r="N115" s="77"/>
      <c r="O115" s="77"/>
      <c r="P115" s="77"/>
      <c r="Q115" s="77"/>
      <c r="X115" s="77"/>
      <c r="Y115" s="77"/>
      <c r="Z115" s="77"/>
      <c r="AA115" s="77"/>
      <c r="AB115" s="77"/>
    </row>
    <row r="116" spans="1:28" x14ac:dyDescent="0.25">
      <c r="A116" s="217" t="str">
        <f t="shared" ref="A116:A140" si="119">A8</f>
        <v xml:space="preserve"> 11 Corporate managers and directors</v>
      </c>
      <c r="B116" s="31">
        <f t="shared" ref="B116:E140" si="120">C8-B8</f>
        <v>156.57901397586488</v>
      </c>
      <c r="C116" s="31">
        <f t="shared" si="120"/>
        <v>409.56140552893248</v>
      </c>
      <c r="D116" s="31">
        <f t="shared" si="120"/>
        <v>181.14194256937299</v>
      </c>
      <c r="E116" s="31">
        <f t="shared" si="120"/>
        <v>167.7241398863448</v>
      </c>
      <c r="F116" s="31">
        <f>F8-D8</f>
        <v>348.86608245571779</v>
      </c>
      <c r="L116" s="286" t="str">
        <f t="shared" ref="L116:L140" si="121">L8</f>
        <v xml:space="preserve"> 11 Corporate managers and directors</v>
      </c>
      <c r="M116" s="31">
        <f t="shared" ref="M116:M140" si="122">N8-M8</f>
        <v>50.21748082124509</v>
      </c>
      <c r="N116" s="31">
        <f t="shared" ref="N116:N140" si="123">O8-N8</f>
        <v>218.89930919720064</v>
      </c>
      <c r="O116" s="31">
        <f t="shared" ref="O116:O140" si="124">P8-O8</f>
        <v>65.059056587255327</v>
      </c>
      <c r="P116" s="31">
        <f t="shared" ref="P116:P140" si="125">Q8-P8</f>
        <v>57.969020581743962</v>
      </c>
      <c r="Q116" s="31">
        <f>Q8-O8</f>
        <v>123.02807716899929</v>
      </c>
      <c r="W116" s="286" t="str">
        <f t="shared" ref="W116:W140" si="126">W8</f>
        <v xml:space="preserve"> 11 Corporate managers and directors</v>
      </c>
      <c r="X116" s="31">
        <f t="shared" ref="X116:X140" si="127">Y8-X8</f>
        <v>106.36153315461178</v>
      </c>
      <c r="Y116" s="31">
        <f t="shared" ref="Y116:Y140" si="128">Z8-Y8</f>
        <v>190.6620963317298</v>
      </c>
      <c r="Z116" s="31">
        <f t="shared" ref="Z116:Z140" si="129">AA8-Z8</f>
        <v>116.08288598211902</v>
      </c>
      <c r="AA116" s="31">
        <f t="shared" ref="AA116:AA140" si="130">AB8-AA8</f>
        <v>109.75511930460925</v>
      </c>
      <c r="AB116" s="31">
        <f>AB8-Z8</f>
        <v>225.83800528672828</v>
      </c>
    </row>
    <row r="117" spans="1:28" x14ac:dyDescent="0.25">
      <c r="A117" s="243" t="str">
        <f t="shared" si="119"/>
        <v xml:space="preserve"> 12 Other managers and proprietors</v>
      </c>
      <c r="B117" s="31">
        <f t="shared" si="120"/>
        <v>110.70400923669285</v>
      </c>
      <c r="C117" s="31">
        <f t="shared" si="120"/>
        <v>113.90770345021588</v>
      </c>
      <c r="D117" s="31">
        <f t="shared" si="120"/>
        <v>50.125719538050134</v>
      </c>
      <c r="E117" s="31">
        <f t="shared" si="120"/>
        <v>39.555253195318073</v>
      </c>
      <c r="F117" s="31">
        <f t="shared" ref="F117:F142" si="131">F9-D9</f>
        <v>89.680972733368208</v>
      </c>
      <c r="L117" s="286" t="str">
        <f t="shared" si="121"/>
        <v xml:space="preserve"> 12 Other managers and proprietors</v>
      </c>
      <c r="M117" s="31">
        <f t="shared" si="122"/>
        <v>40.589135534393222</v>
      </c>
      <c r="N117" s="31">
        <f t="shared" si="123"/>
        <v>37.902338452021468</v>
      </c>
      <c r="O117" s="31">
        <f t="shared" si="124"/>
        <v>14.297534593647129</v>
      </c>
      <c r="P117" s="31">
        <f t="shared" si="125"/>
        <v>11.664300120860844</v>
      </c>
      <c r="Q117" s="31">
        <f t="shared" ref="Q117:Q140" si="132">Q9-O9</f>
        <v>25.961834714507972</v>
      </c>
      <c r="W117" s="286" t="str">
        <f t="shared" si="126"/>
        <v xml:space="preserve"> 12 Other managers and proprietors</v>
      </c>
      <c r="X117" s="31">
        <f t="shared" si="127"/>
        <v>70.114873702300599</v>
      </c>
      <c r="Y117" s="31">
        <f t="shared" si="128"/>
        <v>76.005364998190714</v>
      </c>
      <c r="Z117" s="31">
        <f t="shared" si="129"/>
        <v>35.828184944403233</v>
      </c>
      <c r="AA117" s="31">
        <f t="shared" si="130"/>
        <v>27.890953074455751</v>
      </c>
      <c r="AB117" s="31">
        <f t="shared" ref="AB117:AB140" si="133">AB9-Z9</f>
        <v>63.719138018858985</v>
      </c>
    </row>
    <row r="118" spans="1:28" x14ac:dyDescent="0.25">
      <c r="A118" s="243" t="str">
        <f t="shared" si="119"/>
        <v xml:space="preserve"> 21 Science, research, engineering and technology professionals</v>
      </c>
      <c r="B118" s="31">
        <f t="shared" si="120"/>
        <v>162.33611704717305</v>
      </c>
      <c r="C118" s="31">
        <f t="shared" si="120"/>
        <v>282.64329557054748</v>
      </c>
      <c r="D118" s="31">
        <f t="shared" si="120"/>
        <v>83.025363215529751</v>
      </c>
      <c r="E118" s="31">
        <f t="shared" si="120"/>
        <v>76.440672296396997</v>
      </c>
      <c r="F118" s="31">
        <f t="shared" si="131"/>
        <v>159.46603551192675</v>
      </c>
      <c r="L118" s="286" t="str">
        <f t="shared" si="121"/>
        <v xml:space="preserve"> 21 Science, research, engineering and technology professionals</v>
      </c>
      <c r="M118" s="31">
        <f t="shared" si="122"/>
        <v>128.15014524825347</v>
      </c>
      <c r="N118" s="31">
        <f t="shared" si="123"/>
        <v>206.90009436542573</v>
      </c>
      <c r="O118" s="31">
        <f t="shared" si="124"/>
        <v>42.368695362350991</v>
      </c>
      <c r="P118" s="31">
        <f t="shared" si="125"/>
        <v>39.742113185202925</v>
      </c>
      <c r="Q118" s="31">
        <f t="shared" si="132"/>
        <v>82.110808547553916</v>
      </c>
      <c r="W118" s="286" t="str">
        <f t="shared" si="126"/>
        <v xml:space="preserve"> 21 Science, research, engineering and technology professionals</v>
      </c>
      <c r="X118" s="31">
        <f t="shared" si="127"/>
        <v>34.185971798911481</v>
      </c>
      <c r="Y118" s="31">
        <f t="shared" si="128"/>
        <v>75.743201205123682</v>
      </c>
      <c r="Z118" s="31">
        <f t="shared" si="129"/>
        <v>40.656667853172621</v>
      </c>
      <c r="AA118" s="31">
        <f t="shared" si="130"/>
        <v>36.698559111201916</v>
      </c>
      <c r="AB118" s="31">
        <f t="shared" si="133"/>
        <v>77.355226964374538</v>
      </c>
    </row>
    <row r="119" spans="1:28" x14ac:dyDescent="0.25">
      <c r="A119" s="243" t="str">
        <f t="shared" si="119"/>
        <v xml:space="preserve"> 22 Health professionals</v>
      </c>
      <c r="B119" s="31">
        <f t="shared" si="120"/>
        <v>77.288356455399025</v>
      </c>
      <c r="C119" s="31">
        <f t="shared" si="120"/>
        <v>232.01130562756134</v>
      </c>
      <c r="D119" s="31">
        <f t="shared" si="120"/>
        <v>115.52366760701557</v>
      </c>
      <c r="E119" s="31">
        <f t="shared" si="120"/>
        <v>114.88802150482115</v>
      </c>
      <c r="F119" s="31">
        <f t="shared" si="131"/>
        <v>230.41168911183672</v>
      </c>
      <c r="L119" s="286" t="str">
        <f t="shared" si="121"/>
        <v xml:space="preserve"> 22 Health professionals</v>
      </c>
      <c r="M119" s="31">
        <f t="shared" si="122"/>
        <v>18.9924564266787</v>
      </c>
      <c r="N119" s="31">
        <f t="shared" si="123"/>
        <v>35.097867957904555</v>
      </c>
      <c r="O119" s="31">
        <f t="shared" si="124"/>
        <v>3.8201396409967288</v>
      </c>
      <c r="P119" s="31">
        <f t="shared" si="125"/>
        <v>7.3342007187766285</v>
      </c>
      <c r="Q119" s="31">
        <f t="shared" si="132"/>
        <v>11.154340359773357</v>
      </c>
      <c r="W119" s="286" t="str">
        <f t="shared" si="126"/>
        <v xml:space="preserve"> 22 Health professionals</v>
      </c>
      <c r="X119" s="31">
        <f t="shared" si="127"/>
        <v>58.295900028718506</v>
      </c>
      <c r="Y119" s="31">
        <f t="shared" si="128"/>
        <v>196.9134376696602</v>
      </c>
      <c r="Z119" s="31">
        <f t="shared" si="129"/>
        <v>111.70352796601583</v>
      </c>
      <c r="AA119" s="31">
        <f t="shared" si="130"/>
        <v>107.55382078604862</v>
      </c>
      <c r="AB119" s="31">
        <f t="shared" si="133"/>
        <v>219.25734875206444</v>
      </c>
    </row>
    <row r="120" spans="1:28" x14ac:dyDescent="0.25">
      <c r="A120" s="243" t="str">
        <f t="shared" si="119"/>
        <v xml:space="preserve"> 23 Teaching and educational professionals</v>
      </c>
      <c r="B120" s="31">
        <f t="shared" si="120"/>
        <v>76.328657011667019</v>
      </c>
      <c r="C120" s="31">
        <f t="shared" si="120"/>
        <v>225.43330344533297</v>
      </c>
      <c r="D120" s="31">
        <f t="shared" si="120"/>
        <v>68.803918734485251</v>
      </c>
      <c r="E120" s="31">
        <f t="shared" si="120"/>
        <v>143.33840773777229</v>
      </c>
      <c r="F120" s="31">
        <f t="shared" si="131"/>
        <v>212.14232647225754</v>
      </c>
      <c r="L120" s="286" t="str">
        <f t="shared" si="121"/>
        <v xml:space="preserve"> 23 Teaching and educational professionals</v>
      </c>
      <c r="M120" s="31">
        <f t="shared" si="122"/>
        <v>36.555858217812897</v>
      </c>
      <c r="N120" s="31">
        <f t="shared" si="123"/>
        <v>57.77351301513562</v>
      </c>
      <c r="O120" s="31">
        <f t="shared" si="124"/>
        <v>0.76456696389834633</v>
      </c>
      <c r="P120" s="31">
        <f t="shared" si="125"/>
        <v>30.277670175404069</v>
      </c>
      <c r="Q120" s="31">
        <f t="shared" si="132"/>
        <v>31.042237139302415</v>
      </c>
      <c r="W120" s="286" t="str">
        <f t="shared" si="126"/>
        <v xml:space="preserve"> 23 Teaching and educational professionals</v>
      </c>
      <c r="X120" s="31">
        <f t="shared" si="127"/>
        <v>39.772798793853553</v>
      </c>
      <c r="Y120" s="31">
        <f t="shared" si="128"/>
        <v>167.65979043020241</v>
      </c>
      <c r="Z120" s="31">
        <f t="shared" si="129"/>
        <v>68.039351770586109</v>
      </c>
      <c r="AA120" s="31">
        <f t="shared" si="130"/>
        <v>113.06073756236765</v>
      </c>
      <c r="AB120" s="31">
        <f t="shared" si="133"/>
        <v>181.10008933295376</v>
      </c>
    </row>
    <row r="121" spans="1:28" x14ac:dyDescent="0.25">
      <c r="A121" s="243" t="str">
        <f t="shared" si="119"/>
        <v xml:space="preserve"> 24 Business, media and public service professionals</v>
      </c>
      <c r="B121" s="31">
        <f t="shared" si="120"/>
        <v>99.920447538808276</v>
      </c>
      <c r="C121" s="31">
        <f t="shared" si="120"/>
        <v>291.47861224544886</v>
      </c>
      <c r="D121" s="31">
        <f t="shared" si="120"/>
        <v>134.45537175445179</v>
      </c>
      <c r="E121" s="31">
        <f t="shared" si="120"/>
        <v>84.651622253265259</v>
      </c>
      <c r="F121" s="31">
        <f t="shared" si="131"/>
        <v>219.10699400771705</v>
      </c>
      <c r="L121" s="286" t="str">
        <f t="shared" si="121"/>
        <v xml:space="preserve"> 24 Business, media and public service professionals</v>
      </c>
      <c r="M121" s="31">
        <f t="shared" si="122"/>
        <v>43.378856014942926</v>
      </c>
      <c r="N121" s="31">
        <f t="shared" si="123"/>
        <v>124.34956631864281</v>
      </c>
      <c r="O121" s="31">
        <f t="shared" si="124"/>
        <v>31.464595722719082</v>
      </c>
      <c r="P121" s="31">
        <f t="shared" si="125"/>
        <v>-1.8747788169878277</v>
      </c>
      <c r="Q121" s="31">
        <f t="shared" si="132"/>
        <v>29.589816905731254</v>
      </c>
      <c r="W121" s="286" t="str">
        <f t="shared" si="126"/>
        <v xml:space="preserve"> 24 Business, media and public service professionals</v>
      </c>
      <c r="X121" s="31">
        <f t="shared" si="127"/>
        <v>56.541591523866714</v>
      </c>
      <c r="Y121" s="31">
        <f t="shared" si="128"/>
        <v>167.12904592680889</v>
      </c>
      <c r="Z121" s="31">
        <f t="shared" si="129"/>
        <v>102.99077603172998</v>
      </c>
      <c r="AA121" s="31">
        <f t="shared" si="130"/>
        <v>86.526401070255133</v>
      </c>
      <c r="AB121" s="31">
        <f t="shared" si="133"/>
        <v>189.51717710198511</v>
      </c>
    </row>
    <row r="122" spans="1:28" x14ac:dyDescent="0.25">
      <c r="A122" s="243" t="str">
        <f t="shared" si="119"/>
        <v xml:space="preserve"> 31 Science, engineering and technology associate professionals</v>
      </c>
      <c r="B122" s="31">
        <f t="shared" si="120"/>
        <v>-10.206813917011004</v>
      </c>
      <c r="C122" s="31">
        <f t="shared" si="120"/>
        <v>71.713263378445731</v>
      </c>
      <c r="D122" s="31">
        <f t="shared" si="120"/>
        <v>2.5201571356424211</v>
      </c>
      <c r="E122" s="31">
        <f t="shared" si="120"/>
        <v>6.4431001678835855</v>
      </c>
      <c r="F122" s="31">
        <f t="shared" si="131"/>
        <v>8.9632573035260066</v>
      </c>
      <c r="L122" s="286" t="str">
        <f t="shared" si="121"/>
        <v xml:space="preserve"> 31 Science, engineering and technology associate professionals</v>
      </c>
      <c r="M122" s="31">
        <f t="shared" si="122"/>
        <v>-12.335262923118535</v>
      </c>
      <c r="N122" s="31">
        <f t="shared" si="123"/>
        <v>55.571129169368305</v>
      </c>
      <c r="O122" s="31">
        <f t="shared" si="124"/>
        <v>3.12754425607028</v>
      </c>
      <c r="P122" s="31">
        <f t="shared" si="125"/>
        <v>5.8583384343821763</v>
      </c>
      <c r="Q122" s="31">
        <f t="shared" si="132"/>
        <v>8.9858826904524562</v>
      </c>
      <c r="W122" s="286" t="str">
        <f t="shared" si="126"/>
        <v xml:space="preserve"> 31 Science, engineering and technology associate professionals</v>
      </c>
      <c r="X122" s="31">
        <f t="shared" si="127"/>
        <v>2.1284490061064503</v>
      </c>
      <c r="Y122" s="31">
        <f t="shared" si="128"/>
        <v>16.142134209077454</v>
      </c>
      <c r="Z122" s="31">
        <f t="shared" si="129"/>
        <v>-0.60738712042976317</v>
      </c>
      <c r="AA122" s="31">
        <f t="shared" si="130"/>
        <v>0.58476173350302929</v>
      </c>
      <c r="AB122" s="31">
        <f t="shared" si="133"/>
        <v>-2.2625386926733881E-2</v>
      </c>
    </row>
    <row r="123" spans="1:28" x14ac:dyDescent="0.25">
      <c r="A123" s="243" t="str">
        <f t="shared" si="119"/>
        <v xml:space="preserve"> 32 Health and social care associate professionals</v>
      </c>
      <c r="B123" s="31">
        <f t="shared" si="120"/>
        <v>27.635190949401135</v>
      </c>
      <c r="C123" s="31">
        <f t="shared" si="120"/>
        <v>83.996815194262922</v>
      </c>
      <c r="D123" s="31">
        <f t="shared" si="120"/>
        <v>42.312474069296513</v>
      </c>
      <c r="E123" s="31">
        <f t="shared" si="120"/>
        <v>40.611157661501238</v>
      </c>
      <c r="F123" s="31">
        <f t="shared" si="131"/>
        <v>82.923631730797752</v>
      </c>
      <c r="L123" s="286" t="str">
        <f t="shared" si="121"/>
        <v xml:space="preserve"> 32 Health and social care associate professionals</v>
      </c>
      <c r="M123" s="31">
        <f t="shared" si="122"/>
        <v>16.081544222257563</v>
      </c>
      <c r="N123" s="31">
        <f t="shared" si="123"/>
        <v>16.210871814281916</v>
      </c>
      <c r="O123" s="31">
        <f t="shared" si="124"/>
        <v>3.7631327409183939</v>
      </c>
      <c r="P123" s="31">
        <f t="shared" si="125"/>
        <v>6.5275566045375228</v>
      </c>
      <c r="Q123" s="31">
        <f t="shared" si="132"/>
        <v>10.290689345455917</v>
      </c>
      <c r="W123" s="286" t="str">
        <f t="shared" si="126"/>
        <v xml:space="preserve"> 32 Health and social care associate professionals</v>
      </c>
      <c r="X123" s="31">
        <f t="shared" si="127"/>
        <v>11.553646727144098</v>
      </c>
      <c r="Y123" s="31">
        <f t="shared" si="128"/>
        <v>67.785943379981404</v>
      </c>
      <c r="Z123" s="31">
        <f t="shared" si="129"/>
        <v>38.54934132837559</v>
      </c>
      <c r="AA123" s="31">
        <f t="shared" si="130"/>
        <v>34.083601056966017</v>
      </c>
      <c r="AB123" s="31">
        <f t="shared" si="133"/>
        <v>72.632942385341607</v>
      </c>
    </row>
    <row r="124" spans="1:28" x14ac:dyDescent="0.25">
      <c r="A124" s="243" t="str">
        <f t="shared" si="119"/>
        <v xml:space="preserve"> 33 Protective service occupations</v>
      </c>
      <c r="B124" s="31">
        <f t="shared" si="120"/>
        <v>-26.166287039396423</v>
      </c>
      <c r="C124" s="31">
        <f t="shared" si="120"/>
        <v>12.029254351753082</v>
      </c>
      <c r="D124" s="31">
        <f t="shared" si="120"/>
        <v>-9.9948052382994774</v>
      </c>
      <c r="E124" s="31">
        <f t="shared" si="120"/>
        <v>-0.88367378108415551</v>
      </c>
      <c r="F124" s="31">
        <f t="shared" si="131"/>
        <v>-10.878479019383633</v>
      </c>
      <c r="L124" s="286" t="str">
        <f t="shared" si="121"/>
        <v xml:space="preserve"> 33 Protective service occupations</v>
      </c>
      <c r="M124" s="31">
        <f t="shared" si="122"/>
        <v>-34.702801362012281</v>
      </c>
      <c r="N124" s="31">
        <f t="shared" si="123"/>
        <v>-6.4658685425665681</v>
      </c>
      <c r="O124" s="31">
        <f t="shared" si="124"/>
        <v>-22.887618092194373</v>
      </c>
      <c r="P124" s="31">
        <f t="shared" si="125"/>
        <v>-16.079005858116432</v>
      </c>
      <c r="Q124" s="31">
        <f t="shared" si="132"/>
        <v>-38.966623950310805</v>
      </c>
      <c r="W124" s="286" t="str">
        <f t="shared" si="126"/>
        <v xml:space="preserve"> 33 Protective service occupations</v>
      </c>
      <c r="X124" s="31">
        <f t="shared" si="127"/>
        <v>8.5365143226174638</v>
      </c>
      <c r="Y124" s="31">
        <f t="shared" si="128"/>
        <v>18.495122894319863</v>
      </c>
      <c r="Z124" s="31">
        <f t="shared" si="129"/>
        <v>12.892812853894085</v>
      </c>
      <c r="AA124" s="31">
        <f t="shared" si="130"/>
        <v>15.195332077031722</v>
      </c>
      <c r="AB124" s="31">
        <f t="shared" si="133"/>
        <v>28.088144930925807</v>
      </c>
    </row>
    <row r="125" spans="1:28" x14ac:dyDescent="0.25">
      <c r="A125" s="243" t="str">
        <f t="shared" si="119"/>
        <v xml:space="preserve"> 34 Culture, media and sports occupations</v>
      </c>
      <c r="B125" s="31">
        <f t="shared" si="120"/>
        <v>29.595049476276017</v>
      </c>
      <c r="C125" s="31">
        <f t="shared" si="120"/>
        <v>104.77254270313597</v>
      </c>
      <c r="D125" s="31">
        <f t="shared" si="120"/>
        <v>44.131050101712731</v>
      </c>
      <c r="E125" s="31">
        <f t="shared" si="120"/>
        <v>8.0956694843538344</v>
      </c>
      <c r="F125" s="31">
        <f t="shared" si="131"/>
        <v>52.226719586066565</v>
      </c>
      <c r="L125" s="286" t="str">
        <f t="shared" si="121"/>
        <v xml:space="preserve"> 34 Culture, media and sports occupations</v>
      </c>
      <c r="M125" s="31">
        <f t="shared" si="122"/>
        <v>2.7163548226754415</v>
      </c>
      <c r="N125" s="31">
        <f t="shared" si="123"/>
        <v>56.632479470292708</v>
      </c>
      <c r="O125" s="31">
        <f t="shared" si="124"/>
        <v>26.396935646626048</v>
      </c>
      <c r="P125" s="31">
        <f t="shared" si="125"/>
        <v>8.3751371448529426</v>
      </c>
      <c r="Q125" s="31">
        <f t="shared" si="132"/>
        <v>34.77207279147899</v>
      </c>
      <c r="W125" s="286" t="str">
        <f t="shared" si="126"/>
        <v xml:space="preserve"> 34 Culture, media and sports occupations</v>
      </c>
      <c r="X125" s="31">
        <f t="shared" si="127"/>
        <v>26.878694653601997</v>
      </c>
      <c r="Y125" s="31">
        <f t="shared" si="128"/>
        <v>48.140063232843943</v>
      </c>
      <c r="Z125" s="31">
        <f t="shared" si="129"/>
        <v>17.734114455088161</v>
      </c>
      <c r="AA125" s="31">
        <f t="shared" si="130"/>
        <v>-0.27946766050052929</v>
      </c>
      <c r="AB125" s="31">
        <f t="shared" si="133"/>
        <v>17.454646794587632</v>
      </c>
    </row>
    <row r="126" spans="1:28" x14ac:dyDescent="0.25">
      <c r="A126" s="243" t="str">
        <f t="shared" si="119"/>
        <v xml:space="preserve"> 35 Business and public service associate professionals</v>
      </c>
      <c r="B126" s="31">
        <f t="shared" si="120"/>
        <v>32.340978846974849</v>
      </c>
      <c r="C126" s="31">
        <f t="shared" si="120"/>
        <v>366.48473638358837</v>
      </c>
      <c r="D126" s="31">
        <f t="shared" si="120"/>
        <v>159.79399200338003</v>
      </c>
      <c r="E126" s="31">
        <f t="shared" si="120"/>
        <v>132.10915587564114</v>
      </c>
      <c r="F126" s="31">
        <f t="shared" si="131"/>
        <v>291.90314787902116</v>
      </c>
      <c r="L126" s="286" t="str">
        <f t="shared" si="121"/>
        <v xml:space="preserve"> 35 Business and public service associate professionals</v>
      </c>
      <c r="M126" s="31">
        <f t="shared" si="122"/>
        <v>16.668841965985393</v>
      </c>
      <c r="N126" s="31">
        <f t="shared" si="123"/>
        <v>155.75442055092753</v>
      </c>
      <c r="O126" s="31">
        <f t="shared" si="124"/>
        <v>34.314620731634932</v>
      </c>
      <c r="P126" s="31">
        <f t="shared" si="125"/>
        <v>17.300071914394948</v>
      </c>
      <c r="Q126" s="31">
        <f t="shared" si="132"/>
        <v>51.61469264602988</v>
      </c>
      <c r="W126" s="286" t="str">
        <f t="shared" si="126"/>
        <v xml:space="preserve"> 35 Business and public service associate professionals</v>
      </c>
      <c r="X126" s="31">
        <f t="shared" si="127"/>
        <v>15.6721368809865</v>
      </c>
      <c r="Y126" s="31">
        <f t="shared" si="128"/>
        <v>210.73031583266629</v>
      </c>
      <c r="Z126" s="31">
        <f t="shared" si="129"/>
        <v>125.47937127174396</v>
      </c>
      <c r="AA126" s="31">
        <f t="shared" si="130"/>
        <v>114.80908396124187</v>
      </c>
      <c r="AB126" s="31">
        <f t="shared" si="133"/>
        <v>240.28845523298583</v>
      </c>
    </row>
    <row r="127" spans="1:28" x14ac:dyDescent="0.25">
      <c r="A127" s="243" t="str">
        <f t="shared" si="119"/>
        <v xml:space="preserve"> 41 Administrative occupations</v>
      </c>
      <c r="B127" s="31">
        <f t="shared" si="120"/>
        <v>-207.7033496282811</v>
      </c>
      <c r="C127" s="31">
        <f t="shared" si="120"/>
        <v>109.46497621235267</v>
      </c>
      <c r="D127" s="31">
        <f t="shared" si="120"/>
        <v>-130.1875036400229</v>
      </c>
      <c r="E127" s="31">
        <f t="shared" si="120"/>
        <v>-113.37704201600809</v>
      </c>
      <c r="F127" s="31">
        <f t="shared" si="131"/>
        <v>-243.56454565603099</v>
      </c>
      <c r="L127" s="286" t="str">
        <f t="shared" si="121"/>
        <v xml:space="preserve"> 41 Administrative occupations</v>
      </c>
      <c r="M127" s="31">
        <f t="shared" si="122"/>
        <v>-13.644898134894902</v>
      </c>
      <c r="N127" s="31">
        <f t="shared" si="123"/>
        <v>56.656183250147592</v>
      </c>
      <c r="O127" s="31">
        <f t="shared" si="124"/>
        <v>-14.822350704708242</v>
      </c>
      <c r="P127" s="31">
        <f t="shared" si="125"/>
        <v>-0.1991342583083906</v>
      </c>
      <c r="Q127" s="31">
        <f t="shared" si="132"/>
        <v>-15.021484963016633</v>
      </c>
      <c r="W127" s="286" t="str">
        <f t="shared" si="126"/>
        <v xml:space="preserve"> 41 Administrative occupations</v>
      </c>
      <c r="X127" s="31">
        <f t="shared" si="127"/>
        <v>-194.05845149337756</v>
      </c>
      <c r="Y127" s="31">
        <f t="shared" si="128"/>
        <v>52.808792962198368</v>
      </c>
      <c r="Z127" s="31">
        <f t="shared" si="129"/>
        <v>-115.3651529353067</v>
      </c>
      <c r="AA127" s="31">
        <f t="shared" si="130"/>
        <v>-113.17790775769845</v>
      </c>
      <c r="AB127" s="31">
        <f t="shared" si="133"/>
        <v>-228.54306069300515</v>
      </c>
    </row>
    <row r="128" spans="1:28" x14ac:dyDescent="0.25">
      <c r="A128" s="243" t="str">
        <f t="shared" si="119"/>
        <v xml:space="preserve"> 42 Secretarial and related occupations</v>
      </c>
      <c r="B128" s="31">
        <f t="shared" si="120"/>
        <v>-128.98501986507165</v>
      </c>
      <c r="C128" s="31">
        <f t="shared" si="120"/>
        <v>-115.36770188918319</v>
      </c>
      <c r="D128" s="31">
        <f t="shared" si="120"/>
        <v>-191.51253068538415</v>
      </c>
      <c r="E128" s="31">
        <f t="shared" si="120"/>
        <v>-168.55424425047596</v>
      </c>
      <c r="F128" s="31">
        <f t="shared" si="131"/>
        <v>-360.06677493586011</v>
      </c>
      <c r="L128" s="286" t="str">
        <f t="shared" si="121"/>
        <v xml:space="preserve"> 42 Secretarial and related occupations</v>
      </c>
      <c r="M128" s="31">
        <f t="shared" si="122"/>
        <v>2.399232205407742E-2</v>
      </c>
      <c r="N128" s="31">
        <f t="shared" si="123"/>
        <v>4.8203777840717308</v>
      </c>
      <c r="O128" s="31">
        <f t="shared" si="124"/>
        <v>0.10138854250418206</v>
      </c>
      <c r="P128" s="31">
        <f t="shared" si="125"/>
        <v>1.4992563445329168</v>
      </c>
      <c r="Q128" s="31">
        <f t="shared" si="132"/>
        <v>1.6006448870370988</v>
      </c>
      <c r="W128" s="286" t="str">
        <f t="shared" si="126"/>
        <v xml:space="preserve"> 42 Secretarial and related occupations</v>
      </c>
      <c r="X128" s="31">
        <f t="shared" si="127"/>
        <v>-129.00901218712761</v>
      </c>
      <c r="Y128" s="31">
        <f t="shared" si="128"/>
        <v>-120.18807967325506</v>
      </c>
      <c r="Z128" s="31">
        <f t="shared" si="129"/>
        <v>-191.61391922788789</v>
      </c>
      <c r="AA128" s="31">
        <f t="shared" si="130"/>
        <v>-170.05350059500893</v>
      </c>
      <c r="AB128" s="31">
        <f t="shared" si="133"/>
        <v>-361.66741982289682</v>
      </c>
    </row>
    <row r="129" spans="1:28" x14ac:dyDescent="0.25">
      <c r="A129" s="243" t="str">
        <f t="shared" si="119"/>
        <v xml:space="preserve"> 51 Skilled agricultural and related trades</v>
      </c>
      <c r="B129" s="31">
        <f t="shared" si="120"/>
        <v>34.572707086845526</v>
      </c>
      <c r="C129" s="31">
        <f t="shared" si="120"/>
        <v>-6.2072465169509883</v>
      </c>
      <c r="D129" s="31">
        <f t="shared" si="120"/>
        <v>-5.7962893281860488</v>
      </c>
      <c r="E129" s="31">
        <f t="shared" si="120"/>
        <v>11.263715609807775</v>
      </c>
      <c r="F129" s="31">
        <f t="shared" si="131"/>
        <v>5.4674262816217265</v>
      </c>
      <c r="L129" s="286" t="str">
        <f t="shared" si="121"/>
        <v xml:space="preserve"> 51 Skilled agricultural and related trades</v>
      </c>
      <c r="M129" s="31">
        <f t="shared" si="122"/>
        <v>27.253295371590355</v>
      </c>
      <c r="N129" s="31">
        <f t="shared" si="123"/>
        <v>-6.9315365478798867</v>
      </c>
      <c r="O129" s="31">
        <f t="shared" si="124"/>
        <v>-5.8472579337020534</v>
      </c>
      <c r="P129" s="31">
        <f t="shared" si="125"/>
        <v>13.393454379064565</v>
      </c>
      <c r="Q129" s="31">
        <f t="shared" si="132"/>
        <v>7.5461964453625114</v>
      </c>
      <c r="W129" s="286" t="str">
        <f t="shared" si="126"/>
        <v xml:space="preserve"> 51 Skilled agricultural and related trades</v>
      </c>
      <c r="X129" s="31">
        <f t="shared" si="127"/>
        <v>7.3194117152556259</v>
      </c>
      <c r="Y129" s="31">
        <f t="shared" si="128"/>
        <v>0.72429003092820921</v>
      </c>
      <c r="Z129" s="31">
        <f t="shared" si="129"/>
        <v>5.0968605515485876E-2</v>
      </c>
      <c r="AA129" s="31">
        <f t="shared" si="130"/>
        <v>-2.12973876925615</v>
      </c>
      <c r="AB129" s="31">
        <f t="shared" si="133"/>
        <v>-2.0787701637406641</v>
      </c>
    </row>
    <row r="130" spans="1:28" x14ac:dyDescent="0.25">
      <c r="A130" s="243" t="str">
        <f t="shared" si="119"/>
        <v xml:space="preserve"> 52 Skilled metal, electrical and electronic trades</v>
      </c>
      <c r="B130" s="31">
        <f t="shared" si="120"/>
        <v>-72.026854342409024</v>
      </c>
      <c r="C130" s="31">
        <f t="shared" si="120"/>
        <v>20.87466395824049</v>
      </c>
      <c r="D130" s="31">
        <f t="shared" si="120"/>
        <v>-109.80711126325855</v>
      </c>
      <c r="E130" s="31">
        <f t="shared" si="120"/>
        <v>-74.424911563707155</v>
      </c>
      <c r="F130" s="31">
        <f t="shared" si="131"/>
        <v>-184.2320228269657</v>
      </c>
      <c r="L130" s="286" t="str">
        <f t="shared" si="121"/>
        <v xml:space="preserve"> 52 Skilled metal, electrical and electronic trades</v>
      </c>
      <c r="M130" s="31">
        <f t="shared" si="122"/>
        <v>-69.274296526776425</v>
      </c>
      <c r="N130" s="31">
        <f t="shared" si="123"/>
        <v>20.383427165943658</v>
      </c>
      <c r="O130" s="31">
        <f t="shared" si="124"/>
        <v>-106.86947354090262</v>
      </c>
      <c r="P130" s="31">
        <f t="shared" si="125"/>
        <v>-71.588819222263737</v>
      </c>
      <c r="Q130" s="31">
        <f t="shared" si="132"/>
        <v>-178.45829276316636</v>
      </c>
      <c r="W130" s="286" t="str">
        <f t="shared" si="126"/>
        <v xml:space="preserve"> 52 Skilled metal, electrical and electronic trades</v>
      </c>
      <c r="X130" s="31">
        <f t="shared" si="127"/>
        <v>-2.7525578156363579</v>
      </c>
      <c r="Y130" s="31">
        <f t="shared" si="128"/>
        <v>0.49123679229834849</v>
      </c>
      <c r="Z130" s="31">
        <f t="shared" si="129"/>
        <v>-2.9376377223591703</v>
      </c>
      <c r="AA130" s="31">
        <f t="shared" si="130"/>
        <v>-2.8360923414390271</v>
      </c>
      <c r="AB130" s="31">
        <f t="shared" si="133"/>
        <v>-5.7737300637981974</v>
      </c>
    </row>
    <row r="131" spans="1:28" x14ac:dyDescent="0.25">
      <c r="A131" s="243" t="str">
        <f t="shared" si="119"/>
        <v xml:space="preserve"> 53 Skilled construction and building trades</v>
      </c>
      <c r="B131" s="31">
        <f t="shared" si="120"/>
        <v>-136.84009600951492</v>
      </c>
      <c r="C131" s="31">
        <f t="shared" si="120"/>
        <v>71.917784952149873</v>
      </c>
      <c r="D131" s="31">
        <f t="shared" si="120"/>
        <v>14.555491019548981</v>
      </c>
      <c r="E131" s="31">
        <f t="shared" si="120"/>
        <v>-19.782692880104378</v>
      </c>
      <c r="F131" s="31">
        <f t="shared" si="131"/>
        <v>-5.2272018605553967</v>
      </c>
      <c r="L131" s="286" t="str">
        <f t="shared" si="121"/>
        <v xml:space="preserve"> 53 Skilled construction and building trades</v>
      </c>
      <c r="M131" s="31">
        <f t="shared" si="122"/>
        <v>-137.97401222788028</v>
      </c>
      <c r="N131" s="31">
        <f t="shared" si="123"/>
        <v>66.829595844681876</v>
      </c>
      <c r="O131" s="31">
        <f t="shared" si="124"/>
        <v>10.63981659178603</v>
      </c>
      <c r="P131" s="31">
        <f t="shared" si="125"/>
        <v>-22.000025265272143</v>
      </c>
      <c r="Q131" s="31">
        <f t="shared" si="132"/>
        <v>-11.360208673486113</v>
      </c>
      <c r="W131" s="286" t="str">
        <f t="shared" si="126"/>
        <v xml:space="preserve"> 53 Skilled construction and building trades</v>
      </c>
      <c r="X131" s="31">
        <f t="shared" si="127"/>
        <v>1.1339162183641882</v>
      </c>
      <c r="Y131" s="31">
        <f t="shared" si="128"/>
        <v>5.0881891074723313</v>
      </c>
      <c r="Z131" s="31">
        <f t="shared" si="129"/>
        <v>3.9156744277603046</v>
      </c>
      <c r="AA131" s="31">
        <f t="shared" si="130"/>
        <v>2.2173323851680209</v>
      </c>
      <c r="AB131" s="31">
        <f t="shared" si="133"/>
        <v>6.1330068129283255</v>
      </c>
    </row>
    <row r="132" spans="1:28" x14ac:dyDescent="0.25">
      <c r="A132" s="243" t="str">
        <f t="shared" si="119"/>
        <v xml:space="preserve"> 54 Textiles, printing and other skilled trades</v>
      </c>
      <c r="B132" s="31">
        <f t="shared" si="120"/>
        <v>-48.280649516992753</v>
      </c>
      <c r="C132" s="31">
        <f t="shared" si="120"/>
        <v>-14.78927846764384</v>
      </c>
      <c r="D132" s="31">
        <f t="shared" si="120"/>
        <v>-62.835197025723346</v>
      </c>
      <c r="E132" s="31">
        <f t="shared" si="120"/>
        <v>-59.823811264965116</v>
      </c>
      <c r="F132" s="31">
        <f t="shared" si="131"/>
        <v>-122.65900829068846</v>
      </c>
      <c r="L132" s="286" t="str">
        <f t="shared" si="121"/>
        <v xml:space="preserve"> 54 Textiles, printing and other skilled trades</v>
      </c>
      <c r="M132" s="31">
        <f t="shared" si="122"/>
        <v>-16.811627789427462</v>
      </c>
      <c r="N132" s="31">
        <f t="shared" si="123"/>
        <v>-30.598373319527468</v>
      </c>
      <c r="O132" s="31">
        <f t="shared" si="124"/>
        <v>-55.404928757506809</v>
      </c>
      <c r="P132" s="31">
        <f t="shared" si="125"/>
        <v>-52.862112941356713</v>
      </c>
      <c r="Q132" s="31">
        <f t="shared" si="132"/>
        <v>-108.26704169886352</v>
      </c>
      <c r="W132" s="286" t="str">
        <f t="shared" si="126"/>
        <v xml:space="preserve"> 54 Textiles, printing and other skilled trades</v>
      </c>
      <c r="X132" s="31">
        <f t="shared" si="127"/>
        <v>-31.469021727562904</v>
      </c>
      <c r="Y132" s="31">
        <f t="shared" si="128"/>
        <v>15.809094851882946</v>
      </c>
      <c r="Z132" s="31">
        <f t="shared" si="129"/>
        <v>-7.4302682682170769</v>
      </c>
      <c r="AA132" s="31">
        <f t="shared" si="130"/>
        <v>-6.9616983236099088</v>
      </c>
      <c r="AB132" s="31">
        <f t="shared" si="133"/>
        <v>-14.391966591826986</v>
      </c>
    </row>
    <row r="133" spans="1:28" x14ac:dyDescent="0.25">
      <c r="A133" s="243" t="str">
        <f t="shared" si="119"/>
        <v xml:space="preserve"> 61 Caring personal service occupations</v>
      </c>
      <c r="B133" s="31">
        <f t="shared" si="120"/>
        <v>227.96050131533684</v>
      </c>
      <c r="C133" s="31">
        <f t="shared" si="120"/>
        <v>390.17141748991207</v>
      </c>
      <c r="D133" s="31">
        <f t="shared" si="120"/>
        <v>208.95187398462622</v>
      </c>
      <c r="E133" s="31">
        <f t="shared" si="120"/>
        <v>269.10977021358804</v>
      </c>
      <c r="F133" s="31">
        <f t="shared" si="131"/>
        <v>478.06164419821425</v>
      </c>
      <c r="L133" s="286" t="str">
        <f t="shared" si="121"/>
        <v xml:space="preserve"> 61 Caring personal service occupations</v>
      </c>
      <c r="M133" s="31">
        <f t="shared" si="122"/>
        <v>31.93780403528541</v>
      </c>
      <c r="N133" s="31">
        <f t="shared" si="123"/>
        <v>73.033886296965079</v>
      </c>
      <c r="O133" s="31">
        <f t="shared" si="124"/>
        <v>44.727975034389146</v>
      </c>
      <c r="P133" s="31">
        <f t="shared" si="125"/>
        <v>55.720099469320871</v>
      </c>
      <c r="Q133" s="31">
        <f t="shared" si="132"/>
        <v>100.44807450371002</v>
      </c>
      <c r="W133" s="286" t="str">
        <f t="shared" si="126"/>
        <v xml:space="preserve"> 61 Caring personal service occupations</v>
      </c>
      <c r="X133" s="31">
        <f t="shared" si="127"/>
        <v>196.02269728005467</v>
      </c>
      <c r="Y133" s="31">
        <f t="shared" si="128"/>
        <v>317.13753119294552</v>
      </c>
      <c r="Z133" s="31">
        <f t="shared" si="129"/>
        <v>164.22389895023844</v>
      </c>
      <c r="AA133" s="31">
        <f t="shared" si="130"/>
        <v>213.38967074426546</v>
      </c>
      <c r="AB133" s="31">
        <f t="shared" si="133"/>
        <v>377.61356969450389</v>
      </c>
    </row>
    <row r="134" spans="1:28" x14ac:dyDescent="0.25">
      <c r="A134" s="243" t="str">
        <f t="shared" si="119"/>
        <v xml:space="preserve"> 62 Leisure, travel and related personal service occupations</v>
      </c>
      <c r="B134" s="31">
        <f t="shared" si="120"/>
        <v>16.038246003603263</v>
      </c>
      <c r="C134" s="31">
        <f t="shared" si="120"/>
        <v>65.365138193986922</v>
      </c>
      <c r="D134" s="31">
        <f t="shared" si="120"/>
        <v>-4.4817064129980508</v>
      </c>
      <c r="E134" s="31">
        <f t="shared" si="120"/>
        <v>-7.8568698680724083</v>
      </c>
      <c r="F134" s="31">
        <f t="shared" si="131"/>
        <v>-12.338576281070459</v>
      </c>
      <c r="L134" s="286" t="str">
        <f t="shared" si="121"/>
        <v xml:space="preserve"> 62 Leisure, travel and related personal service occupations</v>
      </c>
      <c r="M134" s="31">
        <f t="shared" si="122"/>
        <v>-12.359574182047169</v>
      </c>
      <c r="N134" s="31">
        <f t="shared" si="123"/>
        <v>21.548935171417554</v>
      </c>
      <c r="O134" s="31">
        <f t="shared" si="124"/>
        <v>3.3398987630592387</v>
      </c>
      <c r="P134" s="31">
        <f t="shared" si="125"/>
        <v>8.7270243593180226</v>
      </c>
      <c r="Q134" s="31">
        <f t="shared" si="132"/>
        <v>12.066923122377261</v>
      </c>
      <c r="W134" s="286" t="str">
        <f t="shared" si="126"/>
        <v xml:space="preserve"> 62 Leisure, travel and related personal service occupations</v>
      </c>
      <c r="X134" s="31">
        <f t="shared" si="127"/>
        <v>28.397820185650687</v>
      </c>
      <c r="Y134" s="31">
        <f t="shared" si="128"/>
        <v>43.816203022571415</v>
      </c>
      <c r="Z134" s="31">
        <f t="shared" si="129"/>
        <v>-7.8216051760563232</v>
      </c>
      <c r="AA134" s="31">
        <f t="shared" si="130"/>
        <v>-16.58389422739134</v>
      </c>
      <c r="AB134" s="31">
        <f t="shared" si="133"/>
        <v>-24.405499403447664</v>
      </c>
    </row>
    <row r="135" spans="1:28" x14ac:dyDescent="0.25">
      <c r="A135" s="243" t="str">
        <f t="shared" si="119"/>
        <v xml:space="preserve"> 71 Sales occupations</v>
      </c>
      <c r="B135" s="31">
        <f t="shared" si="120"/>
        <v>-43.615207168267261</v>
      </c>
      <c r="C135" s="31">
        <f t="shared" si="120"/>
        <v>9.1168645669599755</v>
      </c>
      <c r="D135" s="31">
        <f t="shared" si="120"/>
        <v>-98.019231096617659</v>
      </c>
      <c r="E135" s="31">
        <f t="shared" si="120"/>
        <v>-56.218766563433746</v>
      </c>
      <c r="F135" s="31">
        <f t="shared" si="131"/>
        <v>-154.23799766005141</v>
      </c>
      <c r="L135" s="286" t="str">
        <f t="shared" si="121"/>
        <v xml:space="preserve"> 71 Sales occupations</v>
      </c>
      <c r="M135" s="31">
        <f t="shared" si="122"/>
        <v>-18.594601635896311</v>
      </c>
      <c r="N135" s="31">
        <f t="shared" si="123"/>
        <v>54.383212902005653</v>
      </c>
      <c r="O135" s="31">
        <f t="shared" si="124"/>
        <v>-6.3288955742791586</v>
      </c>
      <c r="P135" s="31">
        <f t="shared" si="125"/>
        <v>-13.160592921083435</v>
      </c>
      <c r="Q135" s="31">
        <f t="shared" si="132"/>
        <v>-19.489488495362593</v>
      </c>
      <c r="W135" s="286" t="str">
        <f t="shared" si="126"/>
        <v xml:space="preserve"> 71 Sales occupations</v>
      </c>
      <c r="X135" s="31">
        <f t="shared" si="127"/>
        <v>-25.020605532371292</v>
      </c>
      <c r="Y135" s="31">
        <f t="shared" si="128"/>
        <v>-45.266348335043631</v>
      </c>
      <c r="Z135" s="31">
        <f t="shared" si="129"/>
        <v>-91.690335522339183</v>
      </c>
      <c r="AA135" s="31">
        <f t="shared" si="130"/>
        <v>-43.058173642349857</v>
      </c>
      <c r="AB135" s="31">
        <f t="shared" si="133"/>
        <v>-134.74850916468904</v>
      </c>
    </row>
    <row r="136" spans="1:28" x14ac:dyDescent="0.25">
      <c r="A136" s="243" t="str">
        <f t="shared" si="119"/>
        <v xml:space="preserve"> 72 Customer service occupations</v>
      </c>
      <c r="B136" s="31">
        <f t="shared" si="120"/>
        <v>60.147231743979773</v>
      </c>
      <c r="C136" s="31">
        <f t="shared" si="120"/>
        <v>111.20079281817959</v>
      </c>
      <c r="D136" s="31">
        <f t="shared" si="120"/>
        <v>50.231626685597462</v>
      </c>
      <c r="E136" s="31">
        <f t="shared" si="120"/>
        <v>51.586526094657529</v>
      </c>
      <c r="F136" s="31">
        <f t="shared" si="131"/>
        <v>101.81815278025499</v>
      </c>
      <c r="L136" s="286" t="str">
        <f t="shared" si="121"/>
        <v xml:space="preserve"> 72 Customer service occupations</v>
      </c>
      <c r="M136" s="31">
        <f t="shared" si="122"/>
        <v>29.10646169356221</v>
      </c>
      <c r="N136" s="31">
        <f t="shared" si="123"/>
        <v>52.749469273670485</v>
      </c>
      <c r="O136" s="31">
        <f t="shared" si="124"/>
        <v>26.984700641837037</v>
      </c>
      <c r="P136" s="31">
        <f t="shared" si="125"/>
        <v>23.594838866995417</v>
      </c>
      <c r="Q136" s="31">
        <f t="shared" si="132"/>
        <v>50.579539508832454</v>
      </c>
      <c r="W136" s="286" t="str">
        <f t="shared" si="126"/>
        <v xml:space="preserve"> 72 Customer service occupations</v>
      </c>
      <c r="X136" s="31">
        <f t="shared" si="127"/>
        <v>31.040770050420065</v>
      </c>
      <c r="Y136" s="31">
        <f t="shared" si="128"/>
        <v>58.451323544508796</v>
      </c>
      <c r="Z136" s="31">
        <f t="shared" si="129"/>
        <v>23.246926043761903</v>
      </c>
      <c r="AA136" s="31">
        <f t="shared" si="130"/>
        <v>27.991687227658531</v>
      </c>
      <c r="AB136" s="31">
        <f t="shared" si="133"/>
        <v>51.238613271420434</v>
      </c>
    </row>
    <row r="137" spans="1:28" x14ac:dyDescent="0.25">
      <c r="A137" s="243" t="str">
        <f t="shared" si="119"/>
        <v xml:space="preserve"> 81 Process, plant and machine operatives</v>
      </c>
      <c r="B137" s="31">
        <f t="shared" si="120"/>
        <v>-115.6654368532071</v>
      </c>
      <c r="C137" s="31">
        <f t="shared" si="120"/>
        <v>-36.911106829460778</v>
      </c>
      <c r="D137" s="31">
        <f t="shared" si="120"/>
        <v>-122.35093798006233</v>
      </c>
      <c r="E137" s="31">
        <f t="shared" si="120"/>
        <v>-79.054807737824376</v>
      </c>
      <c r="F137" s="31">
        <f t="shared" si="131"/>
        <v>-201.4057457178867</v>
      </c>
      <c r="L137" s="286" t="str">
        <f t="shared" si="121"/>
        <v xml:space="preserve"> 81 Process, plant and machine operatives</v>
      </c>
      <c r="M137" s="31">
        <f t="shared" si="122"/>
        <v>-83.313535044090713</v>
      </c>
      <c r="N137" s="31">
        <f t="shared" si="123"/>
        <v>-12.878395948521302</v>
      </c>
      <c r="O137" s="31">
        <f t="shared" si="124"/>
        <v>-78.997905948272319</v>
      </c>
      <c r="P137" s="31">
        <f t="shared" si="125"/>
        <v>-51.03701042124078</v>
      </c>
      <c r="Q137" s="31">
        <f t="shared" si="132"/>
        <v>-130.0349163695131</v>
      </c>
      <c r="W137" s="286" t="str">
        <f t="shared" si="126"/>
        <v xml:space="preserve"> 81 Process, plant and machine operatives</v>
      </c>
      <c r="X137" s="31">
        <f t="shared" si="127"/>
        <v>-32.351901809120534</v>
      </c>
      <c r="Y137" s="31">
        <f t="shared" si="128"/>
        <v>-24.032710880940527</v>
      </c>
      <c r="Z137" s="31">
        <f t="shared" si="129"/>
        <v>-43.353032031789553</v>
      </c>
      <c r="AA137" s="31">
        <f t="shared" si="130"/>
        <v>-28.017797316584691</v>
      </c>
      <c r="AB137" s="31">
        <f t="shared" si="133"/>
        <v>-71.370829348374244</v>
      </c>
    </row>
    <row r="138" spans="1:28" x14ac:dyDescent="0.25">
      <c r="A138" s="243" t="str">
        <f t="shared" si="119"/>
        <v xml:space="preserve"> 82 Transport and mobile machine drivers and operatives</v>
      </c>
      <c r="B138" s="31">
        <f t="shared" si="120"/>
        <v>-40.92525125415068</v>
      </c>
      <c r="C138" s="31">
        <f t="shared" si="120"/>
        <v>59.309182266651305</v>
      </c>
      <c r="D138" s="31">
        <f t="shared" si="120"/>
        <v>-10.17919295562524</v>
      </c>
      <c r="E138" s="31">
        <f t="shared" si="120"/>
        <v>5.7543137691700394</v>
      </c>
      <c r="F138" s="31">
        <f t="shared" si="131"/>
        <v>-4.4248791864552004</v>
      </c>
      <c r="L138" s="286" t="str">
        <f t="shared" si="121"/>
        <v xml:space="preserve"> 82 Transport and mobile machine drivers and operatives</v>
      </c>
      <c r="M138" s="31">
        <f t="shared" si="122"/>
        <v>-44.689325612997663</v>
      </c>
      <c r="N138" s="31">
        <f t="shared" si="123"/>
        <v>49.189631607320962</v>
      </c>
      <c r="O138" s="31">
        <f t="shared" si="124"/>
        <v>-17.916933432322594</v>
      </c>
      <c r="P138" s="31">
        <f t="shared" si="125"/>
        <v>1.1110082786117346</v>
      </c>
      <c r="Q138" s="31">
        <f t="shared" si="132"/>
        <v>-16.805925153710859</v>
      </c>
      <c r="W138" s="286" t="str">
        <f t="shared" si="126"/>
        <v xml:space="preserve"> 82 Transport and mobile machine drivers and operatives</v>
      </c>
      <c r="X138" s="31">
        <f t="shared" si="127"/>
        <v>3.764074358849534</v>
      </c>
      <c r="Y138" s="31">
        <f t="shared" si="128"/>
        <v>10.119550659328205</v>
      </c>
      <c r="Z138" s="31">
        <f t="shared" si="129"/>
        <v>7.7377404766945688</v>
      </c>
      <c r="AA138" s="31">
        <f t="shared" si="130"/>
        <v>4.6433054905611186</v>
      </c>
      <c r="AB138" s="31">
        <f t="shared" si="133"/>
        <v>12.381045967255687</v>
      </c>
    </row>
    <row r="139" spans="1:28" x14ac:dyDescent="0.25">
      <c r="A139" s="243" t="str">
        <f t="shared" si="119"/>
        <v xml:space="preserve"> 91 Elementary trades and related occupations</v>
      </c>
      <c r="B139" s="31">
        <f t="shared" si="120"/>
        <v>-22.631242410188634</v>
      </c>
      <c r="C139" s="31">
        <f t="shared" si="120"/>
        <v>24.62975484759113</v>
      </c>
      <c r="D139" s="31">
        <f t="shared" si="120"/>
        <v>-16.133086535318398</v>
      </c>
      <c r="E139" s="31">
        <f t="shared" si="120"/>
        <v>-8.0253868017468903</v>
      </c>
      <c r="F139" s="31">
        <f t="shared" si="131"/>
        <v>-24.158473337065288</v>
      </c>
      <c r="L139" s="286" t="str">
        <f t="shared" si="121"/>
        <v xml:space="preserve"> 91 Elementary trades and related occupations</v>
      </c>
      <c r="M139" s="31">
        <f t="shared" si="122"/>
        <v>-33.89178092276552</v>
      </c>
      <c r="N139" s="31">
        <f t="shared" si="123"/>
        <v>6.341237673760304</v>
      </c>
      <c r="O139" s="31">
        <f t="shared" si="124"/>
        <v>-25.90820107637569</v>
      </c>
      <c r="P139" s="31">
        <f t="shared" si="125"/>
        <v>-16.661401736678386</v>
      </c>
      <c r="Q139" s="31">
        <f t="shared" si="132"/>
        <v>-42.569602813054075</v>
      </c>
      <c r="W139" s="286" t="str">
        <f t="shared" si="126"/>
        <v xml:space="preserve"> 91 Elementary trades and related occupations</v>
      </c>
      <c r="X139" s="31">
        <f t="shared" si="127"/>
        <v>11.26053851257727</v>
      </c>
      <c r="Y139" s="31">
        <f t="shared" si="128"/>
        <v>18.288517173830584</v>
      </c>
      <c r="Z139" s="31">
        <f t="shared" si="129"/>
        <v>9.7751145410577323</v>
      </c>
      <c r="AA139" s="31">
        <f t="shared" si="130"/>
        <v>8.6360149349313104</v>
      </c>
      <c r="AB139" s="31">
        <f t="shared" si="133"/>
        <v>18.411129475989043</v>
      </c>
    </row>
    <row r="140" spans="1:28" x14ac:dyDescent="0.25">
      <c r="A140" s="243" t="str">
        <f t="shared" si="119"/>
        <v xml:space="preserve"> 92 Elementary administration and service occupations</v>
      </c>
      <c r="B140" s="31">
        <f t="shared" si="120"/>
        <v>-248.39429868334628</v>
      </c>
      <c r="C140" s="31">
        <f t="shared" si="120"/>
        <v>165.17152051771745</v>
      </c>
      <c r="D140" s="31">
        <f t="shared" si="120"/>
        <v>8.1809437427659759</v>
      </c>
      <c r="E140" s="31">
        <f t="shared" si="120"/>
        <v>6.9356809770733889</v>
      </c>
      <c r="F140" s="31">
        <f t="shared" si="131"/>
        <v>15.116624719839365</v>
      </c>
      <c r="L140" s="286" t="str">
        <f t="shared" si="121"/>
        <v xml:space="preserve"> 92 Elementary administration and service occupations</v>
      </c>
      <c r="M140" s="31">
        <f t="shared" si="122"/>
        <v>-10.610510334659921</v>
      </c>
      <c r="N140" s="31">
        <f t="shared" si="123"/>
        <v>178.15962707718222</v>
      </c>
      <c r="O140" s="31">
        <f t="shared" si="124"/>
        <v>75.06996324059628</v>
      </c>
      <c r="P140" s="31">
        <f t="shared" si="125"/>
        <v>87.204790863361723</v>
      </c>
      <c r="Q140" s="31">
        <f t="shared" si="132"/>
        <v>162.274754103958</v>
      </c>
      <c r="W140" s="286" t="str">
        <f t="shared" si="126"/>
        <v xml:space="preserve"> 92 Elementary administration and service occupations</v>
      </c>
      <c r="X140" s="31">
        <f t="shared" si="127"/>
        <v>-237.78378834868863</v>
      </c>
      <c r="Y140" s="31">
        <f t="shared" si="128"/>
        <v>-12.988106559460448</v>
      </c>
      <c r="Z140" s="31">
        <f t="shared" si="129"/>
        <v>-66.889019497840081</v>
      </c>
      <c r="AA140" s="31">
        <f t="shared" si="130"/>
        <v>-80.269109886287879</v>
      </c>
      <c r="AB140" s="31">
        <f t="shared" si="133"/>
        <v>-147.15812938412796</v>
      </c>
    </row>
    <row r="141" spans="1:28" x14ac:dyDescent="0.25">
      <c r="C141" s="31"/>
      <c r="F141" s="31"/>
      <c r="N141" s="31"/>
      <c r="Q141" s="31"/>
      <c r="Y141" s="31"/>
      <c r="AB141" s="31"/>
    </row>
    <row r="142" spans="1:28" x14ac:dyDescent="0.25">
      <c r="A142" s="28" t="str">
        <f>A34</f>
        <v>All occupations</v>
      </c>
      <c r="B142" s="33">
        <f>C34-B34</f>
        <v>10.006000000186759</v>
      </c>
      <c r="C142" s="33">
        <f t="shared" ref="C142" si="134">D34-C34</f>
        <v>3047.9789999997229</v>
      </c>
      <c r="D142" s="33">
        <f>E34-D34</f>
        <v>402.45599999998376</v>
      </c>
      <c r="E142" s="33">
        <f>F34-E34</f>
        <v>570.50500000017928</v>
      </c>
      <c r="F142" s="33">
        <f t="shared" si="131"/>
        <v>972.96100000016304</v>
      </c>
      <c r="L142" s="28" t="str">
        <f>L34</f>
        <v>All occupations</v>
      </c>
      <c r="M142" s="33">
        <f>N34-M34</f>
        <v>-46.529999999824213</v>
      </c>
      <c r="N142" s="33">
        <f t="shared" ref="N142" si="135">O34-N34</f>
        <v>1492.3129999998673</v>
      </c>
      <c r="O142" s="33">
        <f>P34-O34</f>
        <v>51.257000000023254</v>
      </c>
      <c r="P142" s="33">
        <f>Q34-P34</f>
        <v>130.8360000000539</v>
      </c>
      <c r="Q142" s="33">
        <f t="shared" ref="Q142" si="136">Q34-O34</f>
        <v>182.09300000007715</v>
      </c>
      <c r="W142" s="28" t="str">
        <f>W34</f>
        <v>All occupations</v>
      </c>
      <c r="X142" s="33">
        <f>Y34-X34</f>
        <v>56.536000000007334</v>
      </c>
      <c r="Y142" s="33">
        <f t="shared" ref="Y142" si="137">Z34-Y34</f>
        <v>1555.6659999998665</v>
      </c>
      <c r="Z142" s="33">
        <f>AA34-Z34</f>
        <v>351.19899999992776</v>
      </c>
      <c r="AA142" s="33">
        <f>AB34-AA34</f>
        <v>439.66900000013993</v>
      </c>
      <c r="AB142" s="33">
        <f t="shared" ref="AB142" si="138">AB34-Z34</f>
        <v>790.8680000000677</v>
      </c>
    </row>
    <row r="146" spans="1:31" x14ac:dyDescent="0.25">
      <c r="A146" s="286"/>
      <c r="B146" s="286"/>
      <c r="C146" s="286"/>
      <c r="D146" s="1" t="s">
        <v>13</v>
      </c>
      <c r="E146" s="286"/>
      <c r="F146" s="286"/>
      <c r="G146" s="286"/>
      <c r="H146" s="50" t="s">
        <v>41</v>
      </c>
      <c r="I146" s="286"/>
      <c r="O146" s="1" t="s">
        <v>13</v>
      </c>
      <c r="S146" s="50" t="s">
        <v>41</v>
      </c>
      <c r="Z146" s="1" t="s">
        <v>13</v>
      </c>
      <c r="AD146" s="50" t="s">
        <v>41</v>
      </c>
    </row>
    <row r="147" spans="1:31" x14ac:dyDescent="0.25">
      <c r="A147" s="26"/>
      <c r="B147" s="27">
        <f>B6</f>
        <v>2007</v>
      </c>
      <c r="C147" s="27">
        <f t="shared" ref="C147:F147" si="139">C6</f>
        <v>2012</v>
      </c>
      <c r="D147" s="27">
        <f t="shared" si="139"/>
        <v>2017</v>
      </c>
      <c r="E147" s="27">
        <f t="shared" si="139"/>
        <v>2022</v>
      </c>
      <c r="F147" s="27">
        <f t="shared" si="139"/>
        <v>2027</v>
      </c>
      <c r="G147" s="286"/>
      <c r="H147" s="96" t="str">
        <f>CONCATENATE(B$6,"-",D$6)</f>
        <v>2007-2017</v>
      </c>
      <c r="I147" s="96" t="str">
        <f>CONCATENATE(D$6,"-",F$6)</f>
        <v>2017-2027</v>
      </c>
      <c r="L147" s="26"/>
      <c r="M147" s="27">
        <f>M6</f>
        <v>2007</v>
      </c>
      <c r="N147" s="27">
        <f t="shared" ref="N147:Q147" si="140">N6</f>
        <v>2012</v>
      </c>
      <c r="O147" s="27">
        <f t="shared" si="140"/>
        <v>2017</v>
      </c>
      <c r="P147" s="27">
        <f t="shared" si="140"/>
        <v>2022</v>
      </c>
      <c r="Q147" s="27">
        <f t="shared" si="140"/>
        <v>2027</v>
      </c>
      <c r="S147" s="96" t="str">
        <f>CONCATENATE(M$6,"-",O$6)</f>
        <v>2007-2017</v>
      </c>
      <c r="T147" s="96" t="str">
        <f>CONCATENATE(O$6,"-",Q$6)</f>
        <v>2017-2027</v>
      </c>
      <c r="W147" s="26"/>
      <c r="X147" s="27">
        <f>X6</f>
        <v>2007</v>
      </c>
      <c r="Y147" s="27">
        <f t="shared" ref="Y147:AB147" si="141">Y6</f>
        <v>2012</v>
      </c>
      <c r="Z147" s="27">
        <f t="shared" si="141"/>
        <v>2017</v>
      </c>
      <c r="AA147" s="27">
        <f t="shared" si="141"/>
        <v>2022</v>
      </c>
      <c r="AB147" s="27">
        <f t="shared" si="141"/>
        <v>2027</v>
      </c>
      <c r="AD147" s="96" t="str">
        <f>CONCATENATE(X$6,"-",Z$6)</f>
        <v>2007-2017</v>
      </c>
      <c r="AE147" s="96" t="str">
        <f>CONCATENATE(Z$6,"-",AB$6)</f>
        <v>2017-2027</v>
      </c>
    </row>
    <row r="148" spans="1:31" x14ac:dyDescent="0.25">
      <c r="A148" s="12"/>
      <c r="B148" s="13"/>
      <c r="C148" s="13"/>
      <c r="D148" s="13"/>
      <c r="E148" s="13"/>
      <c r="F148" s="13"/>
      <c r="G148" s="286"/>
      <c r="H148" s="49"/>
      <c r="I148" s="49"/>
      <c r="L148" s="12"/>
      <c r="M148" s="13"/>
      <c r="N148" s="13"/>
      <c r="O148" s="13"/>
      <c r="P148" s="13"/>
      <c r="Q148" s="13"/>
      <c r="S148" s="49"/>
      <c r="T148" s="49"/>
      <c r="W148" s="12"/>
      <c r="X148" s="13"/>
      <c r="Y148" s="13"/>
      <c r="Z148" s="13"/>
      <c r="AA148" s="13"/>
      <c r="AB148" s="13"/>
      <c r="AD148" s="49"/>
      <c r="AE148" s="49"/>
    </row>
    <row r="149" spans="1:31" x14ac:dyDescent="0.25">
      <c r="A149" s="12" t="str">
        <f>A8</f>
        <v xml:space="preserve"> 11 Corporate managers and directors</v>
      </c>
      <c r="B149" s="13">
        <f>B8</f>
        <v>1959.860057608056</v>
      </c>
      <c r="C149" s="13">
        <f t="shared" ref="C149:F149" si="142">C8</f>
        <v>2116.4390715839208</v>
      </c>
      <c r="D149" s="13">
        <f t="shared" si="142"/>
        <v>2526.0004771128533</v>
      </c>
      <c r="E149" s="13">
        <f t="shared" si="142"/>
        <v>2707.1424196822263</v>
      </c>
      <c r="F149" s="13">
        <f t="shared" si="142"/>
        <v>2874.8665595685711</v>
      </c>
      <c r="G149" s="286"/>
      <c r="H149" s="49">
        <f>IF(D$147-B$147 &lt;&gt; 0,(EXP(LN(D149/B149)/(D$147-B$147))-1)*100,0)</f>
        <v>2.5701136269341562</v>
      </c>
      <c r="I149" s="49">
        <f>IF(F$147-D$147 &lt;&gt; 0,(EXP(LN(F149/D149)/(F$147-D$147))-1)*100,0)</f>
        <v>1.302094841177559</v>
      </c>
      <c r="L149" s="12" t="str">
        <f>L8</f>
        <v xml:space="preserve"> 11 Corporate managers and directors</v>
      </c>
      <c r="M149" s="13">
        <f>M8</f>
        <v>1457.1146997223532</v>
      </c>
      <c r="N149" s="13">
        <f t="shared" ref="N149:Q149" si="143">N8</f>
        <v>1507.3321805435983</v>
      </c>
      <c r="O149" s="13">
        <f t="shared" si="143"/>
        <v>1726.2314897407989</v>
      </c>
      <c r="P149" s="13">
        <f t="shared" si="143"/>
        <v>1791.2905463280542</v>
      </c>
      <c r="Q149" s="13">
        <f t="shared" si="143"/>
        <v>1849.2595669097982</v>
      </c>
      <c r="S149" s="49">
        <f>IF(O$147-M$147 &lt;&gt; 0,(EXP(LN(O149/M149)/(O$147-M$147))-1)*100,0)</f>
        <v>1.7092681894856909</v>
      </c>
      <c r="T149" s="49">
        <f>IF(Q$147-O$147 &lt;&gt; 0,(EXP(LN(Q149/O149)/(Q$147-O$147))-1)*100,0)</f>
        <v>0.69082145864154398</v>
      </c>
      <c r="W149" s="12" t="str">
        <f>W8</f>
        <v xml:space="preserve"> 11 Corporate managers and directors</v>
      </c>
      <c r="X149" s="13">
        <f>X8</f>
        <v>502.74535788570716</v>
      </c>
      <c r="Y149" s="13">
        <f t="shared" ref="Y149:AB149" si="144">Y8</f>
        <v>609.10689104031894</v>
      </c>
      <c r="Z149" s="13">
        <f t="shared" si="144"/>
        <v>799.76898737204874</v>
      </c>
      <c r="AA149" s="13">
        <f t="shared" si="144"/>
        <v>915.85187335416776</v>
      </c>
      <c r="AB149" s="13">
        <f t="shared" si="144"/>
        <v>1025.606992658777</v>
      </c>
      <c r="AD149" s="49">
        <f>IF(Z$147-X$147 &lt;&gt; 0,(EXP(LN(Z149/X149)/(Z$147-X$147))-1)*100,0)</f>
        <v>4.7518372983791357</v>
      </c>
      <c r="AE149" s="49">
        <f>IF(AB$147-Z$147 &lt;&gt; 0,(EXP(LN(AB149/Z149)/(AB$147-Z$147))-1)*100,0)</f>
        <v>2.5183579400409606</v>
      </c>
    </row>
    <row r="150" spans="1:31" x14ac:dyDescent="0.25">
      <c r="A150" s="12" t="str">
        <f t="shared" ref="A150:F175" si="145">A9</f>
        <v xml:space="preserve"> 12 Other managers and proprietors</v>
      </c>
      <c r="B150" s="13">
        <f t="shared" si="145"/>
        <v>815.81216696843285</v>
      </c>
      <c r="C150" s="13">
        <f t="shared" si="145"/>
        <v>926.5161762051257</v>
      </c>
      <c r="D150" s="13">
        <f t="shared" si="145"/>
        <v>1040.4238796553416</v>
      </c>
      <c r="E150" s="13">
        <f t="shared" si="145"/>
        <v>1090.5495991933917</v>
      </c>
      <c r="F150" s="13">
        <f t="shared" si="145"/>
        <v>1130.1048523887098</v>
      </c>
      <c r="G150" s="286"/>
      <c r="H150" s="49">
        <f t="shared" ref="H150:H175" si="146">IF(D$147-B$147 &lt;&gt; 0,(EXP(LN(D150/B150)/(D$147-B$147))-1)*100,0)</f>
        <v>2.4618076104744535</v>
      </c>
      <c r="I150" s="49">
        <f t="shared" ref="I150:I175" si="147">IF(F$147-D$147 &lt;&gt; 0,(EXP(LN(F150/D150)/(F$147-D$147))-1)*100,0)</f>
        <v>0.83024972864795821</v>
      </c>
      <c r="L150" s="12" t="str">
        <f t="shared" ref="L150:Q150" si="148">L9</f>
        <v xml:space="preserve"> 12 Other managers and proprietors</v>
      </c>
      <c r="M150" s="13">
        <f t="shared" si="148"/>
        <v>482.6105499057486</v>
      </c>
      <c r="N150" s="13">
        <f t="shared" si="148"/>
        <v>523.19968544014182</v>
      </c>
      <c r="O150" s="13">
        <f t="shared" si="148"/>
        <v>561.10202389216329</v>
      </c>
      <c r="P150" s="13">
        <f t="shared" si="148"/>
        <v>575.39955848581042</v>
      </c>
      <c r="Q150" s="13">
        <f t="shared" si="148"/>
        <v>587.06385860667126</v>
      </c>
      <c r="S150" s="49">
        <f t="shared" ref="S150:S173" si="149">IF(O$147-M$147 &lt;&gt; 0,(EXP(LN(O150/M150)/(O$147-M$147))-1)*100,0)</f>
        <v>1.5183387612965671</v>
      </c>
      <c r="T150" s="49">
        <f t="shared" ref="T150:T173" si="150">IF(Q$147-O$147 &lt;&gt; 0,(EXP(LN(Q150/O150)/(Q$147-O$147))-1)*100,0)</f>
        <v>0.45333298137701927</v>
      </c>
      <c r="W150" s="12" t="str">
        <f t="shared" ref="W150:AB150" si="151">W9</f>
        <v xml:space="preserve"> 12 Other managers and proprietors</v>
      </c>
      <c r="X150" s="13">
        <f t="shared" si="151"/>
        <v>333.20161706268561</v>
      </c>
      <c r="Y150" s="13">
        <f t="shared" si="151"/>
        <v>403.31649076498621</v>
      </c>
      <c r="Z150" s="13">
        <f t="shared" si="151"/>
        <v>479.32185576317693</v>
      </c>
      <c r="AA150" s="13">
        <f t="shared" si="151"/>
        <v>515.15004070758016</v>
      </c>
      <c r="AB150" s="13">
        <f t="shared" si="151"/>
        <v>543.04099378203591</v>
      </c>
      <c r="AD150" s="49">
        <f t="shared" ref="AD150:AD173" si="152">IF(Z$147-X$147 &lt;&gt; 0,(EXP(LN(Z150/X150)/(Z$147-X$147))-1)*100,0)</f>
        <v>3.7031654760958377</v>
      </c>
      <c r="AE150" s="49">
        <f t="shared" ref="AE150:AE173" si="153">IF(AB$147-Z$147 &lt;&gt; 0,(EXP(LN(AB150/Z150)/(AB$147-Z$147))-1)*100,0)</f>
        <v>1.2559466643613737</v>
      </c>
    </row>
    <row r="151" spans="1:31" x14ac:dyDescent="0.25">
      <c r="A151" s="12" t="str">
        <f t="shared" si="145"/>
        <v xml:space="preserve"> 21 Science, research, engineering and technology professionals</v>
      </c>
      <c r="B151" s="13">
        <f t="shared" si="145"/>
        <v>1309.0639248560215</v>
      </c>
      <c r="C151" s="13">
        <f t="shared" si="145"/>
        <v>1471.4000419031945</v>
      </c>
      <c r="D151" s="13">
        <f t="shared" si="145"/>
        <v>1754.043337473742</v>
      </c>
      <c r="E151" s="13">
        <f t="shared" si="145"/>
        <v>1837.0687006892717</v>
      </c>
      <c r="F151" s="13">
        <f t="shared" si="145"/>
        <v>1913.5093729856687</v>
      </c>
      <c r="G151" s="286"/>
      <c r="H151" s="49">
        <f t="shared" si="146"/>
        <v>2.9693441245920216</v>
      </c>
      <c r="I151" s="49">
        <f t="shared" si="147"/>
        <v>0.87395006575243794</v>
      </c>
      <c r="L151" s="12" t="str">
        <f t="shared" ref="L151:Q151" si="154">L10</f>
        <v xml:space="preserve"> 21 Science, research, engineering and technology professionals</v>
      </c>
      <c r="M151" s="13">
        <f t="shared" si="154"/>
        <v>1082.2966321815209</v>
      </c>
      <c r="N151" s="13">
        <f t="shared" si="154"/>
        <v>1210.4467774297743</v>
      </c>
      <c r="O151" s="13">
        <f t="shared" si="154"/>
        <v>1417.3468717952001</v>
      </c>
      <c r="P151" s="13">
        <f t="shared" si="154"/>
        <v>1459.715567157551</v>
      </c>
      <c r="Q151" s="13">
        <f t="shared" si="154"/>
        <v>1499.457680342754</v>
      </c>
      <c r="S151" s="49">
        <f t="shared" si="149"/>
        <v>2.7337129023013551</v>
      </c>
      <c r="T151" s="49">
        <f t="shared" si="150"/>
        <v>0.56475649515237425</v>
      </c>
      <c r="W151" s="12" t="str">
        <f t="shared" ref="W151:AB151" si="155">W10</f>
        <v xml:space="preserve"> 21 Science, research, engineering and technology professionals</v>
      </c>
      <c r="X151" s="13">
        <f t="shared" si="155"/>
        <v>226.76729267450784</v>
      </c>
      <c r="Y151" s="13">
        <f t="shared" si="155"/>
        <v>260.95326447341932</v>
      </c>
      <c r="Z151" s="13">
        <f t="shared" si="155"/>
        <v>336.69646567854301</v>
      </c>
      <c r="AA151" s="13">
        <f t="shared" si="155"/>
        <v>377.35313353171563</v>
      </c>
      <c r="AB151" s="13">
        <f t="shared" si="155"/>
        <v>414.05169264291754</v>
      </c>
      <c r="AD151" s="49">
        <f t="shared" si="152"/>
        <v>4.0317284619805438</v>
      </c>
      <c r="AE151" s="49">
        <f t="shared" si="153"/>
        <v>2.0896231496720485</v>
      </c>
    </row>
    <row r="152" spans="1:31" x14ac:dyDescent="0.25">
      <c r="A152" s="12" t="str">
        <f t="shared" si="145"/>
        <v xml:space="preserve"> 22 Health professionals</v>
      </c>
      <c r="B152" s="13">
        <f t="shared" si="145"/>
        <v>1233.7012301866905</v>
      </c>
      <c r="C152" s="13">
        <f t="shared" si="145"/>
        <v>1310.9895866420895</v>
      </c>
      <c r="D152" s="13">
        <f t="shared" si="145"/>
        <v>1543.0008922696509</v>
      </c>
      <c r="E152" s="13">
        <f t="shared" si="145"/>
        <v>1658.5245598766664</v>
      </c>
      <c r="F152" s="13">
        <f t="shared" si="145"/>
        <v>1773.4125813814876</v>
      </c>
      <c r="G152" s="286"/>
      <c r="H152" s="49">
        <f t="shared" si="146"/>
        <v>2.2623145152797175</v>
      </c>
      <c r="I152" s="49">
        <f t="shared" si="147"/>
        <v>1.4014956518611621</v>
      </c>
      <c r="L152" s="12" t="str">
        <f t="shared" ref="L152:Q152" si="156">L11</f>
        <v xml:space="preserve"> 22 Health professionals</v>
      </c>
      <c r="M152" s="13">
        <f t="shared" si="156"/>
        <v>324.13430308060452</v>
      </c>
      <c r="N152" s="13">
        <f t="shared" si="156"/>
        <v>343.12675950728323</v>
      </c>
      <c r="O152" s="13">
        <f t="shared" si="156"/>
        <v>378.22462746518778</v>
      </c>
      <c r="P152" s="13">
        <f t="shared" si="156"/>
        <v>382.04476710618451</v>
      </c>
      <c r="Q152" s="13">
        <f t="shared" si="156"/>
        <v>389.37896782496114</v>
      </c>
      <c r="S152" s="49">
        <f t="shared" si="149"/>
        <v>1.5552736863813532</v>
      </c>
      <c r="T152" s="49">
        <f t="shared" si="150"/>
        <v>0.29107087160180622</v>
      </c>
      <c r="W152" s="12" t="str">
        <f t="shared" ref="W152:AB152" si="157">W11</f>
        <v xml:space="preserve"> 22 Health professionals</v>
      </c>
      <c r="X152" s="13">
        <f t="shared" si="157"/>
        <v>909.56692710608536</v>
      </c>
      <c r="Y152" s="13">
        <f t="shared" si="157"/>
        <v>967.86282713480387</v>
      </c>
      <c r="Z152" s="13">
        <f t="shared" si="157"/>
        <v>1164.7762648044641</v>
      </c>
      <c r="AA152" s="13">
        <f t="shared" si="157"/>
        <v>1276.4797927704799</v>
      </c>
      <c r="AB152" s="13">
        <f t="shared" si="157"/>
        <v>1384.0336135565285</v>
      </c>
      <c r="AD152" s="49">
        <f t="shared" si="152"/>
        <v>2.5039933990796071</v>
      </c>
      <c r="AE152" s="49">
        <f t="shared" si="153"/>
        <v>1.739690597847865</v>
      </c>
    </row>
    <row r="153" spans="1:31" x14ac:dyDescent="0.25">
      <c r="A153" s="12" t="str">
        <f t="shared" si="145"/>
        <v xml:space="preserve"> 23 Teaching and educational professionals</v>
      </c>
      <c r="B153" s="13">
        <f t="shared" si="145"/>
        <v>1418.9773616722084</v>
      </c>
      <c r="C153" s="13">
        <f t="shared" si="145"/>
        <v>1495.3060186838754</v>
      </c>
      <c r="D153" s="13">
        <f t="shared" si="145"/>
        <v>1720.7393221292084</v>
      </c>
      <c r="E153" s="13">
        <f t="shared" si="145"/>
        <v>1789.5432408636937</v>
      </c>
      <c r="F153" s="13">
        <f t="shared" si="145"/>
        <v>1932.8816486014659</v>
      </c>
      <c r="G153" s="286"/>
      <c r="H153" s="49">
        <f t="shared" si="146"/>
        <v>1.946885294256484</v>
      </c>
      <c r="I153" s="49">
        <f t="shared" si="147"/>
        <v>1.169363565197723</v>
      </c>
      <c r="L153" s="12" t="str">
        <f t="shared" ref="L153:Q153" si="158">L12</f>
        <v xml:space="preserve"> 23 Teaching and educational professionals</v>
      </c>
      <c r="M153" s="13">
        <f t="shared" si="158"/>
        <v>475.0919193649093</v>
      </c>
      <c r="N153" s="13">
        <f t="shared" si="158"/>
        <v>511.6477775827222</v>
      </c>
      <c r="O153" s="13">
        <f t="shared" si="158"/>
        <v>569.42129059785782</v>
      </c>
      <c r="P153" s="13">
        <f t="shared" si="158"/>
        <v>570.18585756175617</v>
      </c>
      <c r="Q153" s="13">
        <f t="shared" si="158"/>
        <v>600.46352773716023</v>
      </c>
      <c r="S153" s="49">
        <f t="shared" si="149"/>
        <v>1.8276229460016502</v>
      </c>
      <c r="T153" s="49">
        <f t="shared" si="150"/>
        <v>0.5322246877880854</v>
      </c>
      <c r="W153" s="12" t="str">
        <f t="shared" ref="W153:AB153" si="159">W12</f>
        <v xml:space="preserve"> 23 Teaching and educational professionals</v>
      </c>
      <c r="X153" s="13">
        <f t="shared" si="159"/>
        <v>943.88544230729633</v>
      </c>
      <c r="Y153" s="13">
        <f t="shared" si="159"/>
        <v>983.65824110114988</v>
      </c>
      <c r="Z153" s="13">
        <f t="shared" si="159"/>
        <v>1151.3180315313523</v>
      </c>
      <c r="AA153" s="13">
        <f t="shared" si="159"/>
        <v>1219.3573833019384</v>
      </c>
      <c r="AB153" s="13">
        <f t="shared" si="159"/>
        <v>1332.418120864306</v>
      </c>
      <c r="AD153" s="49">
        <f t="shared" si="152"/>
        <v>2.0064425355851512</v>
      </c>
      <c r="AE153" s="49">
        <f t="shared" si="153"/>
        <v>1.4716032784594546</v>
      </c>
    </row>
    <row r="154" spans="1:31" x14ac:dyDescent="0.25">
      <c r="A154" s="12" t="str">
        <f t="shared" si="145"/>
        <v xml:space="preserve"> 24 Business, media and public service professionals</v>
      </c>
      <c r="B154" s="13">
        <f t="shared" si="145"/>
        <v>1464.3092269073152</v>
      </c>
      <c r="C154" s="13">
        <f t="shared" si="145"/>
        <v>1564.2296744461235</v>
      </c>
      <c r="D154" s="13">
        <f t="shared" si="145"/>
        <v>1855.7082866915723</v>
      </c>
      <c r="E154" s="13">
        <f t="shared" si="145"/>
        <v>1990.1636584460241</v>
      </c>
      <c r="F154" s="13">
        <f t="shared" si="145"/>
        <v>2074.8152806992894</v>
      </c>
      <c r="G154" s="286"/>
      <c r="H154" s="49">
        <f t="shared" si="146"/>
        <v>2.3971079465689105</v>
      </c>
      <c r="I154" s="49">
        <f t="shared" si="147"/>
        <v>1.1223079424341531</v>
      </c>
      <c r="L154" s="12" t="str">
        <f t="shared" ref="L154:Q154" si="160">L13</f>
        <v xml:space="preserve"> 24 Business, media and public service professionals</v>
      </c>
      <c r="M154" s="13">
        <f t="shared" si="160"/>
        <v>853.3266912129817</v>
      </c>
      <c r="N154" s="13">
        <f t="shared" si="160"/>
        <v>896.70554722792463</v>
      </c>
      <c r="O154" s="13">
        <f t="shared" si="160"/>
        <v>1021.0551135465674</v>
      </c>
      <c r="P154" s="13">
        <f t="shared" si="160"/>
        <v>1052.5197092692865</v>
      </c>
      <c r="Q154" s="13">
        <f t="shared" si="160"/>
        <v>1050.6449304522987</v>
      </c>
      <c r="S154" s="49">
        <f t="shared" si="149"/>
        <v>1.8106910919293728</v>
      </c>
      <c r="T154" s="49">
        <f t="shared" si="150"/>
        <v>0.28608521894066818</v>
      </c>
      <c r="W154" s="12" t="str">
        <f t="shared" ref="W154:AB154" si="161">W13</f>
        <v xml:space="preserve"> 24 Business, media and public service professionals</v>
      </c>
      <c r="X154" s="13">
        <f t="shared" si="161"/>
        <v>610.98253569433155</v>
      </c>
      <c r="Y154" s="13">
        <f t="shared" si="161"/>
        <v>667.52412721819826</v>
      </c>
      <c r="Z154" s="13">
        <f t="shared" si="161"/>
        <v>834.65317314500714</v>
      </c>
      <c r="AA154" s="13">
        <f t="shared" si="161"/>
        <v>937.64394917673712</v>
      </c>
      <c r="AB154" s="13">
        <f t="shared" si="161"/>
        <v>1024.1703502469923</v>
      </c>
      <c r="AD154" s="49">
        <f t="shared" si="152"/>
        <v>3.1686446667587909</v>
      </c>
      <c r="AE154" s="49">
        <f t="shared" si="153"/>
        <v>2.0672973047786813</v>
      </c>
    </row>
    <row r="155" spans="1:31" x14ac:dyDescent="0.25">
      <c r="A155" s="12" t="str">
        <f t="shared" si="145"/>
        <v xml:space="preserve"> 31 Science, engineering and technology associate professionals</v>
      </c>
      <c r="B155" s="13">
        <f t="shared" si="145"/>
        <v>609.64387238354675</v>
      </c>
      <c r="C155" s="13">
        <f t="shared" si="145"/>
        <v>599.43705846653575</v>
      </c>
      <c r="D155" s="13">
        <f t="shared" si="145"/>
        <v>671.15032184498148</v>
      </c>
      <c r="E155" s="13">
        <f t="shared" si="145"/>
        <v>673.6704789806239</v>
      </c>
      <c r="F155" s="13">
        <f t="shared" si="145"/>
        <v>680.11357914850748</v>
      </c>
      <c r="G155" s="286"/>
      <c r="H155" s="49">
        <f t="shared" si="146"/>
        <v>0.96581586242052708</v>
      </c>
      <c r="I155" s="49">
        <f t="shared" si="147"/>
        <v>0.13275478030772003</v>
      </c>
      <c r="L155" s="12" t="str">
        <f t="shared" ref="L155:Q155" si="162">L14</f>
        <v xml:space="preserve"> 31 Science, engineering and technology associate professionals</v>
      </c>
      <c r="M155" s="13">
        <f t="shared" si="162"/>
        <v>464.95640666305047</v>
      </c>
      <c r="N155" s="13">
        <f t="shared" si="162"/>
        <v>452.62114373993194</v>
      </c>
      <c r="O155" s="13">
        <f t="shared" si="162"/>
        <v>508.19227290930024</v>
      </c>
      <c r="P155" s="13">
        <f t="shared" si="162"/>
        <v>511.31981716537052</v>
      </c>
      <c r="Q155" s="13">
        <f t="shared" si="162"/>
        <v>517.1781555997527</v>
      </c>
      <c r="S155" s="49">
        <f t="shared" si="149"/>
        <v>0.89312692763841017</v>
      </c>
      <c r="T155" s="49">
        <f t="shared" si="150"/>
        <v>0.17542913890273848</v>
      </c>
      <c r="W155" s="12" t="str">
        <f t="shared" ref="W155:AB155" si="163">W14</f>
        <v xml:space="preserve"> 31 Science, engineering and technology associate professionals</v>
      </c>
      <c r="X155" s="13">
        <f t="shared" si="163"/>
        <v>144.68746572049659</v>
      </c>
      <c r="Y155" s="13">
        <f t="shared" si="163"/>
        <v>146.81591472660304</v>
      </c>
      <c r="Z155" s="13">
        <f t="shared" si="163"/>
        <v>162.95804893568049</v>
      </c>
      <c r="AA155" s="13">
        <f t="shared" si="163"/>
        <v>162.35066181525073</v>
      </c>
      <c r="AB155" s="13">
        <f t="shared" si="163"/>
        <v>162.93542354875376</v>
      </c>
      <c r="AD155" s="49">
        <f t="shared" si="152"/>
        <v>1.1962666306143843</v>
      </c>
      <c r="AE155" s="49">
        <f t="shared" si="153"/>
        <v>-1.3885046369899179E-3</v>
      </c>
    </row>
    <row r="156" spans="1:31" x14ac:dyDescent="0.25">
      <c r="A156" s="12" t="str">
        <f t="shared" si="145"/>
        <v xml:space="preserve"> 32 Health and social care associate professionals</v>
      </c>
      <c r="B156" s="13">
        <f t="shared" si="145"/>
        <v>418.2503777870802</v>
      </c>
      <c r="C156" s="13">
        <f t="shared" si="145"/>
        <v>445.88556873648133</v>
      </c>
      <c r="D156" s="13">
        <f t="shared" si="145"/>
        <v>529.88238393074425</v>
      </c>
      <c r="E156" s="13">
        <f t="shared" si="145"/>
        <v>572.19485800004077</v>
      </c>
      <c r="F156" s="13">
        <f t="shared" si="145"/>
        <v>612.80601566154201</v>
      </c>
      <c r="G156" s="286"/>
      <c r="H156" s="49">
        <f t="shared" si="146"/>
        <v>2.3939540269230841</v>
      </c>
      <c r="I156" s="49">
        <f t="shared" si="147"/>
        <v>1.4645547303753226</v>
      </c>
      <c r="L156" s="12" t="str">
        <f t="shared" ref="L156:Q156" si="164">L15</f>
        <v xml:space="preserve"> 32 Health and social care associate professionals</v>
      </c>
      <c r="M156" s="13">
        <f t="shared" si="164"/>
        <v>118.59004508790638</v>
      </c>
      <c r="N156" s="13">
        <f t="shared" si="164"/>
        <v>134.67158931016394</v>
      </c>
      <c r="O156" s="13">
        <f t="shared" si="164"/>
        <v>150.88246112444585</v>
      </c>
      <c r="P156" s="13">
        <f t="shared" si="164"/>
        <v>154.64559386536425</v>
      </c>
      <c r="Q156" s="13">
        <f t="shared" si="164"/>
        <v>161.17315046990177</v>
      </c>
      <c r="S156" s="49">
        <f t="shared" si="149"/>
        <v>2.4375192502249732</v>
      </c>
      <c r="T156" s="49">
        <f t="shared" si="150"/>
        <v>0.66196260412032526</v>
      </c>
      <c r="W156" s="12" t="str">
        <f t="shared" ref="W156:AB156" si="165">W15</f>
        <v xml:space="preserve"> 32 Health and social care associate professionals</v>
      </c>
      <c r="X156" s="13">
        <f t="shared" si="165"/>
        <v>299.66033269917347</v>
      </c>
      <c r="Y156" s="13">
        <f t="shared" si="165"/>
        <v>311.21397942631756</v>
      </c>
      <c r="Z156" s="13">
        <f t="shared" si="165"/>
        <v>378.99992280629897</v>
      </c>
      <c r="AA156" s="13">
        <f t="shared" si="165"/>
        <v>417.54926413467456</v>
      </c>
      <c r="AB156" s="13">
        <f t="shared" si="165"/>
        <v>451.63286519164058</v>
      </c>
      <c r="AD156" s="49">
        <f t="shared" si="152"/>
        <v>2.3766669926968076</v>
      </c>
      <c r="AE156" s="49">
        <f t="shared" si="153"/>
        <v>1.7687971983529005</v>
      </c>
    </row>
    <row r="157" spans="1:31" x14ac:dyDescent="0.25">
      <c r="A157" s="12" t="str">
        <f t="shared" si="145"/>
        <v xml:space="preserve"> 33 Protective service occupations</v>
      </c>
      <c r="B157" s="13">
        <f t="shared" si="145"/>
        <v>400.38621990721509</v>
      </c>
      <c r="C157" s="13">
        <f t="shared" si="145"/>
        <v>374.21993286781867</v>
      </c>
      <c r="D157" s="13">
        <f t="shared" si="145"/>
        <v>386.24918721957175</v>
      </c>
      <c r="E157" s="13">
        <f t="shared" si="145"/>
        <v>376.25438198127227</v>
      </c>
      <c r="F157" s="13">
        <f t="shared" si="145"/>
        <v>375.37070820018812</v>
      </c>
      <c r="G157" s="286"/>
      <c r="H157" s="49">
        <f t="shared" si="146"/>
        <v>-0.35882375449247661</v>
      </c>
      <c r="I157" s="49">
        <f t="shared" si="147"/>
        <v>-0.28527861551368439</v>
      </c>
      <c r="L157" s="12" t="str">
        <f t="shared" ref="L157:Q157" si="166">L16</f>
        <v xml:space="preserve"> 33 Protective service occupations</v>
      </c>
      <c r="M157" s="13">
        <f t="shared" si="166"/>
        <v>334.30326298195894</v>
      </c>
      <c r="N157" s="13">
        <f t="shared" si="166"/>
        <v>299.60046161994666</v>
      </c>
      <c r="O157" s="13">
        <f t="shared" si="166"/>
        <v>293.13459307738009</v>
      </c>
      <c r="P157" s="13">
        <f t="shared" si="166"/>
        <v>270.24697498518572</v>
      </c>
      <c r="Q157" s="13">
        <f t="shared" si="166"/>
        <v>254.16796912706928</v>
      </c>
      <c r="S157" s="49">
        <f t="shared" si="149"/>
        <v>-1.3055694142800944</v>
      </c>
      <c r="T157" s="49">
        <f t="shared" si="150"/>
        <v>-1.4162408189667186</v>
      </c>
      <c r="W157" s="12" t="str">
        <f t="shared" ref="W157:AB157" si="167">W16</f>
        <v xml:space="preserve"> 33 Protective service occupations</v>
      </c>
      <c r="X157" s="13">
        <f t="shared" si="167"/>
        <v>66.082956925254877</v>
      </c>
      <c r="Y157" s="13">
        <f t="shared" si="167"/>
        <v>74.61947124787234</v>
      </c>
      <c r="Z157" s="13">
        <f t="shared" si="167"/>
        <v>93.114594142192203</v>
      </c>
      <c r="AA157" s="13">
        <f t="shared" si="167"/>
        <v>106.00740699608629</v>
      </c>
      <c r="AB157" s="13">
        <f t="shared" si="167"/>
        <v>121.20273907311801</v>
      </c>
      <c r="AD157" s="49">
        <f t="shared" si="152"/>
        <v>3.4886755114935886</v>
      </c>
      <c r="AE157" s="49">
        <f t="shared" si="153"/>
        <v>2.6713962194799823</v>
      </c>
    </row>
    <row r="158" spans="1:31" x14ac:dyDescent="0.25">
      <c r="A158" s="12" t="str">
        <f t="shared" si="145"/>
        <v xml:space="preserve"> 34 Culture, media and sports occupations</v>
      </c>
      <c r="B158" s="13">
        <f t="shared" si="145"/>
        <v>705.31543668957329</v>
      </c>
      <c r="C158" s="13">
        <f t="shared" si="145"/>
        <v>734.91048616584931</v>
      </c>
      <c r="D158" s="13">
        <f t="shared" si="145"/>
        <v>839.68302886898528</v>
      </c>
      <c r="E158" s="13">
        <f t="shared" si="145"/>
        <v>883.81407897069801</v>
      </c>
      <c r="F158" s="13">
        <f t="shared" si="145"/>
        <v>891.90974845505184</v>
      </c>
      <c r="G158" s="286"/>
      <c r="H158" s="49">
        <f t="shared" si="146"/>
        <v>1.7590862738696034</v>
      </c>
      <c r="I158" s="49">
        <f t="shared" si="147"/>
        <v>0.60522889919270018</v>
      </c>
      <c r="L158" s="12" t="str">
        <f t="shared" ref="L158:Q158" si="168">L17</f>
        <v xml:space="preserve"> 34 Culture, media and sports occupations</v>
      </c>
      <c r="M158" s="13">
        <f t="shared" si="168"/>
        <v>389.40724353829012</v>
      </c>
      <c r="N158" s="13">
        <f t="shared" si="168"/>
        <v>392.12359836096556</v>
      </c>
      <c r="O158" s="13">
        <f t="shared" si="168"/>
        <v>448.75607783125827</v>
      </c>
      <c r="P158" s="13">
        <f t="shared" si="168"/>
        <v>475.15301347788431</v>
      </c>
      <c r="Q158" s="13">
        <f t="shared" si="168"/>
        <v>483.52815062273726</v>
      </c>
      <c r="S158" s="49">
        <f t="shared" si="149"/>
        <v>1.4286468828001109</v>
      </c>
      <c r="T158" s="49">
        <f t="shared" si="150"/>
        <v>0.74909228465251942</v>
      </c>
      <c r="W158" s="12" t="str">
        <f t="shared" ref="W158:AB158" si="169">W17</f>
        <v xml:space="preserve"> 34 Culture, media and sports occupations</v>
      </c>
      <c r="X158" s="13">
        <f t="shared" si="169"/>
        <v>315.9081931512809</v>
      </c>
      <c r="Y158" s="13">
        <f t="shared" si="169"/>
        <v>342.78688780488289</v>
      </c>
      <c r="Z158" s="13">
        <f t="shared" si="169"/>
        <v>390.92695103772684</v>
      </c>
      <c r="AA158" s="13">
        <f t="shared" si="169"/>
        <v>408.661065492815</v>
      </c>
      <c r="AB158" s="13">
        <f t="shared" si="169"/>
        <v>408.38159783231447</v>
      </c>
      <c r="AD158" s="49">
        <f t="shared" si="152"/>
        <v>2.1535520257653484</v>
      </c>
      <c r="AE158" s="49">
        <f t="shared" si="153"/>
        <v>0.43776851460823885</v>
      </c>
    </row>
    <row r="159" spans="1:31" x14ac:dyDescent="0.25">
      <c r="A159" s="12" t="str">
        <f t="shared" si="145"/>
        <v xml:space="preserve"> 35 Business and public service associate professionals</v>
      </c>
      <c r="B159" s="13">
        <f t="shared" si="145"/>
        <v>2058.5930448272088</v>
      </c>
      <c r="C159" s="13">
        <f t="shared" si="145"/>
        <v>2090.9340236741837</v>
      </c>
      <c r="D159" s="13">
        <f t="shared" si="145"/>
        <v>2457.418760057772</v>
      </c>
      <c r="E159" s="13">
        <f t="shared" si="145"/>
        <v>2617.2127520611521</v>
      </c>
      <c r="F159" s="13">
        <f t="shared" si="145"/>
        <v>2749.3219079367932</v>
      </c>
      <c r="H159" s="49">
        <f t="shared" si="146"/>
        <v>1.786660714302335</v>
      </c>
      <c r="I159" s="49">
        <f t="shared" si="147"/>
        <v>1.1287507341667613</v>
      </c>
      <c r="L159" s="12" t="str">
        <f t="shared" ref="L159:Q159" si="170">L18</f>
        <v xml:space="preserve"> 35 Business and public service associate professionals</v>
      </c>
      <c r="M159" s="13">
        <f t="shared" si="170"/>
        <v>1176.473310931586</v>
      </c>
      <c r="N159" s="13">
        <f t="shared" si="170"/>
        <v>1193.1421528975713</v>
      </c>
      <c r="O159" s="13">
        <f t="shared" si="170"/>
        <v>1348.8965734484989</v>
      </c>
      <c r="P159" s="13">
        <f t="shared" si="170"/>
        <v>1383.2111941801338</v>
      </c>
      <c r="Q159" s="13">
        <f t="shared" si="170"/>
        <v>1400.5112660945288</v>
      </c>
      <c r="S159" s="49">
        <f t="shared" si="149"/>
        <v>1.3770518200710624</v>
      </c>
      <c r="T159" s="49">
        <f t="shared" si="150"/>
        <v>0.37621044950444382</v>
      </c>
      <c r="W159" s="12" t="str">
        <f t="shared" ref="W159:AB159" si="171">W18</f>
        <v xml:space="preserve"> 35 Business and public service associate professionals</v>
      </c>
      <c r="X159" s="13">
        <f t="shared" si="171"/>
        <v>882.11973389562399</v>
      </c>
      <c r="Y159" s="13">
        <f t="shared" si="171"/>
        <v>897.79187077661049</v>
      </c>
      <c r="Z159" s="13">
        <f t="shared" si="171"/>
        <v>1108.5221866092768</v>
      </c>
      <c r="AA159" s="13">
        <f t="shared" si="171"/>
        <v>1234.0015578810207</v>
      </c>
      <c r="AB159" s="13">
        <f t="shared" si="171"/>
        <v>1348.8106418422626</v>
      </c>
      <c r="AD159" s="49">
        <f t="shared" si="152"/>
        <v>2.3108482076680259</v>
      </c>
      <c r="AE159" s="49">
        <f t="shared" si="153"/>
        <v>1.9813271442010283</v>
      </c>
    </row>
    <row r="160" spans="1:31" x14ac:dyDescent="0.25">
      <c r="A160" s="12" t="str">
        <f t="shared" si="145"/>
        <v xml:space="preserve"> 41 Administrative occupations</v>
      </c>
      <c r="B160" s="13">
        <f t="shared" si="145"/>
        <v>3030.0405454519719</v>
      </c>
      <c r="C160" s="13">
        <f t="shared" si="145"/>
        <v>2822.3371958236908</v>
      </c>
      <c r="D160" s="13">
        <f t="shared" si="145"/>
        <v>2931.8021720360434</v>
      </c>
      <c r="E160" s="13">
        <f t="shared" si="145"/>
        <v>2801.6146683960205</v>
      </c>
      <c r="F160" s="13">
        <f t="shared" si="145"/>
        <v>2688.2376263800124</v>
      </c>
      <c r="H160" s="49">
        <f t="shared" si="146"/>
        <v>-0.32904436896877831</v>
      </c>
      <c r="I160" s="49">
        <f t="shared" si="147"/>
        <v>-0.86356455770552065</v>
      </c>
      <c r="L160" s="12" t="str">
        <f t="shared" ref="L160:Q160" si="172">L19</f>
        <v xml:space="preserve"> 41 Administrative occupations</v>
      </c>
      <c r="M160" s="13">
        <f t="shared" si="172"/>
        <v>822.48185776113496</v>
      </c>
      <c r="N160" s="13">
        <f t="shared" si="172"/>
        <v>808.83695962624006</v>
      </c>
      <c r="O160" s="13">
        <f t="shared" si="172"/>
        <v>865.49314287638765</v>
      </c>
      <c r="P160" s="13">
        <f t="shared" si="172"/>
        <v>850.67079217167941</v>
      </c>
      <c r="Q160" s="13">
        <f t="shared" si="172"/>
        <v>850.47165791337102</v>
      </c>
      <c r="S160" s="49">
        <f t="shared" si="149"/>
        <v>0.51103160380465695</v>
      </c>
      <c r="T160" s="49">
        <f t="shared" si="150"/>
        <v>-0.17493046401897416</v>
      </c>
      <c r="W160" s="12" t="str">
        <f t="shared" ref="W160:AB160" si="173">W19</f>
        <v xml:space="preserve"> 41 Administrative occupations</v>
      </c>
      <c r="X160" s="13">
        <f t="shared" si="173"/>
        <v>2207.5586876908269</v>
      </c>
      <c r="Y160" s="13">
        <f t="shared" si="173"/>
        <v>2013.5002361974493</v>
      </c>
      <c r="Z160" s="13">
        <f t="shared" si="173"/>
        <v>2066.3090291596477</v>
      </c>
      <c r="AA160" s="13">
        <f t="shared" si="173"/>
        <v>1950.943876224341</v>
      </c>
      <c r="AB160" s="13">
        <f t="shared" si="173"/>
        <v>1837.7659684666426</v>
      </c>
      <c r="AD160" s="49">
        <f t="shared" si="152"/>
        <v>-0.65905167241672169</v>
      </c>
      <c r="AE160" s="49">
        <f t="shared" si="153"/>
        <v>-1.1652898044050231</v>
      </c>
    </row>
    <row r="161" spans="1:31" x14ac:dyDescent="0.25">
      <c r="A161" s="12" t="str">
        <f t="shared" si="145"/>
        <v xml:space="preserve"> 42 Secretarial and related occupations</v>
      </c>
      <c r="B161" s="13">
        <f t="shared" si="145"/>
        <v>993.33694726027159</v>
      </c>
      <c r="C161" s="13">
        <f t="shared" si="145"/>
        <v>864.35192739519994</v>
      </c>
      <c r="D161" s="13">
        <f t="shared" si="145"/>
        <v>748.98422550601674</v>
      </c>
      <c r="E161" s="13">
        <f t="shared" si="145"/>
        <v>557.47169482063259</v>
      </c>
      <c r="F161" s="13">
        <f t="shared" si="145"/>
        <v>388.91745057015663</v>
      </c>
      <c r="H161" s="49">
        <f t="shared" si="146"/>
        <v>-2.7840312676019163</v>
      </c>
      <c r="I161" s="49">
        <f t="shared" si="147"/>
        <v>-6.3433809569029886</v>
      </c>
      <c r="L161" s="12" t="str">
        <f t="shared" ref="L161:Q161" si="174">L20</f>
        <v xml:space="preserve"> 42 Secretarial and related occupations</v>
      </c>
      <c r="M161" s="13">
        <f t="shared" si="174"/>
        <v>54.535756415398467</v>
      </c>
      <c r="N161" s="13">
        <f t="shared" si="174"/>
        <v>54.559748737452544</v>
      </c>
      <c r="O161" s="13">
        <f t="shared" si="174"/>
        <v>59.380126521524275</v>
      </c>
      <c r="P161" s="13">
        <f t="shared" si="174"/>
        <v>59.481515064028457</v>
      </c>
      <c r="Q161" s="13">
        <f t="shared" si="174"/>
        <v>60.980771408561374</v>
      </c>
      <c r="S161" s="49">
        <f t="shared" si="149"/>
        <v>0.85466188248568553</v>
      </c>
      <c r="T161" s="49">
        <f t="shared" si="150"/>
        <v>0.26634398330516174</v>
      </c>
      <c r="W161" s="12" t="str">
        <f t="shared" ref="W161:AB161" si="175">W20</f>
        <v xml:space="preserve"> 42 Secretarial and related occupations</v>
      </c>
      <c r="X161" s="13">
        <f t="shared" si="175"/>
        <v>938.80119084487467</v>
      </c>
      <c r="Y161" s="13">
        <f t="shared" si="175"/>
        <v>809.79217865774706</v>
      </c>
      <c r="Z161" s="13">
        <f t="shared" si="175"/>
        <v>689.604098984492</v>
      </c>
      <c r="AA161" s="13">
        <f t="shared" si="175"/>
        <v>497.99017975660411</v>
      </c>
      <c r="AB161" s="13">
        <f t="shared" si="175"/>
        <v>327.93667916159518</v>
      </c>
      <c r="AD161" s="49">
        <f t="shared" si="152"/>
        <v>-3.0377643912228192</v>
      </c>
      <c r="AE161" s="49">
        <f t="shared" si="153"/>
        <v>-7.163445034496652</v>
      </c>
    </row>
    <row r="162" spans="1:31" x14ac:dyDescent="0.25">
      <c r="A162" s="12" t="str">
        <f t="shared" si="145"/>
        <v xml:space="preserve"> 51 Skilled agricultural and related trades</v>
      </c>
      <c r="B162" s="13">
        <f t="shared" si="145"/>
        <v>326.59568567127343</v>
      </c>
      <c r="C162" s="13">
        <f t="shared" si="145"/>
        <v>361.16839275811896</v>
      </c>
      <c r="D162" s="13">
        <f t="shared" si="145"/>
        <v>354.96114624116797</v>
      </c>
      <c r="E162" s="13">
        <f t="shared" si="145"/>
        <v>349.16485691298192</v>
      </c>
      <c r="F162" s="13">
        <f t="shared" si="145"/>
        <v>360.42857252278969</v>
      </c>
      <c r="H162" s="49">
        <f t="shared" si="146"/>
        <v>0.83633153109474723</v>
      </c>
      <c r="I162" s="49">
        <f t="shared" si="147"/>
        <v>0.1529715457261327</v>
      </c>
      <c r="L162" s="12" t="str">
        <f t="shared" ref="L162:Q162" si="176">L21</f>
        <v xml:space="preserve"> 51 Skilled agricultural and related trades</v>
      </c>
      <c r="M162" s="13">
        <f t="shared" si="176"/>
        <v>286.08896380498379</v>
      </c>
      <c r="N162" s="13">
        <f t="shared" si="176"/>
        <v>313.34225917657415</v>
      </c>
      <c r="O162" s="13">
        <f t="shared" si="176"/>
        <v>306.41072262869426</v>
      </c>
      <c r="P162" s="13">
        <f t="shared" si="176"/>
        <v>300.56346469499221</v>
      </c>
      <c r="Q162" s="13">
        <f t="shared" si="176"/>
        <v>313.95691907405677</v>
      </c>
      <c r="S162" s="49">
        <f t="shared" si="149"/>
        <v>0.68859607581679416</v>
      </c>
      <c r="T162" s="49">
        <f t="shared" si="150"/>
        <v>0.24358963179256232</v>
      </c>
      <c r="W162" s="12" t="str">
        <f t="shared" ref="W162:AB162" si="177">W21</f>
        <v xml:space="preserve"> 51 Skilled agricultural and related trades</v>
      </c>
      <c r="X162" s="13">
        <f t="shared" si="177"/>
        <v>40.506721866289517</v>
      </c>
      <c r="Y162" s="13">
        <f t="shared" si="177"/>
        <v>47.826133581545143</v>
      </c>
      <c r="Z162" s="13">
        <f t="shared" si="177"/>
        <v>48.550423612473352</v>
      </c>
      <c r="AA162" s="13">
        <f t="shared" si="177"/>
        <v>48.601392217988838</v>
      </c>
      <c r="AB162" s="13">
        <f t="shared" si="177"/>
        <v>46.471653448732688</v>
      </c>
      <c r="AD162" s="49">
        <f t="shared" si="152"/>
        <v>1.8278543186786234</v>
      </c>
      <c r="AE162" s="49">
        <f t="shared" si="153"/>
        <v>-0.43664787424007034</v>
      </c>
    </row>
    <row r="163" spans="1:31" x14ac:dyDescent="0.25">
      <c r="A163" s="12" t="str">
        <f t="shared" si="145"/>
        <v xml:space="preserve"> 52 Skilled metal, electrical and electronic trades</v>
      </c>
      <c r="B163" s="13">
        <f t="shared" si="145"/>
        <v>1279.19315247642</v>
      </c>
      <c r="C163" s="13">
        <f t="shared" si="145"/>
        <v>1207.166298134011</v>
      </c>
      <c r="D163" s="13">
        <f t="shared" si="145"/>
        <v>1228.0409620922514</v>
      </c>
      <c r="E163" s="13">
        <f t="shared" si="145"/>
        <v>1118.2338508289929</v>
      </c>
      <c r="F163" s="13">
        <f t="shared" si="145"/>
        <v>1043.8089392652857</v>
      </c>
      <c r="H163" s="49">
        <f t="shared" si="146"/>
        <v>-0.4072618666006611</v>
      </c>
      <c r="I163" s="49">
        <f t="shared" si="147"/>
        <v>-1.6122982698044575</v>
      </c>
      <c r="L163" s="12" t="str">
        <f t="shared" ref="L163:Q163" si="178">L22</f>
        <v xml:space="preserve"> 52 Skilled metal, electrical and electronic trades</v>
      </c>
      <c r="M163" s="13">
        <f t="shared" si="178"/>
        <v>1246.3324341114048</v>
      </c>
      <c r="N163" s="13">
        <f t="shared" si="178"/>
        <v>1177.0581375846284</v>
      </c>
      <c r="O163" s="13">
        <f t="shared" si="178"/>
        <v>1197.4415647505721</v>
      </c>
      <c r="P163" s="13">
        <f t="shared" si="178"/>
        <v>1090.5720912096695</v>
      </c>
      <c r="Q163" s="13">
        <f t="shared" si="178"/>
        <v>1018.9832719874057</v>
      </c>
      <c r="S163" s="49">
        <f t="shared" si="149"/>
        <v>-0.39937969373123883</v>
      </c>
      <c r="T163" s="49">
        <f t="shared" si="150"/>
        <v>-1.6008668422350936</v>
      </c>
      <c r="W163" s="12" t="str">
        <f t="shared" ref="W163:AB163" si="179">W22</f>
        <v xml:space="preserve"> 52 Skilled metal, electrical and electronic trades</v>
      </c>
      <c r="X163" s="13">
        <f t="shared" si="179"/>
        <v>32.860718365017711</v>
      </c>
      <c r="Y163" s="13">
        <f t="shared" si="179"/>
        <v>30.108160549381353</v>
      </c>
      <c r="Z163" s="13">
        <f t="shared" si="179"/>
        <v>30.599397341679701</v>
      </c>
      <c r="AA163" s="13">
        <f t="shared" si="179"/>
        <v>27.661759619320531</v>
      </c>
      <c r="AB163" s="13">
        <f t="shared" si="179"/>
        <v>24.825667277881504</v>
      </c>
      <c r="AD163" s="49">
        <f t="shared" si="152"/>
        <v>-0.7104409486750507</v>
      </c>
      <c r="AE163" s="49">
        <f t="shared" si="153"/>
        <v>-2.0693119673937832</v>
      </c>
    </row>
    <row r="164" spans="1:31" x14ac:dyDescent="0.25">
      <c r="A164" s="12" t="str">
        <f t="shared" si="145"/>
        <v xml:space="preserve"> 53 Skilled construction and building trades</v>
      </c>
      <c r="B164" s="13">
        <f t="shared" si="145"/>
        <v>1134.0272967353342</v>
      </c>
      <c r="C164" s="13">
        <f t="shared" si="145"/>
        <v>997.18720072581925</v>
      </c>
      <c r="D164" s="13">
        <f t="shared" si="145"/>
        <v>1069.1049856779691</v>
      </c>
      <c r="E164" s="13">
        <f t="shared" si="145"/>
        <v>1083.6604766975181</v>
      </c>
      <c r="F164" s="13">
        <f t="shared" si="145"/>
        <v>1063.8777838174137</v>
      </c>
      <c r="H164" s="49">
        <f t="shared" si="146"/>
        <v>-0.58780005332923491</v>
      </c>
      <c r="I164" s="49">
        <f t="shared" si="147"/>
        <v>-4.9001160231676444E-2</v>
      </c>
      <c r="L164" s="12" t="str">
        <f t="shared" ref="L164:Q164" si="180">L23</f>
        <v xml:space="preserve"> 53 Skilled construction and building trades</v>
      </c>
      <c r="M164" s="13">
        <f t="shared" si="180"/>
        <v>1116.7137118636197</v>
      </c>
      <c r="N164" s="13">
        <f t="shared" si="180"/>
        <v>978.73969963573938</v>
      </c>
      <c r="O164" s="13">
        <f t="shared" si="180"/>
        <v>1045.5692954804213</v>
      </c>
      <c r="P164" s="13">
        <f t="shared" si="180"/>
        <v>1056.2091120722073</v>
      </c>
      <c r="Q164" s="13">
        <f t="shared" si="180"/>
        <v>1034.2090868069351</v>
      </c>
      <c r="S164" s="49">
        <f t="shared" si="149"/>
        <v>-0.6561247284112004</v>
      </c>
      <c r="T164" s="49">
        <f t="shared" si="150"/>
        <v>-0.10918585068082631</v>
      </c>
      <c r="W164" s="12" t="str">
        <f t="shared" ref="W164:AB164" si="181">W23</f>
        <v xml:space="preserve"> 53 Skilled construction and building trades</v>
      </c>
      <c r="X164" s="13">
        <f t="shared" si="181"/>
        <v>17.31358487171385</v>
      </c>
      <c r="Y164" s="13">
        <f t="shared" si="181"/>
        <v>18.447501090078038</v>
      </c>
      <c r="Z164" s="13">
        <f t="shared" si="181"/>
        <v>23.53569019755037</v>
      </c>
      <c r="AA164" s="13">
        <f t="shared" si="181"/>
        <v>27.451364625310674</v>
      </c>
      <c r="AB164" s="13">
        <f t="shared" si="181"/>
        <v>29.668697010478695</v>
      </c>
      <c r="AD164" s="49">
        <f t="shared" si="152"/>
        <v>3.1178842918679672</v>
      </c>
      <c r="AE164" s="49">
        <f t="shared" si="153"/>
        <v>2.3427667229030114</v>
      </c>
    </row>
    <row r="165" spans="1:31" x14ac:dyDescent="0.25">
      <c r="A165" s="12" t="str">
        <f t="shared" si="145"/>
        <v xml:space="preserve"> 54 Textiles, printing and other skilled trades</v>
      </c>
      <c r="B165" s="13">
        <f t="shared" si="145"/>
        <v>843.79919284543814</v>
      </c>
      <c r="C165" s="13">
        <f t="shared" si="145"/>
        <v>795.51854332844539</v>
      </c>
      <c r="D165" s="13">
        <f t="shared" si="145"/>
        <v>780.72926486080155</v>
      </c>
      <c r="E165" s="13">
        <f t="shared" si="145"/>
        <v>717.8940678350782</v>
      </c>
      <c r="F165" s="13">
        <f t="shared" si="145"/>
        <v>658.07025657011309</v>
      </c>
      <c r="H165" s="49">
        <f t="shared" si="146"/>
        <v>-0.77385128630326205</v>
      </c>
      <c r="I165" s="49">
        <f t="shared" si="147"/>
        <v>-1.6946439879990227</v>
      </c>
      <c r="L165" s="12" t="str">
        <f t="shared" ref="L165:Q165" si="182">L24</f>
        <v xml:space="preserve"> 54 Textiles, printing and other skilled trades</v>
      </c>
      <c r="M165" s="13">
        <f t="shared" si="182"/>
        <v>569.32848091328276</v>
      </c>
      <c r="N165" s="13">
        <f t="shared" si="182"/>
        <v>552.5168531238553</v>
      </c>
      <c r="O165" s="13">
        <f t="shared" si="182"/>
        <v>521.91847980432783</v>
      </c>
      <c r="P165" s="13">
        <f t="shared" si="182"/>
        <v>466.51355104682102</v>
      </c>
      <c r="Q165" s="13">
        <f t="shared" si="182"/>
        <v>413.65143810546431</v>
      </c>
      <c r="S165" s="49">
        <f t="shared" si="149"/>
        <v>-0.8656926731823833</v>
      </c>
      <c r="T165" s="49">
        <f t="shared" si="150"/>
        <v>-2.2980601968963343</v>
      </c>
      <c r="W165" s="12" t="str">
        <f t="shared" ref="W165:AB165" si="183">W24</f>
        <v xml:space="preserve"> 54 Textiles, printing and other skilled trades</v>
      </c>
      <c r="X165" s="13">
        <f t="shared" si="183"/>
        <v>274.47071193215419</v>
      </c>
      <c r="Y165" s="13">
        <f t="shared" si="183"/>
        <v>243.00169020459128</v>
      </c>
      <c r="Z165" s="13">
        <f t="shared" si="183"/>
        <v>258.81078505647423</v>
      </c>
      <c r="AA165" s="13">
        <f t="shared" si="183"/>
        <v>251.38051678825715</v>
      </c>
      <c r="AB165" s="13">
        <f t="shared" si="183"/>
        <v>244.41881846464725</v>
      </c>
      <c r="AD165" s="49">
        <f t="shared" si="152"/>
        <v>-0.58575099135194097</v>
      </c>
      <c r="AE165" s="49">
        <f t="shared" si="153"/>
        <v>-0.57050651661821883</v>
      </c>
    </row>
    <row r="166" spans="1:31" x14ac:dyDescent="0.25">
      <c r="A166" s="12" t="str">
        <f t="shared" si="145"/>
        <v xml:space="preserve"> 61 Caring personal service occupations</v>
      </c>
      <c r="B166" s="13">
        <f t="shared" si="145"/>
        <v>1960.332640697347</v>
      </c>
      <c r="C166" s="13">
        <f t="shared" si="145"/>
        <v>2188.2931420126838</v>
      </c>
      <c r="D166" s="13">
        <f t="shared" si="145"/>
        <v>2578.4645595025959</v>
      </c>
      <c r="E166" s="13">
        <f t="shared" si="145"/>
        <v>2787.4164334872221</v>
      </c>
      <c r="F166" s="13">
        <f t="shared" si="145"/>
        <v>3056.5262037008101</v>
      </c>
      <c r="H166" s="49">
        <f t="shared" si="146"/>
        <v>2.7787045747224459</v>
      </c>
      <c r="I166" s="49">
        <f t="shared" si="147"/>
        <v>1.7153963393924609</v>
      </c>
      <c r="L166" s="12" t="str">
        <f t="shared" ref="L166:Q166" si="184">L25</f>
        <v xml:space="preserve"> 61 Caring personal service occupations</v>
      </c>
      <c r="M166" s="13">
        <f t="shared" si="184"/>
        <v>270.02507759424935</v>
      </c>
      <c r="N166" s="13">
        <f t="shared" si="184"/>
        <v>301.96288162953476</v>
      </c>
      <c r="O166" s="13">
        <f t="shared" si="184"/>
        <v>374.99676792649984</v>
      </c>
      <c r="P166" s="13">
        <f t="shared" si="184"/>
        <v>419.72474296088899</v>
      </c>
      <c r="Q166" s="13">
        <f t="shared" si="184"/>
        <v>475.44484243020986</v>
      </c>
      <c r="S166" s="49">
        <f t="shared" si="149"/>
        <v>3.3385450212489509</v>
      </c>
      <c r="T166" s="49">
        <f t="shared" si="150"/>
        <v>2.4017224123662251</v>
      </c>
      <c r="W166" s="12" t="str">
        <f t="shared" ref="W166:AB166" si="185">W25</f>
        <v xml:space="preserve"> 61 Caring personal service occupations</v>
      </c>
      <c r="X166" s="13">
        <f t="shared" si="185"/>
        <v>1690.3075631030961</v>
      </c>
      <c r="Y166" s="13">
        <f t="shared" si="185"/>
        <v>1886.3302603831507</v>
      </c>
      <c r="Z166" s="13">
        <f t="shared" si="185"/>
        <v>2203.4677915760963</v>
      </c>
      <c r="AA166" s="13">
        <f t="shared" si="185"/>
        <v>2367.6916905263347</v>
      </c>
      <c r="AB166" s="13">
        <f t="shared" si="185"/>
        <v>2581.0813612706002</v>
      </c>
      <c r="AD166" s="49">
        <f t="shared" si="152"/>
        <v>2.6866763240900315</v>
      </c>
      <c r="AE166" s="49">
        <f t="shared" si="153"/>
        <v>1.5943366038238427</v>
      </c>
    </row>
    <row r="167" spans="1:31" x14ac:dyDescent="0.25">
      <c r="A167" s="12" t="str">
        <f t="shared" si="145"/>
        <v xml:space="preserve"> 62 Leisure, travel and related personal service occupations</v>
      </c>
      <c r="B167" s="13">
        <f t="shared" si="145"/>
        <v>685.21818202505688</v>
      </c>
      <c r="C167" s="13">
        <f t="shared" si="145"/>
        <v>701.25642802866014</v>
      </c>
      <c r="D167" s="13">
        <f t="shared" si="145"/>
        <v>766.62156622264706</v>
      </c>
      <c r="E167" s="13">
        <f t="shared" si="145"/>
        <v>762.13985980964901</v>
      </c>
      <c r="F167" s="13">
        <f t="shared" si="145"/>
        <v>754.2829899415766</v>
      </c>
      <c r="H167" s="49">
        <f t="shared" si="146"/>
        <v>1.1288841796051274</v>
      </c>
      <c r="I167" s="49">
        <f t="shared" si="147"/>
        <v>-0.16212512534019563</v>
      </c>
      <c r="L167" s="12" t="str">
        <f t="shared" ref="L167:Q167" si="186">L26</f>
        <v xml:space="preserve"> 62 Leisure, travel and related personal service occupations</v>
      </c>
      <c r="M167" s="13">
        <f t="shared" si="186"/>
        <v>252.8025629305582</v>
      </c>
      <c r="N167" s="13">
        <f t="shared" si="186"/>
        <v>240.44298874851103</v>
      </c>
      <c r="O167" s="13">
        <f t="shared" si="186"/>
        <v>261.99192391992858</v>
      </c>
      <c r="P167" s="13">
        <f t="shared" si="186"/>
        <v>265.33182268298782</v>
      </c>
      <c r="Q167" s="13">
        <f t="shared" si="186"/>
        <v>274.05884704230584</v>
      </c>
      <c r="S167" s="49">
        <f t="shared" si="149"/>
        <v>0.35768696004141454</v>
      </c>
      <c r="T167" s="49">
        <f t="shared" si="150"/>
        <v>0.45130708674849807</v>
      </c>
      <c r="W167" s="12" t="str">
        <f t="shared" ref="W167:AB167" si="187">W26</f>
        <v xml:space="preserve"> 62 Leisure, travel and related personal service occupations</v>
      </c>
      <c r="X167" s="13">
        <f t="shared" si="187"/>
        <v>432.41561909449712</v>
      </c>
      <c r="Y167" s="13">
        <f t="shared" si="187"/>
        <v>460.8134392801478</v>
      </c>
      <c r="Z167" s="13">
        <f t="shared" si="187"/>
        <v>504.62964230271922</v>
      </c>
      <c r="AA167" s="13">
        <f t="shared" si="187"/>
        <v>496.8080371266629</v>
      </c>
      <c r="AB167" s="13">
        <f t="shared" si="187"/>
        <v>480.22414289927156</v>
      </c>
      <c r="AD167" s="49">
        <f t="shared" si="152"/>
        <v>1.5563628275771846</v>
      </c>
      <c r="AE167" s="49">
        <f t="shared" si="153"/>
        <v>-0.49449153870964047</v>
      </c>
    </row>
    <row r="168" spans="1:31" x14ac:dyDescent="0.25">
      <c r="A168" s="12" t="str">
        <f t="shared" si="145"/>
        <v xml:space="preserve"> 71 Sales occupations</v>
      </c>
      <c r="B168" s="13">
        <f t="shared" si="145"/>
        <v>2266.5991740353952</v>
      </c>
      <c r="C168" s="13">
        <f t="shared" si="145"/>
        <v>2222.9839668671279</v>
      </c>
      <c r="D168" s="13">
        <f t="shared" si="145"/>
        <v>2232.1008314340879</v>
      </c>
      <c r="E168" s="13">
        <f t="shared" si="145"/>
        <v>2134.0816003374703</v>
      </c>
      <c r="F168" s="13">
        <f t="shared" si="145"/>
        <v>2077.8628337740365</v>
      </c>
      <c r="H168" s="49">
        <f t="shared" si="146"/>
        <v>-0.15325572366615692</v>
      </c>
      <c r="I168" s="49">
        <f t="shared" si="147"/>
        <v>-0.71347596011757108</v>
      </c>
      <c r="L168" s="12" t="str">
        <f t="shared" ref="L168:Q168" si="188">L27</f>
        <v xml:space="preserve"> 71 Sales occupations</v>
      </c>
      <c r="M168" s="13">
        <f t="shared" si="188"/>
        <v>831.1098423584441</v>
      </c>
      <c r="N168" s="13">
        <f t="shared" si="188"/>
        <v>812.51524072254779</v>
      </c>
      <c r="O168" s="13">
        <f t="shared" si="188"/>
        <v>866.89845362455344</v>
      </c>
      <c r="P168" s="13">
        <f t="shared" si="188"/>
        <v>860.56955805027428</v>
      </c>
      <c r="Q168" s="13">
        <f t="shared" si="188"/>
        <v>847.40896512919085</v>
      </c>
      <c r="S168" s="49">
        <f t="shared" si="149"/>
        <v>0.42248876814015013</v>
      </c>
      <c r="T168" s="49">
        <f t="shared" si="150"/>
        <v>-0.22712596142498986</v>
      </c>
      <c r="W168" s="12" t="str">
        <f t="shared" ref="W168:AB168" si="189">W27</f>
        <v xml:space="preserve"> 71 Sales occupations</v>
      </c>
      <c r="X168" s="13">
        <f t="shared" si="189"/>
        <v>1435.4893316769512</v>
      </c>
      <c r="Y168" s="13">
        <f t="shared" si="189"/>
        <v>1410.4687261445799</v>
      </c>
      <c r="Z168" s="13">
        <f t="shared" si="189"/>
        <v>1365.2023778095363</v>
      </c>
      <c r="AA168" s="13">
        <f t="shared" si="189"/>
        <v>1273.5120422871971</v>
      </c>
      <c r="AB168" s="13">
        <f t="shared" si="189"/>
        <v>1230.4538686448473</v>
      </c>
      <c r="AD168" s="49">
        <f t="shared" si="152"/>
        <v>-0.5007730200116467</v>
      </c>
      <c r="AE168" s="49">
        <f t="shared" si="153"/>
        <v>-1.0338148118698043</v>
      </c>
    </row>
    <row r="169" spans="1:31" x14ac:dyDescent="0.25">
      <c r="A169" s="12" t="str">
        <f t="shared" si="145"/>
        <v xml:space="preserve"> 72 Customer service occupations</v>
      </c>
      <c r="B169" s="13">
        <f t="shared" si="145"/>
        <v>525.58473477957932</v>
      </c>
      <c r="C169" s="13">
        <f t="shared" si="145"/>
        <v>585.73196652355909</v>
      </c>
      <c r="D169" s="13">
        <f t="shared" si="145"/>
        <v>696.93275934173869</v>
      </c>
      <c r="E169" s="13">
        <f t="shared" si="145"/>
        <v>747.16438602733615</v>
      </c>
      <c r="F169" s="13">
        <f t="shared" si="145"/>
        <v>798.75091212199368</v>
      </c>
      <c r="H169" s="49">
        <f t="shared" si="146"/>
        <v>2.8619643120719074</v>
      </c>
      <c r="I169" s="49">
        <f t="shared" si="147"/>
        <v>1.3729415871159834</v>
      </c>
      <c r="L169" s="12" t="str">
        <f t="shared" ref="L169:Q169" si="190">L28</f>
        <v xml:space="preserve"> 72 Customer service occupations</v>
      </c>
      <c r="M169" s="13">
        <f t="shared" si="190"/>
        <v>202.22343133666763</v>
      </c>
      <c r="N169" s="13">
        <f t="shared" si="190"/>
        <v>231.32989303022984</v>
      </c>
      <c r="O169" s="13">
        <f t="shared" si="190"/>
        <v>284.07936230390033</v>
      </c>
      <c r="P169" s="13">
        <f t="shared" si="190"/>
        <v>311.06406294573736</v>
      </c>
      <c r="Q169" s="13">
        <f t="shared" si="190"/>
        <v>334.65890181273278</v>
      </c>
      <c r="S169" s="49">
        <f t="shared" si="149"/>
        <v>3.4572239584742093</v>
      </c>
      <c r="T169" s="49">
        <f t="shared" si="150"/>
        <v>1.6520800327913587</v>
      </c>
      <c r="W169" s="12" t="str">
        <f t="shared" ref="W169:AB169" si="191">W28</f>
        <v xml:space="preserve"> 72 Customer service occupations</v>
      </c>
      <c r="X169" s="13">
        <f t="shared" si="191"/>
        <v>323.36130344291013</v>
      </c>
      <c r="Y169" s="13">
        <f t="shared" si="191"/>
        <v>354.40207349333019</v>
      </c>
      <c r="Z169" s="13">
        <f t="shared" si="191"/>
        <v>412.85339703783899</v>
      </c>
      <c r="AA169" s="13">
        <f t="shared" si="191"/>
        <v>436.10032308160089</v>
      </c>
      <c r="AB169" s="13">
        <f t="shared" si="191"/>
        <v>464.09201030925942</v>
      </c>
      <c r="AD169" s="49">
        <f t="shared" si="152"/>
        <v>2.4733139976824248</v>
      </c>
      <c r="AE169" s="49">
        <f t="shared" si="153"/>
        <v>1.1767728425151835</v>
      </c>
    </row>
    <row r="170" spans="1:31" x14ac:dyDescent="0.25">
      <c r="A170" s="12" t="str">
        <f t="shared" si="145"/>
        <v xml:space="preserve"> 81 Process, plant and machine operatives</v>
      </c>
      <c r="B170" s="13">
        <f t="shared" si="145"/>
        <v>1062.9416018239299</v>
      </c>
      <c r="C170" s="13">
        <f t="shared" si="145"/>
        <v>947.27616497072279</v>
      </c>
      <c r="D170" s="13">
        <f t="shared" si="145"/>
        <v>910.36505814126201</v>
      </c>
      <c r="E170" s="13">
        <f t="shared" si="145"/>
        <v>788.01412016119968</v>
      </c>
      <c r="F170" s="13">
        <f t="shared" si="145"/>
        <v>708.95931242337531</v>
      </c>
      <c r="H170" s="49">
        <f t="shared" si="146"/>
        <v>-1.5375546294480791</v>
      </c>
      <c r="I170" s="49">
        <f t="shared" si="147"/>
        <v>-2.4694724998169493</v>
      </c>
      <c r="L170" s="12" t="str">
        <f t="shared" ref="L170:Q170" si="192">L29</f>
        <v xml:space="preserve"> 81 Process, plant and machine operatives</v>
      </c>
      <c r="M170" s="13">
        <f t="shared" si="192"/>
        <v>815.87896294858808</v>
      </c>
      <c r="N170" s="13">
        <f t="shared" si="192"/>
        <v>732.56542790449737</v>
      </c>
      <c r="O170" s="13">
        <f t="shared" si="192"/>
        <v>719.68703195597607</v>
      </c>
      <c r="P170" s="13">
        <f t="shared" si="192"/>
        <v>640.68912600770375</v>
      </c>
      <c r="Q170" s="13">
        <f t="shared" si="192"/>
        <v>589.65211558646297</v>
      </c>
      <c r="S170" s="49">
        <f t="shared" si="149"/>
        <v>-1.2466597494691145</v>
      </c>
      <c r="T170" s="49">
        <f t="shared" si="150"/>
        <v>-1.9731113652709409</v>
      </c>
      <c r="W170" s="12" t="str">
        <f t="shared" ref="W170:AB170" si="193">W29</f>
        <v xml:space="preserve"> 81 Process, plant and machine operatives</v>
      </c>
      <c r="X170" s="13">
        <f t="shared" si="193"/>
        <v>247.06263887534641</v>
      </c>
      <c r="Y170" s="13">
        <f t="shared" si="193"/>
        <v>214.71073706622587</v>
      </c>
      <c r="Z170" s="13">
        <f t="shared" si="193"/>
        <v>190.67802618528535</v>
      </c>
      <c r="AA170" s="13">
        <f t="shared" si="193"/>
        <v>147.32499415349579</v>
      </c>
      <c r="AB170" s="13">
        <f t="shared" si="193"/>
        <v>119.3071968369111</v>
      </c>
      <c r="AD170" s="49">
        <f t="shared" si="152"/>
        <v>-2.5572892211127463</v>
      </c>
      <c r="AE170" s="49">
        <f t="shared" si="153"/>
        <v>-4.5806180047725853</v>
      </c>
    </row>
    <row r="171" spans="1:31" x14ac:dyDescent="0.25">
      <c r="A171" s="12" t="str">
        <f t="shared" si="145"/>
        <v xml:space="preserve"> 82 Transport and mobile machine drivers and operatives</v>
      </c>
      <c r="B171" s="13">
        <f t="shared" si="145"/>
        <v>1251.2075495320041</v>
      </c>
      <c r="C171" s="13">
        <f t="shared" si="145"/>
        <v>1210.2822982778534</v>
      </c>
      <c r="D171" s="13">
        <f t="shared" si="145"/>
        <v>1269.5914805445047</v>
      </c>
      <c r="E171" s="13">
        <f t="shared" si="145"/>
        <v>1259.4122875888795</v>
      </c>
      <c r="F171" s="13">
        <f t="shared" si="145"/>
        <v>1265.1666013580495</v>
      </c>
      <c r="H171" s="49">
        <f t="shared" si="146"/>
        <v>0.14596698061850599</v>
      </c>
      <c r="I171" s="49">
        <f t="shared" si="147"/>
        <v>-3.4907562645791756E-2</v>
      </c>
      <c r="L171" s="12" t="str">
        <f t="shared" ref="L171:Q171" si="194">L30</f>
        <v xml:space="preserve"> 82 Transport and mobile machine drivers and operatives</v>
      </c>
      <c r="M171" s="13">
        <f t="shared" si="194"/>
        <v>1205.0639602517492</v>
      </c>
      <c r="N171" s="13">
        <f t="shared" si="194"/>
        <v>1160.3746346387516</v>
      </c>
      <c r="O171" s="13">
        <f t="shared" si="194"/>
        <v>1209.5642662460725</v>
      </c>
      <c r="P171" s="13">
        <f t="shared" si="194"/>
        <v>1191.6473328137499</v>
      </c>
      <c r="Q171" s="13">
        <f t="shared" si="194"/>
        <v>1192.7583410923617</v>
      </c>
      <c r="S171" s="49">
        <f t="shared" si="149"/>
        <v>3.7282344456857075E-2</v>
      </c>
      <c r="T171" s="49">
        <f t="shared" si="150"/>
        <v>-0.13981841946669737</v>
      </c>
      <c r="W171" s="12" t="str">
        <f t="shared" ref="W171:AB171" si="195">W30</f>
        <v xml:space="preserve"> 82 Transport and mobile machine drivers and operatives</v>
      </c>
      <c r="X171" s="13">
        <f t="shared" si="195"/>
        <v>46.143589280255497</v>
      </c>
      <c r="Y171" s="13">
        <f t="shared" si="195"/>
        <v>49.907663639105031</v>
      </c>
      <c r="Z171" s="13">
        <f t="shared" si="195"/>
        <v>60.027214298433236</v>
      </c>
      <c r="AA171" s="13">
        <f t="shared" si="195"/>
        <v>67.764954775127805</v>
      </c>
      <c r="AB171" s="13">
        <f t="shared" si="195"/>
        <v>72.408260265688924</v>
      </c>
      <c r="AD171" s="49">
        <f t="shared" si="152"/>
        <v>2.6653002549107185</v>
      </c>
      <c r="AE171" s="49">
        <f t="shared" si="153"/>
        <v>1.8929162755687567</v>
      </c>
    </row>
    <row r="172" spans="1:31" x14ac:dyDescent="0.25">
      <c r="A172" s="12" t="str">
        <f t="shared" si="145"/>
        <v xml:space="preserve"> 91 Elementary trades and related occupations</v>
      </c>
      <c r="B172" s="13">
        <f t="shared" si="145"/>
        <v>553.13527715257499</v>
      </c>
      <c r="C172" s="13">
        <f t="shared" si="145"/>
        <v>530.50403474238635</v>
      </c>
      <c r="D172" s="13">
        <f t="shared" si="145"/>
        <v>555.13378958997748</v>
      </c>
      <c r="E172" s="13">
        <f t="shared" si="145"/>
        <v>539.00070305465908</v>
      </c>
      <c r="F172" s="13">
        <f t="shared" si="145"/>
        <v>530.97531625291219</v>
      </c>
      <c r="H172" s="49">
        <f t="shared" si="146"/>
        <v>3.6072017062260819E-2</v>
      </c>
      <c r="I172" s="49">
        <f t="shared" si="147"/>
        <v>-0.44394774823381944</v>
      </c>
      <c r="L172" s="12" t="str">
        <f t="shared" ref="L172:Q172" si="196">L31</f>
        <v xml:space="preserve"> 91 Elementary trades and related occupations</v>
      </c>
      <c r="M172" s="13">
        <f t="shared" si="196"/>
        <v>469.73342515105156</v>
      </c>
      <c r="N172" s="13">
        <f t="shared" si="196"/>
        <v>435.84164422828604</v>
      </c>
      <c r="O172" s="13">
        <f t="shared" si="196"/>
        <v>442.18288190204635</v>
      </c>
      <c r="P172" s="13">
        <f t="shared" si="196"/>
        <v>416.27468082567066</v>
      </c>
      <c r="Q172" s="13">
        <f t="shared" si="196"/>
        <v>399.61327908899227</v>
      </c>
      <c r="S172" s="49">
        <f t="shared" si="149"/>
        <v>-0.60259503720256902</v>
      </c>
      <c r="T172" s="49">
        <f t="shared" si="150"/>
        <v>-1.0071566567501633</v>
      </c>
      <c r="W172" s="12" t="str">
        <f t="shared" ref="W172:AB172" si="197">W31</f>
        <v xml:space="preserve"> 91 Elementary trades and related occupations</v>
      </c>
      <c r="X172" s="13">
        <f t="shared" si="197"/>
        <v>83.401852001522514</v>
      </c>
      <c r="Y172" s="13">
        <f t="shared" si="197"/>
        <v>94.662390514099783</v>
      </c>
      <c r="Z172" s="13">
        <f t="shared" si="197"/>
        <v>112.95090768793037</v>
      </c>
      <c r="AA172" s="13">
        <f t="shared" si="197"/>
        <v>122.7260222289881</v>
      </c>
      <c r="AB172" s="13">
        <f t="shared" si="197"/>
        <v>131.36203716391941</v>
      </c>
      <c r="AD172" s="49">
        <f t="shared" si="152"/>
        <v>3.0792863357387068</v>
      </c>
      <c r="AE172" s="49">
        <f t="shared" si="153"/>
        <v>1.5214974369405443</v>
      </c>
    </row>
    <row r="173" spans="1:31" x14ac:dyDescent="0.25">
      <c r="A173" s="12" t="str">
        <f t="shared" si="145"/>
        <v xml:space="preserve"> 92 Elementary administration and service occupations</v>
      </c>
      <c r="B173" s="13">
        <f t="shared" si="145"/>
        <v>3484.0820997201308</v>
      </c>
      <c r="C173" s="13">
        <f t="shared" si="145"/>
        <v>3235.6878010367845</v>
      </c>
      <c r="D173" s="13">
        <f t="shared" si="145"/>
        <v>3400.859321554502</v>
      </c>
      <c r="E173" s="13">
        <f t="shared" si="145"/>
        <v>3409.040265297268</v>
      </c>
      <c r="F173" s="13">
        <f t="shared" si="145"/>
        <v>3415.9759462743414</v>
      </c>
      <c r="H173" s="49">
        <f t="shared" si="146"/>
        <v>-0.24147280601504173</v>
      </c>
      <c r="I173" s="49">
        <f t="shared" si="147"/>
        <v>4.4360767386986133E-2</v>
      </c>
      <c r="L173" s="12" t="str">
        <f t="shared" ref="L173:Q173" si="198">L32</f>
        <v xml:space="preserve"> 92 Elementary administration and service occupations</v>
      </c>
      <c r="M173" s="13">
        <f t="shared" si="198"/>
        <v>1485.4854678879624</v>
      </c>
      <c r="N173" s="13">
        <f t="shared" si="198"/>
        <v>1474.8749575533025</v>
      </c>
      <c r="O173" s="13">
        <f t="shared" si="198"/>
        <v>1653.0345846304847</v>
      </c>
      <c r="P173" s="13">
        <f t="shared" si="198"/>
        <v>1728.104547871081</v>
      </c>
      <c r="Q173" s="13">
        <f t="shared" si="198"/>
        <v>1815.3093387344427</v>
      </c>
      <c r="S173" s="49">
        <f t="shared" si="149"/>
        <v>1.074442192282099</v>
      </c>
      <c r="T173" s="49">
        <f t="shared" si="150"/>
        <v>0.9408297055520265</v>
      </c>
      <c r="W173" s="12" t="str">
        <f t="shared" ref="W173:AB173" si="199">W32</f>
        <v xml:space="preserve"> 92 Elementary administration and service occupations</v>
      </c>
      <c r="X173" s="13">
        <f t="shared" si="199"/>
        <v>1998.5966318321712</v>
      </c>
      <c r="Y173" s="13">
        <f t="shared" si="199"/>
        <v>1760.8128434834825</v>
      </c>
      <c r="Z173" s="13">
        <f t="shared" si="199"/>
        <v>1747.8247369240221</v>
      </c>
      <c r="AA173" s="13">
        <f t="shared" si="199"/>
        <v>1680.935717426182</v>
      </c>
      <c r="AB173" s="13">
        <f t="shared" si="199"/>
        <v>1600.6666075398941</v>
      </c>
      <c r="AD173" s="49">
        <f t="shared" si="152"/>
        <v>-1.3317846449390491</v>
      </c>
      <c r="AE173" s="49">
        <f t="shared" si="153"/>
        <v>-0.875661902657765</v>
      </c>
    </row>
    <row r="174" spans="1:31" x14ac:dyDescent="0.25">
      <c r="A174" s="12"/>
      <c r="B174" s="13"/>
      <c r="C174" s="13"/>
      <c r="D174" s="13"/>
      <c r="E174" s="13"/>
      <c r="F174" s="13"/>
      <c r="H174" s="49"/>
      <c r="I174" s="49"/>
      <c r="L174" s="12"/>
      <c r="M174" s="13"/>
      <c r="N174" s="13"/>
      <c r="O174" s="13"/>
      <c r="P174" s="13"/>
      <c r="Q174" s="13"/>
      <c r="S174" s="49"/>
      <c r="T174" s="49"/>
      <c r="W174" s="12"/>
      <c r="X174" s="13"/>
      <c r="Y174" s="13"/>
      <c r="Z174" s="13"/>
      <c r="AA174" s="13"/>
      <c r="AB174" s="13"/>
      <c r="AD174" s="49"/>
      <c r="AE174" s="49"/>
    </row>
    <row r="175" spans="1:31" x14ac:dyDescent="0.25">
      <c r="A175" s="336" t="str">
        <f t="shared" si="145"/>
        <v>All occupations</v>
      </c>
      <c r="B175" s="39">
        <f t="shared" si="145"/>
        <v>31790.007000000074</v>
      </c>
      <c r="C175" s="39">
        <f t="shared" si="145"/>
        <v>31800.013000000261</v>
      </c>
      <c r="D175" s="39">
        <f t="shared" si="145"/>
        <v>34847.991999999984</v>
      </c>
      <c r="E175" s="39">
        <f t="shared" si="145"/>
        <v>35250.447999999968</v>
      </c>
      <c r="F175" s="39">
        <f t="shared" si="145"/>
        <v>35820.953000000147</v>
      </c>
      <c r="H175" s="52">
        <f t="shared" si="146"/>
        <v>0.92266577864263954</v>
      </c>
      <c r="I175" s="52">
        <f t="shared" si="147"/>
        <v>0.27575434824573808</v>
      </c>
      <c r="L175" s="336" t="str">
        <f t="shared" ref="L175:Q175" si="200">L34</f>
        <v>All occupations</v>
      </c>
      <c r="M175" s="39">
        <f t="shared" si="200"/>
        <v>16786.109000000004</v>
      </c>
      <c r="N175" s="39">
        <f t="shared" si="200"/>
        <v>16739.57900000018</v>
      </c>
      <c r="O175" s="39">
        <f t="shared" si="200"/>
        <v>18231.892000000047</v>
      </c>
      <c r="P175" s="39">
        <f t="shared" si="200"/>
        <v>18283.14900000007</v>
      </c>
      <c r="Q175" s="39">
        <f t="shared" si="200"/>
        <v>18413.985000000124</v>
      </c>
      <c r="S175" s="52">
        <f t="shared" ref="S175" si="201">IF(O$147-M$147 &lt;&gt; 0,(EXP(LN(O175/M175)/(O$147-M$147))-1)*100,0)</f>
        <v>0.82962919794082879</v>
      </c>
      <c r="T175" s="52">
        <f t="shared" ref="T175" si="202">IF(Q$147-O$147 &lt;&gt; 0,(EXP(LN(Q175/O175)/(Q$147-O$147))-1)*100,0)</f>
        <v>9.9430018827284528E-2</v>
      </c>
      <c r="W175" s="336" t="str">
        <f t="shared" ref="W175:AB175" si="203">W34</f>
        <v>All occupations</v>
      </c>
      <c r="X175" s="39">
        <f t="shared" si="203"/>
        <v>15003.898000000074</v>
      </c>
      <c r="Y175" s="39">
        <f t="shared" si="203"/>
        <v>15060.434000000081</v>
      </c>
      <c r="Z175" s="39">
        <f t="shared" si="203"/>
        <v>16616.099999999948</v>
      </c>
      <c r="AA175" s="39">
        <f t="shared" si="203"/>
        <v>16967.298999999875</v>
      </c>
      <c r="AB175" s="39">
        <f t="shared" si="203"/>
        <v>17406.968000000015</v>
      </c>
      <c r="AD175" s="52">
        <f t="shared" ref="AD175" si="204">IF(Z$147-X$147 &lt;&gt; 0,(EXP(LN(Z175/X175)/(Z$147-X$147))-1)*100,0)</f>
        <v>1.025846805984143</v>
      </c>
      <c r="AE175" s="52">
        <f t="shared" ref="AE175" si="205">IF(AB$147-Z$147 &lt;&gt; 0,(EXP(LN(AB175/Z175)/(AB$147-Z$147))-1)*100,0)</f>
        <v>0.46606754166240716</v>
      </c>
    </row>
    <row r="176" spans="1:31" x14ac:dyDescent="0.25">
      <c r="A176" s="12"/>
    </row>
    <row r="177" spans="1:1" x14ac:dyDescent="0.25">
      <c r="A177" s="12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3" manualBreakCount="3">
    <brk id="36" max="16383" man="1"/>
    <brk id="72" max="16383" man="1"/>
    <brk id="108" max="16383" man="1"/>
  </rowBreaks>
  <colBreaks count="2" manualBreakCount="2">
    <brk id="10" max="141" man="1"/>
    <brk id="21" max="141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101"/>
  <sheetViews>
    <sheetView showGridLines="0" zoomScale="85" zoomScaleNormal="85" workbookViewId="0"/>
  </sheetViews>
  <sheetFormatPr defaultRowHeight="13.2" x14ac:dyDescent="0.25"/>
  <cols>
    <col min="1" max="1" width="54.6640625" customWidth="1"/>
    <col min="2" max="6" width="11.6640625" customWidth="1"/>
    <col min="7" max="7" width="5.6640625" customWidth="1"/>
    <col min="8" max="12" width="11.6640625" customWidth="1"/>
  </cols>
  <sheetData>
    <row r="1" spans="1:12" ht="15.6" x14ac:dyDescent="0.3">
      <c r="A1" s="23" t="str">
        <f>CONCATENATE("Occupation Table 3  Employment Change by Occupation in Occupation Group (SOC 2010), ",B$5,"-",F$5)</f>
        <v>Occupation Table 3  Employment Change by Occupation in Occupation Group (SOC 2010), 2007-2027</v>
      </c>
    </row>
    <row r="2" spans="1:12" ht="12.75" customHeight="1" x14ac:dyDescent="0.3">
      <c r="A2" s="23"/>
    </row>
    <row r="3" spans="1:12" ht="12.75" customHeight="1" x14ac:dyDescent="0.3">
      <c r="A3" s="23"/>
      <c r="L3" s="43" t="s">
        <v>19</v>
      </c>
    </row>
    <row r="4" spans="1:12" x14ac:dyDescent="0.25">
      <c r="A4" s="41"/>
      <c r="B4" s="32" t="s">
        <v>17</v>
      </c>
      <c r="C4" s="41"/>
      <c r="D4" s="41"/>
      <c r="E4" s="41"/>
      <c r="F4" s="41"/>
      <c r="G4" s="41"/>
      <c r="H4" s="32" t="s">
        <v>18</v>
      </c>
      <c r="I4" s="41"/>
      <c r="J4" s="41"/>
      <c r="K4" s="41"/>
      <c r="L4" s="41"/>
    </row>
    <row r="5" spans="1:12" x14ac:dyDescent="0.25">
      <c r="A5" s="37"/>
      <c r="B5" s="40">
        <f>'Occ T1'!B6</f>
        <v>2007</v>
      </c>
      <c r="C5" s="40">
        <f>'Occ T1'!C6</f>
        <v>2012</v>
      </c>
      <c r="D5" s="40">
        <f>'Occ T1'!D6</f>
        <v>2017</v>
      </c>
      <c r="E5" s="40">
        <f>'Occ T1'!E6</f>
        <v>2022</v>
      </c>
      <c r="F5" s="40">
        <f>'Occ T1'!F6</f>
        <v>2027</v>
      </c>
      <c r="H5" s="42" t="str">
        <f>CONCATENATE(B$5,"-",C$5)</f>
        <v>2007-2012</v>
      </c>
      <c r="I5" s="42" t="str">
        <f>CONCATENATE(C$5,"-",D$5)</f>
        <v>2012-2017</v>
      </c>
      <c r="J5" s="42" t="str">
        <f>CONCATENATE(D$5,"-",E$5)</f>
        <v>2017-2022</v>
      </c>
      <c r="K5" s="42" t="str">
        <f>CONCATENATE(E$5,"-",F$5)</f>
        <v>2022-2027</v>
      </c>
      <c r="L5" s="42" t="str">
        <f>CONCATENATE(D$5,"-",F$5)</f>
        <v>2017-2027</v>
      </c>
    </row>
    <row r="7" spans="1:12" s="34" customFormat="1" x14ac:dyDescent="0.25">
      <c r="A7" s="34" t="str">
        <f>'Occ T1'!A8</f>
        <v>Managers, directors and senior officials</v>
      </c>
      <c r="B7" s="35">
        <f>'Occ T1'!B8</f>
        <v>2775.6722245764886</v>
      </c>
      <c r="C7" s="35">
        <f>'Occ T1'!C8</f>
        <v>3042.9552477890466</v>
      </c>
      <c r="D7" s="35">
        <f>'Occ T1'!D8</f>
        <v>3566.4243567681951</v>
      </c>
      <c r="E7" s="35">
        <f>'Occ T1'!E8</f>
        <v>3797.692018875618</v>
      </c>
      <c r="F7" s="35">
        <f>'Occ T1'!F8</f>
        <v>4004.9714119572809</v>
      </c>
      <c r="H7" s="35">
        <f>C7-B7</f>
        <v>267.28302321255796</v>
      </c>
      <c r="I7" s="35">
        <f>D7-C7</f>
        <v>523.46910897914859</v>
      </c>
      <c r="J7" s="35">
        <f>E7-D7</f>
        <v>231.26766210742289</v>
      </c>
      <c r="K7" s="35">
        <f>F7-E7</f>
        <v>207.27939308166287</v>
      </c>
      <c r="L7" s="35">
        <f>F7-D7</f>
        <v>438.54705518908577</v>
      </c>
    </row>
    <row r="8" spans="1:12" s="34" customFormat="1" x14ac:dyDescent="0.25">
      <c r="A8" s="12" t="str">
        <f>'Occ T2'!A8</f>
        <v xml:space="preserve"> 11 Corporate managers and directors</v>
      </c>
      <c r="B8" s="36">
        <f>'Occ T2'!B8</f>
        <v>1959.860057608056</v>
      </c>
      <c r="C8" s="36">
        <f>'Occ T2'!C8</f>
        <v>2116.4390715839208</v>
      </c>
      <c r="D8" s="36">
        <f>'Occ T2'!D8</f>
        <v>2526.0004771128533</v>
      </c>
      <c r="E8" s="36">
        <f>'Occ T2'!E8</f>
        <v>2707.1424196822263</v>
      </c>
      <c r="F8" s="36">
        <f>'Occ T2'!F8</f>
        <v>2874.8665595685711</v>
      </c>
      <c r="H8" s="35">
        <f t="shared" ref="H8:H9" si="0">C8-B8</f>
        <v>156.57901397586488</v>
      </c>
      <c r="I8" s="35">
        <f t="shared" ref="I8:I9" si="1">D8-C8</f>
        <v>409.56140552893248</v>
      </c>
      <c r="J8" s="35">
        <f t="shared" ref="J8:J9" si="2">E8-D8</f>
        <v>181.14194256937299</v>
      </c>
      <c r="K8" s="35">
        <f t="shared" ref="K8:K9" si="3">F8-E8</f>
        <v>167.7241398863448</v>
      </c>
      <c r="L8" s="35">
        <f t="shared" ref="L8:L48" si="4">F8-D8</f>
        <v>348.86608245571779</v>
      </c>
    </row>
    <row r="9" spans="1:12" s="34" customFormat="1" x14ac:dyDescent="0.25">
      <c r="A9" s="12" t="str">
        <f>'Occ T2'!A9</f>
        <v xml:space="preserve"> 12 Other managers and proprietors</v>
      </c>
      <c r="B9" s="36">
        <f>'Occ T2'!B9</f>
        <v>815.81216696843285</v>
      </c>
      <c r="C9" s="36">
        <f>'Occ T2'!C9</f>
        <v>926.5161762051257</v>
      </c>
      <c r="D9" s="36">
        <f>'Occ T2'!D9</f>
        <v>1040.4238796553416</v>
      </c>
      <c r="E9" s="36">
        <f>'Occ T2'!E9</f>
        <v>1090.5495991933917</v>
      </c>
      <c r="F9" s="36">
        <f>'Occ T2'!F9</f>
        <v>1130.1048523887098</v>
      </c>
      <c r="H9" s="35">
        <f t="shared" si="0"/>
        <v>110.70400923669285</v>
      </c>
      <c r="I9" s="35">
        <f t="shared" si="1"/>
        <v>113.90770345021588</v>
      </c>
      <c r="J9" s="35">
        <f t="shared" si="2"/>
        <v>50.125719538050134</v>
      </c>
      <c r="K9" s="35">
        <f t="shared" si="3"/>
        <v>39.555253195318073</v>
      </c>
      <c r="L9" s="35">
        <f t="shared" si="4"/>
        <v>89.680972733368208</v>
      </c>
    </row>
    <row r="10" spans="1:12" x14ac:dyDescent="0.25">
      <c r="B10" s="36"/>
      <c r="C10" s="36"/>
      <c r="D10" s="36"/>
      <c r="E10" s="36"/>
      <c r="F10" s="36"/>
      <c r="H10" s="13"/>
      <c r="I10" s="35"/>
      <c r="J10" s="13"/>
      <c r="K10" s="13"/>
      <c r="L10" s="35"/>
    </row>
    <row r="11" spans="1:12" s="34" customFormat="1" x14ac:dyDescent="0.25">
      <c r="A11" s="34" t="str">
        <f>'Occ T1'!A9</f>
        <v>Professional occupations</v>
      </c>
      <c r="B11" s="35">
        <f>'Occ T1'!B9</f>
        <v>5426.0517436222353</v>
      </c>
      <c r="C11" s="35">
        <f>'Occ T1'!C9</f>
        <v>5841.9253216752832</v>
      </c>
      <c r="D11" s="35">
        <f>'Occ T1'!D9</f>
        <v>6873.491838564174</v>
      </c>
      <c r="E11" s="35">
        <f>'Occ T1'!E9</f>
        <v>7275.3001598756555</v>
      </c>
      <c r="F11" s="35">
        <f>'Occ T1'!F9</f>
        <v>7694.6188836679112</v>
      </c>
      <c r="H11" s="35">
        <f>C11-B11</f>
        <v>415.87357805304782</v>
      </c>
      <c r="I11" s="35">
        <f t="shared" ref="I11:I48" si="5">D11-C11</f>
        <v>1031.5665168888909</v>
      </c>
      <c r="J11" s="35">
        <f>E11-D11</f>
        <v>401.80832131148145</v>
      </c>
      <c r="K11" s="35">
        <f>F11-E11</f>
        <v>419.3187237922557</v>
      </c>
      <c r="L11" s="35">
        <f t="shared" si="4"/>
        <v>821.12704510373715</v>
      </c>
    </row>
    <row r="12" spans="1:12" x14ac:dyDescent="0.25">
      <c r="A12" s="12" t="str">
        <f>'Occ T2'!A10</f>
        <v xml:space="preserve"> 21 Science, research, engineering and technology professionals</v>
      </c>
      <c r="B12" s="12">
        <f>'Occ T2'!B10</f>
        <v>1309.0639248560215</v>
      </c>
      <c r="C12" s="12">
        <f>'Occ T2'!C10</f>
        <v>1471.4000419031945</v>
      </c>
      <c r="D12" s="12">
        <f>'Occ T2'!D10</f>
        <v>1754.043337473742</v>
      </c>
      <c r="E12" s="12">
        <f>'Occ T2'!E10</f>
        <v>1837.0687006892717</v>
      </c>
      <c r="F12" s="12">
        <f>'Occ T2'!F10</f>
        <v>1913.5093729856687</v>
      </c>
      <c r="H12" s="13">
        <f t="shared" ref="H12:K14" si="6">C12-B12</f>
        <v>162.33611704717305</v>
      </c>
      <c r="I12" s="35">
        <f t="shared" si="5"/>
        <v>282.64329557054748</v>
      </c>
      <c r="J12" s="13">
        <f t="shared" si="6"/>
        <v>83.025363215529751</v>
      </c>
      <c r="K12" s="13">
        <f t="shared" si="6"/>
        <v>76.440672296396997</v>
      </c>
      <c r="L12" s="35">
        <f t="shared" si="4"/>
        <v>159.46603551192675</v>
      </c>
    </row>
    <row r="13" spans="1:12" x14ac:dyDescent="0.25">
      <c r="A13" s="12" t="str">
        <f>'Occ T2'!A11</f>
        <v xml:space="preserve"> 22 Health professionals</v>
      </c>
      <c r="B13" s="12">
        <f>'Occ T2'!B11</f>
        <v>1233.7012301866905</v>
      </c>
      <c r="C13" s="12">
        <f>'Occ T2'!C11</f>
        <v>1310.9895866420895</v>
      </c>
      <c r="D13" s="12">
        <f>'Occ T2'!D11</f>
        <v>1543.0008922696509</v>
      </c>
      <c r="E13" s="12">
        <f>'Occ T2'!E11</f>
        <v>1658.5245598766664</v>
      </c>
      <c r="F13" s="12">
        <f>'Occ T2'!F11</f>
        <v>1773.4125813814876</v>
      </c>
      <c r="H13" s="13">
        <f t="shared" si="6"/>
        <v>77.288356455399025</v>
      </c>
      <c r="I13" s="35">
        <f t="shared" si="5"/>
        <v>232.01130562756134</v>
      </c>
      <c r="J13" s="13">
        <f t="shared" si="6"/>
        <v>115.52366760701557</v>
      </c>
      <c r="K13" s="13">
        <f t="shared" si="6"/>
        <v>114.88802150482115</v>
      </c>
      <c r="L13" s="35">
        <f t="shared" si="4"/>
        <v>230.41168911183672</v>
      </c>
    </row>
    <row r="14" spans="1:12" x14ac:dyDescent="0.25">
      <c r="A14" s="12" t="str">
        <f>'Occ T2'!A12</f>
        <v xml:space="preserve"> 23 Teaching and educational professionals</v>
      </c>
      <c r="B14" s="12">
        <f>'Occ T2'!B12</f>
        <v>1418.9773616722084</v>
      </c>
      <c r="C14" s="12">
        <f>'Occ T2'!C12</f>
        <v>1495.3060186838754</v>
      </c>
      <c r="D14" s="12">
        <f>'Occ T2'!D12</f>
        <v>1720.7393221292084</v>
      </c>
      <c r="E14" s="12">
        <f>'Occ T2'!E12</f>
        <v>1789.5432408636937</v>
      </c>
      <c r="F14" s="12">
        <f>'Occ T2'!F12</f>
        <v>1932.8816486014659</v>
      </c>
      <c r="H14" s="13">
        <f t="shared" si="6"/>
        <v>76.328657011667019</v>
      </c>
      <c r="I14" s="35">
        <f t="shared" si="5"/>
        <v>225.43330344533297</v>
      </c>
      <c r="J14" s="13">
        <f t="shared" si="6"/>
        <v>68.803918734485251</v>
      </c>
      <c r="K14" s="13">
        <f t="shared" si="6"/>
        <v>143.33840773777229</v>
      </c>
      <c r="L14" s="35">
        <f t="shared" si="4"/>
        <v>212.14232647225754</v>
      </c>
    </row>
    <row r="15" spans="1:12" s="218" customFormat="1" x14ac:dyDescent="0.25">
      <c r="A15" s="12" t="str">
        <f>'Occ T2'!A13</f>
        <v xml:space="preserve"> 24 Business, media and public service professionals</v>
      </c>
      <c r="B15" s="12">
        <f>'Occ T2'!B13</f>
        <v>1464.3092269073152</v>
      </c>
      <c r="C15" s="12">
        <f>'Occ T2'!C13</f>
        <v>1564.2296744461235</v>
      </c>
      <c r="D15" s="12">
        <f>'Occ T2'!D13</f>
        <v>1855.7082866915723</v>
      </c>
      <c r="E15" s="12">
        <f>'Occ T2'!E13</f>
        <v>1990.1636584460241</v>
      </c>
      <c r="F15" s="12">
        <f>'Occ T2'!F13</f>
        <v>2074.8152806992894</v>
      </c>
      <c r="H15" s="13">
        <f t="shared" ref="H15" si="7">C15-B15</f>
        <v>99.920447538808276</v>
      </c>
      <c r="I15" s="35">
        <f t="shared" si="5"/>
        <v>291.47861224544886</v>
      </c>
      <c r="J15" s="13">
        <f t="shared" ref="J15" si="8">E15-D15</f>
        <v>134.45537175445179</v>
      </c>
      <c r="K15" s="13">
        <f t="shared" ref="K15" si="9">F15-E15</f>
        <v>84.651622253265259</v>
      </c>
      <c r="L15" s="35">
        <f t="shared" si="4"/>
        <v>219.10699400771705</v>
      </c>
    </row>
    <row r="16" spans="1:12" x14ac:dyDescent="0.25">
      <c r="A16" s="12"/>
      <c r="B16" s="36"/>
      <c r="C16" s="36"/>
      <c r="D16" s="36"/>
      <c r="E16" s="36"/>
      <c r="F16" s="36"/>
      <c r="H16" s="13"/>
      <c r="I16" s="35"/>
      <c r="J16" s="13"/>
      <c r="K16" s="13"/>
      <c r="L16" s="35"/>
    </row>
    <row r="17" spans="1:12" s="34" customFormat="1" x14ac:dyDescent="0.25">
      <c r="A17" s="34" t="str">
        <f>'Occ T1'!A10</f>
        <v>Associate professional and technical</v>
      </c>
      <c r="B17" s="35">
        <f>'Occ T1'!B10</f>
        <v>4192.1889515946241</v>
      </c>
      <c r="C17" s="35">
        <f>'Occ T1'!C10</f>
        <v>4245.3870699108684</v>
      </c>
      <c r="D17" s="35">
        <f>'Occ T1'!D10</f>
        <v>4884.3836819220542</v>
      </c>
      <c r="E17" s="35">
        <f>'Occ T1'!E10</f>
        <v>5123.1465499937876</v>
      </c>
      <c r="F17" s="35">
        <f>'Occ T1'!F10</f>
        <v>5309.5219594020828</v>
      </c>
      <c r="H17" s="35">
        <f t="shared" ref="H17:K21" si="10">C17-B17</f>
        <v>53.19811831624429</v>
      </c>
      <c r="I17" s="35">
        <f t="shared" si="5"/>
        <v>638.99661201118579</v>
      </c>
      <c r="J17" s="35">
        <f t="shared" si="10"/>
        <v>238.76286807173346</v>
      </c>
      <c r="K17" s="35">
        <f t="shared" si="10"/>
        <v>186.37540940829513</v>
      </c>
      <c r="L17" s="35">
        <f t="shared" si="4"/>
        <v>425.13827748002859</v>
      </c>
    </row>
    <row r="18" spans="1:12" x14ac:dyDescent="0.25">
      <c r="A18" s="12" t="str">
        <f>'Occ T2'!A14</f>
        <v xml:space="preserve"> 31 Science, engineering and technology associate professionals</v>
      </c>
      <c r="B18" s="12">
        <f>'Occ T2'!B14</f>
        <v>609.64387238354675</v>
      </c>
      <c r="C18" s="12">
        <f>'Occ T2'!C14</f>
        <v>599.43705846653575</v>
      </c>
      <c r="D18" s="12">
        <f>'Occ T2'!D14</f>
        <v>671.15032184498148</v>
      </c>
      <c r="E18" s="12">
        <f>'Occ T2'!E14</f>
        <v>673.6704789806239</v>
      </c>
      <c r="F18" s="12">
        <f>'Occ T2'!F14</f>
        <v>680.11357914850748</v>
      </c>
      <c r="H18" s="13">
        <f t="shared" si="10"/>
        <v>-10.206813917011004</v>
      </c>
      <c r="I18" s="35">
        <f t="shared" si="5"/>
        <v>71.713263378445731</v>
      </c>
      <c r="J18" s="13">
        <f t="shared" si="10"/>
        <v>2.5201571356424211</v>
      </c>
      <c r="K18" s="13">
        <f t="shared" si="10"/>
        <v>6.4431001678835855</v>
      </c>
      <c r="L18" s="35">
        <f t="shared" si="4"/>
        <v>8.9632573035260066</v>
      </c>
    </row>
    <row r="19" spans="1:12" x14ac:dyDescent="0.25">
      <c r="A19" s="12" t="str">
        <f>'Occ T2'!A15</f>
        <v xml:space="preserve"> 32 Health and social care associate professionals</v>
      </c>
      <c r="B19" s="12">
        <f>'Occ T2'!B15</f>
        <v>418.2503777870802</v>
      </c>
      <c r="C19" s="12">
        <f>'Occ T2'!C15</f>
        <v>445.88556873648133</v>
      </c>
      <c r="D19" s="12">
        <f>'Occ T2'!D15</f>
        <v>529.88238393074425</v>
      </c>
      <c r="E19" s="12">
        <f>'Occ T2'!E15</f>
        <v>572.19485800004077</v>
      </c>
      <c r="F19" s="12">
        <f>'Occ T2'!F15</f>
        <v>612.80601566154201</v>
      </c>
      <c r="H19" s="13">
        <f t="shared" si="10"/>
        <v>27.635190949401135</v>
      </c>
      <c r="I19" s="35">
        <f t="shared" si="5"/>
        <v>83.996815194262922</v>
      </c>
      <c r="J19" s="13">
        <f t="shared" si="10"/>
        <v>42.312474069296513</v>
      </c>
      <c r="K19" s="13">
        <f t="shared" si="10"/>
        <v>40.611157661501238</v>
      </c>
      <c r="L19" s="35">
        <f t="shared" si="4"/>
        <v>82.923631730797752</v>
      </c>
    </row>
    <row r="20" spans="1:12" x14ac:dyDescent="0.25">
      <c r="A20" s="12" t="str">
        <f>'Occ T2'!A16</f>
        <v xml:space="preserve"> 33 Protective service occupations</v>
      </c>
      <c r="B20" s="12">
        <f>'Occ T2'!B16</f>
        <v>400.38621990721509</v>
      </c>
      <c r="C20" s="12">
        <f>'Occ T2'!C16</f>
        <v>374.21993286781867</v>
      </c>
      <c r="D20" s="12">
        <f>'Occ T2'!D16</f>
        <v>386.24918721957175</v>
      </c>
      <c r="E20" s="12">
        <f>'Occ T2'!E16</f>
        <v>376.25438198127227</v>
      </c>
      <c r="F20" s="12">
        <f>'Occ T2'!F16</f>
        <v>375.37070820018812</v>
      </c>
      <c r="H20" s="13">
        <f t="shared" si="10"/>
        <v>-26.166287039396423</v>
      </c>
      <c r="I20" s="35">
        <f t="shared" si="5"/>
        <v>12.029254351753082</v>
      </c>
      <c r="J20" s="13">
        <f t="shared" si="10"/>
        <v>-9.9948052382994774</v>
      </c>
      <c r="K20" s="13">
        <f t="shared" si="10"/>
        <v>-0.88367378108415551</v>
      </c>
      <c r="L20" s="35">
        <f t="shared" si="4"/>
        <v>-10.878479019383633</v>
      </c>
    </row>
    <row r="21" spans="1:12" x14ac:dyDescent="0.25">
      <c r="A21" s="12" t="str">
        <f>'Occ T2'!A17</f>
        <v xml:space="preserve"> 34 Culture, media and sports occupations</v>
      </c>
      <c r="B21" s="12">
        <f>'Occ T2'!B17</f>
        <v>705.31543668957329</v>
      </c>
      <c r="C21" s="12">
        <f>'Occ T2'!C17</f>
        <v>734.91048616584931</v>
      </c>
      <c r="D21" s="12">
        <f>'Occ T2'!D17</f>
        <v>839.68302886898528</v>
      </c>
      <c r="E21" s="12">
        <f>'Occ T2'!E17</f>
        <v>883.81407897069801</v>
      </c>
      <c r="F21" s="12">
        <f>'Occ T2'!F17</f>
        <v>891.90974845505184</v>
      </c>
      <c r="H21" s="13">
        <f t="shared" si="10"/>
        <v>29.595049476276017</v>
      </c>
      <c r="I21" s="35">
        <f t="shared" si="5"/>
        <v>104.77254270313597</v>
      </c>
      <c r="J21" s="13">
        <f t="shared" si="10"/>
        <v>44.131050101712731</v>
      </c>
      <c r="K21" s="13">
        <f t="shared" si="10"/>
        <v>8.0956694843538344</v>
      </c>
      <c r="L21" s="35">
        <f t="shared" si="4"/>
        <v>52.226719586066565</v>
      </c>
    </row>
    <row r="22" spans="1:12" s="218" customFormat="1" x14ac:dyDescent="0.25">
      <c r="A22" s="12" t="str">
        <f>'Occ T2'!A18</f>
        <v xml:space="preserve"> 35 Business and public service associate professionals</v>
      </c>
      <c r="B22" s="12">
        <f>'Occ T2'!B18</f>
        <v>2058.5930448272088</v>
      </c>
      <c r="C22" s="12">
        <f>'Occ T2'!C18</f>
        <v>2090.9340236741837</v>
      </c>
      <c r="D22" s="12">
        <f>'Occ T2'!D18</f>
        <v>2457.418760057772</v>
      </c>
      <c r="E22" s="12">
        <f>'Occ T2'!E18</f>
        <v>2617.2127520611521</v>
      </c>
      <c r="F22" s="12">
        <f>'Occ T2'!F18</f>
        <v>2749.3219079367932</v>
      </c>
      <c r="H22" s="13">
        <f t="shared" ref="H22" si="11">C22-B22</f>
        <v>32.340978846974849</v>
      </c>
      <c r="I22" s="35">
        <f t="shared" si="5"/>
        <v>366.48473638358837</v>
      </c>
      <c r="J22" s="13">
        <f t="shared" ref="J22" si="12">E22-D22</f>
        <v>159.79399200338003</v>
      </c>
      <c r="K22" s="13">
        <f t="shared" ref="K22" si="13">F22-E22</f>
        <v>132.10915587564114</v>
      </c>
      <c r="L22" s="35">
        <f t="shared" si="4"/>
        <v>291.90314787902116</v>
      </c>
    </row>
    <row r="23" spans="1:12" x14ac:dyDescent="0.25">
      <c r="A23" s="12"/>
      <c r="B23" s="36"/>
      <c r="C23" s="36"/>
      <c r="D23" s="36"/>
      <c r="E23" s="36"/>
      <c r="F23" s="36"/>
      <c r="H23" s="13"/>
      <c r="I23" s="35"/>
      <c r="J23" s="13"/>
      <c r="K23" s="13"/>
      <c r="L23" s="35"/>
    </row>
    <row r="24" spans="1:12" s="34" customFormat="1" x14ac:dyDescent="0.25">
      <c r="A24" s="34" t="str">
        <f>'Occ T1'!A11</f>
        <v>Administrative and secretarial</v>
      </c>
      <c r="B24" s="35">
        <f>'Occ T1'!B11</f>
        <v>4023.3774927122436</v>
      </c>
      <c r="C24" s="35">
        <f>'Occ T1'!C11</f>
        <v>3686.6891232188909</v>
      </c>
      <c r="D24" s="35">
        <f>'Occ T1'!D11</f>
        <v>3680.7863975420601</v>
      </c>
      <c r="E24" s="35">
        <f>'Occ T1'!E11</f>
        <v>3359.0863632166529</v>
      </c>
      <c r="F24" s="35">
        <f>'Occ T1'!F11</f>
        <v>3077.1550769501691</v>
      </c>
      <c r="H24" s="35">
        <f t="shared" ref="H24:K26" si="14">C24-B24</f>
        <v>-336.68836949335264</v>
      </c>
      <c r="I24" s="35">
        <f t="shared" si="5"/>
        <v>-5.9027256768308689</v>
      </c>
      <c r="J24" s="35">
        <f t="shared" si="14"/>
        <v>-321.70003432540716</v>
      </c>
      <c r="K24" s="35">
        <f t="shared" si="14"/>
        <v>-281.93128626648377</v>
      </c>
      <c r="L24" s="35">
        <f t="shared" si="4"/>
        <v>-603.63132059189093</v>
      </c>
    </row>
    <row r="25" spans="1:12" x14ac:dyDescent="0.25">
      <c r="A25" s="243" t="str">
        <f>'Occ T2'!A19</f>
        <v xml:space="preserve"> 41 Administrative occupations</v>
      </c>
      <c r="B25" s="36">
        <f>'Occ T2'!B19</f>
        <v>3030.0405454519719</v>
      </c>
      <c r="C25" s="36">
        <f>'Occ T2'!C19</f>
        <v>2822.3371958236908</v>
      </c>
      <c r="D25" s="36">
        <f>'Occ T2'!D19</f>
        <v>2931.8021720360434</v>
      </c>
      <c r="E25" s="36">
        <f>'Occ T2'!E19</f>
        <v>2801.6146683960205</v>
      </c>
      <c r="F25" s="36">
        <f>'Occ T2'!F19</f>
        <v>2688.2376263800124</v>
      </c>
      <c r="H25" s="13">
        <f t="shared" si="14"/>
        <v>-207.7033496282811</v>
      </c>
      <c r="I25" s="35">
        <f t="shared" si="5"/>
        <v>109.46497621235267</v>
      </c>
      <c r="J25" s="13">
        <f t="shared" si="14"/>
        <v>-130.1875036400229</v>
      </c>
      <c r="K25" s="13">
        <f t="shared" si="14"/>
        <v>-113.37704201600809</v>
      </c>
      <c r="L25" s="35">
        <f t="shared" si="4"/>
        <v>-243.56454565603099</v>
      </c>
    </row>
    <row r="26" spans="1:12" x14ac:dyDescent="0.25">
      <c r="A26" s="286" t="str">
        <f>'Occ T2'!A20</f>
        <v xml:space="preserve"> 42 Secretarial and related occupations</v>
      </c>
      <c r="B26" s="36">
        <f>'Occ T2'!B20</f>
        <v>993.33694726027159</v>
      </c>
      <c r="C26" s="36">
        <f>'Occ T2'!C20</f>
        <v>864.35192739519994</v>
      </c>
      <c r="D26" s="36">
        <f>'Occ T2'!D20</f>
        <v>748.98422550601674</v>
      </c>
      <c r="E26" s="36">
        <f>'Occ T2'!E20</f>
        <v>557.47169482063259</v>
      </c>
      <c r="F26" s="36">
        <f>'Occ T2'!F20</f>
        <v>388.91745057015663</v>
      </c>
      <c r="H26" s="13">
        <f t="shared" si="14"/>
        <v>-128.98501986507165</v>
      </c>
      <c r="I26" s="35">
        <f t="shared" si="5"/>
        <v>-115.36770188918319</v>
      </c>
      <c r="J26" s="13">
        <f t="shared" si="14"/>
        <v>-191.51253068538415</v>
      </c>
      <c r="K26" s="13">
        <f t="shared" si="14"/>
        <v>-168.55424425047596</v>
      </c>
      <c r="L26" s="35">
        <f t="shared" si="4"/>
        <v>-360.06677493586011</v>
      </c>
    </row>
    <row r="27" spans="1:12" x14ac:dyDescent="0.25">
      <c r="B27" s="36"/>
      <c r="C27" s="36"/>
      <c r="D27" s="36"/>
      <c r="E27" s="36"/>
      <c r="F27" s="36"/>
      <c r="H27" s="13"/>
      <c r="I27" s="35"/>
      <c r="J27" s="13"/>
      <c r="K27" s="13"/>
      <c r="L27" s="35"/>
    </row>
    <row r="28" spans="1:12" s="34" customFormat="1" x14ac:dyDescent="0.25">
      <c r="A28" s="34" t="str">
        <f>'Occ T1'!A12</f>
        <v>Skilled trades occupations</v>
      </c>
      <c r="B28" s="35">
        <f>'Occ T1'!B12</f>
        <v>3583.6153277284657</v>
      </c>
      <c r="C28" s="35">
        <f>'Occ T1'!C12</f>
        <v>3361.0404349463947</v>
      </c>
      <c r="D28" s="35">
        <f>'Occ T1'!D12</f>
        <v>3432.8363588721904</v>
      </c>
      <c r="E28" s="35">
        <f>'Occ T1'!E12</f>
        <v>3268.9532522745712</v>
      </c>
      <c r="F28" s="35">
        <f>'Occ T1'!F12</f>
        <v>3126.1855521756024</v>
      </c>
      <c r="H28" s="35">
        <f t="shared" ref="H28:K30" si="15">C28-B28</f>
        <v>-222.57489278207095</v>
      </c>
      <c r="I28" s="35">
        <f t="shared" si="5"/>
        <v>71.795923925795705</v>
      </c>
      <c r="J28" s="35">
        <f t="shared" si="15"/>
        <v>-163.88310659761919</v>
      </c>
      <c r="K28" s="35">
        <f t="shared" si="15"/>
        <v>-142.76770009896882</v>
      </c>
      <c r="L28" s="35">
        <f t="shared" si="4"/>
        <v>-306.65080669658801</v>
      </c>
    </row>
    <row r="29" spans="1:12" x14ac:dyDescent="0.25">
      <c r="A29" s="12" t="str">
        <f>'Occ T2'!A21</f>
        <v xml:space="preserve"> 51 Skilled agricultural and related trades</v>
      </c>
      <c r="B29" s="12">
        <f>'Occ T2'!B21</f>
        <v>326.59568567127343</v>
      </c>
      <c r="C29" s="12">
        <f>'Occ T2'!C21</f>
        <v>361.16839275811896</v>
      </c>
      <c r="D29" s="12">
        <f>'Occ T2'!D21</f>
        <v>354.96114624116797</v>
      </c>
      <c r="E29" s="12">
        <f>'Occ T2'!E21</f>
        <v>349.16485691298192</v>
      </c>
      <c r="F29" s="12">
        <f>'Occ T2'!F21</f>
        <v>360.42857252278969</v>
      </c>
      <c r="H29" s="13">
        <f t="shared" si="15"/>
        <v>34.572707086845526</v>
      </c>
      <c r="I29" s="35">
        <f t="shared" si="5"/>
        <v>-6.2072465169509883</v>
      </c>
      <c r="J29" s="13">
        <f t="shared" si="15"/>
        <v>-5.7962893281860488</v>
      </c>
      <c r="K29" s="13">
        <f t="shared" si="15"/>
        <v>11.263715609807775</v>
      </c>
      <c r="L29" s="35">
        <f t="shared" si="4"/>
        <v>5.4674262816217265</v>
      </c>
    </row>
    <row r="30" spans="1:12" x14ac:dyDescent="0.25">
      <c r="A30" s="12" t="str">
        <f>'Occ T2'!A22</f>
        <v xml:space="preserve"> 52 Skilled metal, electrical and electronic trades</v>
      </c>
      <c r="B30" s="12">
        <f>'Occ T2'!B22</f>
        <v>1279.19315247642</v>
      </c>
      <c r="C30" s="12">
        <f>'Occ T2'!C22</f>
        <v>1207.166298134011</v>
      </c>
      <c r="D30" s="12">
        <f>'Occ T2'!D22</f>
        <v>1228.0409620922514</v>
      </c>
      <c r="E30" s="12">
        <f>'Occ T2'!E22</f>
        <v>1118.2338508289929</v>
      </c>
      <c r="F30" s="12">
        <f>'Occ T2'!F22</f>
        <v>1043.8089392652857</v>
      </c>
      <c r="H30" s="13">
        <f t="shared" si="15"/>
        <v>-72.026854342409024</v>
      </c>
      <c r="I30" s="35">
        <f t="shared" si="5"/>
        <v>20.87466395824049</v>
      </c>
      <c r="J30" s="13">
        <f t="shared" si="15"/>
        <v>-109.80711126325855</v>
      </c>
      <c r="K30" s="13">
        <f t="shared" si="15"/>
        <v>-74.424911563707155</v>
      </c>
      <c r="L30" s="35">
        <f t="shared" si="4"/>
        <v>-184.2320228269657</v>
      </c>
    </row>
    <row r="31" spans="1:12" s="218" customFormat="1" x14ac:dyDescent="0.25">
      <c r="A31" s="12" t="str">
        <f>'Occ T2'!A23</f>
        <v xml:space="preserve"> 53 Skilled construction and building trades</v>
      </c>
      <c r="B31" s="12">
        <f>'Occ T2'!B23</f>
        <v>1134.0272967353342</v>
      </c>
      <c r="C31" s="12">
        <f>'Occ T2'!C23</f>
        <v>997.18720072581925</v>
      </c>
      <c r="D31" s="12">
        <f>'Occ T2'!D23</f>
        <v>1069.1049856779691</v>
      </c>
      <c r="E31" s="12">
        <f>'Occ T2'!E23</f>
        <v>1083.6604766975181</v>
      </c>
      <c r="F31" s="12">
        <f>'Occ T2'!F23</f>
        <v>1063.8777838174137</v>
      </c>
      <c r="H31" s="13">
        <f t="shared" ref="H31:H32" si="16">C31-B31</f>
        <v>-136.84009600951492</v>
      </c>
      <c r="I31" s="35">
        <f t="shared" si="5"/>
        <v>71.917784952149873</v>
      </c>
      <c r="J31" s="13">
        <f t="shared" ref="J31:J32" si="17">E31-D31</f>
        <v>14.555491019548981</v>
      </c>
      <c r="K31" s="13">
        <f t="shared" ref="K31:K32" si="18">F31-E31</f>
        <v>-19.782692880104378</v>
      </c>
      <c r="L31" s="35">
        <f t="shared" si="4"/>
        <v>-5.2272018605553967</v>
      </c>
    </row>
    <row r="32" spans="1:12" s="218" customFormat="1" x14ac:dyDescent="0.25">
      <c r="A32" s="12" t="str">
        <f>'Occ T2'!A24</f>
        <v xml:space="preserve"> 54 Textiles, printing and other skilled trades</v>
      </c>
      <c r="B32" s="12">
        <f>'Occ T2'!B24</f>
        <v>843.79919284543814</v>
      </c>
      <c r="C32" s="12">
        <f>'Occ T2'!C24</f>
        <v>795.51854332844539</v>
      </c>
      <c r="D32" s="12">
        <f>'Occ T2'!D24</f>
        <v>780.72926486080155</v>
      </c>
      <c r="E32" s="12">
        <f>'Occ T2'!E24</f>
        <v>717.8940678350782</v>
      </c>
      <c r="F32" s="12">
        <f>'Occ T2'!F24</f>
        <v>658.07025657011309</v>
      </c>
      <c r="H32" s="13">
        <f t="shared" si="16"/>
        <v>-48.280649516992753</v>
      </c>
      <c r="I32" s="35">
        <f t="shared" si="5"/>
        <v>-14.78927846764384</v>
      </c>
      <c r="J32" s="13">
        <f t="shared" si="17"/>
        <v>-62.835197025723346</v>
      </c>
      <c r="K32" s="13">
        <f t="shared" si="18"/>
        <v>-59.823811264965116</v>
      </c>
      <c r="L32" s="35">
        <f t="shared" si="4"/>
        <v>-122.65900829068846</v>
      </c>
    </row>
    <row r="33" spans="1:12" x14ac:dyDescent="0.25">
      <c r="A33" s="12"/>
      <c r="B33" s="36"/>
      <c r="C33" s="36"/>
      <c r="D33" s="36"/>
      <c r="E33" s="36"/>
      <c r="F33" s="36"/>
      <c r="H33" s="13"/>
      <c r="I33" s="35"/>
      <c r="J33" s="13"/>
      <c r="K33" s="13"/>
      <c r="L33" s="35"/>
    </row>
    <row r="34" spans="1:12" s="34" customFormat="1" x14ac:dyDescent="0.25">
      <c r="A34" s="34" t="str">
        <f>'Occ T1'!A13</f>
        <v>Caring, leisure and other service</v>
      </c>
      <c r="B34" s="35">
        <f>'Occ T1'!B13</f>
        <v>2645.5508227224036</v>
      </c>
      <c r="C34" s="35">
        <f>'Occ T1'!C13</f>
        <v>2889.5495700413439</v>
      </c>
      <c r="D34" s="35">
        <f>'Occ T1'!D13</f>
        <v>3345.0861257252427</v>
      </c>
      <c r="E34" s="35">
        <f>'Occ T1'!E13</f>
        <v>3549.556293296871</v>
      </c>
      <c r="F34" s="35">
        <f>'Occ T1'!F13</f>
        <v>3810.8091936423866</v>
      </c>
      <c r="H34" s="35">
        <f t="shared" ref="H34:K36" si="19">C34-B34</f>
        <v>243.99874731894033</v>
      </c>
      <c r="I34" s="35">
        <f t="shared" si="5"/>
        <v>455.53655568389877</v>
      </c>
      <c r="J34" s="35">
        <f t="shared" si="19"/>
        <v>204.47016757162828</v>
      </c>
      <c r="K34" s="35">
        <f t="shared" si="19"/>
        <v>261.25290034551563</v>
      </c>
      <c r="L34" s="35">
        <f t="shared" si="4"/>
        <v>465.72306791714391</v>
      </c>
    </row>
    <row r="35" spans="1:12" x14ac:dyDescent="0.25">
      <c r="A35" s="12" t="str">
        <f>'Occ T2'!A25</f>
        <v xml:space="preserve"> 61 Caring personal service occupations</v>
      </c>
      <c r="B35" s="12">
        <f>'Occ T2'!B25</f>
        <v>1960.332640697347</v>
      </c>
      <c r="C35" s="12">
        <f>'Occ T2'!C25</f>
        <v>2188.2931420126838</v>
      </c>
      <c r="D35" s="12">
        <f>'Occ T2'!D25</f>
        <v>2578.4645595025959</v>
      </c>
      <c r="E35" s="12">
        <f>'Occ T2'!E25</f>
        <v>2787.4164334872221</v>
      </c>
      <c r="F35" s="12">
        <f>'Occ T2'!F25</f>
        <v>3056.5262037008101</v>
      </c>
      <c r="G35" s="12"/>
      <c r="H35" s="13">
        <f t="shared" si="19"/>
        <v>227.96050131533684</v>
      </c>
      <c r="I35" s="35">
        <f t="shared" si="5"/>
        <v>390.17141748991207</v>
      </c>
      <c r="J35" s="13">
        <f t="shared" si="19"/>
        <v>208.95187398462622</v>
      </c>
      <c r="K35" s="13">
        <f t="shared" si="19"/>
        <v>269.10977021358804</v>
      </c>
      <c r="L35" s="35">
        <f t="shared" si="4"/>
        <v>478.06164419821425</v>
      </c>
    </row>
    <row r="36" spans="1:12" x14ac:dyDescent="0.25">
      <c r="A36" s="12" t="str">
        <f>'Occ T2'!A26</f>
        <v xml:space="preserve"> 62 Leisure, travel and related personal service occupations</v>
      </c>
      <c r="B36" s="12">
        <f>'Occ T2'!B26</f>
        <v>685.21818202505688</v>
      </c>
      <c r="C36" s="12">
        <f>'Occ T2'!C26</f>
        <v>701.25642802866014</v>
      </c>
      <c r="D36" s="12">
        <f>'Occ T2'!D26</f>
        <v>766.62156622264706</v>
      </c>
      <c r="E36" s="12">
        <f>'Occ T2'!E26</f>
        <v>762.13985980964901</v>
      </c>
      <c r="F36" s="12">
        <f>'Occ T2'!F26</f>
        <v>754.2829899415766</v>
      </c>
      <c r="G36" s="12"/>
      <c r="H36" s="13">
        <f t="shared" si="19"/>
        <v>16.038246003603263</v>
      </c>
      <c r="I36" s="35">
        <f t="shared" si="5"/>
        <v>65.365138193986922</v>
      </c>
      <c r="J36" s="13">
        <f t="shared" si="19"/>
        <v>-4.4817064129980508</v>
      </c>
      <c r="K36" s="13">
        <f t="shared" si="19"/>
        <v>-7.8568698680724083</v>
      </c>
      <c r="L36" s="35">
        <f t="shared" si="4"/>
        <v>-12.338576281070459</v>
      </c>
    </row>
    <row r="37" spans="1:12" x14ac:dyDescent="0.25">
      <c r="I37" s="35"/>
      <c r="L37" s="35"/>
    </row>
    <row r="38" spans="1:12" s="34" customFormat="1" x14ac:dyDescent="0.25">
      <c r="A38" s="34" t="str">
        <f>'Occ T1'!A14</f>
        <v>Sales and customer service</v>
      </c>
      <c r="B38" s="35">
        <f>'Occ T1'!B14</f>
        <v>2792.1839088149745</v>
      </c>
      <c r="C38" s="35">
        <f>'Occ T1'!C14</f>
        <v>2808.715933390687</v>
      </c>
      <c r="D38" s="35">
        <f>'Occ T1'!D14</f>
        <v>2929.0335907758267</v>
      </c>
      <c r="E38" s="35">
        <f>'Occ T1'!E14</f>
        <v>2881.2459863648064</v>
      </c>
      <c r="F38" s="35">
        <f>'Occ T1'!F14</f>
        <v>2876.6137458960302</v>
      </c>
      <c r="G38" s="54"/>
      <c r="H38" s="35">
        <f>C38-B38</f>
        <v>16.532024575712512</v>
      </c>
      <c r="I38" s="35">
        <f t="shared" si="5"/>
        <v>120.31765738513968</v>
      </c>
      <c r="J38" s="35">
        <f>E38-D38</f>
        <v>-47.787604411020311</v>
      </c>
      <c r="K38" s="35">
        <f>F38-E38</f>
        <v>-4.6322404687762173</v>
      </c>
      <c r="L38" s="35">
        <f t="shared" si="4"/>
        <v>-52.419844879796528</v>
      </c>
    </row>
    <row r="39" spans="1:12" s="34" customFormat="1" x14ac:dyDescent="0.25">
      <c r="A39" s="173" t="str">
        <f>'Occ T2'!A27</f>
        <v xml:space="preserve"> 71 Sales occupations</v>
      </c>
      <c r="B39" s="173">
        <f>'Occ T2'!B27</f>
        <v>2266.5991740353952</v>
      </c>
      <c r="C39" s="173">
        <f>'Occ T2'!C27</f>
        <v>2222.9839668671279</v>
      </c>
      <c r="D39" s="173">
        <f>'Occ T2'!D27</f>
        <v>2232.1008314340879</v>
      </c>
      <c r="E39" s="173">
        <f>'Occ T2'!E27</f>
        <v>2134.0816003374703</v>
      </c>
      <c r="F39" s="173">
        <f>'Occ T2'!F27</f>
        <v>2077.8628337740365</v>
      </c>
      <c r="G39" s="2"/>
      <c r="H39" s="13">
        <f t="shared" ref="H39" si="20">C39-B39</f>
        <v>-43.615207168267261</v>
      </c>
      <c r="I39" s="35">
        <f t="shared" si="5"/>
        <v>9.1168645669599755</v>
      </c>
      <c r="J39" s="13">
        <f t="shared" ref="J39" si="21">E39-D39</f>
        <v>-98.019231096617659</v>
      </c>
      <c r="K39" s="13">
        <f t="shared" ref="K39" si="22">F39-E39</f>
        <v>-56.218766563433746</v>
      </c>
      <c r="L39" s="35">
        <f t="shared" si="4"/>
        <v>-154.23799766005141</v>
      </c>
    </row>
    <row r="40" spans="1:12" s="34" customFormat="1" x14ac:dyDescent="0.25">
      <c r="A40" s="173" t="str">
        <f>'Occ T2'!A28</f>
        <v xml:space="preserve"> 72 Customer service occupations</v>
      </c>
      <c r="B40" s="173">
        <f>'Occ T2'!B28</f>
        <v>525.58473477957932</v>
      </c>
      <c r="C40" s="173">
        <f>'Occ T2'!C28</f>
        <v>585.73196652355909</v>
      </c>
      <c r="D40" s="173">
        <f>'Occ T2'!D28</f>
        <v>696.93275934173869</v>
      </c>
      <c r="E40" s="173">
        <f>'Occ T2'!E28</f>
        <v>747.16438602733615</v>
      </c>
      <c r="F40" s="173">
        <f>'Occ T2'!F28</f>
        <v>798.75091212199368</v>
      </c>
      <c r="G40" s="2"/>
      <c r="H40" s="13">
        <f t="shared" ref="H40" si="23">C40-B40</f>
        <v>60.147231743979773</v>
      </c>
      <c r="I40" s="35">
        <f t="shared" si="5"/>
        <v>111.20079281817959</v>
      </c>
      <c r="J40" s="13">
        <f t="shared" ref="J40" si="24">E40-D40</f>
        <v>50.231626685597462</v>
      </c>
      <c r="K40" s="13">
        <f t="shared" ref="K40" si="25">F40-E40</f>
        <v>51.586526094657529</v>
      </c>
      <c r="L40" s="35">
        <f t="shared" si="4"/>
        <v>101.81815278025499</v>
      </c>
    </row>
    <row r="41" spans="1:12" x14ac:dyDescent="0.25">
      <c r="B41" s="46"/>
      <c r="C41" s="46"/>
      <c r="D41" s="46"/>
      <c r="E41" s="46"/>
      <c r="F41" s="46"/>
      <c r="G41" s="2"/>
      <c r="H41" s="47"/>
      <c r="I41" s="35"/>
      <c r="J41" s="47"/>
      <c r="K41" s="47"/>
      <c r="L41" s="35"/>
    </row>
    <row r="42" spans="1:12" s="34" customFormat="1" x14ac:dyDescent="0.25">
      <c r="A42" s="34" t="str">
        <f>'Occ T1'!A15</f>
        <v>Process, plant and machine operatives</v>
      </c>
      <c r="B42" s="35">
        <f>'Occ T1'!B15</f>
        <v>2314.149151355934</v>
      </c>
      <c r="C42" s="35">
        <f>'Occ T1'!C15</f>
        <v>2157.5584632485761</v>
      </c>
      <c r="D42" s="35">
        <f>'Occ T1'!D15</f>
        <v>2179.9565386857666</v>
      </c>
      <c r="E42" s="35">
        <f>'Occ T1'!E15</f>
        <v>2047.4264077500793</v>
      </c>
      <c r="F42" s="35">
        <f>'Occ T1'!F15</f>
        <v>1974.125913781425</v>
      </c>
      <c r="G42" s="54"/>
      <c r="H42" s="35">
        <f t="shared" ref="H42:K44" si="26">C42-B42</f>
        <v>-156.59068810735789</v>
      </c>
      <c r="I42" s="35">
        <f t="shared" si="5"/>
        <v>22.398075437190528</v>
      </c>
      <c r="J42" s="35">
        <f t="shared" si="26"/>
        <v>-132.53013093568734</v>
      </c>
      <c r="K42" s="35">
        <f t="shared" si="26"/>
        <v>-73.300493968654337</v>
      </c>
      <c r="L42" s="35">
        <f t="shared" si="4"/>
        <v>-205.83062490434168</v>
      </c>
    </row>
    <row r="43" spans="1:12" x14ac:dyDescent="0.25">
      <c r="A43" s="12" t="str">
        <f>'Occ T2'!A29</f>
        <v xml:space="preserve"> 81 Process, plant and machine operatives</v>
      </c>
      <c r="B43" s="12">
        <f>'Occ T2'!B29</f>
        <v>1062.9416018239299</v>
      </c>
      <c r="C43" s="12">
        <f>'Occ T2'!C29</f>
        <v>947.27616497072279</v>
      </c>
      <c r="D43" s="12">
        <f>'Occ T2'!D29</f>
        <v>910.36505814126201</v>
      </c>
      <c r="E43" s="12">
        <f>'Occ T2'!E29</f>
        <v>788.01412016119968</v>
      </c>
      <c r="F43" s="12">
        <f>'Occ T2'!F29</f>
        <v>708.95931242337531</v>
      </c>
      <c r="G43" s="2"/>
      <c r="H43" s="13">
        <f t="shared" si="26"/>
        <v>-115.6654368532071</v>
      </c>
      <c r="I43" s="35">
        <f t="shared" si="5"/>
        <v>-36.911106829460778</v>
      </c>
      <c r="J43" s="13">
        <f t="shared" si="26"/>
        <v>-122.35093798006233</v>
      </c>
      <c r="K43" s="13">
        <f t="shared" si="26"/>
        <v>-79.054807737824376</v>
      </c>
      <c r="L43" s="35">
        <f t="shared" si="4"/>
        <v>-201.4057457178867</v>
      </c>
    </row>
    <row r="44" spans="1:12" x14ac:dyDescent="0.25">
      <c r="A44" s="12" t="str">
        <f>'Occ T2'!A30</f>
        <v xml:space="preserve"> 82 Transport and mobile machine drivers and operatives</v>
      </c>
      <c r="B44" s="12">
        <f>'Occ T2'!B30</f>
        <v>1251.2075495320041</v>
      </c>
      <c r="C44" s="12">
        <f>'Occ T2'!C30</f>
        <v>1210.2822982778534</v>
      </c>
      <c r="D44" s="12">
        <f>'Occ T2'!D30</f>
        <v>1269.5914805445047</v>
      </c>
      <c r="E44" s="12">
        <f>'Occ T2'!E30</f>
        <v>1259.4122875888795</v>
      </c>
      <c r="F44" s="12">
        <f>'Occ T2'!F30</f>
        <v>1265.1666013580495</v>
      </c>
      <c r="G44" s="2"/>
      <c r="H44" s="13">
        <f t="shared" si="26"/>
        <v>-40.92525125415068</v>
      </c>
      <c r="I44" s="35">
        <f t="shared" si="5"/>
        <v>59.309182266651305</v>
      </c>
      <c r="J44" s="13">
        <f t="shared" si="26"/>
        <v>-10.17919295562524</v>
      </c>
      <c r="K44" s="13">
        <f t="shared" si="26"/>
        <v>5.7543137691700394</v>
      </c>
      <c r="L44" s="35">
        <f t="shared" si="4"/>
        <v>-4.4248791864552004</v>
      </c>
    </row>
    <row r="45" spans="1:12" x14ac:dyDescent="0.25">
      <c r="B45" s="36"/>
      <c r="C45" s="36"/>
      <c r="D45" s="36"/>
      <c r="E45" s="36"/>
      <c r="F45" s="36"/>
      <c r="G45" s="2"/>
      <c r="H45" s="47"/>
      <c r="I45" s="35"/>
      <c r="J45" s="47"/>
      <c r="K45" s="47"/>
      <c r="L45" s="35"/>
    </row>
    <row r="46" spans="1:12" s="34" customFormat="1" x14ac:dyDescent="0.25">
      <c r="A46" s="34" t="str">
        <f>'Occ T1'!A16</f>
        <v>Elementary occupations</v>
      </c>
      <c r="B46" s="35">
        <f>'Occ T1'!B16</f>
        <v>4037.2173768727057</v>
      </c>
      <c r="C46" s="35">
        <f>'Occ T1'!C16</f>
        <v>3766.191835779171</v>
      </c>
      <c r="D46" s="35">
        <f>'Occ T1'!D16</f>
        <v>3955.9931111444794</v>
      </c>
      <c r="E46" s="35">
        <f>'Occ T1'!E16</f>
        <v>3948.0409683519269</v>
      </c>
      <c r="F46" s="35">
        <f>'Occ T1'!F16</f>
        <v>3946.9512625272537</v>
      </c>
      <c r="G46" s="54"/>
      <c r="H46" s="35">
        <f t="shared" ref="H46:K48" si="27">C46-B46</f>
        <v>-271.02554109353468</v>
      </c>
      <c r="I46" s="35">
        <f t="shared" si="5"/>
        <v>189.80127536530836</v>
      </c>
      <c r="J46" s="35">
        <f t="shared" si="27"/>
        <v>-7.9521427925524222</v>
      </c>
      <c r="K46" s="35">
        <f t="shared" si="27"/>
        <v>-1.089705824673274</v>
      </c>
      <c r="L46" s="35">
        <f t="shared" si="4"/>
        <v>-9.0418486172256962</v>
      </c>
    </row>
    <row r="47" spans="1:12" x14ac:dyDescent="0.25">
      <c r="A47" s="12" t="str">
        <f>'Occ T2'!A31</f>
        <v xml:space="preserve"> 91 Elementary trades and related occupations</v>
      </c>
      <c r="B47" s="12">
        <f>'Occ T2'!B31</f>
        <v>553.13527715257499</v>
      </c>
      <c r="C47" s="12">
        <f>'Occ T2'!C31</f>
        <v>530.50403474238635</v>
      </c>
      <c r="D47" s="12">
        <f>'Occ T2'!D31</f>
        <v>555.13378958997748</v>
      </c>
      <c r="E47" s="12">
        <f>'Occ T2'!E31</f>
        <v>539.00070305465908</v>
      </c>
      <c r="F47" s="12">
        <f>'Occ T2'!F31</f>
        <v>530.97531625291219</v>
      </c>
      <c r="G47" s="2"/>
      <c r="H47" s="13">
        <f t="shared" si="27"/>
        <v>-22.631242410188634</v>
      </c>
      <c r="I47" s="35">
        <f t="shared" si="5"/>
        <v>24.62975484759113</v>
      </c>
      <c r="J47" s="13">
        <f t="shared" si="27"/>
        <v>-16.133086535318398</v>
      </c>
      <c r="K47" s="13">
        <f t="shared" si="27"/>
        <v>-8.0253868017468903</v>
      </c>
      <c r="L47" s="35">
        <f t="shared" si="4"/>
        <v>-24.158473337065288</v>
      </c>
    </row>
    <row r="48" spans="1:12" x14ac:dyDescent="0.25">
      <c r="A48" s="12" t="str">
        <f>'Occ T2'!A32</f>
        <v xml:space="preserve"> 92 Elementary administration and service occupations</v>
      </c>
      <c r="B48" s="12">
        <f>'Occ T2'!B32</f>
        <v>3484.0820997201308</v>
      </c>
      <c r="C48" s="12">
        <f>'Occ T2'!C32</f>
        <v>3235.6878010367845</v>
      </c>
      <c r="D48" s="12">
        <f>'Occ T2'!D32</f>
        <v>3400.859321554502</v>
      </c>
      <c r="E48" s="12">
        <f>'Occ T2'!E32</f>
        <v>3409.040265297268</v>
      </c>
      <c r="F48" s="12">
        <f>'Occ T2'!F32</f>
        <v>3415.9759462743414</v>
      </c>
      <c r="G48" s="2"/>
      <c r="H48" s="13">
        <f t="shared" si="27"/>
        <v>-248.39429868334628</v>
      </c>
      <c r="I48" s="35">
        <f t="shared" si="5"/>
        <v>165.17152051771745</v>
      </c>
      <c r="J48" s="13">
        <f t="shared" si="27"/>
        <v>8.1809437427659759</v>
      </c>
      <c r="K48" s="13">
        <f t="shared" si="27"/>
        <v>6.9356809770733889</v>
      </c>
      <c r="L48" s="35">
        <f t="shared" si="4"/>
        <v>15.116624719839365</v>
      </c>
    </row>
    <row r="49" spans="1:12" x14ac:dyDescent="0.25">
      <c r="B49" s="36"/>
      <c r="C49" s="36"/>
      <c r="D49" s="36"/>
      <c r="E49" s="36"/>
      <c r="F49" s="36"/>
      <c r="G49" s="2"/>
      <c r="H49" s="47"/>
      <c r="I49" s="35"/>
      <c r="J49" s="47"/>
      <c r="K49" s="47"/>
      <c r="L49" s="35"/>
    </row>
    <row r="50" spans="1:12" x14ac:dyDescent="0.25">
      <c r="A50" s="48" t="str">
        <f>'Occ T1'!A18</f>
        <v>All occupations</v>
      </c>
      <c r="B50" s="39">
        <f>'Occ T1'!B18</f>
        <v>31790.007000000074</v>
      </c>
      <c r="C50" s="39">
        <f>'Occ T1'!C18</f>
        <v>31800.013000000261</v>
      </c>
      <c r="D50" s="39">
        <f>'Occ T1'!D18</f>
        <v>34847.991999999991</v>
      </c>
      <c r="E50" s="39">
        <f>'Occ T1'!E18</f>
        <v>35250.447999999968</v>
      </c>
      <c r="F50" s="39">
        <f>'Occ T1'!F18</f>
        <v>35820.953000000147</v>
      </c>
      <c r="G50" s="37"/>
      <c r="H50" s="39">
        <f>C50-B50</f>
        <v>10.006000000186759</v>
      </c>
      <c r="I50" s="303">
        <f>D50-C50</f>
        <v>3047.9789999997301</v>
      </c>
      <c r="J50" s="39">
        <f>E50-D50</f>
        <v>402.45599999997648</v>
      </c>
      <c r="K50" s="39">
        <f>F50-E50</f>
        <v>570.50500000017928</v>
      </c>
      <c r="L50" s="303">
        <f>F50-D50</f>
        <v>972.96100000015576</v>
      </c>
    </row>
    <row r="52" spans="1:12" ht="15.6" x14ac:dyDescent="0.3">
      <c r="A52" s="23" t="str">
        <f>CONCATENATE(A1," (Continued)")</f>
        <v>Occupation Table 3  Employment Change by Occupation in Occupation Group (SOC 2010), 2007-2027 (Continued)</v>
      </c>
    </row>
    <row r="54" spans="1:12" x14ac:dyDescent="0.25">
      <c r="L54" s="19" t="s">
        <v>21</v>
      </c>
    </row>
    <row r="55" spans="1:12" x14ac:dyDescent="0.25">
      <c r="A55" s="41"/>
      <c r="B55" s="32" t="s">
        <v>14</v>
      </c>
      <c r="C55" s="32"/>
      <c r="D55" s="32"/>
      <c r="E55" s="32"/>
      <c r="F55" s="32"/>
      <c r="G55" s="32"/>
      <c r="H55" s="32" t="s">
        <v>515</v>
      </c>
      <c r="I55" s="32"/>
      <c r="J55" s="32"/>
      <c r="K55" s="32"/>
      <c r="L55" s="32"/>
    </row>
    <row r="56" spans="1:12" x14ac:dyDescent="0.25">
      <c r="A56" s="37"/>
      <c r="B56" s="42" t="str">
        <f>H5</f>
        <v>2007-2012</v>
      </c>
      <c r="C56" s="42" t="str">
        <f>I5</f>
        <v>2012-2017</v>
      </c>
      <c r="D56" s="42" t="str">
        <f>J5</f>
        <v>2017-2022</v>
      </c>
      <c r="E56" s="42" t="str">
        <f>K5</f>
        <v>2022-2027</v>
      </c>
      <c r="F56" s="42" t="str">
        <f>L5</f>
        <v>2017-2027</v>
      </c>
      <c r="G56" s="57"/>
      <c r="H56" s="51">
        <f>B5</f>
        <v>2007</v>
      </c>
      <c r="I56" s="51">
        <f>C5</f>
        <v>2012</v>
      </c>
      <c r="J56" s="51">
        <f>D5</f>
        <v>2017</v>
      </c>
      <c r="K56" s="51">
        <f>E5</f>
        <v>2022</v>
      </c>
      <c r="L56" s="51">
        <f>F5</f>
        <v>2027</v>
      </c>
    </row>
    <row r="58" spans="1:12" s="34" customFormat="1" x14ac:dyDescent="0.25">
      <c r="A58" s="34" t="str">
        <f>A7</f>
        <v>Managers, directors and senior officials</v>
      </c>
      <c r="B58" s="53">
        <f>IF(AND(C$5-B$5 &lt;&gt; 0,C7 &lt;&gt; 0,B7 &lt;&gt; 0),(EXP(LN(C7/B7)/(C$5-B$5))-1)*100,0)</f>
        <v>1.8557326830863197</v>
      </c>
      <c r="C58" s="53">
        <f>IF(AND(D$5-C$5 &lt;&gt; 0,D7 &lt;&gt; 0,C7 &lt;&gt; 0),(EXP(LN(D7/C7)/(D$5-C$5))-1)*100,0)</f>
        <v>3.2256177006427356</v>
      </c>
      <c r="D58" s="53">
        <f>IF(AND(E$5-D$5 &lt;&gt; 0,E7 &lt;&gt; 0,D7 &lt;&gt; 0),(EXP(LN(E7/D7)/(E$5-D$5))-1)*100,0)</f>
        <v>1.2645285062389933</v>
      </c>
      <c r="E58" s="53">
        <f>IF(AND(F$5-E$5 &lt;&gt; 0,F7 &lt;&gt; 0,E7 &lt;&gt; 0),(EXP(LN(F7/E7)/(F$5-E$5))-1)*100,0)</f>
        <v>1.0685268782054447</v>
      </c>
      <c r="F58" s="53">
        <f>IF(AND(F$5-D$5 &lt;&gt; 0,F7 &lt;&gt; 0,D7 &lt;&gt; 0),(EXP(LN(F7/D7)/(F$5-D$5))-1)*100,0)</f>
        <v>1.1664802251299955</v>
      </c>
      <c r="H58" s="53">
        <f>(B7/B$50)*100</f>
        <v>8.7312727693846757</v>
      </c>
      <c r="I58" s="53">
        <f>(C7/C$50)*100</f>
        <v>9.5690377478431277</v>
      </c>
      <c r="J58" s="53">
        <f>(D7/D$50)*100</f>
        <v>10.234232023377979</v>
      </c>
      <c r="K58" s="53">
        <f>(E7/E$50)*100</f>
        <v>10.773457457549537</v>
      </c>
      <c r="L58" s="53">
        <f>(F7/F$50)*100</f>
        <v>11.180527251626344</v>
      </c>
    </row>
    <row r="59" spans="1:12" s="34" customFormat="1" x14ac:dyDescent="0.25">
      <c r="A59" s="34" t="str">
        <f t="shared" ref="A59:A60" si="28">A8</f>
        <v xml:space="preserve"> 11 Corporate managers and directors</v>
      </c>
      <c r="B59" s="53">
        <f t="shared" ref="B59:E59" si="29">IF(AND(C$5-B$5 &lt;&gt; 0,C8 &lt;&gt; 0,B8 &lt;&gt; 0),(EXP(LN(C8/B8)/(C$5-B$5))-1)*100,0)</f>
        <v>1.5491147217074008</v>
      </c>
      <c r="C59" s="53">
        <f t="shared" si="29"/>
        <v>3.6013778975196642</v>
      </c>
      <c r="D59" s="53">
        <f t="shared" si="29"/>
        <v>1.3947655066181674</v>
      </c>
      <c r="E59" s="53">
        <f t="shared" si="29"/>
        <v>1.2095088729320302</v>
      </c>
      <c r="F59" s="53">
        <f t="shared" ref="F59:F101" si="30">IF(AND(F$5-D$5 &lt;&gt; 0,F8 &lt;&gt; 0,D8 &lt;&gt; 0),(EXP(LN(F8/D8)/(F$5-D$5))-1)*100,0)</f>
        <v>1.302094841177559</v>
      </c>
      <c r="H59" s="53">
        <f t="shared" ref="H59:L59" si="31">(B8/B$50)*100</f>
        <v>6.1650192703891236</v>
      </c>
      <c r="I59" s="53">
        <f t="shared" si="31"/>
        <v>6.6554660577777227</v>
      </c>
      <c r="J59" s="53">
        <f t="shared" si="31"/>
        <v>7.2486256227126482</v>
      </c>
      <c r="K59" s="53">
        <f t="shared" si="31"/>
        <v>7.6797390480887753</v>
      </c>
      <c r="L59" s="53">
        <f t="shared" si="31"/>
        <v>8.0256562676279426</v>
      </c>
    </row>
    <row r="60" spans="1:12" s="34" customFormat="1" x14ac:dyDescent="0.25">
      <c r="A60" s="34" t="str">
        <f t="shared" si="28"/>
        <v xml:space="preserve"> 12 Other managers and proprietors</v>
      </c>
      <c r="B60" s="53">
        <f t="shared" ref="B60:E60" si="32">IF(AND(C$5-B$5 &lt;&gt; 0,C9 &lt;&gt; 0,B9 &lt;&gt; 0),(EXP(LN(C9/B9)/(C$5-B$5))-1)*100,0)</f>
        <v>2.5776075393022291</v>
      </c>
      <c r="C60" s="53">
        <f>IF(AND(D$5-C$5 &lt;&gt; 0,D9 &lt;&gt; 0,C9 &lt;&gt; 0),(EXP(LN(D9/C9)/(D$5-C$5))-1)*100,0)</f>
        <v>2.3461384082627434</v>
      </c>
      <c r="D60" s="53">
        <f t="shared" si="32"/>
        <v>0.94551364035522223</v>
      </c>
      <c r="E60" s="53">
        <f t="shared" si="32"/>
        <v>0.71511743021266394</v>
      </c>
      <c r="F60" s="53">
        <f t="shared" si="30"/>
        <v>0.83024972864795821</v>
      </c>
      <c r="H60" s="53">
        <f t="shared" ref="H60:L60" si="33">(B9/B$50)*100</f>
        <v>2.5662534989955521</v>
      </c>
      <c r="I60" s="53">
        <f t="shared" si="33"/>
        <v>2.9135716900654036</v>
      </c>
      <c r="J60" s="53">
        <f t="shared" si="33"/>
        <v>2.9856064006653291</v>
      </c>
      <c r="K60" s="53">
        <f t="shared" si="33"/>
        <v>3.0937184094607613</v>
      </c>
      <c r="L60" s="53">
        <f t="shared" si="33"/>
        <v>3.1548709839984022</v>
      </c>
    </row>
    <row r="61" spans="1:12" x14ac:dyDescent="0.25">
      <c r="A61" s="218"/>
      <c r="B61" s="49"/>
      <c r="C61" s="53"/>
      <c r="D61" s="49"/>
      <c r="E61" s="49"/>
      <c r="F61" s="53"/>
      <c r="H61" s="49"/>
      <c r="I61" s="49"/>
      <c r="J61" s="49"/>
      <c r="K61" s="49"/>
      <c r="L61" s="49"/>
    </row>
    <row r="62" spans="1:12" s="34" customFormat="1" x14ac:dyDescent="0.25">
      <c r="A62" s="34" t="str">
        <f>A11</f>
        <v>Professional occupations</v>
      </c>
      <c r="B62" s="53">
        <f t="shared" ref="B62:E66" si="34">IF(AND(C$5-B$5 &lt;&gt; 0,C11 &lt;&gt; 0,B11 &lt;&gt; 0),(EXP(LN(C11/B11)/(C$5-B$5))-1)*100,0)</f>
        <v>1.4879345591713111</v>
      </c>
      <c r="C62" s="53">
        <f t="shared" si="34"/>
        <v>3.3056998171139718</v>
      </c>
      <c r="D62" s="53">
        <f t="shared" si="34"/>
        <v>1.142736327637861</v>
      </c>
      <c r="E62" s="53">
        <f t="shared" si="34"/>
        <v>1.1270269703638203</v>
      </c>
      <c r="F62" s="53">
        <f t="shared" si="30"/>
        <v>1.1348813439825411</v>
      </c>
      <c r="H62" s="53">
        <f>(B11/B$50)*100</f>
        <v>17.068419467860522</v>
      </c>
      <c r="I62" s="53">
        <f>(C11/C$50)*100</f>
        <v>18.370826834804234</v>
      </c>
      <c r="J62" s="53">
        <f>(D11/D$50)*100</f>
        <v>19.72421205377967</v>
      </c>
      <c r="K62" s="53">
        <f>(E11/E$50)*100</f>
        <v>20.638887085564591</v>
      </c>
      <c r="L62" s="53">
        <f>(F11/F$50)*100</f>
        <v>21.480776582543406</v>
      </c>
    </row>
    <row r="63" spans="1:12" x14ac:dyDescent="0.25">
      <c r="A63" s="218" t="str">
        <f>A12</f>
        <v xml:space="preserve"> 21 Science, research, engineering and technology professionals</v>
      </c>
      <c r="B63" s="61">
        <f t="shared" si="34"/>
        <v>2.3655871631945047</v>
      </c>
      <c r="C63" s="53">
        <f t="shared" si="34"/>
        <v>3.5766620724356324</v>
      </c>
      <c r="D63" s="61">
        <f t="shared" si="34"/>
        <v>0.92924294883980352</v>
      </c>
      <c r="E63" s="61">
        <f t="shared" si="34"/>
        <v>0.81868747421218746</v>
      </c>
      <c r="F63" s="53">
        <f t="shared" si="30"/>
        <v>0.87395006575243794</v>
      </c>
      <c r="H63" s="49">
        <f t="shared" ref="H63:L66" si="35">(B12/B$11)*100</f>
        <v>24.125533384282434</v>
      </c>
      <c r="I63" s="49">
        <f t="shared" si="35"/>
        <v>25.186902619995195</v>
      </c>
      <c r="J63" s="49">
        <f t="shared" si="35"/>
        <v>25.518955702144979</v>
      </c>
      <c r="K63" s="49">
        <f t="shared" si="35"/>
        <v>25.250761622468502</v>
      </c>
      <c r="L63" s="49">
        <f t="shared" si="35"/>
        <v>24.868150091840899</v>
      </c>
    </row>
    <row r="64" spans="1:12" x14ac:dyDescent="0.25">
      <c r="A64" s="243" t="str">
        <f>A13</f>
        <v xml:space="preserve"> 22 Health professionals</v>
      </c>
      <c r="B64" s="61">
        <f t="shared" si="34"/>
        <v>1.2226840144393458</v>
      </c>
      <c r="C64" s="53">
        <f t="shared" si="34"/>
        <v>3.3126227766320016</v>
      </c>
      <c r="D64" s="61">
        <f t="shared" si="34"/>
        <v>1.4544605444049452</v>
      </c>
      <c r="E64" s="61">
        <f t="shared" si="34"/>
        <v>1.3485584099482528</v>
      </c>
      <c r="F64" s="53">
        <f t="shared" si="30"/>
        <v>1.4014956518611621</v>
      </c>
      <c r="H64" s="49">
        <f t="shared" si="35"/>
        <v>22.736628555685616</v>
      </c>
      <c r="I64" s="49">
        <f t="shared" si="35"/>
        <v>22.441053496146683</v>
      </c>
      <c r="J64" s="49">
        <f t="shared" si="35"/>
        <v>22.448573861869505</v>
      </c>
      <c r="K64" s="49">
        <f t="shared" si="35"/>
        <v>22.79664788297907</v>
      </c>
      <c r="L64" s="49">
        <f t="shared" si="35"/>
        <v>23.047438842560688</v>
      </c>
    </row>
    <row r="65" spans="1:12" x14ac:dyDescent="0.25">
      <c r="A65" s="243" t="str">
        <f>A14</f>
        <v xml:space="preserve"> 23 Teaching and educational professionals</v>
      </c>
      <c r="B65" s="61">
        <f t="shared" si="34"/>
        <v>1.0533983085850629</v>
      </c>
      <c r="C65" s="53">
        <f t="shared" si="34"/>
        <v>2.8482722516945724</v>
      </c>
      <c r="D65" s="61">
        <f t="shared" si="34"/>
        <v>0.7872098847071296</v>
      </c>
      <c r="E65" s="61">
        <f t="shared" si="34"/>
        <v>1.5529662533122046</v>
      </c>
      <c r="F65" s="53">
        <f t="shared" si="30"/>
        <v>1.169363565197723</v>
      </c>
      <c r="H65" s="49">
        <f t="shared" si="35"/>
        <v>26.15119480458457</v>
      </c>
      <c r="I65" s="49">
        <f t="shared" si="35"/>
        <v>25.596116628465698</v>
      </c>
      <c r="J65" s="49">
        <f t="shared" si="35"/>
        <v>25.034427370305266</v>
      </c>
      <c r="K65" s="49">
        <f t="shared" si="35"/>
        <v>24.597517649282519</v>
      </c>
      <c r="L65" s="49">
        <f t="shared" si="35"/>
        <v>25.119914031142887</v>
      </c>
    </row>
    <row r="66" spans="1:12" s="218" customFormat="1" x14ac:dyDescent="0.25">
      <c r="A66" s="243" t="str">
        <f>A15</f>
        <v xml:space="preserve"> 24 Business, media and public service professionals</v>
      </c>
      <c r="B66" s="61">
        <f t="shared" si="34"/>
        <v>1.3289504465118451</v>
      </c>
      <c r="C66" s="53">
        <f t="shared" si="34"/>
        <v>3.4765254117188782</v>
      </c>
      <c r="D66" s="61">
        <f t="shared" si="34"/>
        <v>1.4088404584982506</v>
      </c>
      <c r="E66" s="61">
        <f t="shared" si="34"/>
        <v>0.8365850291856658</v>
      </c>
      <c r="F66" s="53">
        <f t="shared" si="30"/>
        <v>1.1223079424341531</v>
      </c>
      <c r="H66" s="49">
        <f t="shared" si="35"/>
        <v>26.986643255447383</v>
      </c>
      <c r="I66" s="49">
        <f t="shared" si="35"/>
        <v>26.775927255392418</v>
      </c>
      <c r="J66" s="49">
        <f t="shared" si="35"/>
        <v>26.998043065680243</v>
      </c>
      <c r="K66" s="49">
        <f t="shared" si="35"/>
        <v>27.355072845269913</v>
      </c>
      <c r="L66" s="49">
        <f t="shared" si="35"/>
        <v>26.96449703445553</v>
      </c>
    </row>
    <row r="67" spans="1:12" x14ac:dyDescent="0.25">
      <c r="B67" s="49"/>
      <c r="C67" s="53"/>
      <c r="D67" s="49"/>
      <c r="E67" s="49"/>
      <c r="F67" s="53"/>
      <c r="H67" s="49"/>
      <c r="I67" s="49"/>
      <c r="J67" s="49"/>
      <c r="K67" s="49"/>
      <c r="L67" s="49"/>
    </row>
    <row r="68" spans="1:12" s="34" customFormat="1" x14ac:dyDescent="0.25">
      <c r="A68" s="34" t="str">
        <f t="shared" ref="A68:A73" si="36">A17</f>
        <v>Associate professional and technical</v>
      </c>
      <c r="B68" s="53">
        <f t="shared" ref="B68:E73" si="37">IF(AND(C$5-B$5 &lt;&gt; 0,C17 &lt;&gt; 0,B17 &lt;&gt; 0),(EXP(LN(C17/B17)/(C$5-B$5))-1)*100,0)</f>
        <v>0.25251784699005242</v>
      </c>
      <c r="C68" s="53">
        <f t="shared" si="37"/>
        <v>2.8438901387777937</v>
      </c>
      <c r="D68" s="53">
        <f t="shared" si="37"/>
        <v>0.95908398787774019</v>
      </c>
      <c r="E68" s="53">
        <f t="shared" si="37"/>
        <v>0.71721966582123375</v>
      </c>
      <c r="F68" s="53">
        <f t="shared" si="30"/>
        <v>0.83807931167261263</v>
      </c>
      <c r="H68" s="53">
        <f>(B17/B$50)*100</f>
        <v>13.1871281173188</v>
      </c>
      <c r="I68" s="53">
        <f>(C17/C$50)*100</f>
        <v>13.350268347094177</v>
      </c>
      <c r="J68" s="53">
        <f>(D17/D$50)*100</f>
        <v>14.016255748457631</v>
      </c>
      <c r="K68" s="53">
        <f>(E17/E$50)*100</f>
        <v>14.533564367731703</v>
      </c>
      <c r="L68" s="53">
        <f>(F17/F$50)*100</f>
        <v>14.822391686234759</v>
      </c>
    </row>
    <row r="69" spans="1:12" x14ac:dyDescent="0.25">
      <c r="A69" s="243" t="str">
        <f t="shared" si="36"/>
        <v xml:space="preserve"> 31 Science, engineering and technology associate professionals</v>
      </c>
      <c r="B69" s="61">
        <f t="shared" si="37"/>
        <v>-0.33711034298681275</v>
      </c>
      <c r="C69" s="53">
        <f t="shared" si="37"/>
        <v>2.2857756567853826</v>
      </c>
      <c r="D69" s="61">
        <f t="shared" si="37"/>
        <v>7.4987087155298227E-2</v>
      </c>
      <c r="E69" s="61">
        <f t="shared" si="37"/>
        <v>0.19055581951861189</v>
      </c>
      <c r="F69" s="53">
        <f t="shared" si="30"/>
        <v>0.13275478030772003</v>
      </c>
      <c r="H69" s="49">
        <f t="shared" ref="H69:L73" si="38">(B18/B$17)*100</f>
        <v>14.542375819001444</v>
      </c>
      <c r="I69" s="49">
        <f t="shared" si="38"/>
        <v>14.119726861068546</v>
      </c>
      <c r="J69" s="49">
        <f t="shared" si="38"/>
        <v>13.740737123683067</v>
      </c>
      <c r="K69" s="49">
        <f t="shared" si="38"/>
        <v>13.149545350824305</v>
      </c>
      <c r="L69" s="49">
        <f t="shared" si="38"/>
        <v>12.809318510194027</v>
      </c>
    </row>
    <row r="70" spans="1:12" x14ac:dyDescent="0.25">
      <c r="A70" s="243" t="str">
        <f t="shared" si="36"/>
        <v xml:space="preserve"> 32 Health and social care associate professionals</v>
      </c>
      <c r="B70" s="61">
        <f t="shared" si="37"/>
        <v>1.2878645271389155</v>
      </c>
      <c r="C70" s="53">
        <f t="shared" si="37"/>
        <v>3.5121223081806541</v>
      </c>
      <c r="D70" s="61">
        <f t="shared" si="37"/>
        <v>1.5483552934471012</v>
      </c>
      <c r="E70" s="61">
        <f t="shared" si="37"/>
        <v>1.3808233218885579</v>
      </c>
      <c r="F70" s="53">
        <f t="shared" si="30"/>
        <v>1.4645547303753226</v>
      </c>
      <c r="H70" s="49">
        <f t="shared" si="38"/>
        <v>9.976897096396053</v>
      </c>
      <c r="I70" s="49">
        <f t="shared" si="38"/>
        <v>10.502824863642944</v>
      </c>
      <c r="J70" s="49">
        <f t="shared" si="38"/>
        <v>10.848500413510312</v>
      </c>
      <c r="K70" s="49">
        <f t="shared" si="38"/>
        <v>11.168816906101089</v>
      </c>
      <c r="L70" s="49">
        <f t="shared" si="38"/>
        <v>11.541641984856795</v>
      </c>
    </row>
    <row r="71" spans="1:12" x14ac:dyDescent="0.25">
      <c r="A71" s="243" t="str">
        <f t="shared" si="36"/>
        <v xml:space="preserve"> 33 Protective service occupations</v>
      </c>
      <c r="B71" s="61">
        <f t="shared" si="37"/>
        <v>-1.3426243160925111</v>
      </c>
      <c r="C71" s="53">
        <f t="shared" si="37"/>
        <v>0.63478715872389291</v>
      </c>
      <c r="D71" s="61">
        <f t="shared" si="37"/>
        <v>-0.52297293929696176</v>
      </c>
      <c r="E71" s="61">
        <f t="shared" si="37"/>
        <v>-4.7016335557725775E-2</v>
      </c>
      <c r="F71" s="53">
        <f t="shared" si="30"/>
        <v>-0.28527861551368439</v>
      </c>
      <c r="H71" s="49">
        <f t="shared" si="38"/>
        <v>9.5507674995163612</v>
      </c>
      <c r="I71" s="49">
        <f t="shared" si="38"/>
        <v>8.8147423710807935</v>
      </c>
      <c r="J71" s="49">
        <f t="shared" si="38"/>
        <v>7.9078387852524061</v>
      </c>
      <c r="K71" s="49">
        <f t="shared" si="38"/>
        <v>7.3442049394766684</v>
      </c>
      <c r="L71" s="49">
        <f t="shared" si="38"/>
        <v>7.0697646807069514</v>
      </c>
    </row>
    <row r="72" spans="1:12" x14ac:dyDescent="0.25">
      <c r="A72" s="243" t="str">
        <f t="shared" si="36"/>
        <v xml:space="preserve"> 34 Culture, media and sports occupations</v>
      </c>
      <c r="B72" s="61">
        <f t="shared" si="37"/>
        <v>0.82545975770977886</v>
      </c>
      <c r="C72" s="53">
        <f t="shared" si="37"/>
        <v>2.701358011918531</v>
      </c>
      <c r="D72" s="61">
        <f t="shared" si="37"/>
        <v>1.0297103739528524</v>
      </c>
      <c r="E72" s="61">
        <f t="shared" si="37"/>
        <v>0.18253090497253321</v>
      </c>
      <c r="F72" s="53">
        <f t="shared" si="30"/>
        <v>0.60522889919270018</v>
      </c>
      <c r="H72" s="49">
        <f t="shared" si="38"/>
        <v>16.824514468062933</v>
      </c>
      <c r="I72" s="49">
        <f t="shared" si="38"/>
        <v>17.310800500960653</v>
      </c>
      <c r="J72" s="49">
        <f t="shared" si="38"/>
        <v>17.191176687793728</v>
      </c>
      <c r="K72" s="49">
        <f t="shared" si="38"/>
        <v>17.251391705196678</v>
      </c>
      <c r="L72" s="49">
        <f t="shared" si="38"/>
        <v>16.798306048544749</v>
      </c>
    </row>
    <row r="73" spans="1:12" s="218" customFormat="1" x14ac:dyDescent="0.25">
      <c r="A73" s="243" t="str">
        <f t="shared" si="36"/>
        <v xml:space="preserve"> 35 Business and public service associate professionals</v>
      </c>
      <c r="B73" s="61">
        <f t="shared" si="37"/>
        <v>0.31224860180947278</v>
      </c>
      <c r="C73" s="53">
        <f t="shared" si="37"/>
        <v>3.2827440694177312</v>
      </c>
      <c r="D73" s="61">
        <f t="shared" si="37"/>
        <v>1.2679390771579424</v>
      </c>
      <c r="E73" s="61">
        <f t="shared" si="37"/>
        <v>0.98975369945144553</v>
      </c>
      <c r="F73" s="53">
        <f t="shared" si="30"/>
        <v>1.1287507341667613</v>
      </c>
      <c r="H73" s="49">
        <f t="shared" si="38"/>
        <v>49.105445117023208</v>
      </c>
      <c r="I73" s="49">
        <f t="shared" si="38"/>
        <v>49.251905403247079</v>
      </c>
      <c r="J73" s="49">
        <f t="shared" si="38"/>
        <v>50.311746989760501</v>
      </c>
      <c r="K73" s="49">
        <f t="shared" si="38"/>
        <v>51.086041098401246</v>
      </c>
      <c r="L73" s="49">
        <f t="shared" si="38"/>
        <v>51.780968775697481</v>
      </c>
    </row>
    <row r="74" spans="1:12" x14ac:dyDescent="0.25">
      <c r="A74" s="34"/>
      <c r="B74" s="49"/>
      <c r="C74" s="53"/>
      <c r="D74" s="49"/>
      <c r="E74" s="49"/>
      <c r="F74" s="53"/>
      <c r="H74" s="49"/>
      <c r="I74" s="49"/>
      <c r="J74" s="49"/>
      <c r="K74" s="49"/>
      <c r="L74" s="49"/>
    </row>
    <row r="75" spans="1:12" s="34" customFormat="1" x14ac:dyDescent="0.25">
      <c r="A75" s="34" t="str">
        <f>A24</f>
        <v>Administrative and secretarial</v>
      </c>
      <c r="B75" s="53">
        <f t="shared" ref="B75:E77" si="39">IF(AND(C$5-B$5 &lt;&gt; 0,C24 &lt;&gt; 0,B24 &lt;&gt; 0),(EXP(LN(C24/B24)/(C$5-B$5))-1)*100,0)</f>
        <v>-1.732672031789162</v>
      </c>
      <c r="C75" s="53">
        <f t="shared" si="39"/>
        <v>-3.2042352561001408E-2</v>
      </c>
      <c r="D75" s="53">
        <f t="shared" si="39"/>
        <v>-1.8125206819047723</v>
      </c>
      <c r="E75" s="53">
        <f t="shared" si="39"/>
        <v>-1.7379901936426689</v>
      </c>
      <c r="F75" s="53">
        <f t="shared" si="30"/>
        <v>-1.7752625067586125</v>
      </c>
      <c r="H75" s="53">
        <f>(B24/B$50)*100</f>
        <v>12.656107602342567</v>
      </c>
      <c r="I75" s="53">
        <f>(C24/C$50)*100</f>
        <v>11.593357283278031</v>
      </c>
      <c r="J75" s="53">
        <f>(D24/D$50)*100</f>
        <v>10.562405999008668</v>
      </c>
      <c r="K75" s="53">
        <f>(E24/E$50)*100</f>
        <v>9.5292019074953487</v>
      </c>
      <c r="L75" s="53">
        <f>(F24/F$50)*100</f>
        <v>8.5903774725093349</v>
      </c>
    </row>
    <row r="76" spans="1:12" x14ac:dyDescent="0.25">
      <c r="A76" s="243" t="str">
        <f>A25</f>
        <v xml:space="preserve"> 41 Administrative occupations</v>
      </c>
      <c r="B76" s="61">
        <f t="shared" si="39"/>
        <v>-1.4101758691643984</v>
      </c>
      <c r="C76" s="53">
        <f t="shared" si="39"/>
        <v>0.76394276978810627</v>
      </c>
      <c r="D76" s="61">
        <f t="shared" si="39"/>
        <v>-0.90431409001955343</v>
      </c>
      <c r="E76" s="61">
        <f t="shared" si="39"/>
        <v>-0.82279826861374472</v>
      </c>
      <c r="F76" s="53">
        <f t="shared" si="30"/>
        <v>-0.86356455770552065</v>
      </c>
      <c r="H76" s="49">
        <f t="shared" ref="H76:L77" si="40">(B25/B$24)*100</f>
        <v>75.310868814582889</v>
      </c>
      <c r="I76" s="49">
        <f t="shared" si="40"/>
        <v>76.554792158864643</v>
      </c>
      <c r="J76" s="49">
        <f t="shared" si="40"/>
        <v>79.651516154097664</v>
      </c>
      <c r="K76" s="49">
        <f t="shared" si="40"/>
        <v>83.404067816619076</v>
      </c>
      <c r="L76" s="49">
        <f t="shared" si="40"/>
        <v>87.361135826939844</v>
      </c>
    </row>
    <row r="77" spans="1:12" x14ac:dyDescent="0.25">
      <c r="A77" s="218" t="str">
        <f>A26</f>
        <v xml:space="preserve"> 42 Secretarial and related occupations</v>
      </c>
      <c r="B77" s="61">
        <f t="shared" si="39"/>
        <v>-2.7434626802927631</v>
      </c>
      <c r="C77" s="53">
        <f t="shared" si="39"/>
        <v>-2.8245829325496463</v>
      </c>
      <c r="D77" s="61">
        <f t="shared" si="39"/>
        <v>-5.735095895451348</v>
      </c>
      <c r="E77" s="61">
        <f t="shared" si="39"/>
        <v>-6.9477407959242949</v>
      </c>
      <c r="F77" s="53">
        <f t="shared" si="30"/>
        <v>-6.3433809569029886</v>
      </c>
      <c r="H77" s="49">
        <f t="shared" si="40"/>
        <v>24.689131185417111</v>
      </c>
      <c r="I77" s="49">
        <f t="shared" si="40"/>
        <v>23.445207841135364</v>
      </c>
      <c r="J77" s="49">
        <f t="shared" si="40"/>
        <v>20.34848384590234</v>
      </c>
      <c r="K77" s="49">
        <f t="shared" si="40"/>
        <v>16.595932183380931</v>
      </c>
      <c r="L77" s="49">
        <f t="shared" si="40"/>
        <v>12.638864173060158</v>
      </c>
    </row>
    <row r="78" spans="1:12" x14ac:dyDescent="0.25">
      <c r="A78" s="218"/>
      <c r="B78" s="49"/>
      <c r="C78" s="53"/>
      <c r="D78" s="49"/>
      <c r="E78" s="49"/>
      <c r="F78" s="53"/>
      <c r="H78" s="49"/>
      <c r="I78" s="49"/>
      <c r="J78" s="49"/>
      <c r="K78" s="49"/>
      <c r="L78" s="49"/>
    </row>
    <row r="79" spans="1:12" s="34" customFormat="1" x14ac:dyDescent="0.25">
      <c r="A79" s="34" t="str">
        <f>A28</f>
        <v>Skilled trades occupations</v>
      </c>
      <c r="B79" s="53">
        <f t="shared" ref="B79:E83" si="41">IF(AND(C$5-B$5 &lt;&gt; 0,C28 &lt;&gt; 0,B28 &lt;&gt; 0),(EXP(LN(C28/B28)/(C$5-B$5))-1)*100,0)</f>
        <v>-1.2742434781335632</v>
      </c>
      <c r="C79" s="53">
        <f t="shared" si="41"/>
        <v>0.42362008282368357</v>
      </c>
      <c r="D79" s="53">
        <f t="shared" si="41"/>
        <v>-0.97357019781557641</v>
      </c>
      <c r="E79" s="53">
        <f t="shared" si="41"/>
        <v>-0.88914827551336284</v>
      </c>
      <c r="F79" s="53">
        <f t="shared" si="30"/>
        <v>-0.93136822924430041</v>
      </c>
      <c r="H79" s="53">
        <f>(B28/B$50)*100</f>
        <v>11.272773006084766</v>
      </c>
      <c r="I79" s="53">
        <f>(C28/C$50)*100</f>
        <v>10.569305223071346</v>
      </c>
      <c r="J79" s="53">
        <f>(D28/D$50)*100</f>
        <v>9.8508871296578331</v>
      </c>
      <c r="K79" s="53">
        <f>(E28/E$50)*100</f>
        <v>9.2735083885304785</v>
      </c>
      <c r="L79" s="53">
        <f>(F28/F$50)*100</f>
        <v>8.7272539962172129</v>
      </c>
    </row>
    <row r="80" spans="1:12" x14ac:dyDescent="0.25">
      <c r="A80" s="243" t="str">
        <f>A29</f>
        <v xml:space="preserve"> 51 Skilled agricultural and related trades</v>
      </c>
      <c r="B80" s="61">
        <f t="shared" si="41"/>
        <v>2.0328126464582041</v>
      </c>
      <c r="C80" s="53">
        <f t="shared" si="41"/>
        <v>-0.34611912659249233</v>
      </c>
      <c r="D80" s="61">
        <f t="shared" si="41"/>
        <v>-0.32874158225193462</v>
      </c>
      <c r="E80" s="61">
        <f t="shared" si="41"/>
        <v>0.63701280260866078</v>
      </c>
      <c r="F80" s="53">
        <f t="shared" si="30"/>
        <v>0.1529715457261327</v>
      </c>
      <c r="H80" s="49">
        <f t="shared" ref="H80:L83" si="42">(B29/B$28)*100</f>
        <v>9.1135810014042882</v>
      </c>
      <c r="I80" s="49">
        <f t="shared" si="42"/>
        <v>10.745731857399663</v>
      </c>
      <c r="J80" s="49">
        <f t="shared" si="42"/>
        <v>10.340170900479084</v>
      </c>
      <c r="K80" s="49">
        <f t="shared" si="42"/>
        <v>10.681243504171539</v>
      </c>
      <c r="L80" s="49">
        <f t="shared" si="42"/>
        <v>11.529340357675093</v>
      </c>
    </row>
    <row r="81" spans="1:12" x14ac:dyDescent="0.25">
      <c r="A81" s="218" t="str">
        <f>A30</f>
        <v xml:space="preserve"> 52 Skilled metal, electrical and electronic trades</v>
      </c>
      <c r="B81" s="61">
        <f t="shared" si="41"/>
        <v>-1.1523849646148498</v>
      </c>
      <c r="C81" s="53">
        <f t="shared" si="41"/>
        <v>0.34347804301788631</v>
      </c>
      <c r="D81" s="61">
        <f t="shared" si="41"/>
        <v>-1.8559543410639479</v>
      </c>
      <c r="E81" s="61">
        <f t="shared" si="41"/>
        <v>-1.3680372888872916</v>
      </c>
      <c r="F81" s="53">
        <f t="shared" si="30"/>
        <v>-1.6122982698044575</v>
      </c>
      <c r="H81" s="49">
        <f t="shared" si="42"/>
        <v>35.695604452257378</v>
      </c>
      <c r="I81" s="49">
        <f t="shared" si="42"/>
        <v>35.916446752098182</v>
      </c>
      <c r="J81" s="49">
        <f t="shared" si="42"/>
        <v>35.773361550380073</v>
      </c>
      <c r="K81" s="49">
        <f t="shared" si="42"/>
        <v>34.207703950826286</v>
      </c>
      <c r="L81" s="49">
        <f t="shared" si="42"/>
        <v>33.38921896490978</v>
      </c>
    </row>
    <row r="82" spans="1:12" s="218" customFormat="1" x14ac:dyDescent="0.25">
      <c r="A82" s="218" t="str">
        <f>A31</f>
        <v xml:space="preserve"> 53 Skilled construction and building trades</v>
      </c>
      <c r="B82" s="61">
        <f t="shared" si="41"/>
        <v>-2.5390506565260984</v>
      </c>
      <c r="C82" s="53">
        <f t="shared" si="41"/>
        <v>1.4025162366080535</v>
      </c>
      <c r="D82" s="61">
        <f t="shared" si="41"/>
        <v>0.27082214472355925</v>
      </c>
      <c r="E82" s="61">
        <f t="shared" si="41"/>
        <v>-0.36780435839804948</v>
      </c>
      <c r="F82" s="53">
        <f t="shared" si="30"/>
        <v>-4.9001160231676444E-2</v>
      </c>
      <c r="H82" s="49">
        <f t="shared" si="42"/>
        <v>31.644783075926743</v>
      </c>
      <c r="I82" s="49">
        <f t="shared" si="42"/>
        <v>29.66900339423389</v>
      </c>
      <c r="J82" s="49">
        <f t="shared" si="42"/>
        <v>31.143488180403928</v>
      </c>
      <c r="K82" s="49">
        <f t="shared" si="42"/>
        <v>33.150075668518539</v>
      </c>
      <c r="L82" s="49">
        <f t="shared" si="42"/>
        <v>34.031178446110808</v>
      </c>
    </row>
    <row r="83" spans="1:12" s="218" customFormat="1" x14ac:dyDescent="0.25">
      <c r="A83" s="218" t="str">
        <f>A32</f>
        <v xml:space="preserve"> 54 Textiles, printing and other skilled trades</v>
      </c>
      <c r="B83" s="61">
        <f t="shared" si="41"/>
        <v>-1.1714916760229621</v>
      </c>
      <c r="C83" s="53">
        <f t="shared" si="41"/>
        <v>-0.37461097483812988</v>
      </c>
      <c r="D83" s="61">
        <f t="shared" si="41"/>
        <v>-1.66412621035682</v>
      </c>
      <c r="E83" s="61">
        <f t="shared" si="41"/>
        <v>-1.7251522946850506</v>
      </c>
      <c r="F83" s="53">
        <f t="shared" si="30"/>
        <v>-1.6946439879990227</v>
      </c>
      <c r="H83" s="49">
        <f t="shared" si="42"/>
        <v>23.546031470411595</v>
      </c>
      <c r="I83" s="49">
        <f t="shared" si="42"/>
        <v>23.668817996268263</v>
      </c>
      <c r="J83" s="49">
        <f t="shared" si="42"/>
        <v>22.742979368736908</v>
      </c>
      <c r="K83" s="49">
        <f t="shared" si="42"/>
        <v>21.960976876483631</v>
      </c>
      <c r="L83" s="49">
        <f t="shared" si="42"/>
        <v>21.050262231304316</v>
      </c>
    </row>
    <row r="84" spans="1:12" x14ac:dyDescent="0.25">
      <c r="A84" s="34"/>
      <c r="B84" s="49"/>
      <c r="C84" s="53"/>
      <c r="D84" s="49"/>
      <c r="E84" s="49"/>
      <c r="F84" s="53"/>
      <c r="H84" s="49"/>
      <c r="I84" s="49"/>
      <c r="J84" s="49"/>
      <c r="K84" s="49"/>
      <c r="L84" s="49"/>
    </row>
    <row r="85" spans="1:12" s="34" customFormat="1" x14ac:dyDescent="0.25">
      <c r="A85" s="34" t="str">
        <f>A34</f>
        <v>Caring, leisure and other service</v>
      </c>
      <c r="B85" s="53">
        <f t="shared" ref="B85:E87" si="43">IF(AND(C$5-B$5 &lt;&gt; 0,C34 &lt;&gt; 0,B34 &lt;&gt; 0),(EXP(LN(C34/B34)/(C$5-B$5))-1)*100,0)</f>
        <v>1.7800847178649493</v>
      </c>
      <c r="C85" s="53">
        <f t="shared" si="43"/>
        <v>2.9711186842420689</v>
      </c>
      <c r="D85" s="53">
        <f t="shared" si="43"/>
        <v>1.1936714068548238</v>
      </c>
      <c r="E85" s="53">
        <f t="shared" si="43"/>
        <v>1.430514220963186</v>
      </c>
      <c r="F85" s="53">
        <f t="shared" si="30"/>
        <v>1.312023603837198</v>
      </c>
      <c r="H85" s="53">
        <f>(B34/B$50)*100</f>
        <v>8.3219573456602181</v>
      </c>
      <c r="I85" s="53">
        <f>(C34/C$50)*100</f>
        <v>9.0866301533943403</v>
      </c>
      <c r="J85" s="53">
        <f>(D34/D$50)*100</f>
        <v>9.5990785515711892</v>
      </c>
      <c r="K85" s="53">
        <f>(E34/E$50)*100</f>
        <v>10.069535267457805</v>
      </c>
      <c r="L85" s="53">
        <f>(F34/F$50)*100</f>
        <v>10.638491928571444</v>
      </c>
    </row>
    <row r="86" spans="1:12" x14ac:dyDescent="0.25">
      <c r="A86" s="243" t="str">
        <f>A35</f>
        <v xml:space="preserve"> 61 Caring personal service occupations</v>
      </c>
      <c r="B86" s="61">
        <f t="shared" si="43"/>
        <v>2.2245354485873614</v>
      </c>
      <c r="C86" s="53">
        <f t="shared" si="43"/>
        <v>3.3358779054647014</v>
      </c>
      <c r="D86" s="61">
        <f t="shared" si="43"/>
        <v>1.5706280642167947</v>
      </c>
      <c r="E86" s="61">
        <f t="shared" si="43"/>
        <v>1.8603709523047129</v>
      </c>
      <c r="F86" s="53">
        <f t="shared" si="30"/>
        <v>1.7153963393924609</v>
      </c>
      <c r="H86" s="49">
        <f t="shared" ref="H86:L87" si="44">(B35/B$34)*100</f>
        <v>74.09922439819421</v>
      </c>
      <c r="I86" s="49">
        <f t="shared" si="44"/>
        <v>75.731289218941257</v>
      </c>
      <c r="J86" s="49">
        <f t="shared" si="44"/>
        <v>77.082157606437207</v>
      </c>
      <c r="K86" s="49">
        <f t="shared" si="44"/>
        <v>78.528587890015842</v>
      </c>
      <c r="L86" s="49">
        <f t="shared" si="44"/>
        <v>80.206750020443039</v>
      </c>
    </row>
    <row r="87" spans="1:12" x14ac:dyDescent="0.25">
      <c r="A87" s="218" t="str">
        <f>A36</f>
        <v xml:space="preserve"> 62 Leisure, travel and related personal service occupations</v>
      </c>
      <c r="B87" s="61">
        <f t="shared" si="43"/>
        <v>0.46379866940606806</v>
      </c>
      <c r="C87" s="53">
        <f t="shared" si="43"/>
        <v>1.7983726562631031</v>
      </c>
      <c r="D87" s="61">
        <f t="shared" si="43"/>
        <v>-0.11719533158314199</v>
      </c>
      <c r="E87" s="61">
        <f t="shared" si="43"/>
        <v>-0.20703470854777084</v>
      </c>
      <c r="F87" s="53">
        <f t="shared" si="30"/>
        <v>-0.16212512534019563</v>
      </c>
      <c r="H87" s="49">
        <f t="shared" si="44"/>
        <v>25.900775601805798</v>
      </c>
      <c r="I87" s="49">
        <f t="shared" si="44"/>
        <v>24.26871078105874</v>
      </c>
      <c r="J87" s="49">
        <f t="shared" si="44"/>
        <v>22.917842393562797</v>
      </c>
      <c r="K87" s="49">
        <f t="shared" si="44"/>
        <v>21.471412109984154</v>
      </c>
      <c r="L87" s="49">
        <f t="shared" si="44"/>
        <v>19.793249979556965</v>
      </c>
    </row>
    <row r="88" spans="1:12" x14ac:dyDescent="0.25">
      <c r="A88" s="218"/>
      <c r="B88" s="49"/>
      <c r="C88" s="53"/>
      <c r="D88" s="49"/>
      <c r="E88" s="49"/>
      <c r="F88" s="53"/>
      <c r="H88" s="49"/>
      <c r="I88" s="49"/>
      <c r="J88" s="49"/>
      <c r="K88" s="49"/>
      <c r="L88" s="49"/>
    </row>
    <row r="89" spans="1:12" s="34" customFormat="1" x14ac:dyDescent="0.25">
      <c r="A89" s="34" t="str">
        <f>A38</f>
        <v>Sales and customer service</v>
      </c>
      <c r="B89" s="53">
        <f t="shared" ref="B89:E91" si="45">IF(AND(C$5-B$5 &lt;&gt; 0,C38 &lt;&gt; 0,B38 &lt;&gt; 0),(EXP(LN(C38/B38)/(C$5-B$5))-1)*100,0)</f>
        <v>0.11813698782516813</v>
      </c>
      <c r="C89" s="53">
        <f t="shared" si="45"/>
        <v>0.84243105510448668</v>
      </c>
      <c r="D89" s="53">
        <f t="shared" si="45"/>
        <v>-0.328453435238929</v>
      </c>
      <c r="E89" s="53">
        <f t="shared" si="45"/>
        <v>-3.2175123596900335E-2</v>
      </c>
      <c r="F89" s="53">
        <f t="shared" si="30"/>
        <v>-0.18042420373500789</v>
      </c>
      <c r="H89" s="53">
        <f>(B38/B$50)*100</f>
        <v>8.7832126265809514</v>
      </c>
      <c r="I89" s="53">
        <f>(C38/C$50)*100</f>
        <v>8.8324364313645525</v>
      </c>
      <c r="J89" s="53">
        <f>(D38/D$50)*100</f>
        <v>8.4051717837166269</v>
      </c>
      <c r="K89" s="53">
        <f>(E38/E$50)*100</f>
        <v>8.1736435984155698</v>
      </c>
      <c r="L89" s="53">
        <f>(F38/F$50)*100</f>
        <v>8.030533821632325</v>
      </c>
    </row>
    <row r="90" spans="1:12" s="34" customFormat="1" x14ac:dyDescent="0.25">
      <c r="A90" s="252" t="str">
        <f>A39</f>
        <v xml:space="preserve"> 71 Sales occupations</v>
      </c>
      <c r="B90" s="61">
        <f t="shared" si="45"/>
        <v>-0.38784840443052415</v>
      </c>
      <c r="C90" s="53">
        <f t="shared" si="45"/>
        <v>8.1889437141935417E-2</v>
      </c>
      <c r="D90" s="61">
        <f t="shared" si="45"/>
        <v>-0.89411537143219144</v>
      </c>
      <c r="E90" s="61">
        <f t="shared" si="45"/>
        <v>-0.53250729896028304</v>
      </c>
      <c r="F90" s="53">
        <f t="shared" si="30"/>
        <v>-0.71347596011757108</v>
      </c>
      <c r="G90" s="252"/>
      <c r="H90" s="49">
        <f t="shared" ref="H90:L91" si="46">(B39/B$34)*100</f>
        <v>85.675888535868367</v>
      </c>
      <c r="I90" s="49">
        <f t="shared" si="46"/>
        <v>76.931850898661736</v>
      </c>
      <c r="J90" s="49">
        <f t="shared" si="46"/>
        <v>66.727753712175343</v>
      </c>
      <c r="K90" s="49">
        <f t="shared" si="46"/>
        <v>60.122489235275921</v>
      </c>
      <c r="L90" s="49">
        <f t="shared" si="46"/>
        <v>54.525501755389826</v>
      </c>
    </row>
    <row r="91" spans="1:12" s="34" customFormat="1" x14ac:dyDescent="0.25">
      <c r="A91" s="252" t="str">
        <f>A40</f>
        <v xml:space="preserve"> 72 Customer service occupations</v>
      </c>
      <c r="B91" s="61">
        <f t="shared" si="45"/>
        <v>2.1906676793102875</v>
      </c>
      <c r="C91" s="53">
        <f t="shared" si="45"/>
        <v>3.5376707327269941</v>
      </c>
      <c r="D91" s="61">
        <f t="shared" si="45"/>
        <v>1.4016581493491387</v>
      </c>
      <c r="E91" s="61">
        <f t="shared" si="45"/>
        <v>1.3442331573035649</v>
      </c>
      <c r="F91" s="53">
        <f t="shared" si="30"/>
        <v>1.3729415871159834</v>
      </c>
      <c r="G91" s="252"/>
      <c r="H91" s="49">
        <f t="shared" si="46"/>
        <v>19.866741181661613</v>
      </c>
      <c r="I91" s="49">
        <f t="shared" si="46"/>
        <v>20.270701447602381</v>
      </c>
      <c r="J91" s="49">
        <f t="shared" si="46"/>
        <v>20.834523631006295</v>
      </c>
      <c r="K91" s="49">
        <f t="shared" si="46"/>
        <v>21.049515046100613</v>
      </c>
      <c r="L91" s="49">
        <f t="shared" si="46"/>
        <v>20.960139212809665</v>
      </c>
    </row>
    <row r="92" spans="1:12" x14ac:dyDescent="0.25">
      <c r="A92" s="218"/>
      <c r="B92" s="2"/>
      <c r="C92" s="53"/>
      <c r="D92" s="2"/>
      <c r="E92" s="2"/>
      <c r="F92" s="53"/>
      <c r="G92" s="2"/>
      <c r="H92" s="2"/>
      <c r="I92" s="2"/>
      <c r="J92" s="2"/>
      <c r="K92" s="2"/>
      <c r="L92" s="2"/>
    </row>
    <row r="93" spans="1:12" s="34" customFormat="1" x14ac:dyDescent="0.25">
      <c r="A93" s="34" t="str">
        <f>A42</f>
        <v>Process, plant and machine operatives</v>
      </c>
      <c r="B93" s="53">
        <f t="shared" ref="B93:E95" si="47">IF(AND(C$5-B$5 &lt;&gt; 0,C42 &lt;&gt; 0,B42 &lt;&gt; 0),(EXP(LN(C42/B42)/(C$5-B$5))-1)*100,0)</f>
        <v>-1.39152436587483</v>
      </c>
      <c r="C93" s="53">
        <f t="shared" si="47"/>
        <v>0.20676744827048399</v>
      </c>
      <c r="D93" s="53">
        <f t="shared" si="47"/>
        <v>-1.2465917938316307</v>
      </c>
      <c r="E93" s="53">
        <f t="shared" si="47"/>
        <v>-0.7265054674985949</v>
      </c>
      <c r="F93" s="53">
        <f t="shared" si="30"/>
        <v>-0.98689011236473556</v>
      </c>
      <c r="H93" s="53">
        <f>(B42/B$50)*100</f>
        <v>7.2794861333497929</v>
      </c>
      <c r="I93" s="53">
        <f>(C42/C$50)*100</f>
        <v>6.784772268013092</v>
      </c>
      <c r="J93" s="53">
        <f>(D42/D$50)*100</f>
        <v>6.2556159295656606</v>
      </c>
      <c r="K93" s="53">
        <f>(E42/E$50)*100</f>
        <v>5.80822804791043</v>
      </c>
      <c r="L93" s="53">
        <f>(F42/F$50)*100</f>
        <v>5.5110926662990147</v>
      </c>
    </row>
    <row r="94" spans="1:12" x14ac:dyDescent="0.25">
      <c r="A94" s="243" t="str">
        <f>A43</f>
        <v xml:space="preserve"> 81 Process, plant and machine operatives</v>
      </c>
      <c r="B94" s="61">
        <f t="shared" si="47"/>
        <v>-2.2777537852629703</v>
      </c>
      <c r="C94" s="53">
        <f t="shared" si="47"/>
        <v>-0.79174881996433299</v>
      </c>
      <c r="D94" s="61">
        <f t="shared" si="47"/>
        <v>-2.8453293500354748</v>
      </c>
      <c r="E94" s="61">
        <f t="shared" si="47"/>
        <v>-2.0921615931860038</v>
      </c>
      <c r="F94" s="53">
        <f t="shared" si="30"/>
        <v>-2.4694724998169493</v>
      </c>
      <c r="H94" s="49">
        <f t="shared" ref="H94:L95" si="48">(B43/B$42)*100</f>
        <v>45.93228579070275</v>
      </c>
      <c r="I94" s="49">
        <f t="shared" si="48"/>
        <v>43.905005639774657</v>
      </c>
      <c r="J94" s="49">
        <f t="shared" si="48"/>
        <v>41.760697609599823</v>
      </c>
      <c r="K94" s="49">
        <f t="shared" si="48"/>
        <v>38.488031471038312</v>
      </c>
      <c r="L94" s="49">
        <f t="shared" si="48"/>
        <v>35.912568062356698</v>
      </c>
    </row>
    <row r="95" spans="1:12" x14ac:dyDescent="0.25">
      <c r="A95" s="218" t="str">
        <f>A44</f>
        <v xml:space="preserve"> 82 Transport and mobile machine drivers and operatives</v>
      </c>
      <c r="B95" s="61">
        <f t="shared" si="47"/>
        <v>-0.66290279795608864</v>
      </c>
      <c r="C95" s="53">
        <f t="shared" si="47"/>
        <v>0.96142312357379023</v>
      </c>
      <c r="D95" s="61">
        <f t="shared" si="47"/>
        <v>-0.16087058704441493</v>
      </c>
      <c r="E95" s="61">
        <f t="shared" si="47"/>
        <v>9.1214384247528812E-2</v>
      </c>
      <c r="F95" s="53">
        <f t="shared" si="30"/>
        <v>-3.4907562645791756E-2</v>
      </c>
      <c r="H95" s="49">
        <f t="shared" si="48"/>
        <v>54.067714209297257</v>
      </c>
      <c r="I95" s="49">
        <f t="shared" si="48"/>
        <v>56.09499436022535</v>
      </c>
      <c r="J95" s="49">
        <f t="shared" si="48"/>
        <v>58.239302390400184</v>
      </c>
      <c r="K95" s="49">
        <f t="shared" si="48"/>
        <v>61.511968528961681</v>
      </c>
      <c r="L95" s="49">
        <f t="shared" si="48"/>
        <v>64.087431937643302</v>
      </c>
    </row>
    <row r="96" spans="1:12" x14ac:dyDescent="0.25">
      <c r="A96" s="218"/>
      <c r="C96" s="53"/>
      <c r="F96" s="53"/>
    </row>
    <row r="97" spans="1:12" s="34" customFormat="1" x14ac:dyDescent="0.25">
      <c r="A97" s="34" t="str">
        <f>A46</f>
        <v>Elementary occupations</v>
      </c>
      <c r="B97" s="53">
        <f t="shared" ref="B97:E99" si="49">IF(AND(C$5-B$5 &lt;&gt; 0,C46 &lt;&gt; 0,B46 &lt;&gt; 0),(EXP(LN(C46/B46)/(C$5-B$5))-1)*100,0)</f>
        <v>-1.3802128768733768</v>
      </c>
      <c r="C97" s="53">
        <f t="shared" si="49"/>
        <v>0.98819682615398641</v>
      </c>
      <c r="D97" s="53">
        <f t="shared" si="49"/>
        <v>-4.0235381074271714E-2</v>
      </c>
      <c r="E97" s="53">
        <f t="shared" si="49"/>
        <v>-5.5208452090282911E-3</v>
      </c>
      <c r="F97" s="53">
        <f t="shared" si="30"/>
        <v>-2.2879619860127764E-2</v>
      </c>
      <c r="H97" s="53">
        <f>(B46/B$50)*100</f>
        <v>12.699642931417712</v>
      </c>
      <c r="I97" s="53">
        <f>(C46/C$50)*100</f>
        <v>11.8433657111371</v>
      </c>
      <c r="J97" s="53">
        <f>(D46/D$50)*100</f>
        <v>11.352140780864735</v>
      </c>
      <c r="K97" s="53">
        <f>(E46/E$50)*100</f>
        <v>11.199973879344542</v>
      </c>
      <c r="L97" s="53">
        <f>(F46/F$50)*100</f>
        <v>11.018554594366146</v>
      </c>
    </row>
    <row r="98" spans="1:12" x14ac:dyDescent="0.25">
      <c r="A98" s="243" t="str">
        <f>A47</f>
        <v xml:space="preserve"> 91 Elementary trades and related occupations</v>
      </c>
      <c r="B98" s="61">
        <f t="shared" si="49"/>
        <v>-0.83202003723169549</v>
      </c>
      <c r="C98" s="53">
        <f t="shared" si="49"/>
        <v>0.91176313523766428</v>
      </c>
      <c r="D98" s="61">
        <f t="shared" si="49"/>
        <v>-0.58810926193398894</v>
      </c>
      <c r="E98" s="61">
        <f t="shared" si="49"/>
        <v>-0.29957717964214092</v>
      </c>
      <c r="F98" s="53">
        <f t="shared" si="30"/>
        <v>-0.44394774823381944</v>
      </c>
      <c r="H98" s="49">
        <f t="shared" ref="H98:L99" si="50">(B47/B$46)*100</f>
        <v>13.700904001880687</v>
      </c>
      <c r="I98" s="49">
        <f t="shared" si="50"/>
        <v>14.085953607103837</v>
      </c>
      <c r="J98" s="49">
        <f t="shared" si="50"/>
        <v>14.032728925288138</v>
      </c>
      <c r="K98" s="49">
        <f t="shared" si="50"/>
        <v>13.652358407001532</v>
      </c>
      <c r="L98" s="49">
        <f t="shared" si="50"/>
        <v>13.452796372076961</v>
      </c>
    </row>
    <row r="99" spans="1:12" x14ac:dyDescent="0.25">
      <c r="A99" s="218" t="str">
        <f>A48</f>
        <v xml:space="preserve"> 92 Elementary administration and service occupations</v>
      </c>
      <c r="B99" s="61">
        <f t="shared" si="49"/>
        <v>-1.4683747835414485</v>
      </c>
      <c r="C99" s="53">
        <f t="shared" si="49"/>
        <v>1.0007063828549434</v>
      </c>
      <c r="D99" s="61">
        <f t="shared" si="49"/>
        <v>4.806481208763369E-2</v>
      </c>
      <c r="E99" s="61">
        <f t="shared" si="49"/>
        <v>4.0656859819909741E-2</v>
      </c>
      <c r="F99" s="53">
        <f t="shared" si="30"/>
        <v>4.4360767386986133E-2</v>
      </c>
      <c r="H99" s="49">
        <f t="shared" si="50"/>
        <v>86.299095998119313</v>
      </c>
      <c r="I99" s="49">
        <f t="shared" si="50"/>
        <v>85.914046392896154</v>
      </c>
      <c r="J99" s="49">
        <f t="shared" si="50"/>
        <v>85.96727107471186</v>
      </c>
      <c r="K99" s="49">
        <f t="shared" si="50"/>
        <v>86.347641592998471</v>
      </c>
      <c r="L99" s="49">
        <f t="shared" si="50"/>
        <v>86.547203627923025</v>
      </c>
    </row>
    <row r="100" spans="1:12" x14ac:dyDescent="0.25">
      <c r="A100" s="15"/>
      <c r="C100" s="53"/>
      <c r="F100" s="53"/>
    </row>
    <row r="101" spans="1:12" x14ac:dyDescent="0.25">
      <c r="A101" s="48" t="str">
        <f t="shared" ref="A101" si="51">A50</f>
        <v>All occupations</v>
      </c>
      <c r="B101" s="62">
        <f>IF(AND(C$5-B$5 &lt;&gt; 0,C50 &lt;&gt; 0,B50 &lt;&gt; 0),(EXP(LN(C50/B50)/(C$5-B$5))-1)*100,0)</f>
        <v>6.2942675480570642E-3</v>
      </c>
      <c r="C101" s="304">
        <f t="shared" ref="C101" si="52">IF(AND(D$5-C$5 &lt;&gt; 0,D50 &lt;&gt; 0,C50 &lt;&gt; 0),(EXP(LN(D50/C50)/(D$5-C$5))-1)*100,0)</f>
        <v>1.8474341286811802</v>
      </c>
      <c r="D101" s="62">
        <f>IF(AND(E$5-D$5 &lt;&gt; 0,E50 &lt;&gt; 0,D50 &lt;&gt; 0),(EXP(LN(E50/D50)/(E$5-D$5))-1)*100,0)</f>
        <v>0.22991833206484902</v>
      </c>
      <c r="E101" s="62">
        <f>IF(AND(F$5-E$5 &lt;&gt; 0,F50 &lt;&gt; 0,E50 &lt;&gt; 0),(EXP(LN(F50/E50)/(F$5-E$5))-1)*100,0)</f>
        <v>0.32161132563675032</v>
      </c>
      <c r="F101" s="304">
        <f t="shared" si="30"/>
        <v>0.27575434824573808</v>
      </c>
      <c r="G101" s="37"/>
      <c r="H101" s="52">
        <f>(B50/B$50)*100</f>
        <v>100</v>
      </c>
      <c r="I101" s="52">
        <f>(C50/C$50)*100</f>
        <v>100</v>
      </c>
      <c r="J101" s="52">
        <f>(D50/D$50)*100</f>
        <v>100</v>
      </c>
      <c r="K101" s="52">
        <f>(E50/E$50)*100</f>
        <v>100</v>
      </c>
      <c r="L101" s="52">
        <f>(F50/F$50)*100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1" max="11" man="1"/>
  </row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U1311"/>
  <sheetViews>
    <sheetView showGridLines="0" zoomScale="85" zoomScaleNormal="85" workbookViewId="0"/>
  </sheetViews>
  <sheetFormatPr defaultRowHeight="13.2" x14ac:dyDescent="0.25"/>
  <cols>
    <col min="1" max="1" width="35.5546875" style="123" customWidth="1"/>
    <col min="2" max="4" width="6.6640625" style="123" customWidth="1"/>
    <col min="5" max="5" width="5" style="123" customWidth="1"/>
    <col min="6" max="8" width="6.6640625" style="123" customWidth="1"/>
    <col min="9" max="9" width="5" style="123" customWidth="1"/>
    <col min="10" max="12" width="6.6640625" style="123" customWidth="1"/>
    <col min="13" max="13" width="5" style="123" customWidth="1"/>
    <col min="14" max="14" width="8.88671875" style="123" customWidth="1"/>
    <col min="15" max="15" width="7.109375" style="123" customWidth="1"/>
    <col min="16" max="16" width="2.88671875" style="123" customWidth="1"/>
    <col min="17" max="17" width="7.44140625" style="123" customWidth="1"/>
    <col min="18" max="18" width="7.33203125" style="123" customWidth="1"/>
    <col min="19" max="19" width="2.6640625" style="123" customWidth="1"/>
    <col min="20" max="20" width="8.109375" style="123" customWidth="1"/>
    <col min="21" max="21" width="7.44140625" style="123" customWidth="1"/>
    <col min="22" max="254" width="9.109375" style="123"/>
    <col min="255" max="255" width="33.109375" style="123" bestFit="1" customWidth="1"/>
    <col min="256" max="258" width="7.109375" style="123" customWidth="1"/>
    <col min="259" max="259" width="5" style="123" customWidth="1"/>
    <col min="260" max="262" width="7.109375" style="123" customWidth="1"/>
    <col min="263" max="263" width="5" style="123" customWidth="1"/>
    <col min="264" max="266" width="7.109375" style="123" customWidth="1"/>
    <col min="267" max="510" width="9.109375" style="123"/>
    <col min="511" max="511" width="33.109375" style="123" bestFit="1" customWidth="1"/>
    <col min="512" max="514" width="7.109375" style="123" customWidth="1"/>
    <col min="515" max="515" width="5" style="123" customWidth="1"/>
    <col min="516" max="518" width="7.109375" style="123" customWidth="1"/>
    <col min="519" max="519" width="5" style="123" customWidth="1"/>
    <col min="520" max="522" width="7.109375" style="123" customWidth="1"/>
    <col min="523" max="766" width="9.109375" style="123"/>
    <col min="767" max="767" width="33.109375" style="123" bestFit="1" customWidth="1"/>
    <col min="768" max="770" width="7.109375" style="123" customWidth="1"/>
    <col min="771" max="771" width="5" style="123" customWidth="1"/>
    <col min="772" max="774" width="7.109375" style="123" customWidth="1"/>
    <col min="775" max="775" width="5" style="123" customWidth="1"/>
    <col min="776" max="778" width="7.109375" style="123" customWidth="1"/>
    <col min="779" max="1022" width="9.109375" style="123"/>
    <col min="1023" max="1023" width="33.109375" style="123" bestFit="1" customWidth="1"/>
    <col min="1024" max="1026" width="7.109375" style="123" customWidth="1"/>
    <col min="1027" max="1027" width="5" style="123" customWidth="1"/>
    <col min="1028" max="1030" width="7.109375" style="123" customWidth="1"/>
    <col min="1031" max="1031" width="5" style="123" customWidth="1"/>
    <col min="1032" max="1034" width="7.109375" style="123" customWidth="1"/>
    <col min="1035" max="1278" width="9.109375" style="123"/>
    <col min="1279" max="1279" width="33.109375" style="123" bestFit="1" customWidth="1"/>
    <col min="1280" max="1282" width="7.109375" style="123" customWidth="1"/>
    <col min="1283" max="1283" width="5" style="123" customWidth="1"/>
    <col min="1284" max="1286" width="7.109375" style="123" customWidth="1"/>
    <col min="1287" max="1287" width="5" style="123" customWidth="1"/>
    <col min="1288" max="1290" width="7.109375" style="123" customWidth="1"/>
    <col min="1291" max="1534" width="9.109375" style="123"/>
    <col min="1535" max="1535" width="33.109375" style="123" bestFit="1" customWidth="1"/>
    <col min="1536" max="1538" width="7.109375" style="123" customWidth="1"/>
    <col min="1539" max="1539" width="5" style="123" customWidth="1"/>
    <col min="1540" max="1542" width="7.109375" style="123" customWidth="1"/>
    <col min="1543" max="1543" width="5" style="123" customWidth="1"/>
    <col min="1544" max="1546" width="7.109375" style="123" customWidth="1"/>
    <col min="1547" max="1790" width="9.109375" style="123"/>
    <col min="1791" max="1791" width="33.109375" style="123" bestFit="1" customWidth="1"/>
    <col min="1792" max="1794" width="7.109375" style="123" customWidth="1"/>
    <col min="1795" max="1795" width="5" style="123" customWidth="1"/>
    <col min="1796" max="1798" width="7.109375" style="123" customWidth="1"/>
    <col min="1799" max="1799" width="5" style="123" customWidth="1"/>
    <col min="1800" max="1802" width="7.109375" style="123" customWidth="1"/>
    <col min="1803" max="2046" width="9.109375" style="123"/>
    <col min="2047" max="2047" width="33.109375" style="123" bestFit="1" customWidth="1"/>
    <col min="2048" max="2050" width="7.109375" style="123" customWidth="1"/>
    <col min="2051" max="2051" width="5" style="123" customWidth="1"/>
    <col min="2052" max="2054" width="7.109375" style="123" customWidth="1"/>
    <col min="2055" max="2055" width="5" style="123" customWidth="1"/>
    <col min="2056" max="2058" width="7.109375" style="123" customWidth="1"/>
    <col min="2059" max="2302" width="9.109375" style="123"/>
    <col min="2303" max="2303" width="33.109375" style="123" bestFit="1" customWidth="1"/>
    <col min="2304" max="2306" width="7.109375" style="123" customWidth="1"/>
    <col min="2307" max="2307" width="5" style="123" customWidth="1"/>
    <col min="2308" max="2310" width="7.109375" style="123" customWidth="1"/>
    <col min="2311" max="2311" width="5" style="123" customWidth="1"/>
    <col min="2312" max="2314" width="7.109375" style="123" customWidth="1"/>
    <col min="2315" max="2558" width="9.109375" style="123"/>
    <col min="2559" max="2559" width="33.109375" style="123" bestFit="1" customWidth="1"/>
    <col min="2560" max="2562" width="7.109375" style="123" customWidth="1"/>
    <col min="2563" max="2563" width="5" style="123" customWidth="1"/>
    <col min="2564" max="2566" width="7.109375" style="123" customWidth="1"/>
    <col min="2567" max="2567" width="5" style="123" customWidth="1"/>
    <col min="2568" max="2570" width="7.109375" style="123" customWidth="1"/>
    <col min="2571" max="2814" width="9.109375" style="123"/>
    <col min="2815" max="2815" width="33.109375" style="123" bestFit="1" customWidth="1"/>
    <col min="2816" max="2818" width="7.109375" style="123" customWidth="1"/>
    <col min="2819" max="2819" width="5" style="123" customWidth="1"/>
    <col min="2820" max="2822" width="7.109375" style="123" customWidth="1"/>
    <col min="2823" max="2823" width="5" style="123" customWidth="1"/>
    <col min="2824" max="2826" width="7.109375" style="123" customWidth="1"/>
    <col min="2827" max="3070" width="9.109375" style="123"/>
    <col min="3071" max="3071" width="33.109375" style="123" bestFit="1" customWidth="1"/>
    <col min="3072" max="3074" width="7.109375" style="123" customWidth="1"/>
    <col min="3075" max="3075" width="5" style="123" customWidth="1"/>
    <col min="3076" max="3078" width="7.109375" style="123" customWidth="1"/>
    <col min="3079" max="3079" width="5" style="123" customWidth="1"/>
    <col min="3080" max="3082" width="7.109375" style="123" customWidth="1"/>
    <col min="3083" max="3326" width="9.109375" style="123"/>
    <col min="3327" max="3327" width="33.109375" style="123" bestFit="1" customWidth="1"/>
    <col min="3328" max="3330" width="7.109375" style="123" customWidth="1"/>
    <col min="3331" max="3331" width="5" style="123" customWidth="1"/>
    <col min="3332" max="3334" width="7.109375" style="123" customWidth="1"/>
    <col min="3335" max="3335" width="5" style="123" customWidth="1"/>
    <col min="3336" max="3338" width="7.109375" style="123" customWidth="1"/>
    <col min="3339" max="3582" width="9.109375" style="123"/>
    <col min="3583" max="3583" width="33.109375" style="123" bestFit="1" customWidth="1"/>
    <col min="3584" max="3586" width="7.109375" style="123" customWidth="1"/>
    <col min="3587" max="3587" width="5" style="123" customWidth="1"/>
    <col min="3588" max="3590" width="7.109375" style="123" customWidth="1"/>
    <col min="3591" max="3591" width="5" style="123" customWidth="1"/>
    <col min="3592" max="3594" width="7.109375" style="123" customWidth="1"/>
    <col min="3595" max="3838" width="9.109375" style="123"/>
    <col min="3839" max="3839" width="33.109375" style="123" bestFit="1" customWidth="1"/>
    <col min="3840" max="3842" width="7.109375" style="123" customWidth="1"/>
    <col min="3843" max="3843" width="5" style="123" customWidth="1"/>
    <col min="3844" max="3846" width="7.109375" style="123" customWidth="1"/>
    <col min="3847" max="3847" width="5" style="123" customWidth="1"/>
    <col min="3848" max="3850" width="7.109375" style="123" customWidth="1"/>
    <col min="3851" max="4094" width="9.109375" style="123"/>
    <col min="4095" max="4095" width="33.109375" style="123" bestFit="1" customWidth="1"/>
    <col min="4096" max="4098" width="7.109375" style="123" customWidth="1"/>
    <col min="4099" max="4099" width="5" style="123" customWidth="1"/>
    <col min="4100" max="4102" width="7.109375" style="123" customWidth="1"/>
    <col min="4103" max="4103" width="5" style="123" customWidth="1"/>
    <col min="4104" max="4106" width="7.109375" style="123" customWidth="1"/>
    <col min="4107" max="4350" width="9.109375" style="123"/>
    <col min="4351" max="4351" width="33.109375" style="123" bestFit="1" customWidth="1"/>
    <col min="4352" max="4354" width="7.109375" style="123" customWidth="1"/>
    <col min="4355" max="4355" width="5" style="123" customWidth="1"/>
    <col min="4356" max="4358" width="7.109375" style="123" customWidth="1"/>
    <col min="4359" max="4359" width="5" style="123" customWidth="1"/>
    <col min="4360" max="4362" width="7.109375" style="123" customWidth="1"/>
    <col min="4363" max="4606" width="9.109375" style="123"/>
    <col min="4607" max="4607" width="33.109375" style="123" bestFit="1" customWidth="1"/>
    <col min="4608" max="4610" width="7.109375" style="123" customWidth="1"/>
    <col min="4611" max="4611" width="5" style="123" customWidth="1"/>
    <col min="4612" max="4614" width="7.109375" style="123" customWidth="1"/>
    <col min="4615" max="4615" width="5" style="123" customWidth="1"/>
    <col min="4616" max="4618" width="7.109375" style="123" customWidth="1"/>
    <col min="4619" max="4862" width="9.109375" style="123"/>
    <col min="4863" max="4863" width="33.109375" style="123" bestFit="1" customWidth="1"/>
    <col min="4864" max="4866" width="7.109375" style="123" customWidth="1"/>
    <col min="4867" max="4867" width="5" style="123" customWidth="1"/>
    <col min="4868" max="4870" width="7.109375" style="123" customWidth="1"/>
    <col min="4871" max="4871" width="5" style="123" customWidth="1"/>
    <col min="4872" max="4874" width="7.109375" style="123" customWidth="1"/>
    <col min="4875" max="5118" width="9.109375" style="123"/>
    <col min="5119" max="5119" width="33.109375" style="123" bestFit="1" customWidth="1"/>
    <col min="5120" max="5122" width="7.109375" style="123" customWidth="1"/>
    <col min="5123" max="5123" width="5" style="123" customWidth="1"/>
    <col min="5124" max="5126" width="7.109375" style="123" customWidth="1"/>
    <col min="5127" max="5127" width="5" style="123" customWidth="1"/>
    <col min="5128" max="5130" width="7.109375" style="123" customWidth="1"/>
    <col min="5131" max="5374" width="9.109375" style="123"/>
    <col min="5375" max="5375" width="33.109375" style="123" bestFit="1" customWidth="1"/>
    <col min="5376" max="5378" width="7.109375" style="123" customWidth="1"/>
    <col min="5379" max="5379" width="5" style="123" customWidth="1"/>
    <col min="5380" max="5382" width="7.109375" style="123" customWidth="1"/>
    <col min="5383" max="5383" width="5" style="123" customWidth="1"/>
    <col min="5384" max="5386" width="7.109375" style="123" customWidth="1"/>
    <col min="5387" max="5630" width="9.109375" style="123"/>
    <col min="5631" max="5631" width="33.109375" style="123" bestFit="1" customWidth="1"/>
    <col min="5632" max="5634" width="7.109375" style="123" customWidth="1"/>
    <col min="5635" max="5635" width="5" style="123" customWidth="1"/>
    <col min="5636" max="5638" width="7.109375" style="123" customWidth="1"/>
    <col min="5639" max="5639" width="5" style="123" customWidth="1"/>
    <col min="5640" max="5642" width="7.109375" style="123" customWidth="1"/>
    <col min="5643" max="5886" width="9.109375" style="123"/>
    <col min="5887" max="5887" width="33.109375" style="123" bestFit="1" customWidth="1"/>
    <col min="5888" max="5890" width="7.109375" style="123" customWidth="1"/>
    <col min="5891" max="5891" width="5" style="123" customWidth="1"/>
    <col min="5892" max="5894" width="7.109375" style="123" customWidth="1"/>
    <col min="5895" max="5895" width="5" style="123" customWidth="1"/>
    <col min="5896" max="5898" width="7.109375" style="123" customWidth="1"/>
    <col min="5899" max="6142" width="9.109375" style="123"/>
    <col min="6143" max="6143" width="33.109375" style="123" bestFit="1" customWidth="1"/>
    <col min="6144" max="6146" width="7.109375" style="123" customWidth="1"/>
    <col min="6147" max="6147" width="5" style="123" customWidth="1"/>
    <col min="6148" max="6150" width="7.109375" style="123" customWidth="1"/>
    <col min="6151" max="6151" width="5" style="123" customWidth="1"/>
    <col min="6152" max="6154" width="7.109375" style="123" customWidth="1"/>
    <col min="6155" max="6398" width="9.109375" style="123"/>
    <col min="6399" max="6399" width="33.109375" style="123" bestFit="1" customWidth="1"/>
    <col min="6400" max="6402" width="7.109375" style="123" customWidth="1"/>
    <col min="6403" max="6403" width="5" style="123" customWidth="1"/>
    <col min="6404" max="6406" width="7.109375" style="123" customWidth="1"/>
    <col min="6407" max="6407" width="5" style="123" customWidth="1"/>
    <col min="6408" max="6410" width="7.109375" style="123" customWidth="1"/>
    <col min="6411" max="6654" width="9.109375" style="123"/>
    <col min="6655" max="6655" width="33.109375" style="123" bestFit="1" customWidth="1"/>
    <col min="6656" max="6658" width="7.109375" style="123" customWidth="1"/>
    <col min="6659" max="6659" width="5" style="123" customWidth="1"/>
    <col min="6660" max="6662" width="7.109375" style="123" customWidth="1"/>
    <col min="6663" max="6663" width="5" style="123" customWidth="1"/>
    <col min="6664" max="6666" width="7.109375" style="123" customWidth="1"/>
    <col min="6667" max="6910" width="9.109375" style="123"/>
    <col min="6911" max="6911" width="33.109375" style="123" bestFit="1" customWidth="1"/>
    <col min="6912" max="6914" width="7.109375" style="123" customWidth="1"/>
    <col min="6915" max="6915" width="5" style="123" customWidth="1"/>
    <col min="6916" max="6918" width="7.109375" style="123" customWidth="1"/>
    <col min="6919" max="6919" width="5" style="123" customWidth="1"/>
    <col min="6920" max="6922" width="7.109375" style="123" customWidth="1"/>
    <col min="6923" max="7166" width="9.109375" style="123"/>
    <col min="7167" max="7167" width="33.109375" style="123" bestFit="1" customWidth="1"/>
    <col min="7168" max="7170" width="7.109375" style="123" customWidth="1"/>
    <col min="7171" max="7171" width="5" style="123" customWidth="1"/>
    <col min="7172" max="7174" width="7.109375" style="123" customWidth="1"/>
    <col min="7175" max="7175" width="5" style="123" customWidth="1"/>
    <col min="7176" max="7178" width="7.109375" style="123" customWidth="1"/>
    <col min="7179" max="7422" width="9.109375" style="123"/>
    <col min="7423" max="7423" width="33.109375" style="123" bestFit="1" customWidth="1"/>
    <col min="7424" max="7426" width="7.109375" style="123" customWidth="1"/>
    <col min="7427" max="7427" width="5" style="123" customWidth="1"/>
    <col min="7428" max="7430" width="7.109375" style="123" customWidth="1"/>
    <col min="7431" max="7431" width="5" style="123" customWidth="1"/>
    <col min="7432" max="7434" width="7.109375" style="123" customWidth="1"/>
    <col min="7435" max="7678" width="9.109375" style="123"/>
    <col min="7679" max="7679" width="33.109375" style="123" bestFit="1" customWidth="1"/>
    <col min="7680" max="7682" width="7.109375" style="123" customWidth="1"/>
    <col min="7683" max="7683" width="5" style="123" customWidth="1"/>
    <col min="7684" max="7686" width="7.109375" style="123" customWidth="1"/>
    <col min="7687" max="7687" width="5" style="123" customWidth="1"/>
    <col min="7688" max="7690" width="7.109375" style="123" customWidth="1"/>
    <col min="7691" max="7934" width="9.109375" style="123"/>
    <col min="7935" max="7935" width="33.109375" style="123" bestFit="1" customWidth="1"/>
    <col min="7936" max="7938" width="7.109375" style="123" customWidth="1"/>
    <col min="7939" max="7939" width="5" style="123" customWidth="1"/>
    <col min="7940" max="7942" width="7.109375" style="123" customWidth="1"/>
    <col min="7943" max="7943" width="5" style="123" customWidth="1"/>
    <col min="7944" max="7946" width="7.109375" style="123" customWidth="1"/>
    <col min="7947" max="8190" width="9.109375" style="123"/>
    <col min="8191" max="8191" width="33.109375" style="123" bestFit="1" customWidth="1"/>
    <col min="8192" max="8194" width="7.109375" style="123" customWidth="1"/>
    <col min="8195" max="8195" width="5" style="123" customWidth="1"/>
    <col min="8196" max="8198" width="7.109375" style="123" customWidth="1"/>
    <col min="8199" max="8199" width="5" style="123" customWidth="1"/>
    <col min="8200" max="8202" width="7.109375" style="123" customWidth="1"/>
    <col min="8203" max="8446" width="9.109375" style="123"/>
    <col min="8447" max="8447" width="33.109375" style="123" bestFit="1" customWidth="1"/>
    <col min="8448" max="8450" width="7.109375" style="123" customWidth="1"/>
    <col min="8451" max="8451" width="5" style="123" customWidth="1"/>
    <col min="8452" max="8454" width="7.109375" style="123" customWidth="1"/>
    <col min="8455" max="8455" width="5" style="123" customWidth="1"/>
    <col min="8456" max="8458" width="7.109375" style="123" customWidth="1"/>
    <col min="8459" max="8702" width="9.109375" style="123"/>
    <col min="8703" max="8703" width="33.109375" style="123" bestFit="1" customWidth="1"/>
    <col min="8704" max="8706" width="7.109375" style="123" customWidth="1"/>
    <col min="8707" max="8707" width="5" style="123" customWidth="1"/>
    <col min="8708" max="8710" width="7.109375" style="123" customWidth="1"/>
    <col min="8711" max="8711" width="5" style="123" customWidth="1"/>
    <col min="8712" max="8714" width="7.109375" style="123" customWidth="1"/>
    <col min="8715" max="8958" width="9.109375" style="123"/>
    <col min="8959" max="8959" width="33.109375" style="123" bestFit="1" customWidth="1"/>
    <col min="8960" max="8962" width="7.109375" style="123" customWidth="1"/>
    <col min="8963" max="8963" width="5" style="123" customWidth="1"/>
    <col min="8964" max="8966" width="7.109375" style="123" customWidth="1"/>
    <col min="8967" max="8967" width="5" style="123" customWidth="1"/>
    <col min="8968" max="8970" width="7.109375" style="123" customWidth="1"/>
    <col min="8971" max="9214" width="9.109375" style="123"/>
    <col min="9215" max="9215" width="33.109375" style="123" bestFit="1" customWidth="1"/>
    <col min="9216" max="9218" width="7.109375" style="123" customWidth="1"/>
    <col min="9219" max="9219" width="5" style="123" customWidth="1"/>
    <col min="9220" max="9222" width="7.109375" style="123" customWidth="1"/>
    <col min="9223" max="9223" width="5" style="123" customWidth="1"/>
    <col min="9224" max="9226" width="7.109375" style="123" customWidth="1"/>
    <col min="9227" max="9470" width="9.109375" style="123"/>
    <col min="9471" max="9471" width="33.109375" style="123" bestFit="1" customWidth="1"/>
    <col min="9472" max="9474" width="7.109375" style="123" customWidth="1"/>
    <col min="9475" max="9475" width="5" style="123" customWidth="1"/>
    <col min="9476" max="9478" width="7.109375" style="123" customWidth="1"/>
    <col min="9479" max="9479" width="5" style="123" customWidth="1"/>
    <col min="9480" max="9482" width="7.109375" style="123" customWidth="1"/>
    <col min="9483" max="9726" width="9.109375" style="123"/>
    <col min="9727" max="9727" width="33.109375" style="123" bestFit="1" customWidth="1"/>
    <col min="9728" max="9730" width="7.109375" style="123" customWidth="1"/>
    <col min="9731" max="9731" width="5" style="123" customWidth="1"/>
    <col min="9732" max="9734" width="7.109375" style="123" customWidth="1"/>
    <col min="9735" max="9735" width="5" style="123" customWidth="1"/>
    <col min="9736" max="9738" width="7.109375" style="123" customWidth="1"/>
    <col min="9739" max="9982" width="9.109375" style="123"/>
    <col min="9983" max="9983" width="33.109375" style="123" bestFit="1" customWidth="1"/>
    <col min="9984" max="9986" width="7.109375" style="123" customWidth="1"/>
    <col min="9987" max="9987" width="5" style="123" customWidth="1"/>
    <col min="9988" max="9990" width="7.109375" style="123" customWidth="1"/>
    <col min="9991" max="9991" width="5" style="123" customWidth="1"/>
    <col min="9992" max="9994" width="7.109375" style="123" customWidth="1"/>
    <col min="9995" max="10238" width="9.109375" style="123"/>
    <col min="10239" max="10239" width="33.109375" style="123" bestFit="1" customWidth="1"/>
    <col min="10240" max="10242" width="7.109375" style="123" customWidth="1"/>
    <col min="10243" max="10243" width="5" style="123" customWidth="1"/>
    <col min="10244" max="10246" width="7.109375" style="123" customWidth="1"/>
    <col min="10247" max="10247" width="5" style="123" customWidth="1"/>
    <col min="10248" max="10250" width="7.109375" style="123" customWidth="1"/>
    <col min="10251" max="10494" width="9.109375" style="123"/>
    <col min="10495" max="10495" width="33.109375" style="123" bestFit="1" customWidth="1"/>
    <col min="10496" max="10498" width="7.109375" style="123" customWidth="1"/>
    <col min="10499" max="10499" width="5" style="123" customWidth="1"/>
    <col min="10500" max="10502" width="7.109375" style="123" customWidth="1"/>
    <col min="10503" max="10503" width="5" style="123" customWidth="1"/>
    <col min="10504" max="10506" width="7.109375" style="123" customWidth="1"/>
    <col min="10507" max="10750" width="9.109375" style="123"/>
    <col min="10751" max="10751" width="33.109375" style="123" bestFit="1" customWidth="1"/>
    <col min="10752" max="10754" width="7.109375" style="123" customWidth="1"/>
    <col min="10755" max="10755" width="5" style="123" customWidth="1"/>
    <col min="10756" max="10758" width="7.109375" style="123" customWidth="1"/>
    <col min="10759" max="10759" width="5" style="123" customWidth="1"/>
    <col min="10760" max="10762" width="7.109375" style="123" customWidth="1"/>
    <col min="10763" max="11006" width="9.109375" style="123"/>
    <col min="11007" max="11007" width="33.109375" style="123" bestFit="1" customWidth="1"/>
    <col min="11008" max="11010" width="7.109375" style="123" customWidth="1"/>
    <col min="11011" max="11011" width="5" style="123" customWidth="1"/>
    <col min="11012" max="11014" width="7.109375" style="123" customWidth="1"/>
    <col min="11015" max="11015" width="5" style="123" customWidth="1"/>
    <col min="11016" max="11018" width="7.109375" style="123" customWidth="1"/>
    <col min="11019" max="11262" width="9.109375" style="123"/>
    <col min="11263" max="11263" width="33.109375" style="123" bestFit="1" customWidth="1"/>
    <col min="11264" max="11266" width="7.109375" style="123" customWidth="1"/>
    <col min="11267" max="11267" width="5" style="123" customWidth="1"/>
    <col min="11268" max="11270" width="7.109375" style="123" customWidth="1"/>
    <col min="11271" max="11271" width="5" style="123" customWidth="1"/>
    <col min="11272" max="11274" width="7.109375" style="123" customWidth="1"/>
    <col min="11275" max="11518" width="9.109375" style="123"/>
    <col min="11519" max="11519" width="33.109375" style="123" bestFit="1" customWidth="1"/>
    <col min="11520" max="11522" width="7.109375" style="123" customWidth="1"/>
    <col min="11523" max="11523" width="5" style="123" customWidth="1"/>
    <col min="11524" max="11526" width="7.109375" style="123" customWidth="1"/>
    <col min="11527" max="11527" width="5" style="123" customWidth="1"/>
    <col min="11528" max="11530" width="7.109375" style="123" customWidth="1"/>
    <col min="11531" max="11774" width="9.109375" style="123"/>
    <col min="11775" max="11775" width="33.109375" style="123" bestFit="1" customWidth="1"/>
    <col min="11776" max="11778" width="7.109375" style="123" customWidth="1"/>
    <col min="11779" max="11779" width="5" style="123" customWidth="1"/>
    <col min="11780" max="11782" width="7.109375" style="123" customWidth="1"/>
    <col min="11783" max="11783" width="5" style="123" customWidth="1"/>
    <col min="11784" max="11786" width="7.109375" style="123" customWidth="1"/>
    <col min="11787" max="12030" width="9.109375" style="123"/>
    <col min="12031" max="12031" width="33.109375" style="123" bestFit="1" customWidth="1"/>
    <col min="12032" max="12034" width="7.109375" style="123" customWidth="1"/>
    <col min="12035" max="12035" width="5" style="123" customWidth="1"/>
    <col min="12036" max="12038" width="7.109375" style="123" customWidth="1"/>
    <col min="12039" max="12039" width="5" style="123" customWidth="1"/>
    <col min="12040" max="12042" width="7.109375" style="123" customWidth="1"/>
    <col min="12043" max="12286" width="9.109375" style="123"/>
    <col min="12287" max="12287" width="33.109375" style="123" bestFit="1" customWidth="1"/>
    <col min="12288" max="12290" width="7.109375" style="123" customWidth="1"/>
    <col min="12291" max="12291" width="5" style="123" customWidth="1"/>
    <col min="12292" max="12294" width="7.109375" style="123" customWidth="1"/>
    <col min="12295" max="12295" width="5" style="123" customWidth="1"/>
    <col min="12296" max="12298" width="7.109375" style="123" customWidth="1"/>
    <col min="12299" max="12542" width="9.109375" style="123"/>
    <col min="12543" max="12543" width="33.109375" style="123" bestFit="1" customWidth="1"/>
    <col min="12544" max="12546" width="7.109375" style="123" customWidth="1"/>
    <col min="12547" max="12547" width="5" style="123" customWidth="1"/>
    <col min="12548" max="12550" width="7.109375" style="123" customWidth="1"/>
    <col min="12551" max="12551" width="5" style="123" customWidth="1"/>
    <col min="12552" max="12554" width="7.109375" style="123" customWidth="1"/>
    <col min="12555" max="12798" width="9.109375" style="123"/>
    <col min="12799" max="12799" width="33.109375" style="123" bestFit="1" customWidth="1"/>
    <col min="12800" max="12802" width="7.109375" style="123" customWidth="1"/>
    <col min="12803" max="12803" width="5" style="123" customWidth="1"/>
    <col min="12804" max="12806" width="7.109375" style="123" customWidth="1"/>
    <col min="12807" max="12807" width="5" style="123" customWidth="1"/>
    <col min="12808" max="12810" width="7.109375" style="123" customWidth="1"/>
    <col min="12811" max="13054" width="9.109375" style="123"/>
    <col min="13055" max="13055" width="33.109375" style="123" bestFit="1" customWidth="1"/>
    <col min="13056" max="13058" width="7.109375" style="123" customWidth="1"/>
    <col min="13059" max="13059" width="5" style="123" customWidth="1"/>
    <col min="13060" max="13062" width="7.109375" style="123" customWidth="1"/>
    <col min="13063" max="13063" width="5" style="123" customWidth="1"/>
    <col min="13064" max="13066" width="7.109375" style="123" customWidth="1"/>
    <col min="13067" max="13310" width="9.109375" style="123"/>
    <col min="13311" max="13311" width="33.109375" style="123" bestFit="1" customWidth="1"/>
    <col min="13312" max="13314" width="7.109375" style="123" customWidth="1"/>
    <col min="13315" max="13315" width="5" style="123" customWidth="1"/>
    <col min="13316" max="13318" width="7.109375" style="123" customWidth="1"/>
    <col min="13319" max="13319" width="5" style="123" customWidth="1"/>
    <col min="13320" max="13322" width="7.109375" style="123" customWidth="1"/>
    <col min="13323" max="13566" width="9.109375" style="123"/>
    <col min="13567" max="13567" width="33.109375" style="123" bestFit="1" customWidth="1"/>
    <col min="13568" max="13570" width="7.109375" style="123" customWidth="1"/>
    <col min="13571" max="13571" width="5" style="123" customWidth="1"/>
    <col min="13572" max="13574" width="7.109375" style="123" customWidth="1"/>
    <col min="13575" max="13575" width="5" style="123" customWidth="1"/>
    <col min="13576" max="13578" width="7.109375" style="123" customWidth="1"/>
    <col min="13579" max="13822" width="9.109375" style="123"/>
    <col min="13823" max="13823" width="33.109375" style="123" bestFit="1" customWidth="1"/>
    <col min="13824" max="13826" width="7.109375" style="123" customWidth="1"/>
    <col min="13827" max="13827" width="5" style="123" customWidth="1"/>
    <col min="13828" max="13830" width="7.109375" style="123" customWidth="1"/>
    <col min="13831" max="13831" width="5" style="123" customWidth="1"/>
    <col min="13832" max="13834" width="7.109375" style="123" customWidth="1"/>
    <col min="13835" max="14078" width="9.109375" style="123"/>
    <col min="14079" max="14079" width="33.109375" style="123" bestFit="1" customWidth="1"/>
    <col min="14080" max="14082" width="7.109375" style="123" customWidth="1"/>
    <col min="14083" max="14083" width="5" style="123" customWidth="1"/>
    <col min="14084" max="14086" width="7.109375" style="123" customWidth="1"/>
    <col min="14087" max="14087" width="5" style="123" customWidth="1"/>
    <col min="14088" max="14090" width="7.109375" style="123" customWidth="1"/>
    <col min="14091" max="14334" width="9.109375" style="123"/>
    <col min="14335" max="14335" width="33.109375" style="123" bestFit="1" customWidth="1"/>
    <col min="14336" max="14338" width="7.109375" style="123" customWidth="1"/>
    <col min="14339" max="14339" width="5" style="123" customWidth="1"/>
    <col min="14340" max="14342" width="7.109375" style="123" customWidth="1"/>
    <col min="14343" max="14343" width="5" style="123" customWidth="1"/>
    <col min="14344" max="14346" width="7.109375" style="123" customWidth="1"/>
    <col min="14347" max="14590" width="9.109375" style="123"/>
    <col min="14591" max="14591" width="33.109375" style="123" bestFit="1" customWidth="1"/>
    <col min="14592" max="14594" width="7.109375" style="123" customWidth="1"/>
    <col min="14595" max="14595" width="5" style="123" customWidth="1"/>
    <col min="14596" max="14598" width="7.109375" style="123" customWidth="1"/>
    <col min="14599" max="14599" width="5" style="123" customWidth="1"/>
    <col min="14600" max="14602" width="7.109375" style="123" customWidth="1"/>
    <col min="14603" max="14846" width="9.109375" style="123"/>
    <col min="14847" max="14847" width="33.109375" style="123" bestFit="1" customWidth="1"/>
    <col min="14848" max="14850" width="7.109375" style="123" customWidth="1"/>
    <col min="14851" max="14851" width="5" style="123" customWidth="1"/>
    <col min="14852" max="14854" width="7.109375" style="123" customWidth="1"/>
    <col min="14855" max="14855" width="5" style="123" customWidth="1"/>
    <col min="14856" max="14858" width="7.109375" style="123" customWidth="1"/>
    <col min="14859" max="15102" width="9.109375" style="123"/>
    <col min="15103" max="15103" width="33.109375" style="123" bestFit="1" customWidth="1"/>
    <col min="15104" max="15106" width="7.109375" style="123" customWidth="1"/>
    <col min="15107" max="15107" width="5" style="123" customWidth="1"/>
    <col min="15108" max="15110" width="7.109375" style="123" customWidth="1"/>
    <col min="15111" max="15111" width="5" style="123" customWidth="1"/>
    <col min="15112" max="15114" width="7.109375" style="123" customWidth="1"/>
    <col min="15115" max="15358" width="9.109375" style="123"/>
    <col min="15359" max="15359" width="33.109375" style="123" bestFit="1" customWidth="1"/>
    <col min="15360" max="15362" width="7.109375" style="123" customWidth="1"/>
    <col min="15363" max="15363" width="5" style="123" customWidth="1"/>
    <col min="15364" max="15366" width="7.109375" style="123" customWidth="1"/>
    <col min="15367" max="15367" width="5" style="123" customWidth="1"/>
    <col min="15368" max="15370" width="7.109375" style="123" customWidth="1"/>
    <col min="15371" max="15614" width="9.109375" style="123"/>
    <col min="15615" max="15615" width="33.109375" style="123" bestFit="1" customWidth="1"/>
    <col min="15616" max="15618" width="7.109375" style="123" customWidth="1"/>
    <col min="15619" max="15619" width="5" style="123" customWidth="1"/>
    <col min="15620" max="15622" width="7.109375" style="123" customWidth="1"/>
    <col min="15623" max="15623" width="5" style="123" customWidth="1"/>
    <col min="15624" max="15626" width="7.109375" style="123" customWidth="1"/>
    <col min="15627" max="15870" width="9.109375" style="123"/>
    <col min="15871" max="15871" width="33.109375" style="123" bestFit="1" customWidth="1"/>
    <col min="15872" max="15874" width="7.109375" style="123" customWidth="1"/>
    <col min="15875" max="15875" width="5" style="123" customWidth="1"/>
    <col min="15876" max="15878" width="7.109375" style="123" customWidth="1"/>
    <col min="15879" max="15879" width="5" style="123" customWidth="1"/>
    <col min="15880" max="15882" width="7.109375" style="123" customWidth="1"/>
    <col min="15883" max="16126" width="9.109375" style="123"/>
    <col min="16127" max="16127" width="33.109375" style="123" bestFit="1" customWidth="1"/>
    <col min="16128" max="16130" width="7.109375" style="123" customWidth="1"/>
    <col min="16131" max="16131" width="5" style="123" customWidth="1"/>
    <col min="16132" max="16134" width="7.109375" style="123" customWidth="1"/>
    <col min="16135" max="16135" width="5" style="123" customWidth="1"/>
    <col min="16136" max="16138" width="7.109375" style="123" customWidth="1"/>
    <col min="16139" max="16384" width="9.109375" style="123"/>
  </cols>
  <sheetData>
    <row r="1" spans="1:21" ht="15.6" x14ac:dyDescent="0.3">
      <c r="A1" s="265" t="str">
        <f>CONCATENATE("Occupation Table 4  Occuptation composition by gender, ",B$6,"-",J$6)</f>
        <v>Occupation Table 4  Occuptation composition by gender, 2007-2027</v>
      </c>
      <c r="B1" s="351"/>
      <c r="C1" s="351"/>
      <c r="D1" s="351"/>
      <c r="E1" s="351"/>
      <c r="F1" s="351"/>
      <c r="G1" s="351"/>
      <c r="H1" s="351"/>
      <c r="I1" s="351"/>
      <c r="J1" s="351"/>
      <c r="K1" s="351"/>
      <c r="L1" s="361"/>
      <c r="M1" s="347"/>
    </row>
    <row r="2" spans="1:21" x14ac:dyDescent="0.25">
      <c r="A2" s="351"/>
      <c r="B2" s="351"/>
      <c r="C2" s="351"/>
      <c r="D2" s="351"/>
      <c r="E2" s="351"/>
      <c r="F2" s="351"/>
      <c r="G2" s="351"/>
      <c r="H2" s="351"/>
      <c r="I2" s="351"/>
      <c r="J2" s="351"/>
      <c r="K2" s="351"/>
      <c r="L2" s="361"/>
      <c r="M2" s="347"/>
    </row>
    <row r="3" spans="1:21" x14ac:dyDescent="0.25">
      <c r="B3" s="164"/>
      <c r="D3" s="164"/>
      <c r="F3" s="164"/>
      <c r="H3" s="164"/>
      <c r="J3" s="164"/>
      <c r="K3" s="351"/>
      <c r="L3" s="366"/>
      <c r="M3" s="347"/>
    </row>
    <row r="4" spans="1:21" x14ac:dyDescent="0.25">
      <c r="A4" s="351"/>
      <c r="B4" s="351"/>
      <c r="C4" s="351"/>
      <c r="D4" s="351"/>
      <c r="E4" s="351"/>
      <c r="F4" s="351"/>
      <c r="G4" s="351"/>
      <c r="H4" s="351"/>
      <c r="I4" s="351"/>
      <c r="J4" s="351"/>
      <c r="K4" s="351"/>
      <c r="L4" s="367" t="s">
        <v>35</v>
      </c>
      <c r="M4" s="347"/>
      <c r="N4" s="124"/>
      <c r="O4" s="124"/>
      <c r="P4" s="124"/>
      <c r="Q4" s="124"/>
      <c r="R4" s="124"/>
      <c r="S4" s="124"/>
      <c r="T4" s="124" t="s">
        <v>417</v>
      </c>
      <c r="U4" s="124"/>
    </row>
    <row r="5" spans="1:21" x14ac:dyDescent="0.25">
      <c r="A5" s="355"/>
      <c r="B5" s="355"/>
      <c r="C5" s="356"/>
      <c r="D5" s="356"/>
      <c r="E5" s="356"/>
      <c r="F5" s="356"/>
      <c r="G5" s="356"/>
      <c r="H5" s="356"/>
      <c r="I5" s="356"/>
      <c r="J5" s="356"/>
      <c r="K5" s="356"/>
      <c r="L5" s="347"/>
      <c r="M5" s="347"/>
    </row>
    <row r="6" spans="1:21" ht="14.25" customHeight="1" x14ac:dyDescent="0.25">
      <c r="A6" s="354" t="s">
        <v>0</v>
      </c>
      <c r="B6" s="515">
        <v>2007</v>
      </c>
      <c r="C6" s="516"/>
      <c r="D6" s="516"/>
      <c r="E6" s="469"/>
      <c r="F6" s="515">
        <v>2017</v>
      </c>
      <c r="G6" s="516"/>
      <c r="H6" s="516"/>
      <c r="I6" s="469"/>
      <c r="J6" s="515">
        <v>2027</v>
      </c>
      <c r="K6" s="516"/>
      <c r="L6" s="516"/>
      <c r="M6" s="468"/>
      <c r="N6" s="518" t="s">
        <v>99</v>
      </c>
      <c r="O6" s="518"/>
      <c r="P6" s="470"/>
      <c r="Q6" s="518" t="s">
        <v>98</v>
      </c>
      <c r="R6" s="518"/>
      <c r="S6" s="470"/>
      <c r="T6" s="518" t="s">
        <v>32</v>
      </c>
      <c r="U6" s="518"/>
    </row>
    <row r="7" spans="1:21" ht="15" customHeight="1" x14ac:dyDescent="0.25">
      <c r="A7" s="368"/>
      <c r="B7" s="358" t="s">
        <v>387</v>
      </c>
      <c r="C7" s="358" t="s">
        <v>388</v>
      </c>
      <c r="D7" s="358" t="s">
        <v>32</v>
      </c>
      <c r="E7" s="358"/>
      <c r="F7" s="358" t="s">
        <v>387</v>
      </c>
      <c r="G7" s="358" t="s">
        <v>388</v>
      </c>
      <c r="H7" s="358" t="s">
        <v>32</v>
      </c>
      <c r="I7" s="358"/>
      <c r="J7" s="358" t="s">
        <v>387</v>
      </c>
      <c r="K7" s="358" t="s">
        <v>388</v>
      </c>
      <c r="L7" s="358" t="s">
        <v>32</v>
      </c>
      <c r="M7" s="347"/>
      <c r="N7" s="462" t="str">
        <f>CONCATENATE(B6,"-",RIGHT(F6,2))</f>
        <v>2007-17</v>
      </c>
      <c r="O7" s="462" t="str">
        <f>CONCATENATE(F6,"-",RIGHT(J6,2))</f>
        <v>2017-27</v>
      </c>
      <c r="P7" s="463"/>
      <c r="Q7" s="462" t="str">
        <f>CONCATENATE(B6,"-",RIGHT(F6,2))</f>
        <v>2007-17</v>
      </c>
      <c r="R7" s="462" t="str">
        <f>CONCATENATE(F6,"-",RIGHT(J6,2))</f>
        <v>2017-27</v>
      </c>
      <c r="S7" s="264"/>
      <c r="T7" s="462" t="str">
        <f>CONCATENATE(B6,"-",RIGHT(F6,2))</f>
        <v>2007-17</v>
      </c>
      <c r="U7" s="462" t="str">
        <f>CONCATENATE(F6,"-",RIGHT(J6,2))</f>
        <v>2017-27</v>
      </c>
    </row>
    <row r="8" spans="1:21" x14ac:dyDescent="0.25">
      <c r="A8" s="352"/>
      <c r="B8" s="373"/>
      <c r="C8" s="373"/>
      <c r="D8" s="373"/>
      <c r="E8" s="373"/>
      <c r="F8" s="373"/>
      <c r="G8" s="373"/>
      <c r="H8" s="373"/>
      <c r="I8" s="373"/>
      <c r="J8" s="373"/>
      <c r="K8" s="373"/>
      <c r="L8" s="373"/>
      <c r="M8" s="347"/>
      <c r="N8" s="471"/>
      <c r="O8" s="471"/>
      <c r="P8" s="471"/>
      <c r="Q8" s="471"/>
      <c r="R8" s="471"/>
      <c r="S8" s="471"/>
      <c r="T8" s="471"/>
      <c r="U8" s="471"/>
    </row>
    <row r="9" spans="1:21" x14ac:dyDescent="0.25">
      <c r="A9" s="473" t="str">
        <f>name!D4</f>
        <v xml:space="preserve"> 11 Corporate managers and directors</v>
      </c>
      <c r="B9" s="474">
        <v>502.74535788570716</v>
      </c>
      <c r="C9" s="474">
        <v>1457.1146997223532</v>
      </c>
      <c r="D9" s="474">
        <f>SUM(B9:C9)</f>
        <v>1959.8600576080603</v>
      </c>
      <c r="E9" s="475"/>
      <c r="F9" s="474">
        <v>799.76898737204874</v>
      </c>
      <c r="G9" s="474">
        <v>1726.2314897407989</v>
      </c>
      <c r="H9" s="474">
        <f>SUM(F9:G9)</f>
        <v>2526.0004771128479</v>
      </c>
      <c r="I9" s="475"/>
      <c r="J9" s="474">
        <v>1025.606992658777</v>
      </c>
      <c r="K9" s="474">
        <v>1849.2595669097982</v>
      </c>
      <c r="L9" s="474">
        <f>SUM(J9:K9)</f>
        <v>2874.8665595685752</v>
      </c>
      <c r="M9" s="347"/>
      <c r="N9" s="472">
        <f>IF(B9&gt;0,(EXP(LN(F9/B9)/5)-1)*100,0)</f>
        <v>9.7294741738609414</v>
      </c>
      <c r="O9" s="472">
        <f>IF(F9&gt;0,(EXP(LN(J9/F9)/5)-1)*100,0)</f>
        <v>5.1001371472235935</v>
      </c>
      <c r="P9" s="472"/>
      <c r="Q9" s="472">
        <f>IF(C9&gt;0,(EXP(LN(G9/C9)/5)-1)*100,0)</f>
        <v>3.447752356407241</v>
      </c>
      <c r="R9" s="472">
        <f>IF(G9&gt;0,(EXP(LN(K9/G9)/5)-1)*100,0)</f>
        <v>1.3864152601602564</v>
      </c>
      <c r="S9" s="471"/>
      <c r="T9" s="472">
        <f>IF(D9&gt;0,(EXP(LN(H9/D9)/5)-1)*100,0)</f>
        <v>5.2062820944217547</v>
      </c>
      <c r="U9" s="472">
        <f>IF(H9&gt;0,(EXP(LN(L9/H9)/5)-1)*100,0)</f>
        <v>2.6211441921094147</v>
      </c>
    </row>
    <row r="10" spans="1:21" x14ac:dyDescent="0.25">
      <c r="A10" s="473" t="str">
        <f>name!D5</f>
        <v xml:space="preserve"> 12 Other managers and proprietors</v>
      </c>
      <c r="B10" s="474">
        <v>333.20161706268561</v>
      </c>
      <c r="C10" s="474">
        <v>482.6105499057486</v>
      </c>
      <c r="D10" s="474">
        <f t="shared" ref="D10:D33" si="0">SUM(B10:C10)</f>
        <v>815.81216696843421</v>
      </c>
      <c r="E10" s="475"/>
      <c r="F10" s="474">
        <v>479.32185576317693</v>
      </c>
      <c r="G10" s="474">
        <v>561.10202389216329</v>
      </c>
      <c r="H10" s="474">
        <f t="shared" ref="H10:H33" si="1">SUM(F10:G10)</f>
        <v>1040.4238796553402</v>
      </c>
      <c r="I10" s="475"/>
      <c r="J10" s="474">
        <v>543.04099378203591</v>
      </c>
      <c r="K10" s="474">
        <v>587.06385860667126</v>
      </c>
      <c r="L10" s="474">
        <f t="shared" ref="L10:L33" si="2">SUM(J10:K10)</f>
        <v>1130.1048523887071</v>
      </c>
      <c r="M10" s="347"/>
      <c r="N10" s="472">
        <f t="shared" ref="N10:N32" si="3">IF(B10&gt;0,(EXP(LN(F10/B10)/5)-1)*100,0)</f>
        <v>7.5434652976251737</v>
      </c>
      <c r="O10" s="472">
        <f t="shared" ref="O10:O32" si="4">IF(F10&gt;0,(EXP(LN(J10/F10)/5)-1)*100,0)</f>
        <v>2.5276673489599277</v>
      </c>
      <c r="P10" s="472"/>
      <c r="Q10" s="472">
        <f t="shared" ref="Q10:Q32" si="5">IF(C10&gt;0,(EXP(LN(G10/C10)/5)-1)*100,0)</f>
        <v>3.0597310485336759</v>
      </c>
      <c r="R10" s="472">
        <f t="shared" ref="R10:R32" si="6">IF(G10&gt;0,(EXP(LN(K10/G10)/5)-1)*100,0)</f>
        <v>0.90872107067410113</v>
      </c>
      <c r="S10" s="471"/>
      <c r="T10" s="472">
        <f t="shared" ref="T10:T32" si="7">IF(D10&gt;0,(EXP(LN(H10/D10)/5)-1)*100,0)</f>
        <v>4.9842201880587522</v>
      </c>
      <c r="U10" s="472">
        <f t="shared" ref="U10:U32" si="8">IF(H10&gt;0,(EXP(LN(L10/H10)/5)-1)*100,0)</f>
        <v>1.6673926034150854</v>
      </c>
    </row>
    <row r="11" spans="1:21" x14ac:dyDescent="0.25">
      <c r="A11" s="473" t="str">
        <f>name!D6</f>
        <v xml:space="preserve"> 21 Science, research, engineering and technology professionals</v>
      </c>
      <c r="B11" s="474">
        <v>226.76729267450784</v>
      </c>
      <c r="C11" s="474">
        <v>1082.2966321815209</v>
      </c>
      <c r="D11" s="474">
        <f t="shared" si="0"/>
        <v>1309.0639248560287</v>
      </c>
      <c r="E11" s="475"/>
      <c r="F11" s="474">
        <v>336.69646567854301</v>
      </c>
      <c r="G11" s="474">
        <v>1417.3468717952001</v>
      </c>
      <c r="H11" s="474">
        <f t="shared" si="1"/>
        <v>1754.0433374737431</v>
      </c>
      <c r="I11" s="475"/>
      <c r="J11" s="474">
        <v>414.05169264291754</v>
      </c>
      <c r="K11" s="474">
        <v>1499.457680342754</v>
      </c>
      <c r="L11" s="474">
        <f t="shared" si="2"/>
        <v>1913.5093729856715</v>
      </c>
      <c r="M11" s="347"/>
      <c r="N11" s="472">
        <f t="shared" si="3"/>
        <v>8.226005267872516</v>
      </c>
      <c r="O11" s="472">
        <f t="shared" si="4"/>
        <v>4.2229115484205382</v>
      </c>
      <c r="P11" s="472"/>
      <c r="Q11" s="472">
        <f t="shared" si="5"/>
        <v>5.5421576669247852</v>
      </c>
      <c r="R11" s="472">
        <f t="shared" si="6"/>
        <v>1.132702489292936</v>
      </c>
      <c r="S11" s="471"/>
      <c r="T11" s="472">
        <f t="shared" si="7"/>
        <v>6.0268582944864146</v>
      </c>
      <c r="U11" s="472">
        <f t="shared" si="8"/>
        <v>1.7555380186791592</v>
      </c>
    </row>
    <row r="12" spans="1:21" x14ac:dyDescent="0.25">
      <c r="A12" s="473" t="str">
        <f>name!D7</f>
        <v xml:space="preserve"> 22 Health professionals</v>
      </c>
      <c r="B12" s="474">
        <v>909.56692710608536</v>
      </c>
      <c r="C12" s="474">
        <v>324.13430308060452</v>
      </c>
      <c r="D12" s="474">
        <f t="shared" si="0"/>
        <v>1233.7012301866898</v>
      </c>
      <c r="E12" s="475"/>
      <c r="F12" s="474">
        <v>1164.7762648044641</v>
      </c>
      <c r="G12" s="474">
        <v>378.22462746518778</v>
      </c>
      <c r="H12" s="474">
        <f t="shared" si="1"/>
        <v>1543.0008922696518</v>
      </c>
      <c r="I12" s="475"/>
      <c r="J12" s="474">
        <v>1384.0336135565285</v>
      </c>
      <c r="K12" s="474">
        <v>389.37896782496114</v>
      </c>
      <c r="L12" s="474">
        <f t="shared" si="2"/>
        <v>1773.4125813814896</v>
      </c>
      <c r="M12" s="347"/>
      <c r="N12" s="472">
        <f t="shared" si="3"/>
        <v>5.0706866275855633</v>
      </c>
      <c r="O12" s="472">
        <f t="shared" si="4"/>
        <v>3.5096464294581242</v>
      </c>
      <c r="P12" s="472"/>
      <c r="Q12" s="472">
        <f t="shared" si="5"/>
        <v>3.1347361351582226</v>
      </c>
      <c r="R12" s="472">
        <f t="shared" si="6"/>
        <v>0.58298896572654968</v>
      </c>
      <c r="S12" s="471"/>
      <c r="T12" s="472">
        <f t="shared" si="7"/>
        <v>4.5758097002199349</v>
      </c>
      <c r="U12" s="472">
        <f t="shared" si="8"/>
        <v>2.8226332043441715</v>
      </c>
    </row>
    <row r="13" spans="1:21" x14ac:dyDescent="0.25">
      <c r="A13" s="473" t="str">
        <f>name!D8</f>
        <v xml:space="preserve"> 23 Teaching and educational professionals</v>
      </c>
      <c r="B13" s="474">
        <v>943.88544230729633</v>
      </c>
      <c r="C13" s="474">
        <v>475.0919193649093</v>
      </c>
      <c r="D13" s="474">
        <f t="shared" si="0"/>
        <v>1418.9773616722057</v>
      </c>
      <c r="E13" s="475"/>
      <c r="F13" s="474">
        <v>1151.3180315313523</v>
      </c>
      <c r="G13" s="474">
        <v>569.42129059785782</v>
      </c>
      <c r="H13" s="474">
        <f t="shared" si="1"/>
        <v>1720.73932212921</v>
      </c>
      <c r="I13" s="475"/>
      <c r="J13" s="474">
        <v>1332.418120864306</v>
      </c>
      <c r="K13" s="474">
        <v>600.46352773716023</v>
      </c>
      <c r="L13" s="474">
        <f t="shared" si="2"/>
        <v>1932.8816486014662</v>
      </c>
      <c r="M13" s="347"/>
      <c r="N13" s="472">
        <f t="shared" si="3"/>
        <v>4.0531431876563717</v>
      </c>
      <c r="O13" s="472">
        <f t="shared" si="4"/>
        <v>2.9648627190106414</v>
      </c>
      <c r="P13" s="472"/>
      <c r="Q13" s="472">
        <f t="shared" si="5"/>
        <v>3.6886479483308365</v>
      </c>
      <c r="R13" s="472">
        <f t="shared" si="6"/>
        <v>1.0672820067590738</v>
      </c>
      <c r="S13" s="471"/>
      <c r="T13" s="472">
        <f t="shared" si="7"/>
        <v>3.9316742120029335</v>
      </c>
      <c r="U13" s="472">
        <f t="shared" si="8"/>
        <v>2.3524012418715712</v>
      </c>
    </row>
    <row r="14" spans="1:21" x14ac:dyDescent="0.25">
      <c r="A14" s="473" t="str">
        <f>name!D9</f>
        <v xml:space="preserve"> 24 Business, media and public service professionals</v>
      </c>
      <c r="B14" s="474">
        <v>610.98253569433155</v>
      </c>
      <c r="C14" s="474">
        <v>853.3266912129817</v>
      </c>
      <c r="D14" s="474">
        <f t="shared" si="0"/>
        <v>1464.3092269073131</v>
      </c>
      <c r="E14" s="475"/>
      <c r="F14" s="474">
        <v>834.65317314500714</v>
      </c>
      <c r="G14" s="474">
        <v>1021.0551135465674</v>
      </c>
      <c r="H14" s="474">
        <f t="shared" si="1"/>
        <v>1855.7082866915746</v>
      </c>
      <c r="I14" s="475"/>
      <c r="J14" s="474">
        <v>1024.1703502469923</v>
      </c>
      <c r="K14" s="474">
        <v>1050.6449304522987</v>
      </c>
      <c r="L14" s="474">
        <f t="shared" si="2"/>
        <v>2074.8152806992912</v>
      </c>
      <c r="M14" s="347"/>
      <c r="N14" s="472">
        <f t="shared" si="3"/>
        <v>6.4376924237593558</v>
      </c>
      <c r="O14" s="472">
        <f t="shared" si="4"/>
        <v>4.1773317910207997</v>
      </c>
      <c r="P14" s="472"/>
      <c r="Q14" s="472">
        <f t="shared" si="5"/>
        <v>3.654168206162689</v>
      </c>
      <c r="R14" s="472">
        <f t="shared" si="6"/>
        <v>0.57298888540628923</v>
      </c>
      <c r="S14" s="471"/>
      <c r="T14" s="472">
        <f t="shared" si="7"/>
        <v>4.8516771582129081</v>
      </c>
      <c r="U14" s="472">
        <f t="shared" si="8"/>
        <v>2.257211636044798</v>
      </c>
    </row>
    <row r="15" spans="1:21" x14ac:dyDescent="0.25">
      <c r="A15" s="473" t="str">
        <f>name!D10</f>
        <v xml:space="preserve"> 31 Science, engineering and technology associate professionals</v>
      </c>
      <c r="B15" s="474">
        <v>144.68746572049659</v>
      </c>
      <c r="C15" s="474">
        <v>464.95640666305047</v>
      </c>
      <c r="D15" s="474">
        <f t="shared" si="0"/>
        <v>609.64387238354709</v>
      </c>
      <c r="E15" s="475"/>
      <c r="F15" s="474">
        <v>162.95804893568049</v>
      </c>
      <c r="G15" s="474">
        <v>508.19227290930024</v>
      </c>
      <c r="H15" s="474">
        <f t="shared" si="1"/>
        <v>671.15032184498068</v>
      </c>
      <c r="I15" s="475"/>
      <c r="J15" s="474">
        <v>162.93542354875376</v>
      </c>
      <c r="K15" s="474">
        <v>517.1781555997527</v>
      </c>
      <c r="L15" s="474">
        <f t="shared" si="2"/>
        <v>680.11357914850646</v>
      </c>
      <c r="M15" s="347"/>
      <c r="N15" s="472">
        <f t="shared" si="3"/>
        <v>2.4068437997439851</v>
      </c>
      <c r="O15" s="472">
        <f t="shared" si="4"/>
        <v>-2.7769899945240262E-3</v>
      </c>
      <c r="P15" s="472"/>
      <c r="Q15" s="472">
        <f t="shared" si="5"/>
        <v>1.7942306123655216</v>
      </c>
      <c r="R15" s="472">
        <f t="shared" si="6"/>
        <v>0.35116603163325433</v>
      </c>
      <c r="S15" s="471"/>
      <c r="T15" s="472">
        <f t="shared" si="7"/>
        <v>1.9409597276420332</v>
      </c>
      <c r="U15" s="472">
        <f t="shared" si="8"/>
        <v>0.265685798932358</v>
      </c>
    </row>
    <row r="16" spans="1:21" x14ac:dyDescent="0.25">
      <c r="A16" s="473" t="str">
        <f>name!D11</f>
        <v xml:space="preserve"> 32 Health and social care associate professionals</v>
      </c>
      <c r="B16" s="474">
        <v>299.66033269917347</v>
      </c>
      <c r="C16" s="474">
        <v>118.59004508790638</v>
      </c>
      <c r="D16" s="474">
        <f t="shared" si="0"/>
        <v>418.25037778707986</v>
      </c>
      <c r="E16" s="475"/>
      <c r="F16" s="474">
        <v>378.99992280629897</v>
      </c>
      <c r="G16" s="474">
        <v>150.88246112444585</v>
      </c>
      <c r="H16" s="474">
        <f t="shared" si="1"/>
        <v>529.88238393074482</v>
      </c>
      <c r="I16" s="475"/>
      <c r="J16" s="474">
        <v>451.63286519164058</v>
      </c>
      <c r="K16" s="474">
        <v>161.17315046990177</v>
      </c>
      <c r="L16" s="474">
        <f t="shared" si="2"/>
        <v>612.80601566154235</v>
      </c>
      <c r="M16" s="347"/>
      <c r="N16" s="472">
        <f t="shared" si="3"/>
        <v>4.8098194453353393</v>
      </c>
      <c r="O16" s="472">
        <f t="shared" si="4"/>
        <v>3.5688808319948029</v>
      </c>
      <c r="P16" s="472"/>
      <c r="Q16" s="472">
        <f t="shared" si="5"/>
        <v>4.9344535014021362</v>
      </c>
      <c r="R16" s="472">
        <f t="shared" si="6"/>
        <v>1.3283071531331903</v>
      </c>
      <c r="S16" s="471"/>
      <c r="T16" s="472">
        <f t="shared" si="7"/>
        <v>4.8452182126764054</v>
      </c>
      <c r="U16" s="472">
        <f t="shared" si="8"/>
        <v>2.9505586663332695</v>
      </c>
    </row>
    <row r="17" spans="1:21" x14ac:dyDescent="0.25">
      <c r="A17" s="473" t="str">
        <f>name!D12</f>
        <v xml:space="preserve"> 33 Protective service occupations</v>
      </c>
      <c r="B17" s="474">
        <v>66.082956925254877</v>
      </c>
      <c r="C17" s="474">
        <v>334.30326298195894</v>
      </c>
      <c r="D17" s="474">
        <f t="shared" si="0"/>
        <v>400.38621990721379</v>
      </c>
      <c r="E17" s="475"/>
      <c r="F17" s="474">
        <v>93.114594142192203</v>
      </c>
      <c r="G17" s="474">
        <v>293.13459307738009</v>
      </c>
      <c r="H17" s="474">
        <f t="shared" si="1"/>
        <v>386.24918721957226</v>
      </c>
      <c r="I17" s="475"/>
      <c r="J17" s="474">
        <v>121.20273907311801</v>
      </c>
      <c r="K17" s="474">
        <v>254.16796912706928</v>
      </c>
      <c r="L17" s="474">
        <f t="shared" si="2"/>
        <v>375.37070820018732</v>
      </c>
      <c r="M17" s="347"/>
      <c r="N17" s="472">
        <f t="shared" si="3"/>
        <v>7.0990595912321375</v>
      </c>
      <c r="O17" s="472">
        <f t="shared" si="4"/>
        <v>5.4141560165744895</v>
      </c>
      <c r="P17" s="472"/>
      <c r="Q17" s="472">
        <f t="shared" si="5"/>
        <v>-2.5940937136051612</v>
      </c>
      <c r="R17" s="472">
        <f t="shared" si="6"/>
        <v>-2.8124242573603464</v>
      </c>
      <c r="S17" s="471"/>
      <c r="T17" s="472">
        <f t="shared" si="7"/>
        <v>-0.71635996411697489</v>
      </c>
      <c r="U17" s="472">
        <f t="shared" si="8"/>
        <v>-0.56974339214274083</v>
      </c>
    </row>
    <row r="18" spans="1:21" x14ac:dyDescent="0.25">
      <c r="A18" s="473" t="str">
        <f>name!D13</f>
        <v xml:space="preserve"> 34 Culture, media and sports occupations</v>
      </c>
      <c r="B18" s="474">
        <v>315.9081931512809</v>
      </c>
      <c r="C18" s="474">
        <v>389.40724353829012</v>
      </c>
      <c r="D18" s="474">
        <f t="shared" si="0"/>
        <v>705.31543668957102</v>
      </c>
      <c r="E18" s="475"/>
      <c r="F18" s="474">
        <v>390.92695103772684</v>
      </c>
      <c r="G18" s="474">
        <v>448.75607783125827</v>
      </c>
      <c r="H18" s="474">
        <f t="shared" si="1"/>
        <v>839.68302886898505</v>
      </c>
      <c r="I18" s="475"/>
      <c r="J18" s="474">
        <v>408.38159783231447</v>
      </c>
      <c r="K18" s="474">
        <v>483.52815062273726</v>
      </c>
      <c r="L18" s="474">
        <f t="shared" si="2"/>
        <v>891.90974845505173</v>
      </c>
      <c r="M18" s="347"/>
      <c r="N18" s="472">
        <f t="shared" si="3"/>
        <v>4.3534819148074888</v>
      </c>
      <c r="O18" s="472">
        <f t="shared" si="4"/>
        <v>0.87745344194027908</v>
      </c>
      <c r="P18" s="471"/>
      <c r="Q18" s="472">
        <f t="shared" si="5"/>
        <v>2.8777040847575597</v>
      </c>
      <c r="R18" s="472">
        <f t="shared" si="6"/>
        <v>1.5037959618143137</v>
      </c>
      <c r="S18" s="471"/>
      <c r="T18" s="472">
        <f t="shared" si="7"/>
        <v>3.5491163929284086</v>
      </c>
      <c r="U18" s="472">
        <f t="shared" si="8"/>
        <v>1.2141208185895813</v>
      </c>
    </row>
    <row r="19" spans="1:21" x14ac:dyDescent="0.25">
      <c r="A19" s="481" t="str">
        <f>name!D14</f>
        <v xml:space="preserve"> 35 Business and public service associate professionals</v>
      </c>
      <c r="B19" s="482">
        <v>882.11973389562399</v>
      </c>
      <c r="C19" s="474">
        <v>1176.473310931586</v>
      </c>
      <c r="D19" s="474">
        <f t="shared" si="0"/>
        <v>2058.5930448272102</v>
      </c>
      <c r="E19" s="475"/>
      <c r="F19" s="474">
        <v>1108.5221866092768</v>
      </c>
      <c r="G19" s="474">
        <v>1348.8965734484989</v>
      </c>
      <c r="H19" s="474">
        <f t="shared" si="1"/>
        <v>2457.4187600577757</v>
      </c>
      <c r="I19" s="475"/>
      <c r="J19" s="474">
        <v>1348.8106418422626</v>
      </c>
      <c r="K19" s="474">
        <v>1400.5112660945288</v>
      </c>
      <c r="L19" s="474">
        <f t="shared" si="2"/>
        <v>2749.3219079367914</v>
      </c>
      <c r="M19" s="347"/>
      <c r="N19" s="472">
        <f t="shared" si="3"/>
        <v>4.6750966097248492</v>
      </c>
      <c r="O19" s="472">
        <f t="shared" si="4"/>
        <v>4.0019108609255172</v>
      </c>
      <c r="P19" s="471"/>
      <c r="Q19" s="472">
        <f t="shared" si="5"/>
        <v>2.7730663572937519</v>
      </c>
      <c r="R19" s="472">
        <f t="shared" si="6"/>
        <v>0.75383624203206878</v>
      </c>
      <c r="S19" s="471"/>
      <c r="T19" s="472">
        <f t="shared" si="7"/>
        <v>3.6052429936849872</v>
      </c>
      <c r="U19" s="472">
        <f t="shared" si="8"/>
        <v>2.270242250532295</v>
      </c>
    </row>
    <row r="20" spans="1:21" x14ac:dyDescent="0.25">
      <c r="A20" s="473" t="str">
        <f>name!D15</f>
        <v xml:space="preserve"> 41 Administrative occupations</v>
      </c>
      <c r="B20" s="474">
        <v>2207.5586876908269</v>
      </c>
      <c r="C20" s="474">
        <v>822.48185776113496</v>
      </c>
      <c r="D20" s="474">
        <f t="shared" si="0"/>
        <v>3030.0405454519619</v>
      </c>
      <c r="E20" s="475"/>
      <c r="F20" s="474">
        <v>2066.3090291596477</v>
      </c>
      <c r="G20" s="474">
        <v>865.49314287638765</v>
      </c>
      <c r="H20" s="474">
        <f t="shared" si="1"/>
        <v>2931.8021720360352</v>
      </c>
      <c r="I20" s="475"/>
      <c r="J20" s="474">
        <v>1837.7659684666426</v>
      </c>
      <c r="K20" s="474">
        <v>850.47165791337102</v>
      </c>
      <c r="L20" s="474">
        <f t="shared" si="2"/>
        <v>2688.2376263800134</v>
      </c>
      <c r="M20" s="347"/>
      <c r="N20" s="472">
        <f t="shared" si="3"/>
        <v>-1.3137598537642958</v>
      </c>
      <c r="O20" s="472">
        <f t="shared" si="4"/>
        <v>-2.3170006055275416</v>
      </c>
      <c r="P20" s="471"/>
      <c r="Q20" s="472">
        <f t="shared" si="5"/>
        <v>1.0246747406101875</v>
      </c>
      <c r="R20" s="472">
        <f t="shared" si="6"/>
        <v>-0.34955492136552468</v>
      </c>
      <c r="S20" s="471"/>
      <c r="T20" s="472">
        <f t="shared" si="7"/>
        <v>-0.65700603597005358</v>
      </c>
      <c r="U20" s="472">
        <f t="shared" si="8"/>
        <v>-1.7196716779577237</v>
      </c>
    </row>
    <row r="21" spans="1:21" x14ac:dyDescent="0.25">
      <c r="A21" s="473" t="str">
        <f>name!D16</f>
        <v xml:space="preserve"> 42 Secretarial and related occupations</v>
      </c>
      <c r="B21" s="474">
        <v>938.80119084487467</v>
      </c>
      <c r="C21" s="474">
        <v>54.535756415398467</v>
      </c>
      <c r="D21" s="474">
        <f t="shared" si="0"/>
        <v>993.33694726027318</v>
      </c>
      <c r="E21" s="475"/>
      <c r="F21" s="474">
        <v>689.604098984492</v>
      </c>
      <c r="G21" s="474">
        <v>59.380126521524275</v>
      </c>
      <c r="H21" s="474">
        <f t="shared" si="1"/>
        <v>748.98422550601629</v>
      </c>
      <c r="I21" s="475"/>
      <c r="J21" s="474">
        <v>327.93667916159518</v>
      </c>
      <c r="K21" s="474">
        <v>60.980771408561374</v>
      </c>
      <c r="L21" s="474">
        <f t="shared" si="2"/>
        <v>388.91745057015657</v>
      </c>
      <c r="M21" s="347"/>
      <c r="N21" s="472">
        <f t="shared" si="3"/>
        <v>-5.9832486574798232</v>
      </c>
      <c r="O21" s="472">
        <f t="shared" si="4"/>
        <v>-13.813740621370762</v>
      </c>
      <c r="P21" s="471"/>
      <c r="Q21" s="472">
        <f t="shared" si="5"/>
        <v>1.7166282343050954</v>
      </c>
      <c r="R21" s="472">
        <f t="shared" si="6"/>
        <v>0.53339735778474839</v>
      </c>
      <c r="S21" s="471"/>
      <c r="T21" s="472">
        <f t="shared" si="7"/>
        <v>-5.490554234214029</v>
      </c>
      <c r="U21" s="472">
        <f t="shared" si="8"/>
        <v>-12.284377094161981</v>
      </c>
    </row>
    <row r="22" spans="1:21" x14ac:dyDescent="0.25">
      <c r="A22" s="473" t="str">
        <f>name!D17</f>
        <v xml:space="preserve"> 51 Skilled agricultural and related trades</v>
      </c>
      <c r="B22" s="474">
        <v>40.506721866289517</v>
      </c>
      <c r="C22" s="474">
        <v>286.08896380498379</v>
      </c>
      <c r="D22" s="474">
        <f t="shared" si="0"/>
        <v>326.59568567127332</v>
      </c>
      <c r="E22" s="475"/>
      <c r="F22" s="474">
        <v>48.550423612473352</v>
      </c>
      <c r="G22" s="474">
        <v>306.41072262869426</v>
      </c>
      <c r="H22" s="474">
        <f t="shared" si="1"/>
        <v>354.96114624116763</v>
      </c>
      <c r="I22" s="475"/>
      <c r="J22" s="474">
        <v>46.471653448732688</v>
      </c>
      <c r="K22" s="474">
        <v>313.95691907405677</v>
      </c>
      <c r="L22" s="474">
        <f t="shared" si="2"/>
        <v>360.42857252278947</v>
      </c>
      <c r="M22" s="347"/>
      <c r="N22" s="472">
        <f t="shared" si="3"/>
        <v>3.6891191514603516</v>
      </c>
      <c r="O22" s="472">
        <f t="shared" si="4"/>
        <v>-0.87138913481935587</v>
      </c>
      <c r="P22" s="471"/>
      <c r="Q22" s="472">
        <f t="shared" si="5"/>
        <v>1.3819337971898937</v>
      </c>
      <c r="R22" s="472">
        <f t="shared" si="6"/>
        <v>0.48777262267230004</v>
      </c>
      <c r="S22" s="471"/>
      <c r="T22" s="472">
        <f t="shared" si="7"/>
        <v>1.6796575664885127</v>
      </c>
      <c r="U22" s="472">
        <f t="shared" si="8"/>
        <v>0.30617709439029195</v>
      </c>
    </row>
    <row r="23" spans="1:21" x14ac:dyDescent="0.25">
      <c r="A23" s="473" t="str">
        <f>name!D18</f>
        <v xml:space="preserve"> 52 Skilled metal, electrical and electronic trades</v>
      </c>
      <c r="B23" s="474">
        <v>32.860718365017711</v>
      </c>
      <c r="C23" s="474">
        <v>1246.3324341114048</v>
      </c>
      <c r="D23" s="474">
        <f t="shared" si="0"/>
        <v>1279.1931524764225</v>
      </c>
      <c r="E23" s="475"/>
      <c r="F23" s="474">
        <v>30.599397341679701</v>
      </c>
      <c r="G23" s="474">
        <v>1197.4415647505721</v>
      </c>
      <c r="H23" s="474">
        <f t="shared" si="1"/>
        <v>1228.0409620922517</v>
      </c>
      <c r="I23" s="475"/>
      <c r="J23" s="474">
        <v>24.825667277881504</v>
      </c>
      <c r="K23" s="474">
        <v>1018.9832719874057</v>
      </c>
      <c r="L23" s="474">
        <f t="shared" si="2"/>
        <v>1043.8089392652871</v>
      </c>
      <c r="M23" s="347"/>
      <c r="N23" s="472">
        <f t="shared" si="3"/>
        <v>-1.4158346339345651</v>
      </c>
      <c r="O23" s="472">
        <f t="shared" si="4"/>
        <v>-4.0958034146035827</v>
      </c>
      <c r="P23" s="471"/>
      <c r="Q23" s="472">
        <f t="shared" si="5"/>
        <v>-0.7971643460648381</v>
      </c>
      <c r="R23" s="472">
        <f t="shared" si="6"/>
        <v>-3.1761059380045142</v>
      </c>
      <c r="S23" s="471"/>
      <c r="T23" s="472">
        <f t="shared" si="7"/>
        <v>-0.81286511092149016</v>
      </c>
      <c r="U23" s="472">
        <f t="shared" si="8"/>
        <v>-3.1986014825007514</v>
      </c>
    </row>
    <row r="24" spans="1:21" x14ac:dyDescent="0.25">
      <c r="A24" s="473" t="str">
        <f>name!D19</f>
        <v xml:space="preserve"> 53 Skilled construction and building trades</v>
      </c>
      <c r="B24" s="474">
        <v>17.31358487171385</v>
      </c>
      <c r="C24" s="474">
        <v>1116.7137118636197</v>
      </c>
      <c r="D24" s="474">
        <f t="shared" si="0"/>
        <v>1134.0272967353335</v>
      </c>
      <c r="E24" s="475"/>
      <c r="F24" s="474">
        <v>23.53569019755037</v>
      </c>
      <c r="G24" s="474">
        <v>1045.5692954804213</v>
      </c>
      <c r="H24" s="474">
        <f t="shared" si="1"/>
        <v>1069.1049856779716</v>
      </c>
      <c r="I24" s="475"/>
      <c r="J24" s="474">
        <v>29.668697010478695</v>
      </c>
      <c r="K24" s="474">
        <v>1034.2090868069351</v>
      </c>
      <c r="L24" s="474">
        <f t="shared" si="2"/>
        <v>1063.8777838174137</v>
      </c>
      <c r="M24" s="347"/>
      <c r="N24" s="472">
        <f t="shared" si="3"/>
        <v>6.3329806083106899</v>
      </c>
      <c r="O24" s="472">
        <f t="shared" si="4"/>
        <v>4.7404190049854078</v>
      </c>
      <c r="P24" s="471"/>
      <c r="Q24" s="472">
        <f t="shared" si="5"/>
        <v>-1.3079444602300816</v>
      </c>
      <c r="R24" s="472">
        <f t="shared" si="6"/>
        <v>-0.2182524858617696</v>
      </c>
      <c r="S24" s="471"/>
      <c r="T24" s="472">
        <f t="shared" si="7"/>
        <v>-1.1721450176314652</v>
      </c>
      <c r="U24" s="472">
        <f t="shared" si="8"/>
        <v>-9.7978309326351987E-2</v>
      </c>
    </row>
    <row r="25" spans="1:21" x14ac:dyDescent="0.25">
      <c r="A25" s="473" t="str">
        <f>name!D20</f>
        <v xml:space="preserve"> 54 Textiles, printing and other skilled trades</v>
      </c>
      <c r="B25" s="474">
        <v>274.47071193215419</v>
      </c>
      <c r="C25" s="474">
        <v>569.32848091328276</v>
      </c>
      <c r="D25" s="474">
        <f t="shared" si="0"/>
        <v>843.79919284543689</v>
      </c>
      <c r="E25" s="475"/>
      <c r="F25" s="474">
        <v>258.81078505647423</v>
      </c>
      <c r="G25" s="474">
        <v>521.91847980432783</v>
      </c>
      <c r="H25" s="474">
        <f t="shared" si="1"/>
        <v>780.729264860802</v>
      </c>
      <c r="I25" s="475"/>
      <c r="J25" s="474">
        <v>244.41881846464725</v>
      </c>
      <c r="K25" s="474">
        <v>413.65143810546431</v>
      </c>
      <c r="L25" s="474">
        <f t="shared" si="2"/>
        <v>658.0702565701115</v>
      </c>
      <c r="M25" s="347"/>
      <c r="N25" s="472">
        <f t="shared" si="3"/>
        <v>-1.1680709404651934</v>
      </c>
      <c r="O25" s="472">
        <f t="shared" si="4"/>
        <v>-1.1377582563814048</v>
      </c>
      <c r="P25" s="471"/>
      <c r="Q25" s="472">
        <f t="shared" si="5"/>
        <v>-1.723891108320752</v>
      </c>
      <c r="R25" s="472">
        <f t="shared" si="6"/>
        <v>-4.5433095871070801</v>
      </c>
      <c r="S25" s="471"/>
      <c r="T25" s="472">
        <f t="shared" si="7"/>
        <v>-1.5417141144733471</v>
      </c>
      <c r="U25" s="472">
        <f t="shared" si="8"/>
        <v>-3.3605697935375045</v>
      </c>
    </row>
    <row r="26" spans="1:21" x14ac:dyDescent="0.25">
      <c r="A26" s="473" t="str">
        <f>name!D21</f>
        <v xml:space="preserve"> 61 Caring personal service occupations</v>
      </c>
      <c r="B26" s="474">
        <v>1690.3075631030961</v>
      </c>
      <c r="C26" s="474">
        <v>270.02507759424935</v>
      </c>
      <c r="D26" s="474">
        <f t="shared" si="0"/>
        <v>1960.3326406973454</v>
      </c>
      <c r="E26" s="475"/>
      <c r="F26" s="474">
        <v>2203.4677915760963</v>
      </c>
      <c r="G26" s="474">
        <v>374.99676792649984</v>
      </c>
      <c r="H26" s="474">
        <f t="shared" si="1"/>
        <v>2578.4645595025959</v>
      </c>
      <c r="I26" s="475"/>
      <c r="J26" s="474">
        <v>2581.0813612706002</v>
      </c>
      <c r="K26" s="474">
        <v>475.44484243020986</v>
      </c>
      <c r="L26" s="474">
        <f t="shared" si="2"/>
        <v>3056.5262037008101</v>
      </c>
      <c r="M26" s="347"/>
      <c r="N26" s="472">
        <f t="shared" si="3"/>
        <v>5.4455349448842894</v>
      </c>
      <c r="O26" s="472">
        <f t="shared" si="4"/>
        <v>3.2140922997106358</v>
      </c>
      <c r="P26" s="471"/>
      <c r="Q26" s="472">
        <f t="shared" si="5"/>
        <v>6.7885488710869746</v>
      </c>
      <c r="R26" s="472">
        <f t="shared" si="6"/>
        <v>4.8611275301930768</v>
      </c>
      <c r="S26" s="471"/>
      <c r="T26" s="472">
        <f t="shared" si="7"/>
        <v>5.6346211405807534</v>
      </c>
      <c r="U26" s="472">
        <f t="shared" si="8"/>
        <v>3.460218524796943</v>
      </c>
    </row>
    <row r="27" spans="1:21" x14ac:dyDescent="0.25">
      <c r="A27" s="473" t="str">
        <f>name!D22</f>
        <v xml:space="preserve"> 62 Leisure, travel and related personal service occupations</v>
      </c>
      <c r="B27" s="474">
        <v>432.41561909449712</v>
      </c>
      <c r="C27" s="474">
        <v>252.8025629305582</v>
      </c>
      <c r="D27" s="474">
        <f t="shared" si="0"/>
        <v>685.21818202505528</v>
      </c>
      <c r="E27" s="475"/>
      <c r="F27" s="474">
        <v>504.62964230271922</v>
      </c>
      <c r="G27" s="474">
        <v>261.99192391992858</v>
      </c>
      <c r="H27" s="474">
        <f t="shared" si="1"/>
        <v>766.62156622264774</v>
      </c>
      <c r="I27" s="475"/>
      <c r="J27" s="474">
        <v>480.22414289927156</v>
      </c>
      <c r="K27" s="474">
        <v>274.05884704230584</v>
      </c>
      <c r="L27" s="474">
        <f t="shared" si="2"/>
        <v>754.2829899415774</v>
      </c>
      <c r="M27" s="347"/>
      <c r="N27" s="472">
        <f t="shared" si="3"/>
        <v>3.1369483076649995</v>
      </c>
      <c r="O27" s="472">
        <f t="shared" si="4"/>
        <v>-0.98653785860072229</v>
      </c>
      <c r="P27" s="471"/>
      <c r="Q27" s="472">
        <f t="shared" si="5"/>
        <v>0.71665331969665846</v>
      </c>
      <c r="R27" s="472">
        <f t="shared" si="6"/>
        <v>0.90465095436247367</v>
      </c>
      <c r="S27" s="471"/>
      <c r="T27" s="472">
        <f t="shared" si="7"/>
        <v>2.2705121541199524</v>
      </c>
      <c r="U27" s="472">
        <f t="shared" si="8"/>
        <v>-0.32398740511773161</v>
      </c>
    </row>
    <row r="28" spans="1:21" x14ac:dyDescent="0.25">
      <c r="A28" s="473" t="str">
        <f>name!D23</f>
        <v xml:space="preserve"> 71 Sales occupations</v>
      </c>
      <c r="B28" s="474">
        <v>1435.4893316769512</v>
      </c>
      <c r="C28" s="474">
        <v>831.1098423584441</v>
      </c>
      <c r="D28" s="474">
        <f t="shared" si="0"/>
        <v>2266.5991740353952</v>
      </c>
      <c r="E28" s="475"/>
      <c r="F28" s="474">
        <v>1365.2023778095363</v>
      </c>
      <c r="G28" s="474">
        <v>866.89845362455344</v>
      </c>
      <c r="H28" s="474">
        <f t="shared" si="1"/>
        <v>2232.1008314340897</v>
      </c>
      <c r="I28" s="475"/>
      <c r="J28" s="474">
        <v>1230.4538686448473</v>
      </c>
      <c r="K28" s="474">
        <v>847.40896512919085</v>
      </c>
      <c r="L28" s="474">
        <f>SUM(J28:K28)</f>
        <v>2077.8628337740383</v>
      </c>
      <c r="M28" s="347"/>
      <c r="N28" s="472">
        <f t="shared" si="3"/>
        <v>-0.99903830384757697</v>
      </c>
      <c r="O28" s="472">
        <f t="shared" si="4"/>
        <v>-2.0569418930871941</v>
      </c>
      <c r="P28" s="471"/>
      <c r="Q28" s="472">
        <f t="shared" si="5"/>
        <v>0.84676250387236696</v>
      </c>
      <c r="R28" s="472">
        <f t="shared" si="6"/>
        <v>-0.45373606082644846</v>
      </c>
      <c r="S28" s="471"/>
      <c r="T28" s="472">
        <f t="shared" si="7"/>
        <v>-0.30627657416392173</v>
      </c>
      <c r="U28" s="472">
        <f t="shared" si="8"/>
        <v>-1.4218614407784713</v>
      </c>
    </row>
    <row r="29" spans="1:21" x14ac:dyDescent="0.25">
      <c r="A29" s="473" t="str">
        <f>name!D24</f>
        <v xml:space="preserve"> 72 Customer service occupations</v>
      </c>
      <c r="B29" s="474">
        <v>323.36130344291013</v>
      </c>
      <c r="C29" s="474">
        <v>202.22343133666763</v>
      </c>
      <c r="D29" s="474">
        <f t="shared" si="0"/>
        <v>525.58473477957773</v>
      </c>
      <c r="E29" s="475"/>
      <c r="F29" s="474">
        <v>412.85339703783899</v>
      </c>
      <c r="G29" s="474">
        <v>284.07936230390033</v>
      </c>
      <c r="H29" s="474">
        <f t="shared" si="1"/>
        <v>696.93275934173926</v>
      </c>
      <c r="I29" s="475"/>
      <c r="J29" s="474">
        <v>464.09201030925942</v>
      </c>
      <c r="K29" s="474">
        <v>334.65890181273278</v>
      </c>
      <c r="L29" s="474">
        <f t="shared" si="2"/>
        <v>798.7509121219922</v>
      </c>
      <c r="M29" s="347"/>
      <c r="N29" s="472">
        <f t="shared" si="3"/>
        <v>5.0078008166761556</v>
      </c>
      <c r="O29" s="472">
        <f t="shared" si="4"/>
        <v>2.3673936282591734</v>
      </c>
      <c r="P29" s="471"/>
      <c r="Q29" s="472">
        <f t="shared" si="5"/>
        <v>7.033971891938906</v>
      </c>
      <c r="R29" s="472">
        <f t="shared" si="6"/>
        <v>3.33145374993018</v>
      </c>
      <c r="S29" s="471"/>
      <c r="T29" s="472">
        <f t="shared" si="7"/>
        <v>5.8058370213796451</v>
      </c>
      <c r="U29" s="472">
        <f t="shared" si="8"/>
        <v>2.7647328602482535</v>
      </c>
    </row>
    <row r="30" spans="1:21" x14ac:dyDescent="0.25">
      <c r="A30" s="473" t="str">
        <f>name!D25</f>
        <v xml:space="preserve"> 81 Process, plant and machine operatives</v>
      </c>
      <c r="B30" s="474">
        <v>247.06263887534641</v>
      </c>
      <c r="C30" s="474">
        <v>815.87896294858808</v>
      </c>
      <c r="D30" s="474">
        <f t="shared" si="0"/>
        <v>1062.9416018239344</v>
      </c>
      <c r="E30" s="475"/>
      <c r="F30" s="474">
        <v>190.67802618528535</v>
      </c>
      <c r="G30" s="474">
        <v>719.68703195597607</v>
      </c>
      <c r="H30" s="474">
        <f t="shared" si="1"/>
        <v>910.36505814126144</v>
      </c>
      <c r="I30" s="475"/>
      <c r="J30" s="474">
        <v>119.3071968369111</v>
      </c>
      <c r="K30" s="474">
        <v>589.65211558646297</v>
      </c>
      <c r="L30" s="474">
        <f t="shared" si="2"/>
        <v>708.95931242337406</v>
      </c>
      <c r="M30" s="347"/>
      <c r="N30" s="472">
        <f t="shared" si="3"/>
        <v>-5.0491811606213073</v>
      </c>
      <c r="O30" s="472">
        <f t="shared" si="4"/>
        <v>-8.951415396488704</v>
      </c>
      <c r="P30" s="471"/>
      <c r="Q30" s="472">
        <f t="shared" si="5"/>
        <v>-2.4777778936287742</v>
      </c>
      <c r="R30" s="472">
        <f t="shared" si="6"/>
        <v>-3.9072910459442611</v>
      </c>
      <c r="S30" s="471"/>
      <c r="T30" s="472">
        <f t="shared" si="7"/>
        <v>-3.0514685165108801</v>
      </c>
      <c r="U30" s="472">
        <f t="shared" si="8"/>
        <v>-4.8779620553604079</v>
      </c>
    </row>
    <row r="31" spans="1:21" x14ac:dyDescent="0.25">
      <c r="A31" s="473" t="str">
        <f>name!D26</f>
        <v xml:space="preserve"> 82 Transport and mobile machine drivers and operatives</v>
      </c>
      <c r="B31" s="474">
        <v>46.143589280255497</v>
      </c>
      <c r="C31" s="474">
        <v>1205.0639602517492</v>
      </c>
      <c r="D31" s="474">
        <f t="shared" si="0"/>
        <v>1251.2075495320048</v>
      </c>
      <c r="E31" s="475"/>
      <c r="F31" s="474">
        <v>60.027214298433236</v>
      </c>
      <c r="G31" s="474">
        <v>1209.5642662460725</v>
      </c>
      <c r="H31" s="474">
        <f t="shared" si="1"/>
        <v>1269.5914805445057</v>
      </c>
      <c r="I31" s="475"/>
      <c r="J31" s="474">
        <v>72.408260265688924</v>
      </c>
      <c r="K31" s="474">
        <v>1192.7583410923617</v>
      </c>
      <c r="L31" s="474">
        <f t="shared" si="2"/>
        <v>1265.1666013580507</v>
      </c>
      <c r="M31" s="347"/>
      <c r="N31" s="472">
        <f t="shared" si="3"/>
        <v>5.4016387643097019</v>
      </c>
      <c r="O31" s="472">
        <f t="shared" si="4"/>
        <v>3.8216638714006379</v>
      </c>
      <c r="P31" s="471"/>
      <c r="Q31" s="472">
        <f t="shared" si="5"/>
        <v>7.4578588645812793E-2</v>
      </c>
      <c r="R31" s="472">
        <f t="shared" si="6"/>
        <v>-0.27944134702916346</v>
      </c>
      <c r="S31" s="471"/>
      <c r="T31" s="472">
        <f t="shared" si="7"/>
        <v>0.29214702483133514</v>
      </c>
      <c r="U31" s="472">
        <f t="shared" si="8"/>
        <v>-6.980293991228903E-2</v>
      </c>
    </row>
    <row r="32" spans="1:21" x14ac:dyDescent="0.25">
      <c r="A32" s="473" t="str">
        <f>name!D27</f>
        <v xml:space="preserve"> 91 Elementary trades and related occupations</v>
      </c>
      <c r="B32" s="474">
        <v>83.401852001522514</v>
      </c>
      <c r="C32" s="474">
        <v>469.73342515105156</v>
      </c>
      <c r="D32" s="474">
        <f t="shared" si="0"/>
        <v>553.13527715257408</v>
      </c>
      <c r="E32" s="475"/>
      <c r="F32" s="474">
        <v>112.95090768793037</v>
      </c>
      <c r="G32" s="474">
        <v>442.18288190204635</v>
      </c>
      <c r="H32" s="474">
        <f t="shared" si="1"/>
        <v>555.13378958997669</v>
      </c>
      <c r="I32" s="475"/>
      <c r="J32" s="474">
        <v>131.36203716391941</v>
      </c>
      <c r="K32" s="474">
        <v>399.61327908899227</v>
      </c>
      <c r="L32" s="474">
        <f t="shared" si="2"/>
        <v>530.97531625291163</v>
      </c>
      <c r="M32" s="347"/>
      <c r="N32" s="472">
        <f t="shared" si="3"/>
        <v>6.2533927148521018</v>
      </c>
      <c r="O32" s="472">
        <f t="shared" si="4"/>
        <v>3.0661444183872621</v>
      </c>
      <c r="P32" s="471"/>
      <c r="Q32" s="472">
        <f t="shared" si="5"/>
        <v>-1.2015588666165145</v>
      </c>
      <c r="R32" s="472">
        <f t="shared" si="6"/>
        <v>-2.0041696681879717</v>
      </c>
      <c r="S32" s="471"/>
      <c r="T32" s="472">
        <f t="shared" si="7"/>
        <v>7.2157046028697991E-2</v>
      </c>
      <c r="U32" s="472">
        <f t="shared" si="8"/>
        <v>-0.88592460043601662</v>
      </c>
    </row>
    <row r="33" spans="1:21" x14ac:dyDescent="0.25">
      <c r="A33" s="473" t="str">
        <f>name!D28</f>
        <v xml:space="preserve"> 92 Elementary administration and service occupations</v>
      </c>
      <c r="B33" s="474">
        <v>1998.5966318321712</v>
      </c>
      <c r="C33" s="474">
        <v>1485.4854678879624</v>
      </c>
      <c r="D33" s="474">
        <f t="shared" si="0"/>
        <v>3484.0820997201336</v>
      </c>
      <c r="E33" s="475"/>
      <c r="F33" s="474">
        <v>1747.8247369240221</v>
      </c>
      <c r="G33" s="474">
        <v>1653.0345846304847</v>
      </c>
      <c r="H33" s="474">
        <f t="shared" si="1"/>
        <v>3400.859321554507</v>
      </c>
      <c r="I33" s="475"/>
      <c r="J33" s="474">
        <v>1600.6666075398941</v>
      </c>
      <c r="K33" s="474">
        <v>1815.3093387344427</v>
      </c>
      <c r="L33" s="474">
        <f t="shared" si="2"/>
        <v>3415.9759462743368</v>
      </c>
      <c r="M33" s="347"/>
      <c r="N33" s="472">
        <f>IF(B33&gt;0,(EXP(LN(F33/B33)/5)-1)*100,0)</f>
        <v>-2.6458327864731457</v>
      </c>
      <c r="O33" s="472">
        <f>IF(F33&gt;0,(EXP(LN(J33/F33)/5)-1)*100,0)</f>
        <v>-1.7436559676378693</v>
      </c>
      <c r="P33" s="471"/>
      <c r="Q33" s="472">
        <f>IF(C33&gt;0,(EXP(LN(G33/C33)/5)-1)*100,0)</f>
        <v>2.1604286448097421</v>
      </c>
      <c r="R33" s="472">
        <f>IF(G33&gt;0,(EXP(LN(K33/G33)/5)-1)*100,0)</f>
        <v>1.8905110164525452</v>
      </c>
      <c r="S33" s="471"/>
      <c r="T33" s="472">
        <f>IF(D33&gt;0,(EXP(LN(H33/D33)/5)-1)*100,0)</f>
        <v>-0.48236252086961695</v>
      </c>
      <c r="U33" s="472">
        <f>IF(H33&gt;0,(EXP(LN(L33/H33)/5)-1)*100,0)</f>
        <v>8.8741213550758147E-2</v>
      </c>
    </row>
    <row r="34" spans="1:21" x14ac:dyDescent="0.25">
      <c r="A34" s="473"/>
      <c r="B34" s="474"/>
      <c r="C34" s="474"/>
      <c r="D34" s="474"/>
      <c r="E34" s="475"/>
      <c r="F34" s="474"/>
      <c r="G34" s="474"/>
      <c r="H34" s="474"/>
      <c r="I34" s="475"/>
      <c r="J34" s="474"/>
      <c r="K34" s="474"/>
      <c r="L34" s="474"/>
      <c r="M34" s="347"/>
      <c r="N34" s="471"/>
      <c r="O34" s="471"/>
      <c r="P34" s="471"/>
      <c r="Q34" s="471"/>
      <c r="R34" s="471"/>
      <c r="S34" s="471"/>
      <c r="T34" s="471"/>
      <c r="U34" s="471"/>
    </row>
    <row r="35" spans="1:21" x14ac:dyDescent="0.25">
      <c r="A35" s="476" t="str">
        <f>name!D3</f>
        <v>All occupations</v>
      </c>
      <c r="B35" s="477">
        <f>SUM(B9:B33)</f>
        <v>15003.898000000074</v>
      </c>
      <c r="C35" s="477">
        <f>SUM(C9:C33)</f>
        <v>16786.109000000004</v>
      </c>
      <c r="D35" s="477">
        <f t="shared" ref="D35:L35" si="9">SUM(D9:D33)</f>
        <v>31790.007000000081</v>
      </c>
      <c r="E35" s="477"/>
      <c r="F35" s="477">
        <f t="shared" si="9"/>
        <v>16616.099999999948</v>
      </c>
      <c r="G35" s="477">
        <f t="shared" si="9"/>
        <v>18231.892000000047</v>
      </c>
      <c r="H35" s="477">
        <f t="shared" si="9"/>
        <v>34847.991999999991</v>
      </c>
      <c r="I35" s="477"/>
      <c r="J35" s="477">
        <f t="shared" si="9"/>
        <v>17406.968000000015</v>
      </c>
      <c r="K35" s="477">
        <f t="shared" si="9"/>
        <v>18413.985000000124</v>
      </c>
      <c r="L35" s="477">
        <f t="shared" si="9"/>
        <v>35820.95300000014</v>
      </c>
      <c r="M35" s="478"/>
      <c r="N35" s="479">
        <f>IF(B35&gt;0,(EXP(LN(F35/B35)/5)-1)*100,0)</f>
        <v>2.0622172286617557</v>
      </c>
      <c r="O35" s="479">
        <f>IF(F35&gt;0,(EXP(LN(J35/F35)/5)-1)*100,0)</f>
        <v>0.93430727285870319</v>
      </c>
      <c r="P35" s="480"/>
      <c r="Q35" s="479">
        <f>IF(C35&gt;0,(EXP(LN(G35/C35)/5)-1)*100,0)</f>
        <v>1.6661412419424204</v>
      </c>
      <c r="R35" s="479">
        <f>IF(G35&gt;0,(EXP(LN(K35/G35)/5)-1)*100,0)</f>
        <v>0.19895890094099311</v>
      </c>
      <c r="S35" s="480"/>
      <c r="T35" s="479">
        <f>IF(D35&gt;0,(EXP(LN(H35/D35)/5)-1)*100,0)</f>
        <v>1.8538446786760865</v>
      </c>
      <c r="U35" s="479">
        <f>IF(H35&gt;0,(EXP(LN(L35/H35)/5)-1)*100,0)</f>
        <v>0.55226910109724692</v>
      </c>
    </row>
    <row r="36" spans="1:21" x14ac:dyDescent="0.25">
      <c r="A36" s="348"/>
      <c r="B36" s="349"/>
      <c r="C36" s="349"/>
      <c r="D36" s="349"/>
      <c r="E36" s="349"/>
      <c r="F36" s="349"/>
      <c r="G36" s="349"/>
      <c r="H36" s="349"/>
      <c r="I36" s="349"/>
      <c r="J36" s="349"/>
      <c r="K36" s="349"/>
      <c r="L36" s="350"/>
      <c r="M36" s="351"/>
    </row>
    <row r="37" spans="1:21" x14ac:dyDescent="0.25">
      <c r="A37" s="348"/>
      <c r="B37" s="348"/>
      <c r="C37" s="348"/>
      <c r="D37" s="348"/>
      <c r="E37" s="348"/>
      <c r="F37" s="348"/>
      <c r="G37" s="348"/>
      <c r="H37" s="348"/>
      <c r="I37" s="348"/>
      <c r="J37" s="348"/>
      <c r="K37" s="348"/>
      <c r="L37" s="410"/>
      <c r="M37" s="347"/>
    </row>
    <row r="38" spans="1:21" x14ac:dyDescent="0.25">
      <c r="A38" s="374"/>
      <c r="B38" s="354"/>
      <c r="C38" s="354"/>
      <c r="D38" s="354"/>
      <c r="E38" s="354"/>
      <c r="F38" s="354"/>
      <c r="G38" s="354"/>
      <c r="H38" s="354"/>
      <c r="I38" s="354"/>
      <c r="J38" s="354"/>
      <c r="K38" s="354"/>
      <c r="L38" s="352"/>
      <c r="M38" s="352"/>
    </row>
    <row r="39" spans="1:21" x14ac:dyDescent="0.25">
      <c r="A39" s="354"/>
      <c r="B39" s="515"/>
      <c r="C39" s="515"/>
      <c r="D39" s="515"/>
      <c r="E39" s="369"/>
      <c r="F39" s="515"/>
      <c r="G39" s="515"/>
      <c r="H39" s="515"/>
      <c r="I39" s="369"/>
      <c r="J39" s="515"/>
      <c r="K39" s="515"/>
      <c r="L39" s="515"/>
      <c r="M39" s="352"/>
    </row>
    <row r="40" spans="1:21" x14ac:dyDescent="0.25">
      <c r="A40" s="374"/>
      <c r="B40" s="375"/>
      <c r="C40" s="375"/>
      <c r="D40" s="375"/>
      <c r="E40" s="375"/>
      <c r="F40" s="375"/>
      <c r="G40" s="375"/>
      <c r="H40" s="375"/>
      <c r="I40" s="375"/>
      <c r="J40" s="375"/>
      <c r="K40" s="375"/>
      <c r="L40" s="375"/>
      <c r="M40" s="352"/>
    </row>
    <row r="41" spans="1:21" x14ac:dyDescent="0.25">
      <c r="A41" s="374"/>
      <c r="B41" s="375"/>
      <c r="C41" s="375"/>
      <c r="D41" s="375"/>
      <c r="E41" s="375"/>
      <c r="F41" s="375"/>
      <c r="G41" s="375"/>
      <c r="H41" s="375"/>
      <c r="I41" s="375"/>
      <c r="J41" s="375"/>
      <c r="K41" s="375"/>
      <c r="L41" s="375"/>
      <c r="M41" s="352"/>
    </row>
    <row r="42" spans="1:21" x14ac:dyDescent="0.25">
      <c r="A42" s="348"/>
      <c r="B42" s="464"/>
      <c r="C42" s="464"/>
      <c r="D42" s="464"/>
      <c r="E42" s="465"/>
      <c r="F42" s="464"/>
      <c r="G42" s="464"/>
      <c r="H42" s="464"/>
      <c r="I42" s="465"/>
      <c r="J42" s="464"/>
      <c r="K42" s="464"/>
      <c r="L42" s="464"/>
      <c r="M42" s="352"/>
    </row>
    <row r="43" spans="1:21" x14ac:dyDescent="0.25">
      <c r="A43" s="348"/>
      <c r="B43" s="464"/>
      <c r="C43" s="464"/>
      <c r="D43" s="464"/>
      <c r="E43" s="465"/>
      <c r="F43" s="464"/>
      <c r="G43" s="464"/>
      <c r="H43" s="464"/>
      <c r="I43" s="465"/>
      <c r="J43" s="464"/>
      <c r="K43" s="464"/>
      <c r="L43" s="464"/>
      <c r="M43" s="352"/>
    </row>
    <row r="44" spans="1:21" x14ac:dyDescent="0.25">
      <c r="A44" s="348"/>
      <c r="B44" s="464"/>
      <c r="C44" s="464"/>
      <c r="D44" s="464"/>
      <c r="E44" s="465"/>
      <c r="F44" s="464"/>
      <c r="G44" s="464"/>
      <c r="H44" s="464"/>
      <c r="I44" s="465"/>
      <c r="J44" s="464"/>
      <c r="K44" s="464"/>
      <c r="L44" s="464"/>
      <c r="M44" s="352"/>
    </row>
    <row r="45" spans="1:21" x14ac:dyDescent="0.25">
      <c r="A45" s="348"/>
      <c r="B45" s="464"/>
      <c r="C45" s="464"/>
      <c r="D45" s="464"/>
      <c r="E45" s="465"/>
      <c r="F45" s="464"/>
      <c r="G45" s="464"/>
      <c r="H45" s="464"/>
      <c r="I45" s="465"/>
      <c r="J45" s="464"/>
      <c r="K45" s="464"/>
      <c r="L45" s="464"/>
      <c r="M45" s="352"/>
    </row>
    <row r="46" spans="1:21" x14ac:dyDescent="0.25">
      <c r="A46" s="348"/>
      <c r="B46" s="464"/>
      <c r="C46" s="464"/>
      <c r="D46" s="464"/>
      <c r="E46" s="465"/>
      <c r="F46" s="464"/>
      <c r="G46" s="464"/>
      <c r="H46" s="464"/>
      <c r="I46" s="465"/>
      <c r="J46" s="464"/>
      <c r="K46" s="464"/>
      <c r="L46" s="464"/>
      <c r="M46" s="352"/>
    </row>
    <row r="47" spans="1:21" x14ac:dyDescent="0.25">
      <c r="A47" s="348"/>
      <c r="B47" s="464"/>
      <c r="C47" s="464"/>
      <c r="D47" s="464"/>
      <c r="E47" s="465"/>
      <c r="F47" s="464"/>
      <c r="G47" s="464"/>
      <c r="H47" s="464"/>
      <c r="I47" s="465"/>
      <c r="J47" s="464"/>
      <c r="K47" s="464"/>
      <c r="L47" s="464"/>
      <c r="M47" s="352"/>
    </row>
    <row r="48" spans="1:21" x14ac:dyDescent="0.25">
      <c r="A48" s="348"/>
      <c r="B48" s="464"/>
      <c r="C48" s="464"/>
      <c r="D48" s="464"/>
      <c r="E48" s="465"/>
      <c r="F48" s="464"/>
      <c r="G48" s="464"/>
      <c r="H48" s="464"/>
      <c r="I48" s="465"/>
      <c r="J48" s="464"/>
      <c r="K48" s="464"/>
      <c r="L48" s="464"/>
      <c r="M48" s="352"/>
    </row>
    <row r="49" spans="1:13" x14ac:dyDescent="0.25">
      <c r="A49" s="348"/>
      <c r="B49" s="464"/>
      <c r="C49" s="464"/>
      <c r="D49" s="464"/>
      <c r="E49" s="465"/>
      <c r="F49" s="464"/>
      <c r="G49" s="464"/>
      <c r="H49" s="464"/>
      <c r="I49" s="465"/>
      <c r="J49" s="464"/>
      <c r="K49" s="464"/>
      <c r="L49" s="464"/>
      <c r="M49" s="352"/>
    </row>
    <row r="50" spans="1:13" x14ac:dyDescent="0.25">
      <c r="A50" s="348"/>
      <c r="B50" s="464"/>
      <c r="C50" s="464"/>
      <c r="D50" s="464"/>
      <c r="E50" s="465"/>
      <c r="F50" s="464"/>
      <c r="G50" s="464"/>
      <c r="H50" s="464"/>
      <c r="I50" s="465"/>
      <c r="J50" s="464"/>
      <c r="K50" s="464"/>
      <c r="L50" s="464"/>
      <c r="M50" s="352"/>
    </row>
    <row r="51" spans="1:13" x14ac:dyDescent="0.25">
      <c r="A51" s="348"/>
      <c r="B51" s="464"/>
      <c r="C51" s="464"/>
      <c r="D51" s="464"/>
      <c r="E51" s="465"/>
      <c r="F51" s="464"/>
      <c r="G51" s="464"/>
      <c r="H51" s="464"/>
      <c r="I51" s="465"/>
      <c r="J51" s="464"/>
      <c r="K51" s="464"/>
      <c r="L51" s="464"/>
      <c r="M51" s="352"/>
    </row>
    <row r="52" spans="1:13" x14ac:dyDescent="0.25">
      <c r="A52" s="348"/>
      <c r="B52" s="465"/>
      <c r="C52" s="465"/>
      <c r="D52" s="465"/>
      <c r="E52" s="465"/>
      <c r="F52" s="465"/>
      <c r="G52" s="465"/>
      <c r="H52" s="465"/>
      <c r="I52" s="465"/>
      <c r="J52" s="465"/>
      <c r="K52" s="465"/>
      <c r="L52" s="465"/>
      <c r="M52" s="352"/>
    </row>
    <row r="53" spans="1:13" x14ac:dyDescent="0.25">
      <c r="A53" s="348"/>
      <c r="B53" s="348"/>
      <c r="C53" s="348"/>
      <c r="D53" s="348"/>
      <c r="E53" s="348"/>
      <c r="F53" s="348"/>
      <c r="G53" s="348"/>
      <c r="H53" s="348"/>
      <c r="I53" s="348"/>
      <c r="J53" s="348"/>
      <c r="K53" s="348"/>
      <c r="L53" s="353"/>
      <c r="M53" s="352"/>
    </row>
    <row r="54" spans="1:13" x14ac:dyDescent="0.25">
      <c r="A54" s="348"/>
      <c r="B54" s="348"/>
      <c r="C54" s="348"/>
      <c r="D54" s="348"/>
      <c r="E54" s="348"/>
      <c r="F54" s="348"/>
      <c r="G54" s="348"/>
      <c r="H54" s="348"/>
      <c r="I54" s="348"/>
      <c r="J54" s="348"/>
      <c r="K54" s="348"/>
      <c r="L54" s="410"/>
      <c r="M54" s="352"/>
    </row>
    <row r="55" spans="1:13" x14ac:dyDescent="0.25">
      <c r="A55" s="374"/>
      <c r="B55" s="354"/>
      <c r="C55" s="354"/>
      <c r="D55" s="354"/>
      <c r="E55" s="354"/>
      <c r="F55" s="354"/>
      <c r="G55" s="354"/>
      <c r="H55" s="354"/>
      <c r="I55" s="354"/>
      <c r="J55" s="354"/>
      <c r="K55" s="354"/>
      <c r="L55" s="352"/>
      <c r="M55" s="352"/>
    </row>
    <row r="56" spans="1:13" x14ac:dyDescent="0.25">
      <c r="A56" s="354"/>
      <c r="B56" s="515"/>
      <c r="C56" s="515"/>
      <c r="D56" s="515"/>
      <c r="E56" s="369"/>
      <c r="F56" s="515"/>
      <c r="G56" s="515"/>
      <c r="H56" s="515"/>
      <c r="I56" s="369"/>
      <c r="J56" s="515"/>
      <c r="K56" s="515"/>
      <c r="L56" s="515"/>
      <c r="M56" s="352"/>
    </row>
    <row r="57" spans="1:13" x14ac:dyDescent="0.25">
      <c r="A57" s="374"/>
      <c r="B57" s="375"/>
      <c r="C57" s="375"/>
      <c r="D57" s="375"/>
      <c r="E57" s="375"/>
      <c r="F57" s="375"/>
      <c r="G57" s="375"/>
      <c r="H57" s="375"/>
      <c r="I57" s="375"/>
      <c r="J57" s="375"/>
      <c r="K57" s="375"/>
      <c r="L57" s="375"/>
      <c r="M57" s="352"/>
    </row>
    <row r="58" spans="1:13" x14ac:dyDescent="0.25">
      <c r="A58" s="374"/>
      <c r="B58" s="375"/>
      <c r="C58" s="375"/>
      <c r="D58" s="375"/>
      <c r="E58" s="375"/>
      <c r="F58" s="375"/>
      <c r="G58" s="375"/>
      <c r="H58" s="375"/>
      <c r="I58" s="375"/>
      <c r="J58" s="375"/>
      <c r="K58" s="375"/>
      <c r="L58" s="375"/>
      <c r="M58" s="352"/>
    </row>
    <row r="59" spans="1:13" x14ac:dyDescent="0.25">
      <c r="A59" s="348"/>
      <c r="B59" s="466"/>
      <c r="C59" s="466"/>
      <c r="D59" s="466"/>
      <c r="E59" s="467"/>
      <c r="F59" s="466"/>
      <c r="G59" s="466"/>
      <c r="H59" s="466"/>
      <c r="I59" s="467"/>
      <c r="J59" s="466"/>
      <c r="K59" s="466"/>
      <c r="L59" s="466"/>
      <c r="M59" s="352"/>
    </row>
    <row r="60" spans="1:13" x14ac:dyDescent="0.25">
      <c r="A60" s="348"/>
      <c r="B60" s="466"/>
      <c r="C60" s="466"/>
      <c r="D60" s="466"/>
      <c r="E60" s="467"/>
      <c r="F60" s="466"/>
      <c r="G60" s="466"/>
      <c r="H60" s="466"/>
      <c r="I60" s="467"/>
      <c r="J60" s="466"/>
      <c r="K60" s="466"/>
      <c r="L60" s="466"/>
      <c r="M60" s="352"/>
    </row>
    <row r="61" spans="1:13" x14ac:dyDescent="0.25">
      <c r="A61" s="348"/>
      <c r="B61" s="466"/>
      <c r="C61" s="466"/>
      <c r="D61" s="466"/>
      <c r="E61" s="467"/>
      <c r="F61" s="466"/>
      <c r="G61" s="466"/>
      <c r="H61" s="466"/>
      <c r="I61" s="467"/>
      <c r="J61" s="466"/>
      <c r="K61" s="466"/>
      <c r="L61" s="466"/>
      <c r="M61" s="352"/>
    </row>
    <row r="62" spans="1:13" x14ac:dyDescent="0.25">
      <c r="A62" s="348"/>
      <c r="B62" s="466"/>
      <c r="C62" s="466"/>
      <c r="D62" s="466"/>
      <c r="E62" s="467"/>
      <c r="F62" s="466"/>
      <c r="G62" s="466"/>
      <c r="H62" s="466"/>
      <c r="I62" s="467"/>
      <c r="J62" s="466"/>
      <c r="K62" s="466"/>
      <c r="L62" s="466"/>
      <c r="M62" s="352"/>
    </row>
    <row r="63" spans="1:13" x14ac:dyDescent="0.25">
      <c r="A63" s="348"/>
      <c r="B63" s="466"/>
      <c r="C63" s="466"/>
      <c r="D63" s="466"/>
      <c r="E63" s="467"/>
      <c r="F63" s="466"/>
      <c r="G63" s="466"/>
      <c r="H63" s="466"/>
      <c r="I63" s="467"/>
      <c r="J63" s="466"/>
      <c r="K63" s="466"/>
      <c r="L63" s="466"/>
      <c r="M63" s="352"/>
    </row>
    <row r="64" spans="1:13" x14ac:dyDescent="0.25">
      <c r="A64" s="348"/>
      <c r="B64" s="466"/>
      <c r="C64" s="466"/>
      <c r="D64" s="466"/>
      <c r="E64" s="467"/>
      <c r="F64" s="466"/>
      <c r="G64" s="466"/>
      <c r="H64" s="466"/>
      <c r="I64" s="467"/>
      <c r="J64" s="466"/>
      <c r="K64" s="466"/>
      <c r="L64" s="466"/>
      <c r="M64" s="352"/>
    </row>
    <row r="65" spans="1:13" x14ac:dyDescent="0.25">
      <c r="A65" s="348"/>
      <c r="B65" s="466"/>
      <c r="C65" s="466"/>
      <c r="D65" s="466"/>
      <c r="E65" s="467"/>
      <c r="F65" s="466"/>
      <c r="G65" s="466"/>
      <c r="H65" s="466"/>
      <c r="I65" s="467"/>
      <c r="J65" s="466"/>
      <c r="K65" s="466"/>
      <c r="L65" s="466"/>
      <c r="M65" s="352"/>
    </row>
    <row r="66" spans="1:13" x14ac:dyDescent="0.25">
      <c r="A66" s="348"/>
      <c r="B66" s="466"/>
      <c r="C66" s="466"/>
      <c r="D66" s="466"/>
      <c r="E66" s="467"/>
      <c r="F66" s="466"/>
      <c r="G66" s="466"/>
      <c r="H66" s="466"/>
      <c r="I66" s="467"/>
      <c r="J66" s="466"/>
      <c r="K66" s="466"/>
      <c r="L66" s="466"/>
      <c r="M66" s="352"/>
    </row>
    <row r="67" spans="1:13" x14ac:dyDescent="0.25">
      <c r="A67" s="348"/>
      <c r="B67" s="466"/>
      <c r="C67" s="466"/>
      <c r="D67" s="466"/>
      <c r="E67" s="467"/>
      <c r="F67" s="466"/>
      <c r="G67" s="466"/>
      <c r="H67" s="466"/>
      <c r="I67" s="467"/>
      <c r="J67" s="466"/>
      <c r="K67" s="466"/>
      <c r="L67" s="466"/>
      <c r="M67" s="352"/>
    </row>
    <row r="68" spans="1:13" x14ac:dyDescent="0.25">
      <c r="A68" s="348"/>
      <c r="B68" s="466"/>
      <c r="C68" s="466"/>
      <c r="D68" s="466"/>
      <c r="E68" s="467"/>
      <c r="F68" s="466"/>
      <c r="G68" s="466"/>
      <c r="H68" s="466"/>
      <c r="I68" s="467"/>
      <c r="J68" s="466"/>
      <c r="K68" s="466"/>
      <c r="L68" s="466"/>
      <c r="M68" s="352"/>
    </row>
    <row r="69" spans="1:13" x14ac:dyDescent="0.25">
      <c r="A69" s="348"/>
      <c r="B69" s="467"/>
      <c r="C69" s="467"/>
      <c r="D69" s="467"/>
      <c r="E69" s="467"/>
      <c r="F69" s="467"/>
      <c r="G69" s="467"/>
      <c r="H69" s="467"/>
      <c r="I69" s="467"/>
      <c r="J69" s="467"/>
      <c r="K69" s="467"/>
      <c r="L69" s="467"/>
      <c r="M69" s="352"/>
    </row>
    <row r="70" spans="1:13" x14ac:dyDescent="0.25">
      <c r="A70" s="348"/>
      <c r="B70" s="348"/>
      <c r="C70" s="348"/>
      <c r="D70" s="348"/>
      <c r="E70" s="348"/>
      <c r="F70" s="348"/>
      <c r="G70" s="348"/>
      <c r="H70" s="348"/>
      <c r="I70" s="348"/>
      <c r="J70" s="348"/>
      <c r="K70" s="348"/>
      <c r="L70" s="353"/>
      <c r="M70" s="352"/>
    </row>
    <row r="71" spans="1:13" x14ac:dyDescent="0.25">
      <c r="A71" s="348"/>
      <c r="B71" s="348"/>
      <c r="C71" s="348"/>
      <c r="D71" s="348"/>
      <c r="E71" s="348"/>
      <c r="F71" s="348"/>
      <c r="G71" s="348"/>
      <c r="H71" s="348"/>
      <c r="I71" s="348"/>
      <c r="J71" s="348"/>
      <c r="K71" s="348"/>
      <c r="L71" s="410"/>
      <c r="M71" s="352"/>
    </row>
    <row r="72" spans="1:13" x14ac:dyDescent="0.25">
      <c r="A72" s="374"/>
      <c r="B72" s="354"/>
      <c r="C72" s="354"/>
      <c r="D72" s="354"/>
      <c r="E72" s="354"/>
      <c r="F72" s="354"/>
      <c r="G72" s="354"/>
      <c r="H72" s="354"/>
      <c r="I72" s="354"/>
      <c r="J72" s="354"/>
      <c r="K72" s="354"/>
      <c r="L72" s="352"/>
      <c r="M72" s="352"/>
    </row>
    <row r="73" spans="1:13" x14ac:dyDescent="0.25">
      <c r="A73" s="354"/>
      <c r="B73" s="515"/>
      <c r="C73" s="515"/>
      <c r="D73" s="515"/>
      <c r="E73" s="369"/>
      <c r="F73" s="515"/>
      <c r="G73" s="515"/>
      <c r="H73" s="515"/>
      <c r="I73" s="369"/>
      <c r="J73" s="515"/>
      <c r="K73" s="515"/>
      <c r="L73" s="515"/>
      <c r="M73" s="352"/>
    </row>
    <row r="74" spans="1:13" x14ac:dyDescent="0.25">
      <c r="A74" s="374"/>
      <c r="B74" s="375"/>
      <c r="C74" s="375"/>
      <c r="D74" s="375"/>
      <c r="E74" s="375"/>
      <c r="F74" s="375"/>
      <c r="G74" s="375"/>
      <c r="H74" s="375"/>
      <c r="I74" s="375"/>
      <c r="J74" s="375"/>
      <c r="K74" s="375"/>
      <c r="L74" s="375"/>
      <c r="M74" s="352"/>
    </row>
    <row r="75" spans="1:13" x14ac:dyDescent="0.25">
      <c r="A75" s="374"/>
      <c r="B75" s="375"/>
      <c r="C75" s="375"/>
      <c r="D75" s="375"/>
      <c r="E75" s="375"/>
      <c r="F75" s="375"/>
      <c r="G75" s="375"/>
      <c r="H75" s="375"/>
      <c r="I75" s="375"/>
      <c r="J75" s="375"/>
      <c r="K75" s="375"/>
      <c r="L75" s="375"/>
      <c r="M75" s="352"/>
    </row>
    <row r="76" spans="1:13" x14ac:dyDescent="0.25">
      <c r="A76" s="348"/>
      <c r="B76" s="466"/>
      <c r="C76" s="466"/>
      <c r="D76" s="466"/>
      <c r="E76" s="467"/>
      <c r="F76" s="466"/>
      <c r="G76" s="466"/>
      <c r="H76" s="466"/>
      <c r="I76" s="467"/>
      <c r="J76" s="466"/>
      <c r="K76" s="466"/>
      <c r="L76" s="466"/>
      <c r="M76" s="352"/>
    </row>
    <row r="77" spans="1:13" x14ac:dyDescent="0.25">
      <c r="A77" s="348"/>
      <c r="B77" s="466"/>
      <c r="C77" s="466"/>
      <c r="D77" s="466"/>
      <c r="E77" s="467"/>
      <c r="F77" s="466"/>
      <c r="G77" s="466"/>
      <c r="H77" s="466"/>
      <c r="I77" s="467"/>
      <c r="J77" s="466"/>
      <c r="K77" s="466"/>
      <c r="L77" s="466"/>
      <c r="M77" s="352"/>
    </row>
    <row r="78" spans="1:13" x14ac:dyDescent="0.25">
      <c r="A78" s="348"/>
      <c r="B78" s="466"/>
      <c r="C78" s="466"/>
      <c r="D78" s="466"/>
      <c r="E78" s="467"/>
      <c r="F78" s="466"/>
      <c r="G78" s="466"/>
      <c r="H78" s="466"/>
      <c r="I78" s="467"/>
      <c r="J78" s="466"/>
      <c r="K78" s="466"/>
      <c r="L78" s="466"/>
      <c r="M78" s="352"/>
    </row>
    <row r="79" spans="1:13" x14ac:dyDescent="0.25">
      <c r="A79" s="348"/>
      <c r="B79" s="466"/>
      <c r="C79" s="466"/>
      <c r="D79" s="466"/>
      <c r="E79" s="467"/>
      <c r="F79" s="466"/>
      <c r="G79" s="466"/>
      <c r="H79" s="466"/>
      <c r="I79" s="467"/>
      <c r="J79" s="466"/>
      <c r="K79" s="466"/>
      <c r="L79" s="466"/>
      <c r="M79" s="352"/>
    </row>
    <row r="80" spans="1:13" x14ac:dyDescent="0.25">
      <c r="A80" s="348"/>
      <c r="B80" s="466"/>
      <c r="C80" s="466"/>
      <c r="D80" s="466"/>
      <c r="E80" s="467"/>
      <c r="F80" s="466"/>
      <c r="G80" s="466"/>
      <c r="H80" s="466"/>
      <c r="I80" s="467"/>
      <c r="J80" s="466"/>
      <c r="K80" s="466"/>
      <c r="L80" s="466"/>
      <c r="M80" s="352"/>
    </row>
    <row r="81" spans="1:13" x14ac:dyDescent="0.25">
      <c r="A81" s="348"/>
      <c r="B81" s="466"/>
      <c r="C81" s="466"/>
      <c r="D81" s="466"/>
      <c r="E81" s="467"/>
      <c r="F81" s="466"/>
      <c r="G81" s="466"/>
      <c r="H81" s="466"/>
      <c r="I81" s="467"/>
      <c r="J81" s="466"/>
      <c r="K81" s="466"/>
      <c r="L81" s="466"/>
      <c r="M81" s="352"/>
    </row>
    <row r="82" spans="1:13" x14ac:dyDescent="0.25">
      <c r="A82" s="348"/>
      <c r="B82" s="466"/>
      <c r="C82" s="466"/>
      <c r="D82" s="466"/>
      <c r="E82" s="467"/>
      <c r="F82" s="466"/>
      <c r="G82" s="466"/>
      <c r="H82" s="466"/>
      <c r="I82" s="467"/>
      <c r="J82" s="466"/>
      <c r="K82" s="466"/>
      <c r="L82" s="466"/>
      <c r="M82" s="352"/>
    </row>
    <row r="83" spans="1:13" x14ac:dyDescent="0.25">
      <c r="A83" s="348"/>
      <c r="B83" s="466"/>
      <c r="C83" s="466"/>
      <c r="D83" s="466"/>
      <c r="E83" s="467"/>
      <c r="F83" s="466"/>
      <c r="G83" s="466"/>
      <c r="H83" s="466"/>
      <c r="I83" s="467"/>
      <c r="J83" s="466"/>
      <c r="K83" s="466"/>
      <c r="L83" s="466"/>
      <c r="M83" s="352"/>
    </row>
    <row r="84" spans="1:13" x14ac:dyDescent="0.25">
      <c r="A84" s="348"/>
      <c r="B84" s="466"/>
      <c r="C84" s="466"/>
      <c r="D84" s="466"/>
      <c r="E84" s="467"/>
      <c r="F84" s="466"/>
      <c r="G84" s="466"/>
      <c r="H84" s="466"/>
      <c r="I84" s="467"/>
      <c r="J84" s="466"/>
      <c r="K84" s="466"/>
      <c r="L84" s="466"/>
      <c r="M84" s="352"/>
    </row>
    <row r="85" spans="1:13" x14ac:dyDescent="0.25">
      <c r="A85" s="348"/>
      <c r="B85" s="466"/>
      <c r="C85" s="466"/>
      <c r="D85" s="466"/>
      <c r="E85" s="467"/>
      <c r="F85" s="466"/>
      <c r="G85" s="466"/>
      <c r="H85" s="466"/>
      <c r="I85" s="467"/>
      <c r="J85" s="466"/>
      <c r="K85" s="466"/>
      <c r="L85" s="466"/>
      <c r="M85" s="352"/>
    </row>
    <row r="86" spans="1:13" x14ac:dyDescent="0.25">
      <c r="A86" s="348"/>
      <c r="B86" s="467"/>
      <c r="C86" s="467"/>
      <c r="D86" s="467"/>
      <c r="E86" s="467"/>
      <c r="F86" s="467"/>
      <c r="G86" s="467"/>
      <c r="H86" s="467"/>
      <c r="I86" s="467"/>
      <c r="J86" s="467"/>
      <c r="K86" s="467"/>
      <c r="L86" s="467"/>
      <c r="M86" s="352"/>
    </row>
    <row r="87" spans="1:13" x14ac:dyDescent="0.25">
      <c r="A87" s="348"/>
      <c r="B87" s="348"/>
      <c r="C87" s="348"/>
      <c r="D87" s="348"/>
      <c r="E87" s="348"/>
      <c r="F87" s="348"/>
      <c r="G87" s="348"/>
      <c r="H87" s="348"/>
      <c r="I87" s="348"/>
      <c r="J87" s="348"/>
      <c r="K87" s="348"/>
      <c r="L87" s="353"/>
      <c r="M87" s="352"/>
    </row>
    <row r="88" spans="1:13" x14ac:dyDescent="0.25">
      <c r="A88" s="348"/>
      <c r="B88" s="348"/>
      <c r="C88" s="348"/>
      <c r="D88" s="348"/>
      <c r="E88" s="348"/>
      <c r="F88" s="348"/>
      <c r="G88" s="348"/>
      <c r="H88" s="348"/>
      <c r="I88" s="348"/>
      <c r="J88" s="348"/>
      <c r="K88" s="348"/>
      <c r="L88" s="410"/>
      <c r="M88" s="352"/>
    </row>
    <row r="89" spans="1:13" x14ac:dyDescent="0.25">
      <c r="A89" s="374"/>
      <c r="B89" s="354"/>
      <c r="C89" s="354"/>
      <c r="D89" s="354"/>
      <c r="E89" s="354"/>
      <c r="F89" s="354"/>
      <c r="G89" s="354"/>
      <c r="H89" s="354"/>
      <c r="I89" s="354"/>
      <c r="J89" s="354"/>
      <c r="K89" s="354"/>
      <c r="L89" s="352"/>
      <c r="M89" s="352"/>
    </row>
    <row r="90" spans="1:13" x14ac:dyDescent="0.25">
      <c r="A90" s="354"/>
      <c r="B90" s="515"/>
      <c r="C90" s="515"/>
      <c r="D90" s="515"/>
      <c r="E90" s="369"/>
      <c r="F90" s="515"/>
      <c r="G90" s="515"/>
      <c r="H90" s="515"/>
      <c r="I90" s="369"/>
      <c r="J90" s="515"/>
      <c r="K90" s="515"/>
      <c r="L90" s="515"/>
      <c r="M90" s="352"/>
    </row>
    <row r="91" spans="1:13" x14ac:dyDescent="0.25">
      <c r="A91" s="374"/>
      <c r="B91" s="375"/>
      <c r="C91" s="375"/>
      <c r="D91" s="375"/>
      <c r="E91" s="375"/>
      <c r="F91" s="375"/>
      <c r="G91" s="375"/>
      <c r="H91" s="375"/>
      <c r="I91" s="375"/>
      <c r="J91" s="375"/>
      <c r="K91" s="375"/>
      <c r="L91" s="375"/>
      <c r="M91" s="352"/>
    </row>
    <row r="92" spans="1:13" x14ac:dyDescent="0.25">
      <c r="A92" s="374"/>
      <c r="B92" s="375"/>
      <c r="C92" s="375"/>
      <c r="D92" s="375"/>
      <c r="E92" s="375"/>
      <c r="F92" s="375"/>
      <c r="G92" s="375"/>
      <c r="H92" s="375"/>
      <c r="I92" s="375"/>
      <c r="J92" s="375"/>
      <c r="K92" s="375"/>
      <c r="L92" s="375"/>
      <c r="M92" s="352"/>
    </row>
    <row r="93" spans="1:13" x14ac:dyDescent="0.25">
      <c r="A93" s="348"/>
      <c r="B93" s="466"/>
      <c r="C93" s="466"/>
      <c r="D93" s="466"/>
      <c r="E93" s="467"/>
      <c r="F93" s="466"/>
      <c r="G93" s="466"/>
      <c r="H93" s="466"/>
      <c r="I93" s="467"/>
      <c r="J93" s="466"/>
      <c r="K93" s="466"/>
      <c r="L93" s="466"/>
      <c r="M93" s="352"/>
    </row>
    <row r="94" spans="1:13" x14ac:dyDescent="0.25">
      <c r="A94" s="348"/>
      <c r="B94" s="466"/>
      <c r="C94" s="466"/>
      <c r="D94" s="466"/>
      <c r="E94" s="467"/>
      <c r="F94" s="466"/>
      <c r="G94" s="466"/>
      <c r="H94" s="466"/>
      <c r="I94" s="467"/>
      <c r="J94" s="466"/>
      <c r="K94" s="466"/>
      <c r="L94" s="466"/>
      <c r="M94" s="352"/>
    </row>
    <row r="95" spans="1:13" x14ac:dyDescent="0.25">
      <c r="A95" s="348"/>
      <c r="B95" s="466"/>
      <c r="C95" s="466"/>
      <c r="D95" s="466"/>
      <c r="E95" s="467"/>
      <c r="F95" s="466"/>
      <c r="G95" s="466"/>
      <c r="H95" s="466"/>
      <c r="I95" s="467"/>
      <c r="J95" s="466"/>
      <c r="K95" s="466"/>
      <c r="L95" s="466"/>
      <c r="M95" s="352"/>
    </row>
    <row r="96" spans="1:13" x14ac:dyDescent="0.25">
      <c r="A96" s="348"/>
      <c r="B96" s="466"/>
      <c r="C96" s="466"/>
      <c r="D96" s="466"/>
      <c r="E96" s="467"/>
      <c r="F96" s="466"/>
      <c r="G96" s="466"/>
      <c r="H96" s="466"/>
      <c r="I96" s="467"/>
      <c r="J96" s="466"/>
      <c r="K96" s="466"/>
      <c r="L96" s="466"/>
      <c r="M96" s="352"/>
    </row>
    <row r="97" spans="1:13" x14ac:dyDescent="0.25">
      <c r="A97" s="348"/>
      <c r="B97" s="466"/>
      <c r="C97" s="466"/>
      <c r="D97" s="466"/>
      <c r="E97" s="467"/>
      <c r="F97" s="466"/>
      <c r="G97" s="466"/>
      <c r="H97" s="466"/>
      <c r="I97" s="467"/>
      <c r="J97" s="466"/>
      <c r="K97" s="466"/>
      <c r="L97" s="466"/>
      <c r="M97" s="352"/>
    </row>
    <row r="98" spans="1:13" x14ac:dyDescent="0.25">
      <c r="A98" s="348"/>
      <c r="B98" s="466"/>
      <c r="C98" s="466"/>
      <c r="D98" s="466"/>
      <c r="E98" s="467"/>
      <c r="F98" s="466"/>
      <c r="G98" s="466"/>
      <c r="H98" s="466"/>
      <c r="I98" s="467"/>
      <c r="J98" s="466"/>
      <c r="K98" s="466"/>
      <c r="L98" s="466"/>
      <c r="M98" s="352"/>
    </row>
    <row r="99" spans="1:13" x14ac:dyDescent="0.25">
      <c r="A99" s="348"/>
      <c r="B99" s="466"/>
      <c r="C99" s="466"/>
      <c r="D99" s="466"/>
      <c r="E99" s="467"/>
      <c r="F99" s="466"/>
      <c r="G99" s="466"/>
      <c r="H99" s="466"/>
      <c r="I99" s="467"/>
      <c r="J99" s="466"/>
      <c r="K99" s="466"/>
      <c r="L99" s="466"/>
      <c r="M99" s="352"/>
    </row>
    <row r="100" spans="1:13" x14ac:dyDescent="0.25">
      <c r="A100" s="348"/>
      <c r="B100" s="466"/>
      <c r="C100" s="466"/>
      <c r="D100" s="466"/>
      <c r="E100" s="467"/>
      <c r="F100" s="466"/>
      <c r="G100" s="466"/>
      <c r="H100" s="466"/>
      <c r="I100" s="467"/>
      <c r="J100" s="466"/>
      <c r="K100" s="466"/>
      <c r="L100" s="466"/>
      <c r="M100" s="352"/>
    </row>
    <row r="101" spans="1:13" x14ac:dyDescent="0.25">
      <c r="A101" s="348"/>
      <c r="B101" s="466"/>
      <c r="C101" s="466"/>
      <c r="D101" s="466"/>
      <c r="E101" s="467"/>
      <c r="F101" s="466"/>
      <c r="G101" s="466"/>
      <c r="H101" s="466"/>
      <c r="I101" s="467"/>
      <c r="J101" s="466"/>
      <c r="K101" s="466"/>
      <c r="L101" s="466"/>
      <c r="M101" s="352"/>
    </row>
    <row r="102" spans="1:13" x14ac:dyDescent="0.25">
      <c r="A102" s="348"/>
      <c r="B102" s="466"/>
      <c r="C102" s="466"/>
      <c r="D102" s="466"/>
      <c r="E102" s="467"/>
      <c r="F102" s="466"/>
      <c r="G102" s="466"/>
      <c r="H102" s="466"/>
      <c r="I102" s="467"/>
      <c r="J102" s="466"/>
      <c r="K102" s="466"/>
      <c r="L102" s="466"/>
      <c r="M102" s="352"/>
    </row>
    <row r="103" spans="1:13" x14ac:dyDescent="0.25">
      <c r="A103" s="348"/>
      <c r="B103" s="467"/>
      <c r="C103" s="467"/>
      <c r="D103" s="467"/>
      <c r="E103" s="467"/>
      <c r="F103" s="467"/>
      <c r="G103" s="467"/>
      <c r="H103" s="467"/>
      <c r="I103" s="467"/>
      <c r="J103" s="467"/>
      <c r="K103" s="467"/>
      <c r="L103" s="467"/>
      <c r="M103" s="352"/>
    </row>
    <row r="104" spans="1:13" x14ac:dyDescent="0.25">
      <c r="A104" s="348"/>
      <c r="B104" s="348"/>
      <c r="C104" s="348"/>
      <c r="D104" s="348"/>
      <c r="E104" s="348"/>
      <c r="F104" s="348"/>
      <c r="G104" s="348"/>
      <c r="H104" s="348"/>
      <c r="I104" s="348"/>
      <c r="J104" s="348"/>
      <c r="K104" s="348"/>
      <c r="L104" s="353"/>
      <c r="M104" s="352"/>
    </row>
    <row r="105" spans="1:13" x14ac:dyDescent="0.25">
      <c r="A105" s="348"/>
      <c r="B105" s="348"/>
      <c r="C105" s="348"/>
      <c r="D105" s="348"/>
      <c r="E105" s="348"/>
      <c r="F105" s="348"/>
      <c r="G105" s="348"/>
      <c r="H105" s="348"/>
      <c r="I105" s="348"/>
      <c r="J105" s="348"/>
      <c r="K105" s="348"/>
      <c r="L105" s="410"/>
      <c r="M105" s="352"/>
    </row>
    <row r="106" spans="1:13" x14ac:dyDescent="0.25">
      <c r="A106" s="374"/>
      <c r="B106" s="354"/>
      <c r="C106" s="354"/>
      <c r="D106" s="354"/>
      <c r="E106" s="354"/>
      <c r="F106" s="354"/>
      <c r="G106" s="354"/>
      <c r="H106" s="354"/>
      <c r="I106" s="354"/>
      <c r="J106" s="354"/>
      <c r="K106" s="354"/>
      <c r="L106" s="352"/>
      <c r="M106" s="352"/>
    </row>
    <row r="107" spans="1:13" x14ac:dyDescent="0.25">
      <c r="A107" s="354"/>
      <c r="B107" s="515"/>
      <c r="C107" s="515"/>
      <c r="D107" s="515"/>
      <c r="E107" s="369"/>
      <c r="F107" s="515"/>
      <c r="G107" s="515"/>
      <c r="H107" s="515"/>
      <c r="I107" s="369"/>
      <c r="J107" s="515"/>
      <c r="K107" s="515"/>
      <c r="L107" s="515"/>
      <c r="M107" s="352"/>
    </row>
    <row r="108" spans="1:13" x14ac:dyDescent="0.25">
      <c r="A108" s="374"/>
      <c r="B108" s="375"/>
      <c r="C108" s="375"/>
      <c r="D108" s="375"/>
      <c r="E108" s="375"/>
      <c r="F108" s="375"/>
      <c r="G108" s="375"/>
      <c r="H108" s="375"/>
      <c r="I108" s="375"/>
      <c r="J108" s="375"/>
      <c r="K108" s="375"/>
      <c r="L108" s="375"/>
      <c r="M108" s="352"/>
    </row>
    <row r="109" spans="1:13" x14ac:dyDescent="0.25">
      <c r="A109" s="374"/>
      <c r="B109" s="375"/>
      <c r="C109" s="375"/>
      <c r="D109" s="375"/>
      <c r="E109" s="375"/>
      <c r="F109" s="375"/>
      <c r="G109" s="375"/>
      <c r="H109" s="375"/>
      <c r="I109" s="375"/>
      <c r="J109" s="375"/>
      <c r="K109" s="375"/>
      <c r="L109" s="375"/>
      <c r="M109" s="352"/>
    </row>
    <row r="110" spans="1:13" x14ac:dyDescent="0.25">
      <c r="A110" s="348"/>
      <c r="B110" s="466"/>
      <c r="C110" s="466"/>
      <c r="D110" s="466"/>
      <c r="E110" s="467"/>
      <c r="F110" s="466"/>
      <c r="G110" s="466"/>
      <c r="H110" s="466"/>
      <c r="I110" s="467"/>
      <c r="J110" s="466"/>
      <c r="K110" s="466"/>
      <c r="L110" s="466"/>
      <c r="M110" s="352"/>
    </row>
    <row r="111" spans="1:13" x14ac:dyDescent="0.25">
      <c r="A111" s="348"/>
      <c r="B111" s="466"/>
      <c r="C111" s="466"/>
      <c r="D111" s="466"/>
      <c r="E111" s="467"/>
      <c r="F111" s="466"/>
      <c r="G111" s="466"/>
      <c r="H111" s="466"/>
      <c r="I111" s="467"/>
      <c r="J111" s="466"/>
      <c r="K111" s="466"/>
      <c r="L111" s="466"/>
      <c r="M111" s="352"/>
    </row>
    <row r="112" spans="1:13" x14ac:dyDescent="0.25">
      <c r="A112" s="348"/>
      <c r="B112" s="466"/>
      <c r="C112" s="466"/>
      <c r="D112" s="466"/>
      <c r="E112" s="467"/>
      <c r="F112" s="466"/>
      <c r="G112" s="466"/>
      <c r="H112" s="466"/>
      <c r="I112" s="467"/>
      <c r="J112" s="466"/>
      <c r="K112" s="466"/>
      <c r="L112" s="466"/>
      <c r="M112" s="352"/>
    </row>
    <row r="113" spans="1:13" x14ac:dyDescent="0.25">
      <c r="A113" s="348"/>
      <c r="B113" s="466"/>
      <c r="C113" s="466"/>
      <c r="D113" s="466"/>
      <c r="E113" s="467"/>
      <c r="F113" s="466"/>
      <c r="G113" s="466"/>
      <c r="H113" s="466"/>
      <c r="I113" s="467"/>
      <c r="J113" s="466"/>
      <c r="K113" s="466"/>
      <c r="L113" s="466"/>
      <c r="M113" s="352"/>
    </row>
    <row r="114" spans="1:13" x14ac:dyDescent="0.25">
      <c r="A114" s="348"/>
      <c r="B114" s="466"/>
      <c r="C114" s="466"/>
      <c r="D114" s="466"/>
      <c r="E114" s="467"/>
      <c r="F114" s="466"/>
      <c r="G114" s="466"/>
      <c r="H114" s="466"/>
      <c r="I114" s="467"/>
      <c r="J114" s="466"/>
      <c r="K114" s="466"/>
      <c r="L114" s="466"/>
      <c r="M114" s="352"/>
    </row>
    <row r="115" spans="1:13" x14ac:dyDescent="0.25">
      <c r="A115" s="348"/>
      <c r="B115" s="466"/>
      <c r="C115" s="466"/>
      <c r="D115" s="466"/>
      <c r="E115" s="467"/>
      <c r="F115" s="466"/>
      <c r="G115" s="466"/>
      <c r="H115" s="466"/>
      <c r="I115" s="467"/>
      <c r="J115" s="466"/>
      <c r="K115" s="466"/>
      <c r="L115" s="466"/>
      <c r="M115" s="352"/>
    </row>
    <row r="116" spans="1:13" x14ac:dyDescent="0.25">
      <c r="A116" s="348"/>
      <c r="B116" s="466"/>
      <c r="C116" s="466"/>
      <c r="D116" s="466"/>
      <c r="E116" s="467"/>
      <c r="F116" s="466"/>
      <c r="G116" s="466"/>
      <c r="H116" s="466"/>
      <c r="I116" s="467"/>
      <c r="J116" s="466"/>
      <c r="K116" s="466"/>
      <c r="L116" s="466"/>
      <c r="M116" s="352"/>
    </row>
    <row r="117" spans="1:13" x14ac:dyDescent="0.25">
      <c r="A117" s="348"/>
      <c r="B117" s="466"/>
      <c r="C117" s="466"/>
      <c r="D117" s="466"/>
      <c r="E117" s="467"/>
      <c r="F117" s="466"/>
      <c r="G117" s="466"/>
      <c r="H117" s="466"/>
      <c r="I117" s="467"/>
      <c r="J117" s="466"/>
      <c r="K117" s="466"/>
      <c r="L117" s="466"/>
      <c r="M117" s="352"/>
    </row>
    <row r="118" spans="1:13" x14ac:dyDescent="0.25">
      <c r="A118" s="348"/>
      <c r="B118" s="466"/>
      <c r="C118" s="466"/>
      <c r="D118" s="466"/>
      <c r="E118" s="467"/>
      <c r="F118" s="466"/>
      <c r="G118" s="466"/>
      <c r="H118" s="466"/>
      <c r="I118" s="467"/>
      <c r="J118" s="466"/>
      <c r="K118" s="466"/>
      <c r="L118" s="466"/>
      <c r="M118" s="352"/>
    </row>
    <row r="119" spans="1:13" x14ac:dyDescent="0.25">
      <c r="A119" s="348"/>
      <c r="B119" s="466"/>
      <c r="C119" s="466"/>
      <c r="D119" s="466"/>
      <c r="E119" s="467"/>
      <c r="F119" s="466"/>
      <c r="G119" s="466"/>
      <c r="H119" s="466"/>
      <c r="I119" s="467"/>
      <c r="J119" s="466"/>
      <c r="K119" s="466"/>
      <c r="L119" s="466"/>
      <c r="M119" s="352"/>
    </row>
    <row r="120" spans="1:13" x14ac:dyDescent="0.25">
      <c r="A120" s="348"/>
      <c r="B120" s="467"/>
      <c r="C120" s="467"/>
      <c r="D120" s="467"/>
      <c r="E120" s="467"/>
      <c r="F120" s="467"/>
      <c r="G120" s="467"/>
      <c r="H120" s="467"/>
      <c r="I120" s="467"/>
      <c r="J120" s="467"/>
      <c r="K120" s="467"/>
      <c r="L120" s="467"/>
      <c r="M120" s="352"/>
    </row>
    <row r="121" spans="1:13" x14ac:dyDescent="0.25">
      <c r="A121" s="348"/>
      <c r="B121" s="348"/>
      <c r="C121" s="348"/>
      <c r="D121" s="348"/>
      <c r="E121" s="348"/>
      <c r="F121" s="348"/>
      <c r="G121" s="348"/>
      <c r="H121" s="348"/>
      <c r="I121" s="348"/>
      <c r="J121" s="348"/>
      <c r="K121" s="348"/>
      <c r="L121" s="353"/>
      <c r="M121" s="352"/>
    </row>
    <row r="122" spans="1:13" x14ac:dyDescent="0.25">
      <c r="A122" s="348"/>
      <c r="B122" s="348"/>
      <c r="C122" s="348"/>
      <c r="D122" s="348"/>
      <c r="E122" s="348"/>
      <c r="F122" s="348"/>
      <c r="G122" s="348"/>
      <c r="H122" s="348"/>
      <c r="I122" s="348"/>
      <c r="J122" s="348"/>
      <c r="K122" s="348"/>
      <c r="L122" s="410"/>
      <c r="M122" s="352"/>
    </row>
    <row r="123" spans="1:13" x14ac:dyDescent="0.25">
      <c r="A123" s="374"/>
      <c r="B123" s="354"/>
      <c r="C123" s="354"/>
      <c r="D123" s="354"/>
      <c r="E123" s="354"/>
      <c r="F123" s="354"/>
      <c r="G123" s="354"/>
      <c r="H123" s="354"/>
      <c r="I123" s="354"/>
      <c r="J123" s="354"/>
      <c r="K123" s="354"/>
      <c r="L123" s="352"/>
      <c r="M123" s="352"/>
    </row>
    <row r="124" spans="1:13" x14ac:dyDescent="0.25">
      <c r="A124" s="354"/>
      <c r="B124" s="515"/>
      <c r="C124" s="515"/>
      <c r="D124" s="515"/>
      <c r="E124" s="369"/>
      <c r="F124" s="515"/>
      <c r="G124" s="515"/>
      <c r="H124" s="515"/>
      <c r="I124" s="369"/>
      <c r="J124" s="515"/>
      <c r="K124" s="515"/>
      <c r="L124" s="515"/>
      <c r="M124" s="352"/>
    </row>
    <row r="125" spans="1:13" x14ac:dyDescent="0.25">
      <c r="A125" s="374"/>
      <c r="B125" s="375"/>
      <c r="C125" s="375"/>
      <c r="D125" s="375"/>
      <c r="E125" s="375"/>
      <c r="F125" s="375"/>
      <c r="G125" s="375"/>
      <c r="H125" s="375"/>
      <c r="I125" s="375"/>
      <c r="J125" s="375"/>
      <c r="K125" s="375"/>
      <c r="L125" s="375"/>
      <c r="M125" s="352"/>
    </row>
    <row r="126" spans="1:13" x14ac:dyDescent="0.25">
      <c r="A126" s="374"/>
      <c r="B126" s="375"/>
      <c r="C126" s="375"/>
      <c r="D126" s="375"/>
      <c r="E126" s="375"/>
      <c r="F126" s="375"/>
      <c r="G126" s="375"/>
      <c r="H126" s="375"/>
      <c r="I126" s="375"/>
      <c r="J126" s="375"/>
      <c r="K126" s="375"/>
      <c r="L126" s="375"/>
      <c r="M126" s="352"/>
    </row>
    <row r="127" spans="1:13" x14ac:dyDescent="0.25">
      <c r="A127" s="348"/>
      <c r="B127" s="466"/>
      <c r="C127" s="466"/>
      <c r="D127" s="466"/>
      <c r="E127" s="467"/>
      <c r="F127" s="466"/>
      <c r="G127" s="466"/>
      <c r="H127" s="466"/>
      <c r="I127" s="467"/>
      <c r="J127" s="466"/>
      <c r="K127" s="466"/>
      <c r="L127" s="466"/>
      <c r="M127" s="352"/>
    </row>
    <row r="128" spans="1:13" x14ac:dyDescent="0.25">
      <c r="A128" s="348"/>
      <c r="B128" s="466"/>
      <c r="C128" s="466"/>
      <c r="D128" s="466"/>
      <c r="E128" s="467"/>
      <c r="F128" s="466"/>
      <c r="G128" s="466"/>
      <c r="H128" s="466"/>
      <c r="I128" s="467"/>
      <c r="J128" s="466"/>
      <c r="K128" s="466"/>
      <c r="L128" s="466"/>
      <c r="M128" s="352"/>
    </row>
    <row r="129" spans="1:13" x14ac:dyDescent="0.25">
      <c r="A129" s="348"/>
      <c r="B129" s="466"/>
      <c r="C129" s="466"/>
      <c r="D129" s="466"/>
      <c r="E129" s="467"/>
      <c r="F129" s="466"/>
      <c r="G129" s="466"/>
      <c r="H129" s="466"/>
      <c r="I129" s="467"/>
      <c r="J129" s="466"/>
      <c r="K129" s="466"/>
      <c r="L129" s="466"/>
      <c r="M129" s="352"/>
    </row>
    <row r="130" spans="1:13" x14ac:dyDescent="0.25">
      <c r="A130" s="348"/>
      <c r="B130" s="466"/>
      <c r="C130" s="466"/>
      <c r="D130" s="466"/>
      <c r="E130" s="467"/>
      <c r="F130" s="466"/>
      <c r="G130" s="466"/>
      <c r="H130" s="466"/>
      <c r="I130" s="467"/>
      <c r="J130" s="466"/>
      <c r="K130" s="466"/>
      <c r="L130" s="466"/>
      <c r="M130" s="352"/>
    </row>
    <row r="131" spans="1:13" x14ac:dyDescent="0.25">
      <c r="A131" s="348"/>
      <c r="B131" s="466"/>
      <c r="C131" s="466"/>
      <c r="D131" s="466"/>
      <c r="E131" s="467"/>
      <c r="F131" s="466"/>
      <c r="G131" s="466"/>
      <c r="H131" s="466"/>
      <c r="I131" s="467"/>
      <c r="J131" s="466"/>
      <c r="K131" s="466"/>
      <c r="L131" s="466"/>
      <c r="M131" s="352"/>
    </row>
    <row r="132" spans="1:13" x14ac:dyDescent="0.25">
      <c r="A132" s="348"/>
      <c r="B132" s="466"/>
      <c r="C132" s="466"/>
      <c r="D132" s="466"/>
      <c r="E132" s="467"/>
      <c r="F132" s="466"/>
      <c r="G132" s="466"/>
      <c r="H132" s="466"/>
      <c r="I132" s="467"/>
      <c r="J132" s="466"/>
      <c r="K132" s="466"/>
      <c r="L132" s="466"/>
      <c r="M132" s="352"/>
    </row>
    <row r="133" spans="1:13" x14ac:dyDescent="0.25">
      <c r="A133" s="348"/>
      <c r="B133" s="466"/>
      <c r="C133" s="466"/>
      <c r="D133" s="466"/>
      <c r="E133" s="467"/>
      <c r="F133" s="466"/>
      <c r="G133" s="466"/>
      <c r="H133" s="466"/>
      <c r="I133" s="467"/>
      <c r="J133" s="466"/>
      <c r="K133" s="466"/>
      <c r="L133" s="466"/>
      <c r="M133" s="352"/>
    </row>
    <row r="134" spans="1:13" x14ac:dyDescent="0.25">
      <c r="A134" s="348"/>
      <c r="B134" s="466"/>
      <c r="C134" s="466"/>
      <c r="D134" s="466"/>
      <c r="E134" s="467"/>
      <c r="F134" s="466"/>
      <c r="G134" s="466"/>
      <c r="H134" s="466"/>
      <c r="I134" s="467"/>
      <c r="J134" s="466"/>
      <c r="K134" s="466"/>
      <c r="L134" s="466"/>
      <c r="M134" s="352"/>
    </row>
    <row r="135" spans="1:13" x14ac:dyDescent="0.25">
      <c r="A135" s="348"/>
      <c r="B135" s="466"/>
      <c r="C135" s="466"/>
      <c r="D135" s="466"/>
      <c r="E135" s="467"/>
      <c r="F135" s="466"/>
      <c r="G135" s="466"/>
      <c r="H135" s="466"/>
      <c r="I135" s="467"/>
      <c r="J135" s="466"/>
      <c r="K135" s="466"/>
      <c r="L135" s="466"/>
      <c r="M135" s="352"/>
    </row>
    <row r="136" spans="1:13" x14ac:dyDescent="0.25">
      <c r="A136" s="348"/>
      <c r="B136" s="466"/>
      <c r="C136" s="466"/>
      <c r="D136" s="466"/>
      <c r="E136" s="467"/>
      <c r="F136" s="466"/>
      <c r="G136" s="466"/>
      <c r="H136" s="466"/>
      <c r="I136" s="467"/>
      <c r="J136" s="466"/>
      <c r="K136" s="466"/>
      <c r="L136" s="466"/>
      <c r="M136" s="352"/>
    </row>
    <row r="137" spans="1:13" x14ac:dyDescent="0.25">
      <c r="A137" s="348"/>
      <c r="B137" s="467"/>
      <c r="C137" s="467"/>
      <c r="D137" s="467"/>
      <c r="E137" s="467"/>
      <c r="F137" s="467"/>
      <c r="G137" s="467"/>
      <c r="H137" s="467"/>
      <c r="I137" s="467"/>
      <c r="J137" s="467"/>
      <c r="K137" s="467"/>
      <c r="L137" s="467"/>
      <c r="M137" s="352"/>
    </row>
    <row r="138" spans="1:13" x14ac:dyDescent="0.25">
      <c r="A138" s="348"/>
      <c r="B138" s="348"/>
      <c r="C138" s="348"/>
      <c r="D138" s="348"/>
      <c r="E138" s="348"/>
      <c r="F138" s="348"/>
      <c r="G138" s="348"/>
      <c r="H138" s="348"/>
      <c r="I138" s="348"/>
      <c r="J138" s="348"/>
      <c r="K138" s="348"/>
      <c r="L138" s="353"/>
      <c r="M138" s="352"/>
    </row>
    <row r="139" spans="1:13" x14ac:dyDescent="0.25">
      <c r="A139" s="348"/>
      <c r="B139" s="348"/>
      <c r="C139" s="348"/>
      <c r="D139" s="348"/>
      <c r="E139" s="348"/>
      <c r="F139" s="348"/>
      <c r="G139" s="348"/>
      <c r="H139" s="348"/>
      <c r="I139" s="348"/>
      <c r="J139" s="348"/>
      <c r="K139" s="348"/>
      <c r="L139" s="410"/>
      <c r="M139" s="352"/>
    </row>
    <row r="140" spans="1:13" x14ac:dyDescent="0.25">
      <c r="A140" s="374"/>
      <c r="B140" s="354"/>
      <c r="C140" s="354"/>
      <c r="D140" s="354"/>
      <c r="E140" s="354"/>
      <c r="F140" s="354"/>
      <c r="G140" s="354"/>
      <c r="H140" s="354"/>
      <c r="I140" s="354"/>
      <c r="J140" s="354"/>
      <c r="K140" s="354"/>
      <c r="L140" s="352"/>
      <c r="M140" s="352"/>
    </row>
    <row r="141" spans="1:13" x14ac:dyDescent="0.25">
      <c r="A141" s="354"/>
      <c r="B141" s="515"/>
      <c r="C141" s="515"/>
      <c r="D141" s="515"/>
      <c r="E141" s="369"/>
      <c r="F141" s="515"/>
      <c r="G141" s="515"/>
      <c r="H141" s="515"/>
      <c r="I141" s="369"/>
      <c r="J141" s="515"/>
      <c r="K141" s="515"/>
      <c r="L141" s="515"/>
      <c r="M141" s="352"/>
    </row>
    <row r="142" spans="1:13" x14ac:dyDescent="0.25">
      <c r="A142" s="374"/>
      <c r="B142" s="375"/>
      <c r="C142" s="375"/>
      <c r="D142" s="375"/>
      <c r="E142" s="375"/>
      <c r="F142" s="375"/>
      <c r="G142" s="375"/>
      <c r="H142" s="375"/>
      <c r="I142" s="375"/>
      <c r="J142" s="375"/>
      <c r="K142" s="375"/>
      <c r="L142" s="375"/>
      <c r="M142" s="352"/>
    </row>
    <row r="143" spans="1:13" x14ac:dyDescent="0.25">
      <c r="A143" s="374"/>
      <c r="B143" s="375"/>
      <c r="C143" s="375"/>
      <c r="D143" s="375"/>
      <c r="E143" s="375"/>
      <c r="F143" s="375"/>
      <c r="G143" s="375"/>
      <c r="H143" s="375"/>
      <c r="I143" s="375"/>
      <c r="J143" s="375"/>
      <c r="K143" s="375"/>
      <c r="L143" s="375"/>
      <c r="M143" s="352"/>
    </row>
    <row r="144" spans="1:13" x14ac:dyDescent="0.25">
      <c r="A144" s="348"/>
      <c r="B144" s="466"/>
      <c r="C144" s="466"/>
      <c r="D144" s="466"/>
      <c r="E144" s="467"/>
      <c r="F144" s="466"/>
      <c r="G144" s="466"/>
      <c r="H144" s="466"/>
      <c r="I144" s="467"/>
      <c r="J144" s="466"/>
      <c r="K144" s="466"/>
      <c r="L144" s="466"/>
      <c r="M144" s="352"/>
    </row>
    <row r="145" spans="1:13" x14ac:dyDescent="0.25">
      <c r="A145" s="348"/>
      <c r="B145" s="466"/>
      <c r="C145" s="466"/>
      <c r="D145" s="466"/>
      <c r="E145" s="467"/>
      <c r="F145" s="466"/>
      <c r="G145" s="466"/>
      <c r="H145" s="466"/>
      <c r="I145" s="467"/>
      <c r="J145" s="466"/>
      <c r="K145" s="466"/>
      <c r="L145" s="466"/>
      <c r="M145" s="352"/>
    </row>
    <row r="146" spans="1:13" x14ac:dyDescent="0.25">
      <c r="A146" s="348"/>
      <c r="B146" s="466"/>
      <c r="C146" s="466"/>
      <c r="D146" s="466"/>
      <c r="E146" s="467"/>
      <c r="F146" s="466"/>
      <c r="G146" s="466"/>
      <c r="H146" s="466"/>
      <c r="I146" s="467"/>
      <c r="J146" s="466"/>
      <c r="K146" s="466"/>
      <c r="L146" s="466"/>
      <c r="M146" s="352"/>
    </row>
    <row r="147" spans="1:13" x14ac:dyDescent="0.25">
      <c r="A147" s="348"/>
      <c r="B147" s="466"/>
      <c r="C147" s="466"/>
      <c r="D147" s="466"/>
      <c r="E147" s="467"/>
      <c r="F147" s="466"/>
      <c r="G147" s="466"/>
      <c r="H147" s="466"/>
      <c r="I147" s="467"/>
      <c r="J147" s="466"/>
      <c r="K147" s="466"/>
      <c r="L147" s="466"/>
      <c r="M147" s="352"/>
    </row>
    <row r="148" spans="1:13" x14ac:dyDescent="0.25">
      <c r="A148" s="348"/>
      <c r="B148" s="466"/>
      <c r="C148" s="466"/>
      <c r="D148" s="466"/>
      <c r="E148" s="467"/>
      <c r="F148" s="466"/>
      <c r="G148" s="466"/>
      <c r="H148" s="466"/>
      <c r="I148" s="467"/>
      <c r="J148" s="466"/>
      <c r="K148" s="466"/>
      <c r="L148" s="466"/>
      <c r="M148" s="352"/>
    </row>
    <row r="149" spans="1:13" x14ac:dyDescent="0.25">
      <c r="A149" s="348"/>
      <c r="B149" s="466"/>
      <c r="C149" s="466"/>
      <c r="D149" s="466"/>
      <c r="E149" s="467"/>
      <c r="F149" s="466"/>
      <c r="G149" s="466"/>
      <c r="H149" s="466"/>
      <c r="I149" s="467"/>
      <c r="J149" s="466"/>
      <c r="K149" s="466"/>
      <c r="L149" s="466"/>
      <c r="M149" s="352"/>
    </row>
    <row r="150" spans="1:13" x14ac:dyDescent="0.25">
      <c r="A150" s="348"/>
      <c r="B150" s="466"/>
      <c r="C150" s="466"/>
      <c r="D150" s="466"/>
      <c r="E150" s="467"/>
      <c r="F150" s="466"/>
      <c r="G150" s="466"/>
      <c r="H150" s="466"/>
      <c r="I150" s="467"/>
      <c r="J150" s="466"/>
      <c r="K150" s="466"/>
      <c r="L150" s="466"/>
      <c r="M150" s="352"/>
    </row>
    <row r="151" spans="1:13" x14ac:dyDescent="0.25">
      <c r="A151" s="348"/>
      <c r="B151" s="466"/>
      <c r="C151" s="466"/>
      <c r="D151" s="466"/>
      <c r="E151" s="467"/>
      <c r="F151" s="466"/>
      <c r="G151" s="466"/>
      <c r="H151" s="466"/>
      <c r="I151" s="467"/>
      <c r="J151" s="466"/>
      <c r="K151" s="466"/>
      <c r="L151" s="466"/>
      <c r="M151" s="352"/>
    </row>
    <row r="152" spans="1:13" x14ac:dyDescent="0.25">
      <c r="A152" s="348"/>
      <c r="B152" s="466"/>
      <c r="C152" s="466"/>
      <c r="D152" s="466"/>
      <c r="E152" s="467"/>
      <c r="F152" s="466"/>
      <c r="G152" s="466"/>
      <c r="H152" s="466"/>
      <c r="I152" s="467"/>
      <c r="J152" s="466"/>
      <c r="K152" s="466"/>
      <c r="L152" s="466"/>
      <c r="M152" s="352"/>
    </row>
    <row r="153" spans="1:13" x14ac:dyDescent="0.25">
      <c r="A153" s="348"/>
      <c r="B153" s="466"/>
      <c r="C153" s="466"/>
      <c r="D153" s="466"/>
      <c r="E153" s="467"/>
      <c r="F153" s="466"/>
      <c r="G153" s="466"/>
      <c r="H153" s="466"/>
      <c r="I153" s="467"/>
      <c r="J153" s="466"/>
      <c r="K153" s="466"/>
      <c r="L153" s="466"/>
      <c r="M153" s="352"/>
    </row>
    <row r="154" spans="1:13" x14ac:dyDescent="0.25">
      <c r="A154" s="348"/>
      <c r="B154" s="467"/>
      <c r="C154" s="467"/>
      <c r="D154" s="467"/>
      <c r="E154" s="467"/>
      <c r="F154" s="467"/>
      <c r="G154" s="467"/>
      <c r="H154" s="467"/>
      <c r="I154" s="467"/>
      <c r="J154" s="467"/>
      <c r="K154" s="467"/>
      <c r="L154" s="467"/>
      <c r="M154" s="352"/>
    </row>
    <row r="155" spans="1:13" x14ac:dyDescent="0.25">
      <c r="A155" s="348"/>
      <c r="B155" s="348"/>
      <c r="C155" s="348"/>
      <c r="D155" s="348"/>
      <c r="E155" s="348"/>
      <c r="F155" s="348"/>
      <c r="G155" s="348"/>
      <c r="H155" s="348"/>
      <c r="I155" s="348"/>
      <c r="J155" s="348"/>
      <c r="K155" s="348"/>
      <c r="L155" s="353"/>
      <c r="M155" s="352"/>
    </row>
    <row r="156" spans="1:13" x14ac:dyDescent="0.25">
      <c r="A156" s="348"/>
      <c r="B156" s="348"/>
      <c r="C156" s="348"/>
      <c r="D156" s="348"/>
      <c r="E156" s="348"/>
      <c r="F156" s="348"/>
      <c r="G156" s="348"/>
      <c r="H156" s="348"/>
      <c r="I156" s="348"/>
      <c r="J156" s="348"/>
      <c r="K156" s="348"/>
      <c r="L156" s="410"/>
      <c r="M156" s="352"/>
    </row>
    <row r="157" spans="1:13" x14ac:dyDescent="0.25">
      <c r="A157" s="374"/>
      <c r="B157" s="354"/>
      <c r="C157" s="354"/>
      <c r="D157" s="354"/>
      <c r="E157" s="354"/>
      <c r="F157" s="354"/>
      <c r="G157" s="354"/>
      <c r="H157" s="354"/>
      <c r="I157" s="354"/>
      <c r="J157" s="354"/>
      <c r="K157" s="354"/>
      <c r="L157" s="352"/>
      <c r="M157" s="352"/>
    </row>
    <row r="158" spans="1:13" x14ac:dyDescent="0.25">
      <c r="A158" s="354"/>
      <c r="B158" s="515"/>
      <c r="C158" s="515"/>
      <c r="D158" s="515"/>
      <c r="E158" s="369"/>
      <c r="F158" s="515"/>
      <c r="G158" s="515"/>
      <c r="H158" s="515"/>
      <c r="I158" s="369"/>
      <c r="J158" s="515"/>
      <c r="K158" s="515"/>
      <c r="L158" s="515"/>
      <c r="M158" s="352"/>
    </row>
    <row r="159" spans="1:13" x14ac:dyDescent="0.25">
      <c r="A159" s="374"/>
      <c r="B159" s="375"/>
      <c r="C159" s="375"/>
      <c r="D159" s="375"/>
      <c r="E159" s="375"/>
      <c r="F159" s="375"/>
      <c r="G159" s="375"/>
      <c r="H159" s="375"/>
      <c r="I159" s="375"/>
      <c r="J159" s="375"/>
      <c r="K159" s="375"/>
      <c r="L159" s="375"/>
      <c r="M159" s="352"/>
    </row>
    <row r="160" spans="1:13" x14ac:dyDescent="0.25">
      <c r="A160" s="374"/>
      <c r="B160" s="375"/>
      <c r="C160" s="375"/>
      <c r="D160" s="375"/>
      <c r="E160" s="375"/>
      <c r="F160" s="375"/>
      <c r="G160" s="375"/>
      <c r="H160" s="375"/>
      <c r="I160" s="375"/>
      <c r="J160" s="375"/>
      <c r="K160" s="375"/>
      <c r="L160" s="375"/>
      <c r="M160" s="352"/>
    </row>
    <row r="161" spans="1:13" x14ac:dyDescent="0.25">
      <c r="A161" s="348"/>
      <c r="B161" s="466"/>
      <c r="C161" s="466"/>
      <c r="D161" s="466"/>
      <c r="E161" s="467"/>
      <c r="F161" s="466"/>
      <c r="G161" s="466"/>
      <c r="H161" s="466"/>
      <c r="I161" s="467"/>
      <c r="J161" s="466"/>
      <c r="K161" s="466"/>
      <c r="L161" s="466"/>
      <c r="M161" s="352"/>
    </row>
    <row r="162" spans="1:13" x14ac:dyDescent="0.25">
      <c r="A162" s="348"/>
      <c r="B162" s="466"/>
      <c r="C162" s="466"/>
      <c r="D162" s="466"/>
      <c r="E162" s="467"/>
      <c r="F162" s="466"/>
      <c r="G162" s="466"/>
      <c r="H162" s="466"/>
      <c r="I162" s="467"/>
      <c r="J162" s="466"/>
      <c r="K162" s="466"/>
      <c r="L162" s="466"/>
      <c r="M162" s="352"/>
    </row>
    <row r="163" spans="1:13" x14ac:dyDescent="0.25">
      <c r="A163" s="348"/>
      <c r="B163" s="466"/>
      <c r="C163" s="466"/>
      <c r="D163" s="466"/>
      <c r="E163" s="467"/>
      <c r="F163" s="466"/>
      <c r="G163" s="466"/>
      <c r="H163" s="466"/>
      <c r="I163" s="467"/>
      <c r="J163" s="466"/>
      <c r="K163" s="466"/>
      <c r="L163" s="466"/>
      <c r="M163" s="352"/>
    </row>
    <row r="164" spans="1:13" x14ac:dyDescent="0.25">
      <c r="A164" s="348"/>
      <c r="B164" s="466"/>
      <c r="C164" s="466"/>
      <c r="D164" s="466"/>
      <c r="E164" s="467"/>
      <c r="F164" s="466"/>
      <c r="G164" s="466"/>
      <c r="H164" s="466"/>
      <c r="I164" s="467"/>
      <c r="J164" s="466"/>
      <c r="K164" s="466"/>
      <c r="L164" s="466"/>
      <c r="M164" s="352"/>
    </row>
    <row r="165" spans="1:13" x14ac:dyDescent="0.25">
      <c r="A165" s="348"/>
      <c r="B165" s="466"/>
      <c r="C165" s="466"/>
      <c r="D165" s="466"/>
      <c r="E165" s="467"/>
      <c r="F165" s="466"/>
      <c r="G165" s="466"/>
      <c r="H165" s="466"/>
      <c r="I165" s="467"/>
      <c r="J165" s="466"/>
      <c r="K165" s="466"/>
      <c r="L165" s="466"/>
      <c r="M165" s="352"/>
    </row>
    <row r="166" spans="1:13" x14ac:dyDescent="0.25">
      <c r="A166" s="348"/>
      <c r="B166" s="466"/>
      <c r="C166" s="466"/>
      <c r="D166" s="466"/>
      <c r="E166" s="467"/>
      <c r="F166" s="466"/>
      <c r="G166" s="466"/>
      <c r="H166" s="466"/>
      <c r="I166" s="467"/>
      <c r="J166" s="466"/>
      <c r="K166" s="466"/>
      <c r="L166" s="466"/>
      <c r="M166" s="352"/>
    </row>
    <row r="167" spans="1:13" x14ac:dyDescent="0.25">
      <c r="A167" s="348"/>
      <c r="B167" s="466"/>
      <c r="C167" s="466"/>
      <c r="D167" s="466"/>
      <c r="E167" s="467"/>
      <c r="F167" s="466"/>
      <c r="G167" s="466"/>
      <c r="H167" s="466"/>
      <c r="I167" s="467"/>
      <c r="J167" s="466"/>
      <c r="K167" s="466"/>
      <c r="L167" s="466"/>
      <c r="M167" s="352"/>
    </row>
    <row r="168" spans="1:13" x14ac:dyDescent="0.25">
      <c r="A168" s="348"/>
      <c r="B168" s="466"/>
      <c r="C168" s="466"/>
      <c r="D168" s="466"/>
      <c r="E168" s="467"/>
      <c r="F168" s="466"/>
      <c r="G168" s="466"/>
      <c r="H168" s="466"/>
      <c r="I168" s="467"/>
      <c r="J168" s="466"/>
      <c r="K168" s="466"/>
      <c r="L168" s="466"/>
      <c r="M168" s="352"/>
    </row>
    <row r="169" spans="1:13" x14ac:dyDescent="0.25">
      <c r="A169" s="348"/>
      <c r="B169" s="466"/>
      <c r="C169" s="466"/>
      <c r="D169" s="466"/>
      <c r="E169" s="467"/>
      <c r="F169" s="466"/>
      <c r="G169" s="466"/>
      <c r="H169" s="466"/>
      <c r="I169" s="467"/>
      <c r="J169" s="466"/>
      <c r="K169" s="466"/>
      <c r="L169" s="466"/>
      <c r="M169" s="352"/>
    </row>
    <row r="170" spans="1:13" x14ac:dyDescent="0.25">
      <c r="A170" s="348"/>
      <c r="B170" s="466"/>
      <c r="C170" s="466"/>
      <c r="D170" s="466"/>
      <c r="E170" s="467"/>
      <c r="F170" s="466"/>
      <c r="G170" s="466"/>
      <c r="H170" s="466"/>
      <c r="I170" s="467"/>
      <c r="J170" s="466"/>
      <c r="K170" s="466"/>
      <c r="L170" s="466"/>
      <c r="M170" s="352"/>
    </row>
    <row r="171" spans="1:13" x14ac:dyDescent="0.25">
      <c r="A171" s="348"/>
      <c r="B171" s="467"/>
      <c r="C171" s="467"/>
      <c r="D171" s="467"/>
      <c r="E171" s="467"/>
      <c r="F171" s="467"/>
      <c r="G171" s="467"/>
      <c r="H171" s="467"/>
      <c r="I171" s="467"/>
      <c r="J171" s="467"/>
      <c r="K171" s="467"/>
      <c r="L171" s="467"/>
      <c r="M171" s="352"/>
    </row>
    <row r="172" spans="1:13" x14ac:dyDescent="0.25">
      <c r="A172" s="348"/>
      <c r="B172" s="348"/>
      <c r="C172" s="348"/>
      <c r="D172" s="348"/>
      <c r="E172" s="348"/>
      <c r="F172" s="348"/>
      <c r="G172" s="348"/>
      <c r="H172" s="348"/>
      <c r="I172" s="348"/>
      <c r="J172" s="348"/>
      <c r="K172" s="348"/>
      <c r="L172" s="353"/>
      <c r="M172" s="352"/>
    </row>
    <row r="173" spans="1:13" x14ac:dyDescent="0.25">
      <c r="A173" s="348"/>
      <c r="B173" s="348"/>
      <c r="C173" s="348"/>
      <c r="D173" s="348"/>
      <c r="E173" s="348"/>
      <c r="F173" s="348"/>
      <c r="G173" s="348"/>
      <c r="H173" s="348"/>
      <c r="I173" s="348"/>
      <c r="J173" s="348"/>
      <c r="K173" s="348"/>
      <c r="L173" s="410"/>
      <c r="M173" s="352"/>
    </row>
    <row r="174" spans="1:13" x14ac:dyDescent="0.25">
      <c r="A174" s="374"/>
      <c r="B174" s="354"/>
      <c r="C174" s="354"/>
      <c r="D174" s="354"/>
      <c r="E174" s="354"/>
      <c r="F174" s="354"/>
      <c r="G174" s="354"/>
      <c r="H174" s="354"/>
      <c r="I174" s="354"/>
      <c r="J174" s="354"/>
      <c r="K174" s="354"/>
      <c r="L174" s="352"/>
      <c r="M174" s="352"/>
    </row>
    <row r="175" spans="1:13" x14ac:dyDescent="0.25">
      <c r="A175" s="354"/>
      <c r="B175" s="515"/>
      <c r="C175" s="515"/>
      <c r="D175" s="515"/>
      <c r="E175" s="369"/>
      <c r="F175" s="515"/>
      <c r="G175" s="515"/>
      <c r="H175" s="515"/>
      <c r="I175" s="369"/>
      <c r="J175" s="515"/>
      <c r="K175" s="515"/>
      <c r="L175" s="515"/>
      <c r="M175" s="352"/>
    </row>
    <row r="176" spans="1:13" x14ac:dyDescent="0.25">
      <c r="A176" s="374"/>
      <c r="B176" s="375"/>
      <c r="C176" s="375"/>
      <c r="D176" s="375"/>
      <c r="E176" s="375"/>
      <c r="F176" s="375"/>
      <c r="G176" s="375"/>
      <c r="H176" s="375"/>
      <c r="I176" s="375"/>
      <c r="J176" s="375"/>
      <c r="K176" s="375"/>
      <c r="L176" s="375"/>
      <c r="M176" s="352"/>
    </row>
    <row r="177" spans="1:13" x14ac:dyDescent="0.25">
      <c r="A177" s="374"/>
      <c r="B177" s="375"/>
      <c r="C177" s="375"/>
      <c r="D177" s="375"/>
      <c r="E177" s="375"/>
      <c r="F177" s="375"/>
      <c r="G177" s="375"/>
      <c r="H177" s="375"/>
      <c r="I177" s="375"/>
      <c r="J177" s="375"/>
      <c r="K177" s="375"/>
      <c r="L177" s="375"/>
      <c r="M177" s="352"/>
    </row>
    <row r="178" spans="1:13" x14ac:dyDescent="0.25">
      <c r="A178" s="348"/>
      <c r="B178" s="466"/>
      <c r="C178" s="466"/>
      <c r="D178" s="466"/>
      <c r="E178" s="467"/>
      <c r="F178" s="466"/>
      <c r="G178" s="466"/>
      <c r="H178" s="466"/>
      <c r="I178" s="467"/>
      <c r="J178" s="466"/>
      <c r="K178" s="466"/>
      <c r="L178" s="466"/>
      <c r="M178" s="352"/>
    </row>
    <row r="179" spans="1:13" x14ac:dyDescent="0.25">
      <c r="A179" s="348"/>
      <c r="B179" s="466"/>
      <c r="C179" s="466"/>
      <c r="D179" s="466"/>
      <c r="E179" s="467"/>
      <c r="F179" s="466"/>
      <c r="G179" s="466"/>
      <c r="H179" s="466"/>
      <c r="I179" s="467"/>
      <c r="J179" s="466"/>
      <c r="K179" s="466"/>
      <c r="L179" s="466"/>
      <c r="M179" s="352"/>
    </row>
    <row r="180" spans="1:13" x14ac:dyDescent="0.25">
      <c r="A180" s="348"/>
      <c r="B180" s="466"/>
      <c r="C180" s="466"/>
      <c r="D180" s="466"/>
      <c r="E180" s="467"/>
      <c r="F180" s="466"/>
      <c r="G180" s="466"/>
      <c r="H180" s="466"/>
      <c r="I180" s="467"/>
      <c r="J180" s="466"/>
      <c r="K180" s="466"/>
      <c r="L180" s="466"/>
      <c r="M180" s="352"/>
    </row>
    <row r="181" spans="1:13" x14ac:dyDescent="0.25">
      <c r="A181" s="348"/>
      <c r="B181" s="466"/>
      <c r="C181" s="466"/>
      <c r="D181" s="466"/>
      <c r="E181" s="467"/>
      <c r="F181" s="466"/>
      <c r="G181" s="466"/>
      <c r="H181" s="466"/>
      <c r="I181" s="467"/>
      <c r="J181" s="466"/>
      <c r="K181" s="466"/>
      <c r="L181" s="466"/>
      <c r="M181" s="352"/>
    </row>
    <row r="182" spans="1:13" x14ac:dyDescent="0.25">
      <c r="A182" s="348"/>
      <c r="B182" s="466"/>
      <c r="C182" s="466"/>
      <c r="D182" s="466"/>
      <c r="E182" s="467"/>
      <c r="F182" s="466"/>
      <c r="G182" s="466"/>
      <c r="H182" s="466"/>
      <c r="I182" s="467"/>
      <c r="J182" s="466"/>
      <c r="K182" s="466"/>
      <c r="L182" s="466"/>
      <c r="M182" s="352"/>
    </row>
    <row r="183" spans="1:13" x14ac:dyDescent="0.25">
      <c r="A183" s="348"/>
      <c r="B183" s="466"/>
      <c r="C183" s="466"/>
      <c r="D183" s="466"/>
      <c r="E183" s="467"/>
      <c r="F183" s="466"/>
      <c r="G183" s="466"/>
      <c r="H183" s="466"/>
      <c r="I183" s="467"/>
      <c r="J183" s="466"/>
      <c r="K183" s="466"/>
      <c r="L183" s="466"/>
      <c r="M183" s="352"/>
    </row>
    <row r="184" spans="1:13" x14ac:dyDescent="0.25">
      <c r="A184" s="348"/>
      <c r="B184" s="466"/>
      <c r="C184" s="466"/>
      <c r="D184" s="466"/>
      <c r="E184" s="467"/>
      <c r="F184" s="466"/>
      <c r="G184" s="466"/>
      <c r="H184" s="466"/>
      <c r="I184" s="467"/>
      <c r="J184" s="466"/>
      <c r="K184" s="466"/>
      <c r="L184" s="466"/>
      <c r="M184" s="352"/>
    </row>
    <row r="185" spans="1:13" x14ac:dyDescent="0.25">
      <c r="A185" s="348"/>
      <c r="B185" s="466"/>
      <c r="C185" s="466"/>
      <c r="D185" s="466"/>
      <c r="E185" s="467"/>
      <c r="F185" s="466"/>
      <c r="G185" s="466"/>
      <c r="H185" s="466"/>
      <c r="I185" s="467"/>
      <c r="J185" s="466"/>
      <c r="K185" s="466"/>
      <c r="L185" s="466"/>
      <c r="M185" s="352"/>
    </row>
    <row r="186" spans="1:13" x14ac:dyDescent="0.25">
      <c r="A186" s="348"/>
      <c r="B186" s="466"/>
      <c r="C186" s="466"/>
      <c r="D186" s="466"/>
      <c r="E186" s="467"/>
      <c r="F186" s="466"/>
      <c r="G186" s="466"/>
      <c r="H186" s="466"/>
      <c r="I186" s="467"/>
      <c r="J186" s="466"/>
      <c r="K186" s="466"/>
      <c r="L186" s="466"/>
      <c r="M186" s="352"/>
    </row>
    <row r="187" spans="1:13" x14ac:dyDescent="0.25">
      <c r="A187" s="348"/>
      <c r="B187" s="466"/>
      <c r="C187" s="466"/>
      <c r="D187" s="466"/>
      <c r="E187" s="467"/>
      <c r="F187" s="466"/>
      <c r="G187" s="466"/>
      <c r="H187" s="466"/>
      <c r="I187" s="467"/>
      <c r="J187" s="466"/>
      <c r="K187" s="466"/>
      <c r="L187" s="466"/>
      <c r="M187" s="352"/>
    </row>
    <row r="188" spans="1:13" x14ac:dyDescent="0.25">
      <c r="A188" s="348"/>
      <c r="B188" s="467"/>
      <c r="C188" s="467"/>
      <c r="D188" s="467"/>
      <c r="E188" s="467"/>
      <c r="F188" s="467"/>
      <c r="G188" s="467"/>
      <c r="H188" s="467"/>
      <c r="I188" s="467"/>
      <c r="J188" s="467"/>
      <c r="K188" s="467"/>
      <c r="L188" s="467"/>
      <c r="M188" s="352"/>
    </row>
    <row r="189" spans="1:13" x14ac:dyDescent="0.25">
      <c r="A189" s="348"/>
      <c r="B189" s="348"/>
      <c r="C189" s="348"/>
      <c r="D189" s="348"/>
      <c r="E189" s="348"/>
      <c r="F189" s="348"/>
      <c r="G189" s="348"/>
      <c r="H189" s="348"/>
      <c r="I189" s="348"/>
      <c r="J189" s="348"/>
      <c r="K189" s="348"/>
      <c r="L189" s="353"/>
      <c r="M189" s="352"/>
    </row>
    <row r="190" spans="1:13" x14ac:dyDescent="0.25">
      <c r="A190" s="348"/>
      <c r="B190" s="348"/>
      <c r="C190" s="348"/>
      <c r="D190" s="348"/>
      <c r="E190" s="348"/>
      <c r="F190" s="348"/>
      <c r="G190" s="348"/>
      <c r="H190" s="348"/>
      <c r="I190" s="348"/>
      <c r="J190" s="348"/>
      <c r="K190" s="348"/>
      <c r="L190" s="410"/>
      <c r="M190" s="352"/>
    </row>
    <row r="191" spans="1:13" x14ac:dyDescent="0.25">
      <c r="A191" s="374"/>
      <c r="B191" s="354"/>
      <c r="C191" s="354"/>
      <c r="D191" s="354"/>
      <c r="E191" s="354"/>
      <c r="F191" s="354"/>
      <c r="G191" s="354"/>
      <c r="H191" s="354"/>
      <c r="I191" s="354"/>
      <c r="J191" s="354"/>
      <c r="K191" s="354"/>
      <c r="L191" s="352"/>
      <c r="M191" s="352"/>
    </row>
    <row r="192" spans="1:13" x14ac:dyDescent="0.25">
      <c r="A192" s="354"/>
      <c r="B192" s="515"/>
      <c r="C192" s="515"/>
      <c r="D192" s="515"/>
      <c r="E192" s="369"/>
      <c r="F192" s="515"/>
      <c r="G192" s="515"/>
      <c r="H192" s="515"/>
      <c r="I192" s="369"/>
      <c r="J192" s="515"/>
      <c r="K192" s="515"/>
      <c r="L192" s="515"/>
      <c r="M192" s="352"/>
    </row>
    <row r="193" spans="1:13" x14ac:dyDescent="0.25">
      <c r="A193" s="374"/>
      <c r="B193" s="375"/>
      <c r="C193" s="375"/>
      <c r="D193" s="375"/>
      <c r="E193" s="375"/>
      <c r="F193" s="375"/>
      <c r="G193" s="375"/>
      <c r="H193" s="375"/>
      <c r="I193" s="375"/>
      <c r="J193" s="375"/>
      <c r="K193" s="375"/>
      <c r="L193" s="375"/>
      <c r="M193" s="352"/>
    </row>
    <row r="194" spans="1:13" x14ac:dyDescent="0.25">
      <c r="A194" s="374"/>
      <c r="B194" s="375"/>
      <c r="C194" s="375"/>
      <c r="D194" s="375"/>
      <c r="E194" s="375"/>
      <c r="F194" s="375"/>
      <c r="G194" s="375"/>
      <c r="H194" s="375"/>
      <c r="I194" s="375"/>
      <c r="J194" s="375"/>
      <c r="K194" s="375"/>
      <c r="L194" s="375"/>
      <c r="M194" s="352"/>
    </row>
    <row r="195" spans="1:13" x14ac:dyDescent="0.25">
      <c r="A195" s="348"/>
      <c r="B195" s="466"/>
      <c r="C195" s="466"/>
      <c r="D195" s="466"/>
      <c r="E195" s="467"/>
      <c r="F195" s="466"/>
      <c r="G195" s="466"/>
      <c r="H195" s="466"/>
      <c r="I195" s="467"/>
      <c r="J195" s="466"/>
      <c r="K195" s="466"/>
      <c r="L195" s="466"/>
      <c r="M195" s="352"/>
    </row>
    <row r="196" spans="1:13" x14ac:dyDescent="0.25">
      <c r="A196" s="348"/>
      <c r="B196" s="466"/>
      <c r="C196" s="466"/>
      <c r="D196" s="466"/>
      <c r="E196" s="467"/>
      <c r="F196" s="466"/>
      <c r="G196" s="466"/>
      <c r="H196" s="466"/>
      <c r="I196" s="467"/>
      <c r="J196" s="466"/>
      <c r="K196" s="466"/>
      <c r="L196" s="466"/>
      <c r="M196" s="352"/>
    </row>
    <row r="197" spans="1:13" x14ac:dyDescent="0.25">
      <c r="A197" s="348"/>
      <c r="B197" s="466"/>
      <c r="C197" s="466"/>
      <c r="D197" s="466"/>
      <c r="E197" s="467"/>
      <c r="F197" s="466"/>
      <c r="G197" s="466"/>
      <c r="H197" s="466"/>
      <c r="I197" s="467"/>
      <c r="J197" s="466"/>
      <c r="K197" s="466"/>
      <c r="L197" s="466"/>
      <c r="M197" s="352"/>
    </row>
    <row r="198" spans="1:13" x14ac:dyDescent="0.25">
      <c r="A198" s="348"/>
      <c r="B198" s="466"/>
      <c r="C198" s="466"/>
      <c r="D198" s="466"/>
      <c r="E198" s="467"/>
      <c r="F198" s="466"/>
      <c r="G198" s="466"/>
      <c r="H198" s="466"/>
      <c r="I198" s="467"/>
      <c r="J198" s="466"/>
      <c r="K198" s="466"/>
      <c r="L198" s="466"/>
      <c r="M198" s="352"/>
    </row>
    <row r="199" spans="1:13" x14ac:dyDescent="0.25">
      <c r="A199" s="348"/>
      <c r="B199" s="466"/>
      <c r="C199" s="466"/>
      <c r="D199" s="466"/>
      <c r="E199" s="467"/>
      <c r="F199" s="466"/>
      <c r="G199" s="466"/>
      <c r="H199" s="466"/>
      <c r="I199" s="467"/>
      <c r="J199" s="466"/>
      <c r="K199" s="466"/>
      <c r="L199" s="466"/>
      <c r="M199" s="352"/>
    </row>
    <row r="200" spans="1:13" x14ac:dyDescent="0.25">
      <c r="A200" s="348"/>
      <c r="B200" s="466"/>
      <c r="C200" s="466"/>
      <c r="D200" s="466"/>
      <c r="E200" s="467"/>
      <c r="F200" s="466"/>
      <c r="G200" s="466"/>
      <c r="H200" s="466"/>
      <c r="I200" s="467"/>
      <c r="J200" s="466"/>
      <c r="K200" s="466"/>
      <c r="L200" s="466"/>
      <c r="M200" s="352"/>
    </row>
    <row r="201" spans="1:13" x14ac:dyDescent="0.25">
      <c r="A201" s="348"/>
      <c r="B201" s="466"/>
      <c r="C201" s="466"/>
      <c r="D201" s="466"/>
      <c r="E201" s="467"/>
      <c r="F201" s="466"/>
      <c r="G201" s="466"/>
      <c r="H201" s="466"/>
      <c r="I201" s="467"/>
      <c r="J201" s="466"/>
      <c r="K201" s="466"/>
      <c r="L201" s="466"/>
      <c r="M201" s="352"/>
    </row>
    <row r="202" spans="1:13" x14ac:dyDescent="0.25">
      <c r="A202" s="348"/>
      <c r="B202" s="466"/>
      <c r="C202" s="466"/>
      <c r="D202" s="466"/>
      <c r="E202" s="467"/>
      <c r="F202" s="466"/>
      <c r="G202" s="466"/>
      <c r="H202" s="466"/>
      <c r="I202" s="467"/>
      <c r="J202" s="466"/>
      <c r="K202" s="466"/>
      <c r="L202" s="466"/>
      <c r="M202" s="352"/>
    </row>
    <row r="203" spans="1:13" x14ac:dyDescent="0.25">
      <c r="A203" s="348"/>
      <c r="B203" s="466"/>
      <c r="C203" s="466"/>
      <c r="D203" s="466"/>
      <c r="E203" s="467"/>
      <c r="F203" s="466"/>
      <c r="G203" s="466"/>
      <c r="H203" s="466"/>
      <c r="I203" s="467"/>
      <c r="J203" s="466"/>
      <c r="K203" s="466"/>
      <c r="L203" s="466"/>
      <c r="M203" s="352"/>
    </row>
    <row r="204" spans="1:13" x14ac:dyDescent="0.25">
      <c r="A204" s="348"/>
      <c r="B204" s="466"/>
      <c r="C204" s="466"/>
      <c r="D204" s="466"/>
      <c r="E204" s="467"/>
      <c r="F204" s="466"/>
      <c r="G204" s="466"/>
      <c r="H204" s="466"/>
      <c r="I204" s="467"/>
      <c r="J204" s="466"/>
      <c r="K204" s="466"/>
      <c r="L204" s="466"/>
      <c r="M204" s="352"/>
    </row>
    <row r="205" spans="1:13" x14ac:dyDescent="0.25">
      <c r="A205" s="348"/>
      <c r="B205" s="467"/>
      <c r="C205" s="467"/>
      <c r="D205" s="467"/>
      <c r="E205" s="467"/>
      <c r="F205" s="467"/>
      <c r="G205" s="467"/>
      <c r="H205" s="467"/>
      <c r="I205" s="467"/>
      <c r="J205" s="467"/>
      <c r="K205" s="467"/>
      <c r="L205" s="467"/>
      <c r="M205" s="352"/>
    </row>
    <row r="206" spans="1:13" x14ac:dyDescent="0.25">
      <c r="A206" s="348"/>
      <c r="B206" s="348"/>
      <c r="C206" s="348"/>
      <c r="D206" s="348"/>
      <c r="E206" s="348"/>
      <c r="F206" s="348"/>
      <c r="G206" s="348"/>
      <c r="H206" s="348"/>
      <c r="I206" s="348"/>
      <c r="J206" s="348"/>
      <c r="K206" s="348"/>
      <c r="L206" s="353"/>
      <c r="M206" s="352"/>
    </row>
    <row r="207" spans="1:13" x14ac:dyDescent="0.25">
      <c r="A207" s="348"/>
      <c r="B207" s="348"/>
      <c r="C207" s="348"/>
      <c r="D207" s="348"/>
      <c r="E207" s="348"/>
      <c r="F207" s="348"/>
      <c r="G207" s="348"/>
      <c r="H207" s="348"/>
      <c r="I207" s="348"/>
      <c r="J207" s="348"/>
      <c r="K207" s="348"/>
      <c r="L207" s="410"/>
      <c r="M207" s="352"/>
    </row>
    <row r="208" spans="1:13" x14ac:dyDescent="0.25">
      <c r="A208" s="374"/>
      <c r="B208" s="354"/>
      <c r="C208" s="354"/>
      <c r="D208" s="354"/>
      <c r="E208" s="354"/>
      <c r="F208" s="354"/>
      <c r="G208" s="354"/>
      <c r="H208" s="354"/>
      <c r="I208" s="354"/>
      <c r="J208" s="354"/>
      <c r="K208" s="354"/>
      <c r="L208" s="352"/>
      <c r="M208" s="352"/>
    </row>
    <row r="209" spans="1:13" x14ac:dyDescent="0.25">
      <c r="A209" s="354"/>
      <c r="B209" s="515"/>
      <c r="C209" s="515"/>
      <c r="D209" s="515"/>
      <c r="E209" s="369"/>
      <c r="F209" s="515"/>
      <c r="G209" s="515"/>
      <c r="H209" s="515"/>
      <c r="I209" s="369"/>
      <c r="J209" s="515"/>
      <c r="K209" s="515"/>
      <c r="L209" s="515"/>
      <c r="M209" s="352"/>
    </row>
    <row r="210" spans="1:13" x14ac:dyDescent="0.25">
      <c r="A210" s="374"/>
      <c r="B210" s="375"/>
      <c r="C210" s="375"/>
      <c r="D210" s="375"/>
      <c r="E210" s="375"/>
      <c r="F210" s="375"/>
      <c r="G210" s="375"/>
      <c r="H210" s="375"/>
      <c r="I210" s="375"/>
      <c r="J210" s="375"/>
      <c r="K210" s="375"/>
      <c r="L210" s="375"/>
      <c r="M210" s="352"/>
    </row>
    <row r="211" spans="1:13" x14ac:dyDescent="0.25">
      <c r="A211" s="374"/>
      <c r="B211" s="375"/>
      <c r="C211" s="375"/>
      <c r="D211" s="375"/>
      <c r="E211" s="375"/>
      <c r="F211" s="375"/>
      <c r="G211" s="375"/>
      <c r="H211" s="375"/>
      <c r="I211" s="375"/>
      <c r="J211" s="375"/>
      <c r="K211" s="375"/>
      <c r="L211" s="375"/>
      <c r="M211" s="352"/>
    </row>
    <row r="212" spans="1:13" x14ac:dyDescent="0.25">
      <c r="A212" s="348"/>
      <c r="B212" s="466"/>
      <c r="C212" s="466"/>
      <c r="D212" s="466"/>
      <c r="E212" s="467"/>
      <c r="F212" s="466"/>
      <c r="G212" s="466"/>
      <c r="H212" s="466"/>
      <c r="I212" s="467"/>
      <c r="J212" s="466"/>
      <c r="K212" s="466"/>
      <c r="L212" s="466"/>
      <c r="M212" s="352"/>
    </row>
    <row r="213" spans="1:13" x14ac:dyDescent="0.25">
      <c r="A213" s="348"/>
      <c r="B213" s="466"/>
      <c r="C213" s="466"/>
      <c r="D213" s="466"/>
      <c r="E213" s="467"/>
      <c r="F213" s="466"/>
      <c r="G213" s="466"/>
      <c r="H213" s="466"/>
      <c r="I213" s="467"/>
      <c r="J213" s="466"/>
      <c r="K213" s="466"/>
      <c r="L213" s="466"/>
      <c r="M213" s="352"/>
    </row>
    <row r="214" spans="1:13" x14ac:dyDescent="0.25">
      <c r="A214" s="348"/>
      <c r="B214" s="466"/>
      <c r="C214" s="466"/>
      <c r="D214" s="466"/>
      <c r="E214" s="467"/>
      <c r="F214" s="466"/>
      <c r="G214" s="466"/>
      <c r="H214" s="466"/>
      <c r="I214" s="467"/>
      <c r="J214" s="466"/>
      <c r="K214" s="466"/>
      <c r="L214" s="466"/>
      <c r="M214" s="352"/>
    </row>
    <row r="215" spans="1:13" x14ac:dyDescent="0.25">
      <c r="A215" s="348"/>
      <c r="B215" s="466"/>
      <c r="C215" s="466"/>
      <c r="D215" s="466"/>
      <c r="E215" s="467"/>
      <c r="F215" s="466"/>
      <c r="G215" s="466"/>
      <c r="H215" s="466"/>
      <c r="I215" s="467"/>
      <c r="J215" s="466"/>
      <c r="K215" s="466"/>
      <c r="L215" s="466"/>
      <c r="M215" s="352"/>
    </row>
    <row r="216" spans="1:13" x14ac:dyDescent="0.25">
      <c r="A216" s="348"/>
      <c r="B216" s="466"/>
      <c r="C216" s="466"/>
      <c r="D216" s="466"/>
      <c r="E216" s="467"/>
      <c r="F216" s="466"/>
      <c r="G216" s="466"/>
      <c r="H216" s="466"/>
      <c r="I216" s="467"/>
      <c r="J216" s="466"/>
      <c r="K216" s="466"/>
      <c r="L216" s="466"/>
      <c r="M216" s="352"/>
    </row>
    <row r="217" spans="1:13" x14ac:dyDescent="0.25">
      <c r="A217" s="348"/>
      <c r="B217" s="466"/>
      <c r="C217" s="466"/>
      <c r="D217" s="466"/>
      <c r="E217" s="467"/>
      <c r="F217" s="466"/>
      <c r="G217" s="466"/>
      <c r="H217" s="466"/>
      <c r="I217" s="467"/>
      <c r="J217" s="466"/>
      <c r="K217" s="466"/>
      <c r="L217" s="466"/>
      <c r="M217" s="352"/>
    </row>
    <row r="218" spans="1:13" x14ac:dyDescent="0.25">
      <c r="A218" s="348"/>
      <c r="B218" s="466"/>
      <c r="C218" s="466"/>
      <c r="D218" s="466"/>
      <c r="E218" s="467"/>
      <c r="F218" s="466"/>
      <c r="G218" s="466"/>
      <c r="H218" s="466"/>
      <c r="I218" s="467"/>
      <c r="J218" s="466"/>
      <c r="K218" s="466"/>
      <c r="L218" s="466"/>
      <c r="M218" s="352"/>
    </row>
    <row r="219" spans="1:13" x14ac:dyDescent="0.25">
      <c r="A219" s="348"/>
      <c r="B219" s="466"/>
      <c r="C219" s="466"/>
      <c r="D219" s="466"/>
      <c r="E219" s="467"/>
      <c r="F219" s="466"/>
      <c r="G219" s="466"/>
      <c r="H219" s="466"/>
      <c r="I219" s="467"/>
      <c r="J219" s="466"/>
      <c r="K219" s="466"/>
      <c r="L219" s="466"/>
      <c r="M219" s="352"/>
    </row>
    <row r="220" spans="1:13" x14ac:dyDescent="0.25">
      <c r="A220" s="348"/>
      <c r="B220" s="466"/>
      <c r="C220" s="466"/>
      <c r="D220" s="466"/>
      <c r="E220" s="467"/>
      <c r="F220" s="466"/>
      <c r="G220" s="466"/>
      <c r="H220" s="466"/>
      <c r="I220" s="467"/>
      <c r="J220" s="466"/>
      <c r="K220" s="466"/>
      <c r="L220" s="466"/>
      <c r="M220" s="352"/>
    </row>
    <row r="221" spans="1:13" x14ac:dyDescent="0.25">
      <c r="A221" s="348"/>
      <c r="B221" s="466"/>
      <c r="C221" s="466"/>
      <c r="D221" s="466"/>
      <c r="E221" s="467"/>
      <c r="F221" s="466"/>
      <c r="G221" s="466"/>
      <c r="H221" s="466"/>
      <c r="I221" s="467"/>
      <c r="J221" s="466"/>
      <c r="K221" s="466"/>
      <c r="L221" s="466"/>
      <c r="M221" s="352"/>
    </row>
    <row r="222" spans="1:13" x14ac:dyDescent="0.25">
      <c r="A222" s="348"/>
      <c r="B222" s="467"/>
      <c r="C222" s="467"/>
      <c r="D222" s="467"/>
      <c r="E222" s="467"/>
      <c r="F222" s="467"/>
      <c r="G222" s="467"/>
      <c r="H222" s="467"/>
      <c r="I222" s="467"/>
      <c r="J222" s="467"/>
      <c r="K222" s="467"/>
      <c r="L222" s="467"/>
      <c r="M222" s="352"/>
    </row>
    <row r="223" spans="1:13" x14ac:dyDescent="0.25">
      <c r="A223" s="348"/>
      <c r="B223" s="348"/>
      <c r="C223" s="348"/>
      <c r="D223" s="348"/>
      <c r="E223" s="348"/>
      <c r="F223" s="348"/>
      <c r="G223" s="348"/>
      <c r="H223" s="348"/>
      <c r="I223" s="348"/>
      <c r="J223" s="348"/>
      <c r="K223" s="348"/>
      <c r="L223" s="353"/>
      <c r="M223" s="352"/>
    </row>
    <row r="224" spans="1:13" x14ac:dyDescent="0.25">
      <c r="A224" s="348"/>
      <c r="B224" s="348"/>
      <c r="C224" s="348"/>
      <c r="D224" s="348"/>
      <c r="E224" s="348"/>
      <c r="F224" s="348"/>
      <c r="G224" s="348"/>
      <c r="H224" s="348"/>
      <c r="I224" s="348"/>
      <c r="J224" s="348"/>
      <c r="K224" s="348"/>
      <c r="L224" s="410"/>
      <c r="M224" s="352"/>
    </row>
    <row r="225" spans="1:13" x14ac:dyDescent="0.25">
      <c r="A225" s="374"/>
      <c r="B225" s="354"/>
      <c r="C225" s="354"/>
      <c r="D225" s="354"/>
      <c r="E225" s="354"/>
      <c r="F225" s="354"/>
      <c r="G225" s="354"/>
      <c r="H225" s="354"/>
      <c r="I225" s="354"/>
      <c r="J225" s="354"/>
      <c r="K225" s="354"/>
      <c r="L225" s="352"/>
      <c r="M225" s="352"/>
    </row>
    <row r="226" spans="1:13" x14ac:dyDescent="0.25">
      <c r="A226" s="354"/>
      <c r="B226" s="515"/>
      <c r="C226" s="515"/>
      <c r="D226" s="515"/>
      <c r="E226" s="369"/>
      <c r="F226" s="515"/>
      <c r="G226" s="515"/>
      <c r="H226" s="515"/>
      <c r="I226" s="369"/>
      <c r="J226" s="515"/>
      <c r="K226" s="515"/>
      <c r="L226" s="515"/>
      <c r="M226" s="352"/>
    </row>
    <row r="227" spans="1:13" x14ac:dyDescent="0.25">
      <c r="A227" s="374"/>
      <c r="B227" s="375"/>
      <c r="C227" s="375"/>
      <c r="D227" s="375"/>
      <c r="E227" s="375"/>
      <c r="F227" s="375"/>
      <c r="G227" s="375"/>
      <c r="H227" s="375"/>
      <c r="I227" s="375"/>
      <c r="J227" s="375"/>
      <c r="K227" s="375"/>
      <c r="L227" s="375"/>
      <c r="M227" s="352"/>
    </row>
    <row r="228" spans="1:13" x14ac:dyDescent="0.25">
      <c r="A228" s="374"/>
      <c r="B228" s="375"/>
      <c r="C228" s="375"/>
      <c r="D228" s="375"/>
      <c r="E228" s="375"/>
      <c r="F228" s="375"/>
      <c r="G228" s="375"/>
      <c r="H228" s="375"/>
      <c r="I228" s="375"/>
      <c r="J228" s="375"/>
      <c r="K228" s="375"/>
      <c r="L228" s="375"/>
      <c r="M228" s="352"/>
    </row>
    <row r="229" spans="1:13" x14ac:dyDescent="0.25">
      <c r="A229" s="348"/>
      <c r="B229" s="466"/>
      <c r="C229" s="466"/>
      <c r="D229" s="466"/>
      <c r="E229" s="467"/>
      <c r="F229" s="466"/>
      <c r="G229" s="466"/>
      <c r="H229" s="466"/>
      <c r="I229" s="467"/>
      <c r="J229" s="466"/>
      <c r="K229" s="466"/>
      <c r="L229" s="466"/>
      <c r="M229" s="352"/>
    </row>
    <row r="230" spans="1:13" x14ac:dyDescent="0.25">
      <c r="A230" s="348"/>
      <c r="B230" s="466"/>
      <c r="C230" s="466"/>
      <c r="D230" s="466"/>
      <c r="E230" s="467"/>
      <c r="F230" s="466"/>
      <c r="G230" s="466"/>
      <c r="H230" s="466"/>
      <c r="I230" s="467"/>
      <c r="J230" s="466"/>
      <c r="K230" s="466"/>
      <c r="L230" s="466"/>
      <c r="M230" s="352"/>
    </row>
    <row r="231" spans="1:13" x14ac:dyDescent="0.25">
      <c r="A231" s="348"/>
      <c r="B231" s="466"/>
      <c r="C231" s="466"/>
      <c r="D231" s="466"/>
      <c r="E231" s="467"/>
      <c r="F231" s="466"/>
      <c r="G231" s="466"/>
      <c r="H231" s="466"/>
      <c r="I231" s="467"/>
      <c r="J231" s="466"/>
      <c r="K231" s="466"/>
      <c r="L231" s="466"/>
      <c r="M231" s="352"/>
    </row>
    <row r="232" spans="1:13" x14ac:dyDescent="0.25">
      <c r="A232" s="348"/>
      <c r="B232" s="466"/>
      <c r="C232" s="466"/>
      <c r="D232" s="466"/>
      <c r="E232" s="467"/>
      <c r="F232" s="466"/>
      <c r="G232" s="466"/>
      <c r="H232" s="466"/>
      <c r="I232" s="467"/>
      <c r="J232" s="466"/>
      <c r="K232" s="466"/>
      <c r="L232" s="466"/>
      <c r="M232" s="352"/>
    </row>
    <row r="233" spans="1:13" x14ac:dyDescent="0.25">
      <c r="A233" s="348"/>
      <c r="B233" s="466"/>
      <c r="C233" s="466"/>
      <c r="D233" s="466"/>
      <c r="E233" s="467"/>
      <c r="F233" s="466"/>
      <c r="G233" s="466"/>
      <c r="H233" s="466"/>
      <c r="I233" s="467"/>
      <c r="J233" s="466"/>
      <c r="K233" s="466"/>
      <c r="L233" s="466"/>
      <c r="M233" s="352"/>
    </row>
    <row r="234" spans="1:13" x14ac:dyDescent="0.25">
      <c r="A234" s="348"/>
      <c r="B234" s="466"/>
      <c r="C234" s="466"/>
      <c r="D234" s="466"/>
      <c r="E234" s="467"/>
      <c r="F234" s="466"/>
      <c r="G234" s="466"/>
      <c r="H234" s="466"/>
      <c r="I234" s="467"/>
      <c r="J234" s="466"/>
      <c r="K234" s="466"/>
      <c r="L234" s="466"/>
      <c r="M234" s="352"/>
    </row>
    <row r="235" spans="1:13" x14ac:dyDescent="0.25">
      <c r="A235" s="348"/>
      <c r="B235" s="466"/>
      <c r="C235" s="466"/>
      <c r="D235" s="466"/>
      <c r="E235" s="467"/>
      <c r="F235" s="466"/>
      <c r="G235" s="466"/>
      <c r="H235" s="466"/>
      <c r="I235" s="467"/>
      <c r="J235" s="466"/>
      <c r="K235" s="466"/>
      <c r="L235" s="466"/>
      <c r="M235" s="352"/>
    </row>
    <row r="236" spans="1:13" x14ac:dyDescent="0.25">
      <c r="A236" s="348"/>
      <c r="B236" s="466"/>
      <c r="C236" s="466"/>
      <c r="D236" s="466"/>
      <c r="E236" s="467"/>
      <c r="F236" s="466"/>
      <c r="G236" s="466"/>
      <c r="H236" s="466"/>
      <c r="I236" s="467"/>
      <c r="J236" s="466"/>
      <c r="K236" s="466"/>
      <c r="L236" s="466"/>
      <c r="M236" s="352"/>
    </row>
    <row r="237" spans="1:13" x14ac:dyDescent="0.25">
      <c r="A237" s="348"/>
      <c r="B237" s="466"/>
      <c r="C237" s="466"/>
      <c r="D237" s="466"/>
      <c r="E237" s="467"/>
      <c r="F237" s="466"/>
      <c r="G237" s="466"/>
      <c r="H237" s="466"/>
      <c r="I237" s="467"/>
      <c r="J237" s="466"/>
      <c r="K237" s="466"/>
      <c r="L237" s="466"/>
      <c r="M237" s="352"/>
    </row>
    <row r="238" spans="1:13" x14ac:dyDescent="0.25">
      <c r="A238" s="348"/>
      <c r="B238" s="466"/>
      <c r="C238" s="466"/>
      <c r="D238" s="466"/>
      <c r="E238" s="467"/>
      <c r="F238" s="466"/>
      <c r="G238" s="466"/>
      <c r="H238" s="466"/>
      <c r="I238" s="467"/>
      <c r="J238" s="466"/>
      <c r="K238" s="466"/>
      <c r="L238" s="466"/>
      <c r="M238" s="352"/>
    </row>
    <row r="239" spans="1:13" x14ac:dyDescent="0.25">
      <c r="A239" s="348"/>
      <c r="B239" s="467"/>
      <c r="C239" s="467"/>
      <c r="D239" s="467"/>
      <c r="E239" s="467"/>
      <c r="F239" s="467"/>
      <c r="G239" s="467"/>
      <c r="H239" s="467"/>
      <c r="I239" s="467"/>
      <c r="J239" s="467"/>
      <c r="K239" s="467"/>
      <c r="L239" s="467"/>
      <c r="M239" s="352"/>
    </row>
    <row r="240" spans="1:13" x14ac:dyDescent="0.25">
      <c r="A240" s="348"/>
      <c r="B240" s="348"/>
      <c r="C240" s="348"/>
      <c r="D240" s="348"/>
      <c r="E240" s="348"/>
      <c r="F240" s="348"/>
      <c r="G240" s="348"/>
      <c r="H240" s="348"/>
      <c r="I240" s="348"/>
      <c r="J240" s="348"/>
      <c r="K240" s="348"/>
      <c r="L240" s="353"/>
      <c r="M240" s="352"/>
    </row>
    <row r="241" spans="1:13" x14ac:dyDescent="0.25">
      <c r="A241" s="348"/>
      <c r="B241" s="348"/>
      <c r="C241" s="348"/>
      <c r="D241" s="348"/>
      <c r="E241" s="348"/>
      <c r="F241" s="348"/>
      <c r="G241" s="348"/>
      <c r="H241" s="348"/>
      <c r="I241" s="348"/>
      <c r="J241" s="348"/>
      <c r="K241" s="348"/>
      <c r="L241" s="410"/>
      <c r="M241" s="352"/>
    </row>
    <row r="242" spans="1:13" x14ac:dyDescent="0.25">
      <c r="A242" s="374"/>
      <c r="B242" s="354"/>
      <c r="C242" s="354"/>
      <c r="D242" s="354"/>
      <c r="E242" s="354"/>
      <c r="F242" s="354"/>
      <c r="G242" s="354"/>
      <c r="H242" s="354"/>
      <c r="I242" s="354"/>
      <c r="J242" s="354"/>
      <c r="K242" s="354"/>
      <c r="L242" s="352"/>
      <c r="M242" s="352"/>
    </row>
    <row r="243" spans="1:13" x14ac:dyDescent="0.25">
      <c r="A243" s="354"/>
      <c r="B243" s="515"/>
      <c r="C243" s="515"/>
      <c r="D243" s="515"/>
      <c r="E243" s="369"/>
      <c r="F243" s="515"/>
      <c r="G243" s="515"/>
      <c r="H243" s="515"/>
      <c r="I243" s="369"/>
      <c r="J243" s="515"/>
      <c r="K243" s="515"/>
      <c r="L243" s="515"/>
      <c r="M243" s="352"/>
    </row>
    <row r="244" spans="1:13" x14ac:dyDescent="0.25">
      <c r="A244" s="374"/>
      <c r="B244" s="375"/>
      <c r="C244" s="375"/>
      <c r="D244" s="375"/>
      <c r="E244" s="375"/>
      <c r="F244" s="375"/>
      <c r="G244" s="375"/>
      <c r="H244" s="375"/>
      <c r="I244" s="375"/>
      <c r="J244" s="375"/>
      <c r="K244" s="375"/>
      <c r="L244" s="375"/>
      <c r="M244" s="352"/>
    </row>
    <row r="245" spans="1:13" x14ac:dyDescent="0.25">
      <c r="A245" s="374"/>
      <c r="B245" s="375"/>
      <c r="C245" s="375"/>
      <c r="D245" s="375"/>
      <c r="E245" s="375"/>
      <c r="F245" s="375"/>
      <c r="G245" s="375"/>
      <c r="H245" s="375"/>
      <c r="I245" s="375"/>
      <c r="J245" s="375"/>
      <c r="K245" s="375"/>
      <c r="L245" s="375"/>
      <c r="M245" s="352"/>
    </row>
    <row r="246" spans="1:13" x14ac:dyDescent="0.25">
      <c r="A246" s="348"/>
      <c r="B246" s="466"/>
      <c r="C246" s="466"/>
      <c r="D246" s="466"/>
      <c r="E246" s="467"/>
      <c r="F246" s="466"/>
      <c r="G246" s="466"/>
      <c r="H246" s="466"/>
      <c r="I246" s="467"/>
      <c r="J246" s="466"/>
      <c r="K246" s="466"/>
      <c r="L246" s="466"/>
      <c r="M246" s="352"/>
    </row>
    <row r="247" spans="1:13" x14ac:dyDescent="0.25">
      <c r="A247" s="348"/>
      <c r="B247" s="466"/>
      <c r="C247" s="466"/>
      <c r="D247" s="466"/>
      <c r="E247" s="467"/>
      <c r="F247" s="466"/>
      <c r="G247" s="466"/>
      <c r="H247" s="466"/>
      <c r="I247" s="467"/>
      <c r="J247" s="466"/>
      <c r="K247" s="466"/>
      <c r="L247" s="466"/>
      <c r="M247" s="352"/>
    </row>
    <row r="248" spans="1:13" x14ac:dyDescent="0.25">
      <c r="A248" s="348"/>
      <c r="B248" s="466"/>
      <c r="C248" s="466"/>
      <c r="D248" s="466"/>
      <c r="E248" s="467"/>
      <c r="F248" s="466"/>
      <c r="G248" s="466"/>
      <c r="H248" s="466"/>
      <c r="I248" s="467"/>
      <c r="J248" s="466"/>
      <c r="K248" s="466"/>
      <c r="L248" s="466"/>
      <c r="M248" s="352"/>
    </row>
    <row r="249" spans="1:13" x14ac:dyDescent="0.25">
      <c r="A249" s="348"/>
      <c r="B249" s="466"/>
      <c r="C249" s="466"/>
      <c r="D249" s="466"/>
      <c r="E249" s="467"/>
      <c r="F249" s="466"/>
      <c r="G249" s="466"/>
      <c r="H249" s="466"/>
      <c r="I249" s="467"/>
      <c r="J249" s="466"/>
      <c r="K249" s="466"/>
      <c r="L249" s="466"/>
      <c r="M249" s="352"/>
    </row>
    <row r="250" spans="1:13" x14ac:dyDescent="0.25">
      <c r="A250" s="348"/>
      <c r="B250" s="466"/>
      <c r="C250" s="466"/>
      <c r="D250" s="466"/>
      <c r="E250" s="467"/>
      <c r="F250" s="466"/>
      <c r="G250" s="466"/>
      <c r="H250" s="466"/>
      <c r="I250" s="467"/>
      <c r="J250" s="466"/>
      <c r="K250" s="466"/>
      <c r="L250" s="466"/>
      <c r="M250" s="352"/>
    </row>
    <row r="251" spans="1:13" x14ac:dyDescent="0.25">
      <c r="A251" s="348"/>
      <c r="B251" s="466"/>
      <c r="C251" s="466"/>
      <c r="D251" s="466"/>
      <c r="E251" s="467"/>
      <c r="F251" s="466"/>
      <c r="G251" s="466"/>
      <c r="H251" s="466"/>
      <c r="I251" s="467"/>
      <c r="J251" s="466"/>
      <c r="K251" s="466"/>
      <c r="L251" s="466"/>
      <c r="M251" s="352"/>
    </row>
    <row r="252" spans="1:13" x14ac:dyDescent="0.25">
      <c r="A252" s="348"/>
      <c r="B252" s="466"/>
      <c r="C252" s="466"/>
      <c r="D252" s="466"/>
      <c r="E252" s="467"/>
      <c r="F252" s="466"/>
      <c r="G252" s="466"/>
      <c r="H252" s="466"/>
      <c r="I252" s="467"/>
      <c r="J252" s="466"/>
      <c r="K252" s="466"/>
      <c r="L252" s="466"/>
      <c r="M252" s="352"/>
    </row>
    <row r="253" spans="1:13" x14ac:dyDescent="0.25">
      <c r="A253" s="348"/>
      <c r="B253" s="466"/>
      <c r="C253" s="466"/>
      <c r="D253" s="466"/>
      <c r="E253" s="467"/>
      <c r="F253" s="466"/>
      <c r="G253" s="466"/>
      <c r="H253" s="466"/>
      <c r="I253" s="467"/>
      <c r="J253" s="466"/>
      <c r="K253" s="466"/>
      <c r="L253" s="466"/>
      <c r="M253" s="352"/>
    </row>
    <row r="254" spans="1:13" x14ac:dyDescent="0.25">
      <c r="A254" s="348"/>
      <c r="B254" s="466"/>
      <c r="C254" s="466"/>
      <c r="D254" s="466"/>
      <c r="E254" s="467"/>
      <c r="F254" s="466"/>
      <c r="G254" s="466"/>
      <c r="H254" s="466"/>
      <c r="I254" s="467"/>
      <c r="J254" s="466"/>
      <c r="K254" s="466"/>
      <c r="L254" s="466"/>
      <c r="M254" s="352"/>
    </row>
    <row r="255" spans="1:13" x14ac:dyDescent="0.25">
      <c r="A255" s="348"/>
      <c r="B255" s="466"/>
      <c r="C255" s="466"/>
      <c r="D255" s="466"/>
      <c r="E255" s="467"/>
      <c r="F255" s="466"/>
      <c r="G255" s="466"/>
      <c r="H255" s="466"/>
      <c r="I255" s="467"/>
      <c r="J255" s="466"/>
      <c r="K255" s="466"/>
      <c r="L255" s="466"/>
      <c r="M255" s="352"/>
    </row>
    <row r="256" spans="1:13" x14ac:dyDescent="0.25">
      <c r="A256" s="348"/>
      <c r="B256" s="467"/>
      <c r="C256" s="467"/>
      <c r="D256" s="467"/>
      <c r="E256" s="467"/>
      <c r="F256" s="467"/>
      <c r="G256" s="467"/>
      <c r="H256" s="467"/>
      <c r="I256" s="467"/>
      <c r="J256" s="467"/>
      <c r="K256" s="467"/>
      <c r="L256" s="467"/>
      <c r="M256" s="352"/>
    </row>
    <row r="257" spans="1:13" x14ac:dyDescent="0.25">
      <c r="A257" s="348"/>
      <c r="B257" s="348"/>
      <c r="C257" s="348"/>
      <c r="D257" s="348"/>
      <c r="E257" s="348"/>
      <c r="F257" s="348"/>
      <c r="G257" s="348"/>
      <c r="H257" s="348"/>
      <c r="I257" s="348"/>
      <c r="J257" s="348"/>
      <c r="K257" s="348"/>
      <c r="L257" s="353"/>
      <c r="M257" s="352"/>
    </row>
    <row r="258" spans="1:13" x14ac:dyDescent="0.25">
      <c r="A258" s="348"/>
      <c r="B258" s="348"/>
      <c r="C258" s="348"/>
      <c r="D258" s="348"/>
      <c r="E258" s="348"/>
      <c r="F258" s="348"/>
      <c r="G258" s="348"/>
      <c r="H258" s="348"/>
      <c r="I258" s="348"/>
      <c r="J258" s="348"/>
      <c r="K258" s="348"/>
      <c r="L258" s="410"/>
      <c r="M258" s="352"/>
    </row>
    <row r="259" spans="1:13" x14ac:dyDescent="0.25">
      <c r="A259" s="374"/>
      <c r="B259" s="354"/>
      <c r="C259" s="354"/>
      <c r="D259" s="354"/>
      <c r="E259" s="354"/>
      <c r="F259" s="354"/>
      <c r="G259" s="354"/>
      <c r="H259" s="354"/>
      <c r="I259" s="354"/>
      <c r="J259" s="354"/>
      <c r="K259" s="354"/>
      <c r="L259" s="352"/>
      <c r="M259" s="352"/>
    </row>
    <row r="260" spans="1:13" x14ac:dyDescent="0.25">
      <c r="A260" s="354"/>
      <c r="B260" s="515"/>
      <c r="C260" s="515"/>
      <c r="D260" s="515"/>
      <c r="E260" s="369"/>
      <c r="F260" s="515"/>
      <c r="G260" s="515"/>
      <c r="H260" s="515"/>
      <c r="I260" s="369"/>
      <c r="J260" s="515"/>
      <c r="K260" s="515"/>
      <c r="L260" s="515"/>
      <c r="M260" s="352"/>
    </row>
    <row r="261" spans="1:13" x14ac:dyDescent="0.25">
      <c r="A261" s="374"/>
      <c r="B261" s="375"/>
      <c r="C261" s="375"/>
      <c r="D261" s="375"/>
      <c r="E261" s="375"/>
      <c r="F261" s="375"/>
      <c r="G261" s="375"/>
      <c r="H261" s="375"/>
      <c r="I261" s="375"/>
      <c r="J261" s="375"/>
      <c r="K261" s="375"/>
      <c r="L261" s="375"/>
      <c r="M261" s="352"/>
    </row>
    <row r="262" spans="1:13" x14ac:dyDescent="0.25">
      <c r="A262" s="374"/>
      <c r="B262" s="375"/>
      <c r="C262" s="375"/>
      <c r="D262" s="375"/>
      <c r="E262" s="375"/>
      <c r="F262" s="375"/>
      <c r="G262" s="375"/>
      <c r="H262" s="375"/>
      <c r="I262" s="375"/>
      <c r="J262" s="375"/>
      <c r="K262" s="375"/>
      <c r="L262" s="375"/>
      <c r="M262" s="352"/>
    </row>
    <row r="263" spans="1:13" x14ac:dyDescent="0.25">
      <c r="A263" s="348"/>
      <c r="B263" s="466"/>
      <c r="C263" s="466"/>
      <c r="D263" s="466"/>
      <c r="E263" s="467"/>
      <c r="F263" s="466"/>
      <c r="G263" s="466"/>
      <c r="H263" s="466"/>
      <c r="I263" s="467"/>
      <c r="J263" s="466"/>
      <c r="K263" s="466"/>
      <c r="L263" s="466"/>
      <c r="M263" s="352"/>
    </row>
    <row r="264" spans="1:13" x14ac:dyDescent="0.25">
      <c r="A264" s="348"/>
      <c r="B264" s="466"/>
      <c r="C264" s="466"/>
      <c r="D264" s="466"/>
      <c r="E264" s="467"/>
      <c r="F264" s="466"/>
      <c r="G264" s="466"/>
      <c r="H264" s="466"/>
      <c r="I264" s="467"/>
      <c r="J264" s="466"/>
      <c r="K264" s="466"/>
      <c r="L264" s="466"/>
      <c r="M264" s="352"/>
    </row>
    <row r="265" spans="1:13" x14ac:dyDescent="0.25">
      <c r="A265" s="348"/>
      <c r="B265" s="466"/>
      <c r="C265" s="466"/>
      <c r="D265" s="466"/>
      <c r="E265" s="467"/>
      <c r="F265" s="466"/>
      <c r="G265" s="466"/>
      <c r="H265" s="466"/>
      <c r="I265" s="467"/>
      <c r="J265" s="466"/>
      <c r="K265" s="466"/>
      <c r="L265" s="466"/>
      <c r="M265" s="352"/>
    </row>
    <row r="266" spans="1:13" x14ac:dyDescent="0.25">
      <c r="A266" s="348"/>
      <c r="B266" s="466"/>
      <c r="C266" s="466"/>
      <c r="D266" s="466"/>
      <c r="E266" s="467"/>
      <c r="F266" s="466"/>
      <c r="G266" s="466"/>
      <c r="H266" s="466"/>
      <c r="I266" s="467"/>
      <c r="J266" s="466"/>
      <c r="K266" s="466"/>
      <c r="L266" s="466"/>
      <c r="M266" s="352"/>
    </row>
    <row r="267" spans="1:13" x14ac:dyDescent="0.25">
      <c r="A267" s="348"/>
      <c r="B267" s="466"/>
      <c r="C267" s="466"/>
      <c r="D267" s="466"/>
      <c r="E267" s="467"/>
      <c r="F267" s="466"/>
      <c r="G267" s="466"/>
      <c r="H267" s="466"/>
      <c r="I267" s="467"/>
      <c r="J267" s="466"/>
      <c r="K267" s="466"/>
      <c r="L267" s="466"/>
      <c r="M267" s="352"/>
    </row>
    <row r="268" spans="1:13" x14ac:dyDescent="0.25">
      <c r="A268" s="348"/>
      <c r="B268" s="466"/>
      <c r="C268" s="466"/>
      <c r="D268" s="466"/>
      <c r="E268" s="467"/>
      <c r="F268" s="466"/>
      <c r="G268" s="466"/>
      <c r="H268" s="466"/>
      <c r="I268" s="467"/>
      <c r="J268" s="466"/>
      <c r="K268" s="466"/>
      <c r="L268" s="466"/>
      <c r="M268" s="352"/>
    </row>
    <row r="269" spans="1:13" x14ac:dyDescent="0.25">
      <c r="A269" s="348"/>
      <c r="B269" s="466"/>
      <c r="C269" s="466"/>
      <c r="D269" s="466"/>
      <c r="E269" s="467"/>
      <c r="F269" s="466"/>
      <c r="G269" s="466"/>
      <c r="H269" s="466"/>
      <c r="I269" s="467"/>
      <c r="J269" s="466"/>
      <c r="K269" s="466"/>
      <c r="L269" s="466"/>
      <c r="M269" s="352"/>
    </row>
    <row r="270" spans="1:13" x14ac:dyDescent="0.25">
      <c r="A270" s="348"/>
      <c r="B270" s="466"/>
      <c r="C270" s="466"/>
      <c r="D270" s="466"/>
      <c r="E270" s="467"/>
      <c r="F270" s="466"/>
      <c r="G270" s="466"/>
      <c r="H270" s="466"/>
      <c r="I270" s="467"/>
      <c r="J270" s="466"/>
      <c r="K270" s="466"/>
      <c r="L270" s="466"/>
      <c r="M270" s="352"/>
    </row>
    <row r="271" spans="1:13" x14ac:dyDescent="0.25">
      <c r="A271" s="348"/>
      <c r="B271" s="466"/>
      <c r="C271" s="466"/>
      <c r="D271" s="466"/>
      <c r="E271" s="467"/>
      <c r="F271" s="466"/>
      <c r="G271" s="466"/>
      <c r="H271" s="466"/>
      <c r="I271" s="467"/>
      <c r="J271" s="466"/>
      <c r="K271" s="466"/>
      <c r="L271" s="466"/>
      <c r="M271" s="352"/>
    </row>
    <row r="272" spans="1:13" x14ac:dyDescent="0.25">
      <c r="A272" s="348"/>
      <c r="B272" s="466"/>
      <c r="C272" s="466"/>
      <c r="D272" s="466"/>
      <c r="E272" s="467"/>
      <c r="F272" s="466"/>
      <c r="G272" s="466"/>
      <c r="H272" s="466"/>
      <c r="I272" s="467"/>
      <c r="J272" s="466"/>
      <c r="K272" s="466"/>
      <c r="L272" s="466"/>
      <c r="M272" s="352"/>
    </row>
    <row r="273" spans="1:13" x14ac:dyDescent="0.25">
      <c r="A273" s="348"/>
      <c r="B273" s="467"/>
      <c r="C273" s="467"/>
      <c r="D273" s="467"/>
      <c r="E273" s="467"/>
      <c r="F273" s="467"/>
      <c r="G273" s="467"/>
      <c r="H273" s="467"/>
      <c r="I273" s="467"/>
      <c r="J273" s="467"/>
      <c r="K273" s="467"/>
      <c r="L273" s="467"/>
      <c r="M273" s="352"/>
    </row>
    <row r="274" spans="1:13" x14ac:dyDescent="0.25">
      <c r="A274" s="348"/>
      <c r="B274" s="348"/>
      <c r="C274" s="348"/>
      <c r="D274" s="348"/>
      <c r="E274" s="348"/>
      <c r="F274" s="348"/>
      <c r="G274" s="348"/>
      <c r="H274" s="348"/>
      <c r="I274" s="348"/>
      <c r="J274" s="348"/>
      <c r="K274" s="348"/>
      <c r="L274" s="353"/>
      <c r="M274" s="352"/>
    </row>
    <row r="275" spans="1:13" x14ac:dyDescent="0.25">
      <c r="A275" s="348"/>
      <c r="B275" s="348"/>
      <c r="C275" s="348"/>
      <c r="D275" s="348"/>
      <c r="E275" s="348"/>
      <c r="F275" s="348"/>
      <c r="G275" s="348"/>
      <c r="H275" s="348"/>
      <c r="I275" s="348"/>
      <c r="J275" s="348"/>
      <c r="K275" s="348"/>
      <c r="L275" s="410"/>
      <c r="M275" s="352"/>
    </row>
    <row r="276" spans="1:13" x14ac:dyDescent="0.25">
      <c r="A276" s="374"/>
      <c r="B276" s="354"/>
      <c r="C276" s="354"/>
      <c r="D276" s="354"/>
      <c r="E276" s="354"/>
      <c r="F276" s="354"/>
      <c r="G276" s="354"/>
      <c r="H276" s="354"/>
      <c r="I276" s="354"/>
      <c r="J276" s="354"/>
      <c r="K276" s="354"/>
      <c r="L276" s="352"/>
      <c r="M276" s="352"/>
    </row>
    <row r="277" spans="1:13" x14ac:dyDescent="0.25">
      <c r="A277" s="354"/>
      <c r="B277" s="515"/>
      <c r="C277" s="515"/>
      <c r="D277" s="515"/>
      <c r="E277" s="369"/>
      <c r="F277" s="515"/>
      <c r="G277" s="515"/>
      <c r="H277" s="515"/>
      <c r="I277" s="369"/>
      <c r="J277" s="515"/>
      <c r="K277" s="515"/>
      <c r="L277" s="515"/>
      <c r="M277" s="352"/>
    </row>
    <row r="278" spans="1:13" x14ac:dyDescent="0.25">
      <c r="A278" s="374"/>
      <c r="B278" s="375"/>
      <c r="C278" s="375"/>
      <c r="D278" s="375"/>
      <c r="E278" s="375"/>
      <c r="F278" s="375"/>
      <c r="G278" s="375"/>
      <c r="H278" s="375"/>
      <c r="I278" s="375"/>
      <c r="J278" s="375"/>
      <c r="K278" s="375"/>
      <c r="L278" s="375"/>
      <c r="M278" s="352"/>
    </row>
    <row r="279" spans="1:13" x14ac:dyDescent="0.25">
      <c r="A279" s="374"/>
      <c r="B279" s="375"/>
      <c r="C279" s="375"/>
      <c r="D279" s="375"/>
      <c r="E279" s="375"/>
      <c r="F279" s="375"/>
      <c r="G279" s="375"/>
      <c r="H279" s="375"/>
      <c r="I279" s="375"/>
      <c r="J279" s="375"/>
      <c r="K279" s="375"/>
      <c r="L279" s="375"/>
      <c r="M279" s="352"/>
    </row>
    <row r="280" spans="1:13" x14ac:dyDescent="0.25">
      <c r="A280" s="348"/>
      <c r="B280" s="466"/>
      <c r="C280" s="466"/>
      <c r="D280" s="466"/>
      <c r="E280" s="467"/>
      <c r="F280" s="466"/>
      <c r="G280" s="466"/>
      <c r="H280" s="466"/>
      <c r="I280" s="467"/>
      <c r="J280" s="466"/>
      <c r="K280" s="466"/>
      <c r="L280" s="466"/>
      <c r="M280" s="352"/>
    </row>
    <row r="281" spans="1:13" x14ac:dyDescent="0.25">
      <c r="A281" s="348"/>
      <c r="B281" s="466"/>
      <c r="C281" s="466"/>
      <c r="D281" s="466"/>
      <c r="E281" s="467"/>
      <c r="F281" s="466"/>
      <c r="G281" s="466"/>
      <c r="H281" s="466"/>
      <c r="I281" s="467"/>
      <c r="J281" s="466"/>
      <c r="K281" s="466"/>
      <c r="L281" s="466"/>
      <c r="M281" s="352"/>
    </row>
    <row r="282" spans="1:13" x14ac:dyDescent="0.25">
      <c r="A282" s="348"/>
      <c r="B282" s="466"/>
      <c r="C282" s="466"/>
      <c r="D282" s="466"/>
      <c r="E282" s="467"/>
      <c r="F282" s="466"/>
      <c r="G282" s="466"/>
      <c r="H282" s="466"/>
      <c r="I282" s="467"/>
      <c r="J282" s="466"/>
      <c r="K282" s="466"/>
      <c r="L282" s="466"/>
      <c r="M282" s="352"/>
    </row>
    <row r="283" spans="1:13" x14ac:dyDescent="0.25">
      <c r="A283" s="348"/>
      <c r="B283" s="466"/>
      <c r="C283" s="466"/>
      <c r="D283" s="466"/>
      <c r="E283" s="467"/>
      <c r="F283" s="466"/>
      <c r="G283" s="466"/>
      <c r="H283" s="466"/>
      <c r="I283" s="467"/>
      <c r="J283" s="466"/>
      <c r="K283" s="466"/>
      <c r="L283" s="466"/>
      <c r="M283" s="352"/>
    </row>
    <row r="284" spans="1:13" x14ac:dyDescent="0.25">
      <c r="A284" s="348"/>
      <c r="B284" s="466"/>
      <c r="C284" s="466"/>
      <c r="D284" s="466"/>
      <c r="E284" s="467"/>
      <c r="F284" s="466"/>
      <c r="G284" s="466"/>
      <c r="H284" s="466"/>
      <c r="I284" s="467"/>
      <c r="J284" s="466"/>
      <c r="K284" s="466"/>
      <c r="L284" s="466"/>
      <c r="M284" s="352"/>
    </row>
    <row r="285" spans="1:13" x14ac:dyDescent="0.25">
      <c r="A285" s="348"/>
      <c r="B285" s="466"/>
      <c r="C285" s="466"/>
      <c r="D285" s="466"/>
      <c r="E285" s="467"/>
      <c r="F285" s="466"/>
      <c r="G285" s="466"/>
      <c r="H285" s="466"/>
      <c r="I285" s="467"/>
      <c r="J285" s="466"/>
      <c r="K285" s="466"/>
      <c r="L285" s="466"/>
      <c r="M285" s="352"/>
    </row>
    <row r="286" spans="1:13" x14ac:dyDescent="0.25">
      <c r="A286" s="348"/>
      <c r="B286" s="466"/>
      <c r="C286" s="466"/>
      <c r="D286" s="466"/>
      <c r="E286" s="467"/>
      <c r="F286" s="466"/>
      <c r="G286" s="466"/>
      <c r="H286" s="466"/>
      <c r="I286" s="467"/>
      <c r="J286" s="466"/>
      <c r="K286" s="466"/>
      <c r="L286" s="466"/>
      <c r="M286" s="352"/>
    </row>
    <row r="287" spans="1:13" x14ac:dyDescent="0.25">
      <c r="A287" s="348"/>
      <c r="B287" s="466"/>
      <c r="C287" s="466"/>
      <c r="D287" s="466"/>
      <c r="E287" s="467"/>
      <c r="F287" s="466"/>
      <c r="G287" s="466"/>
      <c r="H287" s="466"/>
      <c r="I287" s="467"/>
      <c r="J287" s="466"/>
      <c r="K287" s="466"/>
      <c r="L287" s="466"/>
      <c r="M287" s="352"/>
    </row>
    <row r="288" spans="1:13" x14ac:dyDescent="0.25">
      <c r="A288" s="348"/>
      <c r="B288" s="466"/>
      <c r="C288" s="466"/>
      <c r="D288" s="466"/>
      <c r="E288" s="467"/>
      <c r="F288" s="466"/>
      <c r="G288" s="466"/>
      <c r="H288" s="466"/>
      <c r="I288" s="467"/>
      <c r="J288" s="466"/>
      <c r="K288" s="466"/>
      <c r="L288" s="466"/>
      <c r="M288" s="352"/>
    </row>
    <row r="289" spans="1:13" x14ac:dyDescent="0.25">
      <c r="A289" s="348"/>
      <c r="B289" s="466"/>
      <c r="C289" s="466"/>
      <c r="D289" s="466"/>
      <c r="E289" s="467"/>
      <c r="F289" s="466"/>
      <c r="G289" s="466"/>
      <c r="H289" s="466"/>
      <c r="I289" s="467"/>
      <c r="J289" s="466"/>
      <c r="K289" s="466"/>
      <c r="L289" s="466"/>
      <c r="M289" s="352"/>
    </row>
    <row r="290" spans="1:13" x14ac:dyDescent="0.25">
      <c r="A290" s="348"/>
      <c r="B290" s="467"/>
      <c r="C290" s="467"/>
      <c r="D290" s="467"/>
      <c r="E290" s="467"/>
      <c r="F290" s="467"/>
      <c r="G290" s="467"/>
      <c r="H290" s="467"/>
      <c r="I290" s="467"/>
      <c r="J290" s="467"/>
      <c r="K290" s="467"/>
      <c r="L290" s="467"/>
      <c r="M290" s="352"/>
    </row>
    <row r="291" spans="1:13" x14ac:dyDescent="0.25">
      <c r="A291" s="348"/>
      <c r="B291" s="348"/>
      <c r="C291" s="348"/>
      <c r="D291" s="348"/>
      <c r="E291" s="348"/>
      <c r="F291" s="348"/>
      <c r="G291" s="348"/>
      <c r="H291" s="348"/>
      <c r="I291" s="348"/>
      <c r="J291" s="348"/>
      <c r="K291" s="348"/>
      <c r="L291" s="353"/>
      <c r="M291" s="352"/>
    </row>
    <row r="292" spans="1:13" x14ac:dyDescent="0.25">
      <c r="A292" s="348"/>
      <c r="B292" s="348"/>
      <c r="C292" s="348"/>
      <c r="D292" s="348"/>
      <c r="E292" s="348"/>
      <c r="F292" s="348"/>
      <c r="G292" s="348"/>
      <c r="H292" s="348"/>
      <c r="I292" s="348"/>
      <c r="J292" s="348"/>
      <c r="K292" s="348"/>
      <c r="L292" s="410"/>
      <c r="M292" s="352"/>
    </row>
    <row r="293" spans="1:13" x14ac:dyDescent="0.25">
      <c r="A293" s="374"/>
      <c r="B293" s="354"/>
      <c r="C293" s="354"/>
      <c r="D293" s="354"/>
      <c r="E293" s="354"/>
      <c r="F293" s="354"/>
      <c r="G293" s="354"/>
      <c r="H293" s="354"/>
      <c r="I293" s="354"/>
      <c r="J293" s="354"/>
      <c r="K293" s="354"/>
      <c r="L293" s="352"/>
      <c r="M293" s="352"/>
    </row>
    <row r="294" spans="1:13" x14ac:dyDescent="0.25">
      <c r="A294" s="354"/>
      <c r="B294" s="515"/>
      <c r="C294" s="515"/>
      <c r="D294" s="515"/>
      <c r="E294" s="369"/>
      <c r="F294" s="515"/>
      <c r="G294" s="515"/>
      <c r="H294" s="515"/>
      <c r="I294" s="369"/>
      <c r="J294" s="515"/>
      <c r="K294" s="515"/>
      <c r="L294" s="515"/>
      <c r="M294" s="352"/>
    </row>
    <row r="295" spans="1:13" x14ac:dyDescent="0.25">
      <c r="A295" s="374"/>
      <c r="B295" s="375"/>
      <c r="C295" s="375"/>
      <c r="D295" s="375"/>
      <c r="E295" s="375"/>
      <c r="F295" s="375"/>
      <c r="G295" s="375"/>
      <c r="H295" s="375"/>
      <c r="I295" s="375"/>
      <c r="J295" s="375"/>
      <c r="K295" s="375"/>
      <c r="L295" s="375"/>
      <c r="M295" s="352"/>
    </row>
    <row r="296" spans="1:13" x14ac:dyDescent="0.25">
      <c r="A296" s="374"/>
      <c r="B296" s="375"/>
      <c r="C296" s="375"/>
      <c r="D296" s="375"/>
      <c r="E296" s="375"/>
      <c r="F296" s="375"/>
      <c r="G296" s="375"/>
      <c r="H296" s="375"/>
      <c r="I296" s="375"/>
      <c r="J296" s="375"/>
      <c r="K296" s="375"/>
      <c r="L296" s="375"/>
      <c r="M296" s="352"/>
    </row>
    <row r="297" spans="1:13" x14ac:dyDescent="0.25">
      <c r="A297" s="348"/>
      <c r="B297" s="466"/>
      <c r="C297" s="466"/>
      <c r="D297" s="466"/>
      <c r="E297" s="467"/>
      <c r="F297" s="466"/>
      <c r="G297" s="466"/>
      <c r="H297" s="466"/>
      <c r="I297" s="467"/>
      <c r="J297" s="466"/>
      <c r="K297" s="466"/>
      <c r="L297" s="466"/>
      <c r="M297" s="352"/>
    </row>
    <row r="298" spans="1:13" x14ac:dyDescent="0.25">
      <c r="A298" s="348"/>
      <c r="B298" s="466"/>
      <c r="C298" s="466"/>
      <c r="D298" s="466"/>
      <c r="E298" s="467"/>
      <c r="F298" s="466"/>
      <c r="G298" s="466"/>
      <c r="H298" s="466"/>
      <c r="I298" s="467"/>
      <c r="J298" s="466"/>
      <c r="K298" s="466"/>
      <c r="L298" s="466"/>
      <c r="M298" s="352"/>
    </row>
    <row r="299" spans="1:13" x14ac:dyDescent="0.25">
      <c r="A299" s="348"/>
      <c r="B299" s="466"/>
      <c r="C299" s="466"/>
      <c r="D299" s="466"/>
      <c r="E299" s="467"/>
      <c r="F299" s="466"/>
      <c r="G299" s="466"/>
      <c r="H299" s="466"/>
      <c r="I299" s="467"/>
      <c r="J299" s="466"/>
      <c r="K299" s="466"/>
      <c r="L299" s="466"/>
      <c r="M299" s="352"/>
    </row>
    <row r="300" spans="1:13" x14ac:dyDescent="0.25">
      <c r="A300" s="348"/>
      <c r="B300" s="466"/>
      <c r="C300" s="466"/>
      <c r="D300" s="466"/>
      <c r="E300" s="467"/>
      <c r="F300" s="466"/>
      <c r="G300" s="466"/>
      <c r="H300" s="466"/>
      <c r="I300" s="467"/>
      <c r="J300" s="466"/>
      <c r="K300" s="466"/>
      <c r="L300" s="466"/>
      <c r="M300" s="352"/>
    </row>
    <row r="301" spans="1:13" x14ac:dyDescent="0.25">
      <c r="A301" s="348"/>
      <c r="B301" s="466"/>
      <c r="C301" s="466"/>
      <c r="D301" s="466"/>
      <c r="E301" s="467"/>
      <c r="F301" s="466"/>
      <c r="G301" s="466"/>
      <c r="H301" s="466"/>
      <c r="I301" s="467"/>
      <c r="J301" s="466"/>
      <c r="K301" s="466"/>
      <c r="L301" s="466"/>
      <c r="M301" s="352"/>
    </row>
    <row r="302" spans="1:13" x14ac:dyDescent="0.25">
      <c r="A302" s="348"/>
      <c r="B302" s="466"/>
      <c r="C302" s="466"/>
      <c r="D302" s="466"/>
      <c r="E302" s="467"/>
      <c r="F302" s="466"/>
      <c r="G302" s="466"/>
      <c r="H302" s="466"/>
      <c r="I302" s="467"/>
      <c r="J302" s="466"/>
      <c r="K302" s="466"/>
      <c r="L302" s="466"/>
      <c r="M302" s="352"/>
    </row>
    <row r="303" spans="1:13" x14ac:dyDescent="0.25">
      <c r="A303" s="348"/>
      <c r="B303" s="466"/>
      <c r="C303" s="466"/>
      <c r="D303" s="466"/>
      <c r="E303" s="467"/>
      <c r="F303" s="466"/>
      <c r="G303" s="466"/>
      <c r="H303" s="466"/>
      <c r="I303" s="467"/>
      <c r="J303" s="466"/>
      <c r="K303" s="466"/>
      <c r="L303" s="466"/>
      <c r="M303" s="352"/>
    </row>
    <row r="304" spans="1:13" x14ac:dyDescent="0.25">
      <c r="A304" s="348"/>
      <c r="B304" s="466"/>
      <c r="C304" s="466"/>
      <c r="D304" s="466"/>
      <c r="E304" s="467"/>
      <c r="F304" s="466"/>
      <c r="G304" s="466"/>
      <c r="H304" s="466"/>
      <c r="I304" s="467"/>
      <c r="J304" s="466"/>
      <c r="K304" s="466"/>
      <c r="L304" s="466"/>
      <c r="M304" s="352"/>
    </row>
    <row r="305" spans="1:13" x14ac:dyDescent="0.25">
      <c r="A305" s="348"/>
      <c r="B305" s="466"/>
      <c r="C305" s="466"/>
      <c r="D305" s="466"/>
      <c r="E305" s="467"/>
      <c r="F305" s="466"/>
      <c r="G305" s="466"/>
      <c r="H305" s="466"/>
      <c r="I305" s="467"/>
      <c r="J305" s="466"/>
      <c r="K305" s="466"/>
      <c r="L305" s="466"/>
      <c r="M305" s="352"/>
    </row>
    <row r="306" spans="1:13" x14ac:dyDescent="0.25">
      <c r="A306" s="348"/>
      <c r="B306" s="466"/>
      <c r="C306" s="466"/>
      <c r="D306" s="466"/>
      <c r="E306" s="467"/>
      <c r="F306" s="466"/>
      <c r="G306" s="466"/>
      <c r="H306" s="466"/>
      <c r="I306" s="467"/>
      <c r="J306" s="466"/>
      <c r="K306" s="466"/>
      <c r="L306" s="466"/>
      <c r="M306" s="352"/>
    </row>
    <row r="307" spans="1:13" x14ac:dyDescent="0.25">
      <c r="A307" s="348"/>
      <c r="B307" s="467"/>
      <c r="C307" s="467"/>
      <c r="D307" s="467"/>
      <c r="E307" s="467"/>
      <c r="F307" s="467"/>
      <c r="G307" s="467"/>
      <c r="H307" s="467"/>
      <c r="I307" s="467"/>
      <c r="J307" s="467"/>
      <c r="K307" s="467"/>
      <c r="L307" s="467"/>
      <c r="M307" s="352"/>
    </row>
    <row r="308" spans="1:13" x14ac:dyDescent="0.25">
      <c r="A308" s="348"/>
      <c r="B308" s="348"/>
      <c r="C308" s="348"/>
      <c r="D308" s="348"/>
      <c r="E308" s="348"/>
      <c r="F308" s="348"/>
      <c r="G308" s="348"/>
      <c r="H308" s="348"/>
      <c r="I308" s="348"/>
      <c r="J308" s="348"/>
      <c r="K308" s="348"/>
      <c r="L308" s="353"/>
      <c r="M308" s="352"/>
    </row>
    <row r="309" spans="1:13" x14ac:dyDescent="0.25">
      <c r="A309" s="348"/>
      <c r="B309" s="348"/>
      <c r="C309" s="348"/>
      <c r="D309" s="348"/>
      <c r="E309" s="348"/>
      <c r="F309" s="348"/>
      <c r="G309" s="348"/>
      <c r="H309" s="348"/>
      <c r="I309" s="348"/>
      <c r="J309" s="348"/>
      <c r="K309" s="348"/>
      <c r="L309" s="410"/>
      <c r="M309" s="352"/>
    </row>
    <row r="310" spans="1:13" x14ac:dyDescent="0.25">
      <c r="A310" s="374"/>
      <c r="B310" s="354"/>
      <c r="C310" s="354"/>
      <c r="D310" s="354"/>
      <c r="E310" s="354"/>
      <c r="F310" s="354"/>
      <c r="G310" s="354"/>
      <c r="H310" s="354"/>
      <c r="I310" s="354"/>
      <c r="J310" s="354"/>
      <c r="K310" s="354"/>
      <c r="L310" s="352"/>
      <c r="M310" s="352"/>
    </row>
    <row r="311" spans="1:13" x14ac:dyDescent="0.25">
      <c r="A311" s="354"/>
      <c r="B311" s="515"/>
      <c r="C311" s="515"/>
      <c r="D311" s="515"/>
      <c r="E311" s="369"/>
      <c r="F311" s="515"/>
      <c r="G311" s="515"/>
      <c r="H311" s="515"/>
      <c r="I311" s="369"/>
      <c r="J311" s="515"/>
      <c r="K311" s="515"/>
      <c r="L311" s="515"/>
      <c r="M311" s="352"/>
    </row>
    <row r="312" spans="1:13" x14ac:dyDescent="0.25">
      <c r="A312" s="374"/>
      <c r="B312" s="375"/>
      <c r="C312" s="375"/>
      <c r="D312" s="375"/>
      <c r="E312" s="375"/>
      <c r="F312" s="375"/>
      <c r="G312" s="375"/>
      <c r="H312" s="375"/>
      <c r="I312" s="375"/>
      <c r="J312" s="375"/>
      <c r="K312" s="375"/>
      <c r="L312" s="375"/>
      <c r="M312" s="352"/>
    </row>
    <row r="313" spans="1:13" x14ac:dyDescent="0.25">
      <c r="A313" s="374"/>
      <c r="B313" s="375"/>
      <c r="C313" s="375"/>
      <c r="D313" s="375"/>
      <c r="E313" s="375"/>
      <c r="F313" s="375"/>
      <c r="G313" s="375"/>
      <c r="H313" s="375"/>
      <c r="I313" s="375"/>
      <c r="J313" s="375"/>
      <c r="K313" s="375"/>
      <c r="L313" s="375"/>
      <c r="M313" s="352"/>
    </row>
    <row r="314" spans="1:13" x14ac:dyDescent="0.25">
      <c r="A314" s="348"/>
      <c r="B314" s="466"/>
      <c r="C314" s="466"/>
      <c r="D314" s="466"/>
      <c r="E314" s="467"/>
      <c r="F314" s="466"/>
      <c r="G314" s="466"/>
      <c r="H314" s="466"/>
      <c r="I314" s="467"/>
      <c r="J314" s="466"/>
      <c r="K314" s="466"/>
      <c r="L314" s="466"/>
      <c r="M314" s="352"/>
    </row>
    <row r="315" spans="1:13" x14ac:dyDescent="0.25">
      <c r="A315" s="348"/>
      <c r="B315" s="466"/>
      <c r="C315" s="466"/>
      <c r="D315" s="466"/>
      <c r="E315" s="467"/>
      <c r="F315" s="466"/>
      <c r="G315" s="466"/>
      <c r="H315" s="466"/>
      <c r="I315" s="467"/>
      <c r="J315" s="466"/>
      <c r="K315" s="466"/>
      <c r="L315" s="466"/>
      <c r="M315" s="352"/>
    </row>
    <row r="316" spans="1:13" x14ac:dyDescent="0.25">
      <c r="A316" s="348"/>
      <c r="B316" s="466"/>
      <c r="C316" s="466"/>
      <c r="D316" s="466"/>
      <c r="E316" s="467"/>
      <c r="F316" s="466"/>
      <c r="G316" s="466"/>
      <c r="H316" s="466"/>
      <c r="I316" s="467"/>
      <c r="J316" s="466"/>
      <c r="K316" s="466"/>
      <c r="L316" s="466"/>
      <c r="M316" s="352"/>
    </row>
    <row r="317" spans="1:13" x14ac:dyDescent="0.25">
      <c r="A317" s="348"/>
      <c r="B317" s="466"/>
      <c r="C317" s="466"/>
      <c r="D317" s="466"/>
      <c r="E317" s="467"/>
      <c r="F317" s="466"/>
      <c r="G317" s="466"/>
      <c r="H317" s="466"/>
      <c r="I317" s="467"/>
      <c r="J317" s="466"/>
      <c r="K317" s="466"/>
      <c r="L317" s="466"/>
      <c r="M317" s="352"/>
    </row>
    <row r="318" spans="1:13" x14ac:dyDescent="0.25">
      <c r="A318" s="348"/>
      <c r="B318" s="466"/>
      <c r="C318" s="466"/>
      <c r="D318" s="466"/>
      <c r="E318" s="467"/>
      <c r="F318" s="466"/>
      <c r="G318" s="466"/>
      <c r="H318" s="466"/>
      <c r="I318" s="467"/>
      <c r="J318" s="466"/>
      <c r="K318" s="466"/>
      <c r="L318" s="466"/>
      <c r="M318" s="352"/>
    </row>
    <row r="319" spans="1:13" x14ac:dyDescent="0.25">
      <c r="A319" s="348"/>
      <c r="B319" s="466"/>
      <c r="C319" s="466"/>
      <c r="D319" s="466"/>
      <c r="E319" s="467"/>
      <c r="F319" s="466"/>
      <c r="G319" s="466"/>
      <c r="H319" s="466"/>
      <c r="I319" s="467"/>
      <c r="J319" s="466"/>
      <c r="K319" s="466"/>
      <c r="L319" s="466"/>
      <c r="M319" s="352"/>
    </row>
    <row r="320" spans="1:13" x14ac:dyDescent="0.25">
      <c r="A320" s="348"/>
      <c r="B320" s="466"/>
      <c r="C320" s="466"/>
      <c r="D320" s="466"/>
      <c r="E320" s="467"/>
      <c r="F320" s="466"/>
      <c r="G320" s="466"/>
      <c r="H320" s="466"/>
      <c r="I320" s="467"/>
      <c r="J320" s="466"/>
      <c r="K320" s="466"/>
      <c r="L320" s="466"/>
      <c r="M320" s="352"/>
    </row>
    <row r="321" spans="1:13" x14ac:dyDescent="0.25">
      <c r="A321" s="348"/>
      <c r="B321" s="466"/>
      <c r="C321" s="466"/>
      <c r="D321" s="466"/>
      <c r="E321" s="467"/>
      <c r="F321" s="466"/>
      <c r="G321" s="466"/>
      <c r="H321" s="466"/>
      <c r="I321" s="467"/>
      <c r="J321" s="466"/>
      <c r="K321" s="466"/>
      <c r="L321" s="466"/>
      <c r="M321" s="352"/>
    </row>
    <row r="322" spans="1:13" x14ac:dyDescent="0.25">
      <c r="A322" s="348"/>
      <c r="B322" s="466"/>
      <c r="C322" s="466"/>
      <c r="D322" s="466"/>
      <c r="E322" s="467"/>
      <c r="F322" s="466"/>
      <c r="G322" s="466"/>
      <c r="H322" s="466"/>
      <c r="I322" s="467"/>
      <c r="J322" s="466"/>
      <c r="K322" s="466"/>
      <c r="L322" s="466"/>
      <c r="M322" s="352"/>
    </row>
    <row r="323" spans="1:13" x14ac:dyDescent="0.25">
      <c r="A323" s="348"/>
      <c r="B323" s="466"/>
      <c r="C323" s="466"/>
      <c r="D323" s="466"/>
      <c r="E323" s="467"/>
      <c r="F323" s="466"/>
      <c r="G323" s="466"/>
      <c r="H323" s="466"/>
      <c r="I323" s="467"/>
      <c r="J323" s="466"/>
      <c r="K323" s="466"/>
      <c r="L323" s="466"/>
      <c r="M323" s="352"/>
    </row>
    <row r="324" spans="1:13" x14ac:dyDescent="0.25">
      <c r="A324" s="348"/>
      <c r="B324" s="467"/>
      <c r="C324" s="467"/>
      <c r="D324" s="467"/>
      <c r="E324" s="467"/>
      <c r="F324" s="467"/>
      <c r="G324" s="467"/>
      <c r="H324" s="467"/>
      <c r="I324" s="467"/>
      <c r="J324" s="467"/>
      <c r="K324" s="467"/>
      <c r="L324" s="467"/>
      <c r="M324" s="352"/>
    </row>
    <row r="325" spans="1:13" x14ac:dyDescent="0.25">
      <c r="A325" s="348"/>
      <c r="B325" s="348"/>
      <c r="C325" s="348"/>
      <c r="D325" s="348"/>
      <c r="E325" s="348"/>
      <c r="F325" s="348"/>
      <c r="G325" s="348"/>
      <c r="H325" s="348"/>
      <c r="I325" s="348"/>
      <c r="J325" s="348"/>
      <c r="K325" s="348"/>
      <c r="L325" s="353"/>
      <c r="M325" s="352"/>
    </row>
    <row r="326" spans="1:13" x14ac:dyDescent="0.25">
      <c r="A326" s="348"/>
      <c r="B326" s="348"/>
      <c r="C326" s="348"/>
      <c r="D326" s="348"/>
      <c r="E326" s="348"/>
      <c r="F326" s="348"/>
      <c r="G326" s="348"/>
      <c r="H326" s="348"/>
      <c r="I326" s="348"/>
      <c r="J326" s="348"/>
      <c r="K326" s="348"/>
      <c r="L326" s="410"/>
      <c r="M326" s="352"/>
    </row>
    <row r="327" spans="1:13" x14ac:dyDescent="0.25">
      <c r="A327" s="374"/>
      <c r="B327" s="354"/>
      <c r="C327" s="354"/>
      <c r="D327" s="354"/>
      <c r="E327" s="354"/>
      <c r="F327" s="354"/>
      <c r="G327" s="354"/>
      <c r="H327" s="354"/>
      <c r="I327" s="354"/>
      <c r="J327" s="354"/>
      <c r="K327" s="354"/>
      <c r="L327" s="352"/>
      <c r="M327" s="352"/>
    </row>
    <row r="328" spans="1:13" x14ac:dyDescent="0.25">
      <c r="A328" s="354"/>
      <c r="B328" s="515"/>
      <c r="C328" s="515"/>
      <c r="D328" s="515"/>
      <c r="E328" s="369"/>
      <c r="F328" s="515"/>
      <c r="G328" s="515"/>
      <c r="H328" s="515"/>
      <c r="I328" s="369"/>
      <c r="J328" s="515"/>
      <c r="K328" s="515"/>
      <c r="L328" s="515"/>
      <c r="M328" s="352"/>
    </row>
    <row r="329" spans="1:13" x14ac:dyDescent="0.25">
      <c r="A329" s="374"/>
      <c r="B329" s="375"/>
      <c r="C329" s="375"/>
      <c r="D329" s="375"/>
      <c r="E329" s="375"/>
      <c r="F329" s="375"/>
      <c r="G329" s="375"/>
      <c r="H329" s="375"/>
      <c r="I329" s="375"/>
      <c r="J329" s="375"/>
      <c r="K329" s="375"/>
      <c r="L329" s="375"/>
      <c r="M329" s="352"/>
    </row>
    <row r="330" spans="1:13" x14ac:dyDescent="0.25">
      <c r="A330" s="374"/>
      <c r="B330" s="375"/>
      <c r="C330" s="375"/>
      <c r="D330" s="375"/>
      <c r="E330" s="375"/>
      <c r="F330" s="375"/>
      <c r="G330" s="375"/>
      <c r="H330" s="375"/>
      <c r="I330" s="375"/>
      <c r="J330" s="375"/>
      <c r="K330" s="375"/>
      <c r="L330" s="375"/>
      <c r="M330" s="352"/>
    </row>
    <row r="331" spans="1:13" x14ac:dyDescent="0.25">
      <c r="A331" s="348"/>
      <c r="B331" s="466"/>
      <c r="C331" s="466"/>
      <c r="D331" s="466"/>
      <c r="E331" s="467"/>
      <c r="F331" s="466"/>
      <c r="G331" s="466"/>
      <c r="H331" s="466"/>
      <c r="I331" s="467"/>
      <c r="J331" s="466"/>
      <c r="K331" s="466"/>
      <c r="L331" s="466"/>
      <c r="M331" s="352"/>
    </row>
    <row r="332" spans="1:13" x14ac:dyDescent="0.25">
      <c r="A332" s="348"/>
      <c r="B332" s="466"/>
      <c r="C332" s="466"/>
      <c r="D332" s="466"/>
      <c r="E332" s="467"/>
      <c r="F332" s="466"/>
      <c r="G332" s="466"/>
      <c r="H332" s="466"/>
      <c r="I332" s="467"/>
      <c r="J332" s="466"/>
      <c r="K332" s="466"/>
      <c r="L332" s="466"/>
      <c r="M332" s="352"/>
    </row>
    <row r="333" spans="1:13" x14ac:dyDescent="0.25">
      <c r="A333" s="348"/>
      <c r="B333" s="466"/>
      <c r="C333" s="466"/>
      <c r="D333" s="466"/>
      <c r="E333" s="467"/>
      <c r="F333" s="466"/>
      <c r="G333" s="466"/>
      <c r="H333" s="466"/>
      <c r="I333" s="467"/>
      <c r="J333" s="466"/>
      <c r="K333" s="466"/>
      <c r="L333" s="466"/>
      <c r="M333" s="352"/>
    </row>
    <row r="334" spans="1:13" x14ac:dyDescent="0.25">
      <c r="A334" s="348"/>
      <c r="B334" s="466"/>
      <c r="C334" s="466"/>
      <c r="D334" s="466"/>
      <c r="E334" s="467"/>
      <c r="F334" s="466"/>
      <c r="G334" s="466"/>
      <c r="H334" s="466"/>
      <c r="I334" s="467"/>
      <c r="J334" s="466"/>
      <c r="K334" s="466"/>
      <c r="L334" s="466"/>
      <c r="M334" s="352"/>
    </row>
    <row r="335" spans="1:13" x14ac:dyDescent="0.25">
      <c r="A335" s="348"/>
      <c r="B335" s="466"/>
      <c r="C335" s="466"/>
      <c r="D335" s="466"/>
      <c r="E335" s="467"/>
      <c r="F335" s="466"/>
      <c r="G335" s="466"/>
      <c r="H335" s="466"/>
      <c r="I335" s="467"/>
      <c r="J335" s="466"/>
      <c r="K335" s="466"/>
      <c r="L335" s="466"/>
      <c r="M335" s="352"/>
    </row>
    <row r="336" spans="1:13" x14ac:dyDescent="0.25">
      <c r="A336" s="348"/>
      <c r="B336" s="466"/>
      <c r="C336" s="466"/>
      <c r="D336" s="466"/>
      <c r="E336" s="467"/>
      <c r="F336" s="466"/>
      <c r="G336" s="466"/>
      <c r="H336" s="466"/>
      <c r="I336" s="467"/>
      <c r="J336" s="466"/>
      <c r="K336" s="466"/>
      <c r="L336" s="466"/>
      <c r="M336" s="352"/>
    </row>
    <row r="337" spans="1:13" x14ac:dyDescent="0.25">
      <c r="A337" s="348"/>
      <c r="B337" s="466"/>
      <c r="C337" s="466"/>
      <c r="D337" s="466"/>
      <c r="E337" s="467"/>
      <c r="F337" s="466"/>
      <c r="G337" s="466"/>
      <c r="H337" s="466"/>
      <c r="I337" s="467"/>
      <c r="J337" s="466"/>
      <c r="K337" s="466"/>
      <c r="L337" s="466"/>
      <c r="M337" s="352"/>
    </row>
    <row r="338" spans="1:13" x14ac:dyDescent="0.25">
      <c r="A338" s="348"/>
      <c r="B338" s="466"/>
      <c r="C338" s="466"/>
      <c r="D338" s="466"/>
      <c r="E338" s="467"/>
      <c r="F338" s="466"/>
      <c r="G338" s="466"/>
      <c r="H338" s="466"/>
      <c r="I338" s="467"/>
      <c r="J338" s="466"/>
      <c r="K338" s="466"/>
      <c r="L338" s="466"/>
      <c r="M338" s="352"/>
    </row>
    <row r="339" spans="1:13" x14ac:dyDescent="0.25">
      <c r="A339" s="348"/>
      <c r="B339" s="466"/>
      <c r="C339" s="466"/>
      <c r="D339" s="466"/>
      <c r="E339" s="467"/>
      <c r="F339" s="466"/>
      <c r="G339" s="466"/>
      <c r="H339" s="466"/>
      <c r="I339" s="467"/>
      <c r="J339" s="466"/>
      <c r="K339" s="466"/>
      <c r="L339" s="466"/>
      <c r="M339" s="352"/>
    </row>
    <row r="340" spans="1:13" x14ac:dyDescent="0.25">
      <c r="A340" s="348"/>
      <c r="B340" s="466"/>
      <c r="C340" s="466"/>
      <c r="D340" s="466"/>
      <c r="E340" s="467"/>
      <c r="F340" s="466"/>
      <c r="G340" s="466"/>
      <c r="H340" s="466"/>
      <c r="I340" s="467"/>
      <c r="J340" s="466"/>
      <c r="K340" s="466"/>
      <c r="L340" s="466"/>
      <c r="M340" s="352"/>
    </row>
    <row r="341" spans="1:13" x14ac:dyDescent="0.25">
      <c r="A341" s="348"/>
      <c r="B341" s="467"/>
      <c r="C341" s="467"/>
      <c r="D341" s="467"/>
      <c r="E341" s="467"/>
      <c r="F341" s="467"/>
      <c r="G341" s="467"/>
      <c r="H341" s="467"/>
      <c r="I341" s="467"/>
      <c r="J341" s="467"/>
      <c r="K341" s="467"/>
      <c r="L341" s="467"/>
      <c r="M341" s="352"/>
    </row>
    <row r="342" spans="1:13" x14ac:dyDescent="0.25">
      <c r="A342" s="348"/>
      <c r="B342" s="348"/>
      <c r="C342" s="348"/>
      <c r="D342" s="348"/>
      <c r="E342" s="348"/>
      <c r="F342" s="348"/>
      <c r="G342" s="348"/>
      <c r="H342" s="348"/>
      <c r="I342" s="348"/>
      <c r="J342" s="348"/>
      <c r="K342" s="348"/>
      <c r="L342" s="353"/>
      <c r="M342" s="352"/>
    </row>
    <row r="343" spans="1:13" x14ac:dyDescent="0.25">
      <c r="A343" s="348"/>
      <c r="B343" s="348"/>
      <c r="C343" s="348"/>
      <c r="D343" s="348"/>
      <c r="E343" s="348"/>
      <c r="F343" s="348"/>
      <c r="G343" s="348"/>
      <c r="H343" s="348"/>
      <c r="I343" s="348"/>
      <c r="J343" s="348"/>
      <c r="K343" s="348"/>
      <c r="L343" s="410"/>
      <c r="M343" s="352"/>
    </row>
    <row r="344" spans="1:13" x14ac:dyDescent="0.25">
      <c r="A344" s="374"/>
      <c r="B344" s="354"/>
      <c r="C344" s="354"/>
      <c r="D344" s="354"/>
      <c r="E344" s="354"/>
      <c r="F344" s="354"/>
      <c r="G344" s="354"/>
      <c r="H344" s="354"/>
      <c r="I344" s="354"/>
      <c r="J344" s="354"/>
      <c r="K344" s="354"/>
      <c r="L344" s="352"/>
      <c r="M344" s="352"/>
    </row>
    <row r="345" spans="1:13" x14ac:dyDescent="0.25">
      <c r="A345" s="354"/>
      <c r="B345" s="515"/>
      <c r="C345" s="515"/>
      <c r="D345" s="515"/>
      <c r="E345" s="369"/>
      <c r="F345" s="515"/>
      <c r="G345" s="515"/>
      <c r="H345" s="515"/>
      <c r="I345" s="369"/>
      <c r="J345" s="515"/>
      <c r="K345" s="515"/>
      <c r="L345" s="515"/>
      <c r="M345" s="352"/>
    </row>
    <row r="346" spans="1:13" x14ac:dyDescent="0.25">
      <c r="A346" s="374"/>
      <c r="B346" s="375"/>
      <c r="C346" s="375"/>
      <c r="D346" s="375"/>
      <c r="E346" s="375"/>
      <c r="F346" s="375"/>
      <c r="G346" s="375"/>
      <c r="H346" s="375"/>
      <c r="I346" s="375"/>
      <c r="J346" s="375"/>
      <c r="K346" s="375"/>
      <c r="L346" s="375"/>
      <c r="M346" s="352"/>
    </row>
    <row r="347" spans="1:13" x14ac:dyDescent="0.25">
      <c r="A347" s="374"/>
      <c r="B347" s="375"/>
      <c r="C347" s="375"/>
      <c r="D347" s="375"/>
      <c r="E347" s="375"/>
      <c r="F347" s="375"/>
      <c r="G347" s="375"/>
      <c r="H347" s="375"/>
      <c r="I347" s="375"/>
      <c r="J347" s="375"/>
      <c r="K347" s="375"/>
      <c r="L347" s="375"/>
      <c r="M347" s="352"/>
    </row>
    <row r="348" spans="1:13" x14ac:dyDescent="0.25">
      <c r="A348" s="348"/>
      <c r="B348" s="466"/>
      <c r="C348" s="466"/>
      <c r="D348" s="466"/>
      <c r="E348" s="467"/>
      <c r="F348" s="466"/>
      <c r="G348" s="466"/>
      <c r="H348" s="466"/>
      <c r="I348" s="467"/>
      <c r="J348" s="466"/>
      <c r="K348" s="466"/>
      <c r="L348" s="466"/>
      <c r="M348" s="352"/>
    </row>
    <row r="349" spans="1:13" x14ac:dyDescent="0.25">
      <c r="A349" s="348"/>
      <c r="B349" s="466"/>
      <c r="C349" s="466"/>
      <c r="D349" s="466"/>
      <c r="E349" s="467"/>
      <c r="F349" s="466"/>
      <c r="G349" s="466"/>
      <c r="H349" s="466"/>
      <c r="I349" s="467"/>
      <c r="J349" s="466"/>
      <c r="K349" s="466"/>
      <c r="L349" s="466"/>
      <c r="M349" s="352"/>
    </row>
    <row r="350" spans="1:13" x14ac:dyDescent="0.25">
      <c r="A350" s="348"/>
      <c r="B350" s="466"/>
      <c r="C350" s="466"/>
      <c r="D350" s="466"/>
      <c r="E350" s="467"/>
      <c r="F350" s="466"/>
      <c r="G350" s="466"/>
      <c r="H350" s="466"/>
      <c r="I350" s="467"/>
      <c r="J350" s="466"/>
      <c r="K350" s="466"/>
      <c r="L350" s="466"/>
      <c r="M350" s="352"/>
    </row>
    <row r="351" spans="1:13" x14ac:dyDescent="0.25">
      <c r="A351" s="348"/>
      <c r="B351" s="466"/>
      <c r="C351" s="466"/>
      <c r="D351" s="466"/>
      <c r="E351" s="467"/>
      <c r="F351" s="466"/>
      <c r="G351" s="466"/>
      <c r="H351" s="466"/>
      <c r="I351" s="467"/>
      <c r="J351" s="466"/>
      <c r="K351" s="466"/>
      <c r="L351" s="466"/>
      <c r="M351" s="352"/>
    </row>
    <row r="352" spans="1:13" x14ac:dyDescent="0.25">
      <c r="A352" s="348"/>
      <c r="B352" s="466"/>
      <c r="C352" s="466"/>
      <c r="D352" s="466"/>
      <c r="E352" s="467"/>
      <c r="F352" s="466"/>
      <c r="G352" s="466"/>
      <c r="H352" s="466"/>
      <c r="I352" s="467"/>
      <c r="J352" s="466"/>
      <c r="K352" s="466"/>
      <c r="L352" s="466"/>
      <c r="M352" s="352"/>
    </row>
    <row r="353" spans="1:13" x14ac:dyDescent="0.25">
      <c r="A353" s="348"/>
      <c r="B353" s="466"/>
      <c r="C353" s="466"/>
      <c r="D353" s="466"/>
      <c r="E353" s="467"/>
      <c r="F353" s="466"/>
      <c r="G353" s="466"/>
      <c r="H353" s="466"/>
      <c r="I353" s="467"/>
      <c r="J353" s="466"/>
      <c r="K353" s="466"/>
      <c r="L353" s="466"/>
      <c r="M353" s="352"/>
    </row>
    <row r="354" spans="1:13" x14ac:dyDescent="0.25">
      <c r="A354" s="348"/>
      <c r="B354" s="466"/>
      <c r="C354" s="466"/>
      <c r="D354" s="466"/>
      <c r="E354" s="467"/>
      <c r="F354" s="466"/>
      <c r="G354" s="466"/>
      <c r="H354" s="466"/>
      <c r="I354" s="467"/>
      <c r="J354" s="466"/>
      <c r="K354" s="466"/>
      <c r="L354" s="466"/>
      <c r="M354" s="352"/>
    </row>
    <row r="355" spans="1:13" x14ac:dyDescent="0.25">
      <c r="A355" s="348"/>
      <c r="B355" s="466"/>
      <c r="C355" s="466"/>
      <c r="D355" s="466"/>
      <c r="E355" s="467"/>
      <c r="F355" s="466"/>
      <c r="G355" s="466"/>
      <c r="H355" s="466"/>
      <c r="I355" s="467"/>
      <c r="J355" s="466"/>
      <c r="K355" s="466"/>
      <c r="L355" s="466"/>
      <c r="M355" s="352"/>
    </row>
    <row r="356" spans="1:13" x14ac:dyDescent="0.25">
      <c r="A356" s="348"/>
      <c r="B356" s="466"/>
      <c r="C356" s="466"/>
      <c r="D356" s="466"/>
      <c r="E356" s="467"/>
      <c r="F356" s="466"/>
      <c r="G356" s="466"/>
      <c r="H356" s="466"/>
      <c r="I356" s="467"/>
      <c r="J356" s="466"/>
      <c r="K356" s="466"/>
      <c r="L356" s="466"/>
      <c r="M356" s="352"/>
    </row>
    <row r="357" spans="1:13" x14ac:dyDescent="0.25">
      <c r="A357" s="348"/>
      <c r="B357" s="466"/>
      <c r="C357" s="466"/>
      <c r="D357" s="466"/>
      <c r="E357" s="467"/>
      <c r="F357" s="466"/>
      <c r="G357" s="466"/>
      <c r="H357" s="466"/>
      <c r="I357" s="467"/>
      <c r="J357" s="466"/>
      <c r="K357" s="466"/>
      <c r="L357" s="466"/>
      <c r="M357" s="352"/>
    </row>
    <row r="358" spans="1:13" x14ac:dyDescent="0.25">
      <c r="A358" s="348"/>
      <c r="B358" s="467"/>
      <c r="C358" s="467"/>
      <c r="D358" s="467"/>
      <c r="E358" s="467"/>
      <c r="F358" s="467"/>
      <c r="G358" s="467"/>
      <c r="H358" s="467"/>
      <c r="I358" s="467"/>
      <c r="J358" s="467"/>
      <c r="K358" s="467"/>
      <c r="L358" s="467"/>
      <c r="M358" s="352"/>
    </row>
    <row r="359" spans="1:13" x14ac:dyDescent="0.25">
      <c r="A359" s="348"/>
      <c r="B359" s="348"/>
      <c r="C359" s="348"/>
      <c r="D359" s="348"/>
      <c r="E359" s="348"/>
      <c r="F359" s="348"/>
      <c r="G359" s="348"/>
      <c r="H359" s="348"/>
      <c r="I359" s="348"/>
      <c r="J359" s="348"/>
      <c r="K359" s="348"/>
      <c r="L359" s="353"/>
      <c r="M359" s="352"/>
    </row>
    <row r="360" spans="1:13" x14ac:dyDescent="0.25">
      <c r="A360" s="348"/>
      <c r="B360" s="348"/>
      <c r="C360" s="348"/>
      <c r="D360" s="348"/>
      <c r="E360" s="348"/>
      <c r="F360" s="348"/>
      <c r="G360" s="348"/>
      <c r="H360" s="348"/>
      <c r="I360" s="348"/>
      <c r="J360" s="348"/>
      <c r="K360" s="348"/>
      <c r="L360" s="410"/>
      <c r="M360" s="352"/>
    </row>
    <row r="361" spans="1:13" x14ac:dyDescent="0.25">
      <c r="A361" s="374"/>
      <c r="B361" s="354"/>
      <c r="C361" s="354"/>
      <c r="D361" s="354"/>
      <c r="E361" s="354"/>
      <c r="F361" s="354"/>
      <c r="G361" s="354"/>
      <c r="H361" s="354"/>
      <c r="I361" s="354"/>
      <c r="J361" s="354"/>
      <c r="K361" s="354"/>
      <c r="L361" s="352"/>
      <c r="M361" s="352"/>
    </row>
    <row r="362" spans="1:13" x14ac:dyDescent="0.25">
      <c r="A362" s="354"/>
      <c r="B362" s="515"/>
      <c r="C362" s="515"/>
      <c r="D362" s="515"/>
      <c r="E362" s="369"/>
      <c r="F362" s="515"/>
      <c r="G362" s="515"/>
      <c r="H362" s="515"/>
      <c r="I362" s="369"/>
      <c r="J362" s="515"/>
      <c r="K362" s="515"/>
      <c r="L362" s="515"/>
      <c r="M362" s="352"/>
    </row>
    <row r="363" spans="1:13" x14ac:dyDescent="0.25">
      <c r="A363" s="374"/>
      <c r="B363" s="375"/>
      <c r="C363" s="375"/>
      <c r="D363" s="375"/>
      <c r="E363" s="375"/>
      <c r="F363" s="375"/>
      <c r="G363" s="375"/>
      <c r="H363" s="375"/>
      <c r="I363" s="375"/>
      <c r="J363" s="375"/>
      <c r="K363" s="375"/>
      <c r="L363" s="375"/>
      <c r="M363" s="352"/>
    </row>
    <row r="364" spans="1:13" x14ac:dyDescent="0.25">
      <c r="A364" s="374"/>
      <c r="B364" s="375"/>
      <c r="C364" s="375"/>
      <c r="D364" s="375"/>
      <c r="E364" s="375"/>
      <c r="F364" s="375"/>
      <c r="G364" s="375"/>
      <c r="H364" s="375"/>
      <c r="I364" s="375"/>
      <c r="J364" s="375"/>
      <c r="K364" s="375"/>
      <c r="L364" s="375"/>
      <c r="M364" s="352"/>
    </row>
    <row r="365" spans="1:13" x14ac:dyDescent="0.25">
      <c r="A365" s="348"/>
      <c r="B365" s="466"/>
      <c r="C365" s="466"/>
      <c r="D365" s="466"/>
      <c r="E365" s="467"/>
      <c r="F365" s="466"/>
      <c r="G365" s="466"/>
      <c r="H365" s="466"/>
      <c r="I365" s="467"/>
      <c r="J365" s="466"/>
      <c r="K365" s="466"/>
      <c r="L365" s="466"/>
      <c r="M365" s="352"/>
    </row>
    <row r="366" spans="1:13" x14ac:dyDescent="0.25">
      <c r="A366" s="348"/>
      <c r="B366" s="466"/>
      <c r="C366" s="466"/>
      <c r="D366" s="466"/>
      <c r="E366" s="467"/>
      <c r="F366" s="466"/>
      <c r="G366" s="466"/>
      <c r="H366" s="466"/>
      <c r="I366" s="467"/>
      <c r="J366" s="466"/>
      <c r="K366" s="466"/>
      <c r="L366" s="466"/>
      <c r="M366" s="352"/>
    </row>
    <row r="367" spans="1:13" x14ac:dyDescent="0.25">
      <c r="A367" s="348"/>
      <c r="B367" s="466"/>
      <c r="C367" s="466"/>
      <c r="D367" s="466"/>
      <c r="E367" s="467"/>
      <c r="F367" s="466"/>
      <c r="G367" s="466"/>
      <c r="H367" s="466"/>
      <c r="I367" s="467"/>
      <c r="J367" s="466"/>
      <c r="K367" s="466"/>
      <c r="L367" s="466"/>
      <c r="M367" s="352"/>
    </row>
    <row r="368" spans="1:13" x14ac:dyDescent="0.25">
      <c r="A368" s="348"/>
      <c r="B368" s="466"/>
      <c r="C368" s="466"/>
      <c r="D368" s="466"/>
      <c r="E368" s="467"/>
      <c r="F368" s="466"/>
      <c r="G368" s="466"/>
      <c r="H368" s="466"/>
      <c r="I368" s="467"/>
      <c r="J368" s="466"/>
      <c r="K368" s="466"/>
      <c r="L368" s="466"/>
      <c r="M368" s="352"/>
    </row>
    <row r="369" spans="1:13" x14ac:dyDescent="0.25">
      <c r="A369" s="348"/>
      <c r="B369" s="466"/>
      <c r="C369" s="466"/>
      <c r="D369" s="466"/>
      <c r="E369" s="467"/>
      <c r="F369" s="466"/>
      <c r="G369" s="466"/>
      <c r="H369" s="466"/>
      <c r="I369" s="467"/>
      <c r="J369" s="466"/>
      <c r="K369" s="466"/>
      <c r="L369" s="466"/>
      <c r="M369" s="352"/>
    </row>
    <row r="370" spans="1:13" x14ac:dyDescent="0.25">
      <c r="A370" s="348"/>
      <c r="B370" s="466"/>
      <c r="C370" s="466"/>
      <c r="D370" s="466"/>
      <c r="E370" s="467"/>
      <c r="F370" s="466"/>
      <c r="G370" s="466"/>
      <c r="H370" s="466"/>
      <c r="I370" s="467"/>
      <c r="J370" s="466"/>
      <c r="K370" s="466"/>
      <c r="L370" s="466"/>
      <c r="M370" s="352"/>
    </row>
    <row r="371" spans="1:13" x14ac:dyDescent="0.25">
      <c r="A371" s="348"/>
      <c r="B371" s="466"/>
      <c r="C371" s="466"/>
      <c r="D371" s="466"/>
      <c r="E371" s="467"/>
      <c r="F371" s="466"/>
      <c r="G371" s="466"/>
      <c r="H371" s="466"/>
      <c r="I371" s="467"/>
      <c r="J371" s="466"/>
      <c r="K371" s="466"/>
      <c r="L371" s="466"/>
      <c r="M371" s="352"/>
    </row>
    <row r="372" spans="1:13" x14ac:dyDescent="0.25">
      <c r="A372" s="348"/>
      <c r="B372" s="466"/>
      <c r="C372" s="466"/>
      <c r="D372" s="466"/>
      <c r="E372" s="467"/>
      <c r="F372" s="466"/>
      <c r="G372" s="466"/>
      <c r="H372" s="466"/>
      <c r="I372" s="467"/>
      <c r="J372" s="466"/>
      <c r="K372" s="466"/>
      <c r="L372" s="466"/>
      <c r="M372" s="352"/>
    </row>
    <row r="373" spans="1:13" x14ac:dyDescent="0.25">
      <c r="A373" s="348"/>
      <c r="B373" s="466"/>
      <c r="C373" s="466"/>
      <c r="D373" s="466"/>
      <c r="E373" s="467"/>
      <c r="F373" s="466"/>
      <c r="G373" s="466"/>
      <c r="H373" s="466"/>
      <c r="I373" s="467"/>
      <c r="J373" s="466"/>
      <c r="K373" s="466"/>
      <c r="L373" s="466"/>
      <c r="M373" s="352"/>
    </row>
    <row r="374" spans="1:13" x14ac:dyDescent="0.25">
      <c r="A374" s="348"/>
      <c r="B374" s="466"/>
      <c r="C374" s="466"/>
      <c r="D374" s="466"/>
      <c r="E374" s="467"/>
      <c r="F374" s="466"/>
      <c r="G374" s="466"/>
      <c r="H374" s="466"/>
      <c r="I374" s="467"/>
      <c r="J374" s="466"/>
      <c r="K374" s="466"/>
      <c r="L374" s="466"/>
      <c r="M374" s="352"/>
    </row>
    <row r="375" spans="1:13" x14ac:dyDescent="0.25">
      <c r="A375" s="348"/>
      <c r="B375" s="467"/>
      <c r="C375" s="467"/>
      <c r="D375" s="467"/>
      <c r="E375" s="467"/>
      <c r="F375" s="467"/>
      <c r="G375" s="467"/>
      <c r="H375" s="467"/>
      <c r="I375" s="467"/>
      <c r="J375" s="467"/>
      <c r="K375" s="467"/>
      <c r="L375" s="467"/>
      <c r="M375" s="352"/>
    </row>
    <row r="376" spans="1:13" x14ac:dyDescent="0.25">
      <c r="A376" s="348"/>
      <c r="B376" s="348"/>
      <c r="C376" s="348"/>
      <c r="D376" s="348"/>
      <c r="E376" s="348"/>
      <c r="F376" s="348"/>
      <c r="G376" s="348"/>
      <c r="H376" s="348"/>
      <c r="I376" s="348"/>
      <c r="J376" s="348"/>
      <c r="K376" s="348"/>
      <c r="L376" s="353"/>
      <c r="M376" s="352"/>
    </row>
    <row r="377" spans="1:13" x14ac:dyDescent="0.25">
      <c r="A377" s="348"/>
      <c r="B377" s="348"/>
      <c r="C377" s="348"/>
      <c r="D377" s="348"/>
      <c r="E377" s="348"/>
      <c r="F377" s="348"/>
      <c r="G377" s="348"/>
      <c r="H377" s="348"/>
      <c r="I377" s="348"/>
      <c r="J377" s="348"/>
      <c r="K377" s="348"/>
      <c r="L377" s="410"/>
      <c r="M377" s="352"/>
    </row>
    <row r="378" spans="1:13" x14ac:dyDescent="0.25">
      <c r="A378" s="374"/>
      <c r="B378" s="354"/>
      <c r="C378" s="354"/>
      <c r="D378" s="354"/>
      <c r="E378" s="354"/>
      <c r="F378" s="354"/>
      <c r="G378" s="354"/>
      <c r="H378" s="354"/>
      <c r="I378" s="354"/>
      <c r="J378" s="354"/>
      <c r="K378" s="354"/>
      <c r="L378" s="352"/>
      <c r="M378" s="352"/>
    </row>
    <row r="379" spans="1:13" x14ac:dyDescent="0.25">
      <c r="A379" s="354"/>
      <c r="B379" s="515"/>
      <c r="C379" s="515"/>
      <c r="D379" s="515"/>
      <c r="E379" s="369"/>
      <c r="F379" s="515"/>
      <c r="G379" s="515"/>
      <c r="H379" s="515"/>
      <c r="I379" s="369"/>
      <c r="J379" s="515"/>
      <c r="K379" s="515"/>
      <c r="L379" s="515"/>
      <c r="M379" s="352"/>
    </row>
    <row r="380" spans="1:13" x14ac:dyDescent="0.25">
      <c r="A380" s="374"/>
      <c r="B380" s="375"/>
      <c r="C380" s="375"/>
      <c r="D380" s="375"/>
      <c r="E380" s="375"/>
      <c r="F380" s="375"/>
      <c r="G380" s="375"/>
      <c r="H380" s="375"/>
      <c r="I380" s="375"/>
      <c r="J380" s="375"/>
      <c r="K380" s="375"/>
      <c r="L380" s="375"/>
      <c r="M380" s="352"/>
    </row>
    <row r="381" spans="1:13" x14ac:dyDescent="0.25">
      <c r="A381" s="374"/>
      <c r="B381" s="375"/>
      <c r="C381" s="375"/>
      <c r="D381" s="375"/>
      <c r="E381" s="375"/>
      <c r="F381" s="375"/>
      <c r="G381" s="375"/>
      <c r="H381" s="375"/>
      <c r="I381" s="375"/>
      <c r="J381" s="375"/>
      <c r="K381" s="375"/>
      <c r="L381" s="375"/>
      <c r="M381" s="352"/>
    </row>
    <row r="382" spans="1:13" x14ac:dyDescent="0.25">
      <c r="A382" s="348"/>
      <c r="B382" s="466"/>
      <c r="C382" s="466"/>
      <c r="D382" s="466"/>
      <c r="E382" s="467"/>
      <c r="F382" s="466"/>
      <c r="G382" s="466"/>
      <c r="H382" s="466"/>
      <c r="I382" s="467"/>
      <c r="J382" s="466"/>
      <c r="K382" s="466"/>
      <c r="L382" s="466"/>
      <c r="M382" s="352"/>
    </row>
    <row r="383" spans="1:13" x14ac:dyDescent="0.25">
      <c r="A383" s="348"/>
      <c r="B383" s="466"/>
      <c r="C383" s="466"/>
      <c r="D383" s="466"/>
      <c r="E383" s="467"/>
      <c r="F383" s="466"/>
      <c r="G383" s="466"/>
      <c r="H383" s="466"/>
      <c r="I383" s="467"/>
      <c r="J383" s="466"/>
      <c r="K383" s="466"/>
      <c r="L383" s="466"/>
      <c r="M383" s="352"/>
    </row>
    <row r="384" spans="1:13" x14ac:dyDescent="0.25">
      <c r="A384" s="348"/>
      <c r="B384" s="466"/>
      <c r="C384" s="466"/>
      <c r="D384" s="466"/>
      <c r="E384" s="467"/>
      <c r="F384" s="466"/>
      <c r="G384" s="466"/>
      <c r="H384" s="466"/>
      <c r="I384" s="467"/>
      <c r="J384" s="466"/>
      <c r="K384" s="466"/>
      <c r="L384" s="466"/>
      <c r="M384" s="352"/>
    </row>
    <row r="385" spans="1:13" x14ac:dyDescent="0.25">
      <c r="A385" s="348"/>
      <c r="B385" s="466"/>
      <c r="C385" s="466"/>
      <c r="D385" s="466"/>
      <c r="E385" s="467"/>
      <c r="F385" s="466"/>
      <c r="G385" s="466"/>
      <c r="H385" s="466"/>
      <c r="I385" s="467"/>
      <c r="J385" s="466"/>
      <c r="K385" s="466"/>
      <c r="L385" s="466"/>
      <c r="M385" s="352"/>
    </row>
    <row r="386" spans="1:13" x14ac:dyDescent="0.25">
      <c r="A386" s="348"/>
      <c r="B386" s="466"/>
      <c r="C386" s="466"/>
      <c r="D386" s="466"/>
      <c r="E386" s="467"/>
      <c r="F386" s="466"/>
      <c r="G386" s="466"/>
      <c r="H386" s="466"/>
      <c r="I386" s="467"/>
      <c r="J386" s="466"/>
      <c r="K386" s="466"/>
      <c r="L386" s="466"/>
      <c r="M386" s="352"/>
    </row>
    <row r="387" spans="1:13" x14ac:dyDescent="0.25">
      <c r="A387" s="348"/>
      <c r="B387" s="466"/>
      <c r="C387" s="466"/>
      <c r="D387" s="466"/>
      <c r="E387" s="467"/>
      <c r="F387" s="466"/>
      <c r="G387" s="466"/>
      <c r="H387" s="466"/>
      <c r="I387" s="467"/>
      <c r="J387" s="466"/>
      <c r="K387" s="466"/>
      <c r="L387" s="466"/>
      <c r="M387" s="352"/>
    </row>
    <row r="388" spans="1:13" x14ac:dyDescent="0.25">
      <c r="A388" s="348"/>
      <c r="B388" s="466"/>
      <c r="C388" s="466"/>
      <c r="D388" s="466"/>
      <c r="E388" s="467"/>
      <c r="F388" s="466"/>
      <c r="G388" s="466"/>
      <c r="H388" s="466"/>
      <c r="I388" s="467"/>
      <c r="J388" s="466"/>
      <c r="K388" s="466"/>
      <c r="L388" s="466"/>
      <c r="M388" s="352"/>
    </row>
    <row r="389" spans="1:13" x14ac:dyDescent="0.25">
      <c r="A389" s="348"/>
      <c r="B389" s="466"/>
      <c r="C389" s="466"/>
      <c r="D389" s="466"/>
      <c r="E389" s="467"/>
      <c r="F389" s="466"/>
      <c r="G389" s="466"/>
      <c r="H389" s="466"/>
      <c r="I389" s="467"/>
      <c r="J389" s="466"/>
      <c r="K389" s="466"/>
      <c r="L389" s="466"/>
      <c r="M389" s="352"/>
    </row>
    <row r="390" spans="1:13" x14ac:dyDescent="0.25">
      <c r="A390" s="348"/>
      <c r="B390" s="466"/>
      <c r="C390" s="466"/>
      <c r="D390" s="466"/>
      <c r="E390" s="467"/>
      <c r="F390" s="466"/>
      <c r="G390" s="466"/>
      <c r="H390" s="466"/>
      <c r="I390" s="467"/>
      <c r="J390" s="466"/>
      <c r="K390" s="466"/>
      <c r="L390" s="466"/>
      <c r="M390" s="352"/>
    </row>
    <row r="391" spans="1:13" x14ac:dyDescent="0.25">
      <c r="A391" s="348"/>
      <c r="B391" s="466"/>
      <c r="C391" s="466"/>
      <c r="D391" s="466"/>
      <c r="E391" s="467"/>
      <c r="F391" s="466"/>
      <c r="G391" s="466"/>
      <c r="H391" s="466"/>
      <c r="I391" s="467"/>
      <c r="J391" s="466"/>
      <c r="K391" s="466"/>
      <c r="L391" s="466"/>
      <c r="M391" s="352"/>
    </row>
    <row r="392" spans="1:13" x14ac:dyDescent="0.25">
      <c r="A392" s="348"/>
      <c r="B392" s="467"/>
      <c r="C392" s="467"/>
      <c r="D392" s="467"/>
      <c r="E392" s="467"/>
      <c r="F392" s="467"/>
      <c r="G392" s="467"/>
      <c r="H392" s="467"/>
      <c r="I392" s="467"/>
      <c r="J392" s="467"/>
      <c r="K392" s="467"/>
      <c r="L392" s="467"/>
      <c r="M392" s="352"/>
    </row>
    <row r="393" spans="1:13" x14ac:dyDescent="0.25">
      <c r="A393" s="348"/>
      <c r="B393" s="348"/>
      <c r="C393" s="348"/>
      <c r="D393" s="348"/>
      <c r="E393" s="348"/>
      <c r="F393" s="348"/>
      <c r="G393" s="348"/>
      <c r="H393" s="348"/>
      <c r="I393" s="348"/>
      <c r="J393" s="348"/>
      <c r="K393" s="348"/>
      <c r="L393" s="353"/>
      <c r="M393" s="352"/>
    </row>
    <row r="394" spans="1:13" x14ac:dyDescent="0.25">
      <c r="A394" s="348"/>
      <c r="B394" s="348"/>
      <c r="C394" s="348"/>
      <c r="D394" s="348"/>
      <c r="E394" s="348"/>
      <c r="F394" s="348"/>
      <c r="G394" s="348"/>
      <c r="H394" s="348"/>
      <c r="I394" s="348"/>
      <c r="J394" s="348"/>
      <c r="K394" s="348"/>
      <c r="L394" s="410"/>
      <c r="M394" s="352"/>
    </row>
    <row r="395" spans="1:13" x14ac:dyDescent="0.25">
      <c r="A395" s="374"/>
      <c r="B395" s="354"/>
      <c r="C395" s="354"/>
      <c r="D395" s="354"/>
      <c r="E395" s="354"/>
      <c r="F395" s="354"/>
      <c r="G395" s="354"/>
      <c r="H395" s="354"/>
      <c r="I395" s="354"/>
      <c r="J395" s="354"/>
      <c r="K395" s="354"/>
      <c r="L395" s="352"/>
      <c r="M395" s="352"/>
    </row>
    <row r="396" spans="1:13" x14ac:dyDescent="0.25">
      <c r="A396" s="354"/>
      <c r="B396" s="515"/>
      <c r="C396" s="515"/>
      <c r="D396" s="515"/>
      <c r="E396" s="369"/>
      <c r="F396" s="515"/>
      <c r="G396" s="515"/>
      <c r="H396" s="515"/>
      <c r="I396" s="369"/>
      <c r="J396" s="515"/>
      <c r="K396" s="515"/>
      <c r="L396" s="515"/>
      <c r="M396" s="352"/>
    </row>
    <row r="397" spans="1:13" x14ac:dyDescent="0.25">
      <c r="A397" s="374"/>
      <c r="B397" s="375"/>
      <c r="C397" s="375"/>
      <c r="D397" s="375"/>
      <c r="E397" s="375"/>
      <c r="F397" s="375"/>
      <c r="G397" s="375"/>
      <c r="H397" s="375"/>
      <c r="I397" s="375"/>
      <c r="J397" s="375"/>
      <c r="K397" s="375"/>
      <c r="L397" s="375"/>
      <c r="M397" s="352"/>
    </row>
    <row r="398" spans="1:13" x14ac:dyDescent="0.25">
      <c r="A398" s="374"/>
      <c r="B398" s="375"/>
      <c r="C398" s="375"/>
      <c r="D398" s="375"/>
      <c r="E398" s="375"/>
      <c r="F398" s="375"/>
      <c r="G398" s="375"/>
      <c r="H398" s="375"/>
      <c r="I398" s="375"/>
      <c r="J398" s="375"/>
      <c r="K398" s="375"/>
      <c r="L398" s="375"/>
      <c r="M398" s="352"/>
    </row>
    <row r="399" spans="1:13" x14ac:dyDescent="0.25">
      <c r="A399" s="348"/>
      <c r="B399" s="466"/>
      <c r="C399" s="466"/>
      <c r="D399" s="466"/>
      <c r="E399" s="467"/>
      <c r="F399" s="466"/>
      <c r="G399" s="466"/>
      <c r="H399" s="466"/>
      <c r="I399" s="467"/>
      <c r="J399" s="466"/>
      <c r="K399" s="466"/>
      <c r="L399" s="466"/>
      <c r="M399" s="352"/>
    </row>
    <row r="400" spans="1:13" x14ac:dyDescent="0.25">
      <c r="A400" s="348"/>
      <c r="B400" s="466"/>
      <c r="C400" s="466"/>
      <c r="D400" s="466"/>
      <c r="E400" s="467"/>
      <c r="F400" s="466"/>
      <c r="G400" s="466"/>
      <c r="H400" s="466"/>
      <c r="I400" s="467"/>
      <c r="J400" s="466"/>
      <c r="K400" s="466"/>
      <c r="L400" s="466"/>
      <c r="M400" s="352"/>
    </row>
    <row r="401" spans="1:13" x14ac:dyDescent="0.25">
      <c r="A401" s="348"/>
      <c r="B401" s="466"/>
      <c r="C401" s="466"/>
      <c r="D401" s="466"/>
      <c r="E401" s="467"/>
      <c r="F401" s="466"/>
      <c r="G401" s="466"/>
      <c r="H401" s="466"/>
      <c r="I401" s="467"/>
      <c r="J401" s="466"/>
      <c r="K401" s="466"/>
      <c r="L401" s="466"/>
      <c r="M401" s="352"/>
    </row>
    <row r="402" spans="1:13" x14ac:dyDescent="0.25">
      <c r="A402" s="348"/>
      <c r="B402" s="466"/>
      <c r="C402" s="466"/>
      <c r="D402" s="466"/>
      <c r="E402" s="467"/>
      <c r="F402" s="466"/>
      <c r="G402" s="466"/>
      <c r="H402" s="466"/>
      <c r="I402" s="467"/>
      <c r="J402" s="466"/>
      <c r="K402" s="466"/>
      <c r="L402" s="466"/>
      <c r="M402" s="352"/>
    </row>
    <row r="403" spans="1:13" x14ac:dyDescent="0.25">
      <c r="A403" s="348"/>
      <c r="B403" s="466"/>
      <c r="C403" s="466"/>
      <c r="D403" s="466"/>
      <c r="E403" s="467"/>
      <c r="F403" s="466"/>
      <c r="G403" s="466"/>
      <c r="H403" s="466"/>
      <c r="I403" s="467"/>
      <c r="J403" s="466"/>
      <c r="K403" s="466"/>
      <c r="L403" s="466"/>
      <c r="M403" s="352"/>
    </row>
    <row r="404" spans="1:13" x14ac:dyDescent="0.25">
      <c r="A404" s="348"/>
      <c r="B404" s="466"/>
      <c r="C404" s="466"/>
      <c r="D404" s="466"/>
      <c r="E404" s="467"/>
      <c r="F404" s="466"/>
      <c r="G404" s="466"/>
      <c r="H404" s="466"/>
      <c r="I404" s="467"/>
      <c r="J404" s="466"/>
      <c r="K404" s="466"/>
      <c r="L404" s="466"/>
      <c r="M404" s="352"/>
    </row>
    <row r="405" spans="1:13" x14ac:dyDescent="0.25">
      <c r="A405" s="348"/>
      <c r="B405" s="466"/>
      <c r="C405" s="466"/>
      <c r="D405" s="466"/>
      <c r="E405" s="467"/>
      <c r="F405" s="466"/>
      <c r="G405" s="466"/>
      <c r="H405" s="466"/>
      <c r="I405" s="467"/>
      <c r="J405" s="466"/>
      <c r="K405" s="466"/>
      <c r="L405" s="466"/>
      <c r="M405" s="352"/>
    </row>
    <row r="406" spans="1:13" x14ac:dyDescent="0.25">
      <c r="A406" s="348"/>
      <c r="B406" s="466"/>
      <c r="C406" s="466"/>
      <c r="D406" s="466"/>
      <c r="E406" s="467"/>
      <c r="F406" s="466"/>
      <c r="G406" s="466"/>
      <c r="H406" s="466"/>
      <c r="I406" s="467"/>
      <c r="J406" s="466"/>
      <c r="K406" s="466"/>
      <c r="L406" s="466"/>
      <c r="M406" s="352"/>
    </row>
    <row r="407" spans="1:13" x14ac:dyDescent="0.25">
      <c r="A407" s="348"/>
      <c r="B407" s="466"/>
      <c r="C407" s="466"/>
      <c r="D407" s="466"/>
      <c r="E407" s="467"/>
      <c r="F407" s="466"/>
      <c r="G407" s="466"/>
      <c r="H407" s="466"/>
      <c r="I407" s="467"/>
      <c r="J407" s="466"/>
      <c r="K407" s="466"/>
      <c r="L407" s="466"/>
      <c r="M407" s="352"/>
    </row>
    <row r="408" spans="1:13" x14ac:dyDescent="0.25">
      <c r="A408" s="348"/>
      <c r="B408" s="466"/>
      <c r="C408" s="466"/>
      <c r="D408" s="466"/>
      <c r="E408" s="467"/>
      <c r="F408" s="466"/>
      <c r="G408" s="466"/>
      <c r="H408" s="466"/>
      <c r="I408" s="467"/>
      <c r="J408" s="466"/>
      <c r="K408" s="466"/>
      <c r="L408" s="466"/>
      <c r="M408" s="352"/>
    </row>
    <row r="409" spans="1:13" x14ac:dyDescent="0.25">
      <c r="A409" s="348"/>
      <c r="B409" s="467"/>
      <c r="C409" s="467"/>
      <c r="D409" s="467"/>
      <c r="E409" s="467"/>
      <c r="F409" s="467"/>
      <c r="G409" s="467"/>
      <c r="H409" s="467"/>
      <c r="I409" s="467"/>
      <c r="J409" s="467"/>
      <c r="K409" s="467"/>
      <c r="L409" s="467"/>
      <c r="M409" s="352"/>
    </row>
    <row r="410" spans="1:13" x14ac:dyDescent="0.25">
      <c r="A410" s="348"/>
      <c r="B410" s="348"/>
      <c r="C410" s="348"/>
      <c r="D410" s="348"/>
      <c r="E410" s="348"/>
      <c r="F410" s="348"/>
      <c r="G410" s="348"/>
      <c r="H410" s="348"/>
      <c r="I410" s="348"/>
      <c r="J410" s="348"/>
      <c r="K410" s="348"/>
      <c r="L410" s="353"/>
      <c r="M410" s="352"/>
    </row>
    <row r="411" spans="1:13" x14ac:dyDescent="0.25">
      <c r="A411" s="348"/>
      <c r="B411" s="348"/>
      <c r="C411" s="348"/>
      <c r="D411" s="348"/>
      <c r="E411" s="348"/>
      <c r="F411" s="348"/>
      <c r="G411" s="348"/>
      <c r="H411" s="348"/>
      <c r="I411" s="348"/>
      <c r="J411" s="348"/>
      <c r="K411" s="348"/>
      <c r="L411" s="410"/>
      <c r="M411" s="352"/>
    </row>
    <row r="412" spans="1:13" x14ac:dyDescent="0.25">
      <c r="A412" s="374"/>
      <c r="B412" s="354"/>
      <c r="C412" s="354"/>
      <c r="D412" s="354"/>
      <c r="E412" s="354"/>
      <c r="F412" s="354"/>
      <c r="G412" s="354"/>
      <c r="H412" s="354"/>
      <c r="I412" s="354"/>
      <c r="J412" s="354"/>
      <c r="K412" s="354"/>
      <c r="L412" s="352"/>
      <c r="M412" s="352"/>
    </row>
    <row r="413" spans="1:13" x14ac:dyDescent="0.25">
      <c r="A413" s="354"/>
      <c r="B413" s="515"/>
      <c r="C413" s="515"/>
      <c r="D413" s="515"/>
      <c r="E413" s="369"/>
      <c r="F413" s="515"/>
      <c r="G413" s="515"/>
      <c r="H413" s="515"/>
      <c r="I413" s="369"/>
      <c r="J413" s="515"/>
      <c r="K413" s="515"/>
      <c r="L413" s="515"/>
      <c r="M413" s="352"/>
    </row>
    <row r="414" spans="1:13" x14ac:dyDescent="0.25">
      <c r="A414" s="374"/>
      <c r="B414" s="375"/>
      <c r="C414" s="375"/>
      <c r="D414" s="375"/>
      <c r="E414" s="375"/>
      <c r="F414" s="375"/>
      <c r="G414" s="375"/>
      <c r="H414" s="375"/>
      <c r="I414" s="375"/>
      <c r="J414" s="375"/>
      <c r="K414" s="375"/>
      <c r="L414" s="375"/>
      <c r="M414" s="352"/>
    </row>
    <row r="415" spans="1:13" x14ac:dyDescent="0.25">
      <c r="A415" s="374"/>
      <c r="B415" s="375"/>
      <c r="C415" s="375"/>
      <c r="D415" s="375"/>
      <c r="E415" s="375"/>
      <c r="F415" s="375"/>
      <c r="G415" s="375"/>
      <c r="H415" s="375"/>
      <c r="I415" s="375"/>
      <c r="J415" s="375"/>
      <c r="K415" s="375"/>
      <c r="L415" s="375"/>
      <c r="M415" s="352"/>
    </row>
    <row r="416" spans="1:13" x14ac:dyDescent="0.25">
      <c r="A416" s="348"/>
      <c r="B416" s="466"/>
      <c r="C416" s="466"/>
      <c r="D416" s="466"/>
      <c r="E416" s="467"/>
      <c r="F416" s="466"/>
      <c r="G416" s="466"/>
      <c r="H416" s="466"/>
      <c r="I416" s="467"/>
      <c r="J416" s="466"/>
      <c r="K416" s="466"/>
      <c r="L416" s="466"/>
      <c r="M416" s="352"/>
    </row>
    <row r="417" spans="1:13" x14ac:dyDescent="0.25">
      <c r="A417" s="348"/>
      <c r="B417" s="466"/>
      <c r="C417" s="466"/>
      <c r="D417" s="466"/>
      <c r="E417" s="467"/>
      <c r="F417" s="466"/>
      <c r="G417" s="466"/>
      <c r="H417" s="466"/>
      <c r="I417" s="467"/>
      <c r="J417" s="466"/>
      <c r="K417" s="466"/>
      <c r="L417" s="466"/>
      <c r="M417" s="352"/>
    </row>
    <row r="418" spans="1:13" x14ac:dyDescent="0.25">
      <c r="A418" s="348"/>
      <c r="B418" s="466"/>
      <c r="C418" s="466"/>
      <c r="D418" s="466"/>
      <c r="E418" s="467"/>
      <c r="F418" s="466"/>
      <c r="G418" s="466"/>
      <c r="H418" s="466"/>
      <c r="I418" s="467"/>
      <c r="J418" s="466"/>
      <c r="K418" s="466"/>
      <c r="L418" s="466"/>
      <c r="M418" s="352"/>
    </row>
    <row r="419" spans="1:13" x14ac:dyDescent="0.25">
      <c r="A419" s="348"/>
      <c r="B419" s="466"/>
      <c r="C419" s="466"/>
      <c r="D419" s="466"/>
      <c r="E419" s="467"/>
      <c r="F419" s="466"/>
      <c r="G419" s="466"/>
      <c r="H419" s="466"/>
      <c r="I419" s="467"/>
      <c r="J419" s="466"/>
      <c r="K419" s="466"/>
      <c r="L419" s="466"/>
      <c r="M419" s="352"/>
    </row>
    <row r="420" spans="1:13" x14ac:dyDescent="0.25">
      <c r="A420" s="348"/>
      <c r="B420" s="466"/>
      <c r="C420" s="466"/>
      <c r="D420" s="466"/>
      <c r="E420" s="467"/>
      <c r="F420" s="466"/>
      <c r="G420" s="466"/>
      <c r="H420" s="466"/>
      <c r="I420" s="467"/>
      <c r="J420" s="466"/>
      <c r="K420" s="466"/>
      <c r="L420" s="466"/>
      <c r="M420" s="352"/>
    </row>
    <row r="421" spans="1:13" x14ac:dyDescent="0.25">
      <c r="A421" s="348"/>
      <c r="B421" s="466"/>
      <c r="C421" s="466"/>
      <c r="D421" s="466"/>
      <c r="E421" s="467"/>
      <c r="F421" s="466"/>
      <c r="G421" s="466"/>
      <c r="H421" s="466"/>
      <c r="I421" s="467"/>
      <c r="J421" s="466"/>
      <c r="K421" s="466"/>
      <c r="L421" s="466"/>
      <c r="M421" s="352"/>
    </row>
    <row r="422" spans="1:13" x14ac:dyDescent="0.25">
      <c r="A422" s="348"/>
      <c r="B422" s="466"/>
      <c r="C422" s="466"/>
      <c r="D422" s="466"/>
      <c r="E422" s="467"/>
      <c r="F422" s="466"/>
      <c r="G422" s="466"/>
      <c r="H422" s="466"/>
      <c r="I422" s="467"/>
      <c r="J422" s="466"/>
      <c r="K422" s="466"/>
      <c r="L422" s="466"/>
      <c r="M422" s="352"/>
    </row>
    <row r="423" spans="1:13" x14ac:dyDescent="0.25">
      <c r="A423" s="348"/>
      <c r="B423" s="466"/>
      <c r="C423" s="466"/>
      <c r="D423" s="466"/>
      <c r="E423" s="467"/>
      <c r="F423" s="466"/>
      <c r="G423" s="466"/>
      <c r="H423" s="466"/>
      <c r="I423" s="467"/>
      <c r="J423" s="466"/>
      <c r="K423" s="466"/>
      <c r="L423" s="466"/>
      <c r="M423" s="352"/>
    </row>
    <row r="424" spans="1:13" x14ac:dyDescent="0.25">
      <c r="A424" s="348"/>
      <c r="B424" s="466"/>
      <c r="C424" s="466"/>
      <c r="D424" s="466"/>
      <c r="E424" s="467"/>
      <c r="F424" s="466"/>
      <c r="G424" s="466"/>
      <c r="H424" s="466"/>
      <c r="I424" s="467"/>
      <c r="J424" s="466"/>
      <c r="K424" s="466"/>
      <c r="L424" s="466"/>
      <c r="M424" s="352"/>
    </row>
    <row r="425" spans="1:13" x14ac:dyDescent="0.25">
      <c r="A425" s="348"/>
      <c r="B425" s="466"/>
      <c r="C425" s="466"/>
      <c r="D425" s="466"/>
      <c r="E425" s="467"/>
      <c r="F425" s="466"/>
      <c r="G425" s="466"/>
      <c r="H425" s="466"/>
      <c r="I425" s="467"/>
      <c r="J425" s="466"/>
      <c r="K425" s="466"/>
      <c r="L425" s="466"/>
      <c r="M425" s="352"/>
    </row>
    <row r="426" spans="1:13" x14ac:dyDescent="0.25">
      <c r="A426" s="348"/>
      <c r="B426" s="467"/>
      <c r="C426" s="467"/>
      <c r="D426" s="467"/>
      <c r="E426" s="467"/>
      <c r="F426" s="467"/>
      <c r="G426" s="467"/>
      <c r="H426" s="467"/>
      <c r="I426" s="467"/>
      <c r="J426" s="467"/>
      <c r="K426" s="467"/>
      <c r="L426" s="467"/>
      <c r="M426" s="352"/>
    </row>
    <row r="427" spans="1:13" x14ac:dyDescent="0.25">
      <c r="A427" s="348"/>
      <c r="B427" s="348"/>
      <c r="C427" s="348"/>
      <c r="D427" s="348"/>
      <c r="E427" s="348"/>
      <c r="F427" s="348"/>
      <c r="G427" s="348"/>
      <c r="H427" s="348"/>
      <c r="I427" s="348"/>
      <c r="J427" s="348"/>
      <c r="K427" s="348"/>
      <c r="L427" s="353"/>
      <c r="M427" s="352"/>
    </row>
    <row r="428" spans="1:13" x14ac:dyDescent="0.25">
      <c r="A428" s="348"/>
      <c r="B428" s="348"/>
      <c r="C428" s="348"/>
      <c r="D428" s="348"/>
      <c r="E428" s="348"/>
      <c r="F428" s="348"/>
      <c r="G428" s="348"/>
      <c r="H428" s="348"/>
      <c r="I428" s="348"/>
      <c r="J428" s="348"/>
      <c r="K428" s="348"/>
      <c r="L428" s="410"/>
      <c r="M428" s="352"/>
    </row>
    <row r="429" spans="1:13" x14ac:dyDescent="0.25">
      <c r="A429" s="374"/>
      <c r="B429" s="354"/>
      <c r="C429" s="354"/>
      <c r="D429" s="354"/>
      <c r="E429" s="354"/>
      <c r="F429" s="354"/>
      <c r="G429" s="354"/>
      <c r="H429" s="354"/>
      <c r="I429" s="354"/>
      <c r="J429" s="354"/>
      <c r="K429" s="354"/>
      <c r="L429" s="352"/>
      <c r="M429" s="352"/>
    </row>
    <row r="430" spans="1:13" x14ac:dyDescent="0.25">
      <c r="A430" s="354"/>
      <c r="B430" s="515"/>
      <c r="C430" s="515"/>
      <c r="D430" s="515"/>
      <c r="E430" s="369"/>
      <c r="F430" s="515"/>
      <c r="G430" s="515"/>
      <c r="H430" s="515"/>
      <c r="I430" s="369"/>
      <c r="J430" s="515"/>
      <c r="K430" s="515"/>
      <c r="L430" s="515"/>
      <c r="M430" s="352"/>
    </row>
    <row r="431" spans="1:13" x14ac:dyDescent="0.25">
      <c r="A431" s="374"/>
      <c r="B431" s="375"/>
      <c r="C431" s="375"/>
      <c r="D431" s="375"/>
      <c r="E431" s="375"/>
      <c r="F431" s="375"/>
      <c r="G431" s="375"/>
      <c r="H431" s="375"/>
      <c r="I431" s="375"/>
      <c r="J431" s="375"/>
      <c r="K431" s="375"/>
      <c r="L431" s="375"/>
      <c r="M431" s="352"/>
    </row>
    <row r="432" spans="1:13" x14ac:dyDescent="0.25">
      <c r="A432" s="374"/>
      <c r="B432" s="375"/>
      <c r="C432" s="375"/>
      <c r="D432" s="375"/>
      <c r="E432" s="375"/>
      <c r="F432" s="375"/>
      <c r="G432" s="375"/>
      <c r="H432" s="375"/>
      <c r="I432" s="375"/>
      <c r="J432" s="375"/>
      <c r="K432" s="375"/>
      <c r="L432" s="375"/>
      <c r="M432" s="352"/>
    </row>
    <row r="433" spans="1:13" x14ac:dyDescent="0.25">
      <c r="A433" s="348"/>
      <c r="B433" s="466"/>
      <c r="C433" s="466"/>
      <c r="D433" s="466"/>
      <c r="E433" s="467"/>
      <c r="F433" s="466"/>
      <c r="G433" s="466"/>
      <c r="H433" s="466"/>
      <c r="I433" s="467"/>
      <c r="J433" s="466"/>
      <c r="K433" s="466"/>
      <c r="L433" s="466"/>
      <c r="M433" s="352"/>
    </row>
    <row r="434" spans="1:13" x14ac:dyDescent="0.25">
      <c r="A434" s="348"/>
      <c r="B434" s="466"/>
      <c r="C434" s="466"/>
      <c r="D434" s="466"/>
      <c r="E434" s="467"/>
      <c r="F434" s="466"/>
      <c r="G434" s="466"/>
      <c r="H434" s="466"/>
      <c r="I434" s="467"/>
      <c r="J434" s="466"/>
      <c r="K434" s="466"/>
      <c r="L434" s="466"/>
      <c r="M434" s="352"/>
    </row>
    <row r="435" spans="1:13" x14ac:dyDescent="0.25">
      <c r="A435" s="348"/>
      <c r="B435" s="466"/>
      <c r="C435" s="466"/>
      <c r="D435" s="466"/>
      <c r="E435" s="467"/>
      <c r="F435" s="466"/>
      <c r="G435" s="466"/>
      <c r="H435" s="466"/>
      <c r="I435" s="467"/>
      <c r="J435" s="466"/>
      <c r="K435" s="466"/>
      <c r="L435" s="466"/>
      <c r="M435" s="352"/>
    </row>
    <row r="436" spans="1:13" x14ac:dyDescent="0.25">
      <c r="A436" s="348"/>
      <c r="B436" s="466"/>
      <c r="C436" s="466"/>
      <c r="D436" s="466"/>
      <c r="E436" s="467"/>
      <c r="F436" s="466"/>
      <c r="G436" s="466"/>
      <c r="H436" s="466"/>
      <c r="I436" s="467"/>
      <c r="J436" s="466"/>
      <c r="K436" s="466"/>
      <c r="L436" s="466"/>
      <c r="M436" s="352"/>
    </row>
    <row r="437" spans="1:13" x14ac:dyDescent="0.25">
      <c r="A437" s="348"/>
      <c r="B437" s="466"/>
      <c r="C437" s="466"/>
      <c r="D437" s="466"/>
      <c r="E437" s="467"/>
      <c r="F437" s="466"/>
      <c r="G437" s="466"/>
      <c r="H437" s="466"/>
      <c r="I437" s="467"/>
      <c r="J437" s="466"/>
      <c r="K437" s="466"/>
      <c r="L437" s="466"/>
      <c r="M437" s="352"/>
    </row>
    <row r="438" spans="1:13" x14ac:dyDescent="0.25">
      <c r="A438" s="348"/>
      <c r="B438" s="466"/>
      <c r="C438" s="466"/>
      <c r="D438" s="466"/>
      <c r="E438" s="467"/>
      <c r="F438" s="466"/>
      <c r="G438" s="466"/>
      <c r="H438" s="466"/>
      <c r="I438" s="467"/>
      <c r="J438" s="466"/>
      <c r="K438" s="466"/>
      <c r="L438" s="466"/>
      <c r="M438" s="352"/>
    </row>
    <row r="439" spans="1:13" x14ac:dyDescent="0.25">
      <c r="A439" s="348"/>
      <c r="B439" s="466"/>
      <c r="C439" s="466"/>
      <c r="D439" s="466"/>
      <c r="E439" s="467"/>
      <c r="F439" s="466"/>
      <c r="G439" s="466"/>
      <c r="H439" s="466"/>
      <c r="I439" s="467"/>
      <c r="J439" s="466"/>
      <c r="K439" s="466"/>
      <c r="L439" s="466"/>
      <c r="M439" s="352"/>
    </row>
    <row r="440" spans="1:13" x14ac:dyDescent="0.25">
      <c r="A440" s="348"/>
      <c r="B440" s="466"/>
      <c r="C440" s="466"/>
      <c r="D440" s="466"/>
      <c r="E440" s="467"/>
      <c r="F440" s="466"/>
      <c r="G440" s="466"/>
      <c r="H440" s="466"/>
      <c r="I440" s="467"/>
      <c r="J440" s="466"/>
      <c r="K440" s="466"/>
      <c r="L440" s="466"/>
      <c r="M440" s="352"/>
    </row>
    <row r="441" spans="1:13" x14ac:dyDescent="0.25">
      <c r="A441" s="348"/>
      <c r="B441" s="466"/>
      <c r="C441" s="466"/>
      <c r="D441" s="466"/>
      <c r="E441" s="467"/>
      <c r="F441" s="466"/>
      <c r="G441" s="466"/>
      <c r="H441" s="466"/>
      <c r="I441" s="467"/>
      <c r="J441" s="466"/>
      <c r="K441" s="466"/>
      <c r="L441" s="466"/>
      <c r="M441" s="352"/>
    </row>
    <row r="442" spans="1:13" x14ac:dyDescent="0.25">
      <c r="A442" s="348"/>
      <c r="B442" s="466"/>
      <c r="C442" s="466"/>
      <c r="D442" s="466"/>
      <c r="E442" s="467"/>
      <c r="F442" s="466"/>
      <c r="G442" s="466"/>
      <c r="H442" s="466"/>
      <c r="I442" s="467"/>
      <c r="J442" s="466"/>
      <c r="K442" s="466"/>
      <c r="L442" s="466"/>
      <c r="M442" s="352"/>
    </row>
    <row r="443" spans="1:13" x14ac:dyDescent="0.25">
      <c r="A443" s="348"/>
      <c r="B443" s="467"/>
      <c r="C443" s="467"/>
      <c r="D443" s="467"/>
      <c r="E443" s="467"/>
      <c r="F443" s="467"/>
      <c r="G443" s="467"/>
      <c r="H443" s="467"/>
      <c r="I443" s="467"/>
      <c r="J443" s="467"/>
      <c r="K443" s="467"/>
      <c r="L443" s="467"/>
      <c r="M443" s="352"/>
    </row>
    <row r="444" spans="1:13" x14ac:dyDescent="0.25">
      <c r="A444" s="348"/>
      <c r="B444" s="348"/>
      <c r="C444" s="348"/>
      <c r="D444" s="348"/>
      <c r="E444" s="348"/>
      <c r="F444" s="348"/>
      <c r="G444" s="348"/>
      <c r="H444" s="348"/>
      <c r="I444" s="348"/>
      <c r="J444" s="348"/>
      <c r="K444" s="348"/>
      <c r="L444" s="353"/>
      <c r="M444" s="352"/>
    </row>
    <row r="445" spans="1:13" x14ac:dyDescent="0.25">
      <c r="A445" s="348"/>
      <c r="B445" s="348"/>
      <c r="C445" s="348"/>
      <c r="D445" s="348"/>
      <c r="E445" s="348"/>
      <c r="F445" s="348"/>
      <c r="G445" s="348"/>
      <c r="H445" s="348"/>
      <c r="I445" s="348"/>
      <c r="J445" s="348"/>
      <c r="K445" s="348"/>
      <c r="L445" s="410"/>
      <c r="M445" s="352"/>
    </row>
    <row r="446" spans="1:13" x14ac:dyDescent="0.25">
      <c r="A446" s="374"/>
      <c r="B446" s="354"/>
      <c r="C446" s="354"/>
      <c r="D446" s="354"/>
      <c r="E446" s="354"/>
      <c r="F446" s="354"/>
      <c r="G446" s="354"/>
      <c r="H446" s="354"/>
      <c r="I446" s="354"/>
      <c r="J446" s="354"/>
      <c r="K446" s="354"/>
      <c r="L446" s="352"/>
      <c r="M446" s="352"/>
    </row>
    <row r="447" spans="1:13" x14ac:dyDescent="0.25">
      <c r="A447" s="354"/>
      <c r="B447" s="515"/>
      <c r="C447" s="515"/>
      <c r="D447" s="515"/>
      <c r="E447" s="369"/>
      <c r="F447" s="515"/>
      <c r="G447" s="515"/>
      <c r="H447" s="515"/>
      <c r="I447" s="369"/>
      <c r="J447" s="515"/>
      <c r="K447" s="515"/>
      <c r="L447" s="515"/>
      <c r="M447" s="352"/>
    </row>
    <row r="448" spans="1:13" x14ac:dyDescent="0.25">
      <c r="A448" s="374"/>
      <c r="B448" s="375"/>
      <c r="C448" s="375"/>
      <c r="D448" s="375"/>
      <c r="E448" s="375"/>
      <c r="F448" s="375"/>
      <c r="G448" s="375"/>
      <c r="H448" s="375"/>
      <c r="I448" s="375"/>
      <c r="J448" s="375"/>
      <c r="K448" s="375"/>
      <c r="L448" s="375"/>
      <c r="M448" s="352"/>
    </row>
    <row r="449" spans="1:13" x14ac:dyDescent="0.25">
      <c r="A449" s="374"/>
      <c r="B449" s="375"/>
      <c r="C449" s="375"/>
      <c r="D449" s="375"/>
      <c r="E449" s="375"/>
      <c r="F449" s="375"/>
      <c r="G449" s="375"/>
      <c r="H449" s="375"/>
      <c r="I449" s="375"/>
      <c r="J449" s="375"/>
      <c r="K449" s="375"/>
      <c r="L449" s="375"/>
      <c r="M449" s="352"/>
    </row>
    <row r="450" spans="1:13" x14ac:dyDescent="0.25">
      <c r="A450" s="348"/>
      <c r="B450" s="466"/>
      <c r="C450" s="466"/>
      <c r="D450" s="466"/>
      <c r="E450" s="467"/>
      <c r="F450" s="466"/>
      <c r="G450" s="466"/>
      <c r="H450" s="466"/>
      <c r="I450" s="467"/>
      <c r="J450" s="466"/>
      <c r="K450" s="466"/>
      <c r="L450" s="466"/>
      <c r="M450" s="352"/>
    </row>
    <row r="451" spans="1:13" x14ac:dyDescent="0.25">
      <c r="A451" s="348"/>
      <c r="B451" s="466"/>
      <c r="C451" s="466"/>
      <c r="D451" s="466"/>
      <c r="E451" s="467"/>
      <c r="F451" s="466"/>
      <c r="G451" s="466"/>
      <c r="H451" s="466"/>
      <c r="I451" s="467"/>
      <c r="J451" s="466"/>
      <c r="K451" s="466"/>
      <c r="L451" s="466"/>
      <c r="M451" s="352"/>
    </row>
    <row r="452" spans="1:13" x14ac:dyDescent="0.25">
      <c r="A452" s="348"/>
      <c r="B452" s="466"/>
      <c r="C452" s="466"/>
      <c r="D452" s="466"/>
      <c r="E452" s="467"/>
      <c r="F452" s="466"/>
      <c r="G452" s="466"/>
      <c r="H452" s="466"/>
      <c r="I452" s="467"/>
      <c r="J452" s="466"/>
      <c r="K452" s="466"/>
      <c r="L452" s="466"/>
      <c r="M452" s="352"/>
    </row>
    <row r="453" spans="1:13" x14ac:dyDescent="0.25">
      <c r="A453" s="348"/>
      <c r="B453" s="466"/>
      <c r="C453" s="466"/>
      <c r="D453" s="466"/>
      <c r="E453" s="467"/>
      <c r="F453" s="466"/>
      <c r="G453" s="466"/>
      <c r="H453" s="466"/>
      <c r="I453" s="467"/>
      <c r="J453" s="466"/>
      <c r="K453" s="466"/>
      <c r="L453" s="466"/>
      <c r="M453" s="352"/>
    </row>
    <row r="454" spans="1:13" x14ac:dyDescent="0.25">
      <c r="A454" s="348"/>
      <c r="B454" s="466"/>
      <c r="C454" s="466"/>
      <c r="D454" s="466"/>
      <c r="E454" s="467"/>
      <c r="F454" s="466"/>
      <c r="G454" s="466"/>
      <c r="H454" s="466"/>
      <c r="I454" s="467"/>
      <c r="J454" s="466"/>
      <c r="K454" s="466"/>
      <c r="L454" s="466"/>
      <c r="M454" s="352"/>
    </row>
    <row r="455" spans="1:13" x14ac:dyDescent="0.25">
      <c r="A455" s="348"/>
      <c r="B455" s="466"/>
      <c r="C455" s="466"/>
      <c r="D455" s="466"/>
      <c r="E455" s="467"/>
      <c r="F455" s="466"/>
      <c r="G455" s="466"/>
      <c r="H455" s="466"/>
      <c r="I455" s="467"/>
      <c r="J455" s="466"/>
      <c r="K455" s="466"/>
      <c r="L455" s="466"/>
      <c r="M455" s="352"/>
    </row>
    <row r="456" spans="1:13" x14ac:dyDescent="0.25">
      <c r="A456" s="348"/>
      <c r="B456" s="466"/>
      <c r="C456" s="466"/>
      <c r="D456" s="466"/>
      <c r="E456" s="467"/>
      <c r="F456" s="466"/>
      <c r="G456" s="466"/>
      <c r="H456" s="466"/>
      <c r="I456" s="467"/>
      <c r="J456" s="466"/>
      <c r="K456" s="466"/>
      <c r="L456" s="466"/>
      <c r="M456" s="352"/>
    </row>
    <row r="457" spans="1:13" x14ac:dyDescent="0.25">
      <c r="A457" s="348"/>
      <c r="B457" s="466"/>
      <c r="C457" s="466"/>
      <c r="D457" s="466"/>
      <c r="E457" s="467"/>
      <c r="F457" s="466"/>
      <c r="G457" s="466"/>
      <c r="H457" s="466"/>
      <c r="I457" s="467"/>
      <c r="J457" s="466"/>
      <c r="K457" s="466"/>
      <c r="L457" s="466"/>
      <c r="M457" s="352"/>
    </row>
    <row r="458" spans="1:13" x14ac:dyDescent="0.25">
      <c r="A458" s="348"/>
      <c r="B458" s="466"/>
      <c r="C458" s="466"/>
      <c r="D458" s="466"/>
      <c r="E458" s="467"/>
      <c r="F458" s="466"/>
      <c r="G458" s="466"/>
      <c r="H458" s="466"/>
      <c r="I458" s="467"/>
      <c r="J458" s="466"/>
      <c r="K458" s="466"/>
      <c r="L458" s="466"/>
      <c r="M458" s="352"/>
    </row>
    <row r="459" spans="1:13" x14ac:dyDescent="0.25">
      <c r="A459" s="348"/>
      <c r="B459" s="466"/>
      <c r="C459" s="466"/>
      <c r="D459" s="466"/>
      <c r="E459" s="467"/>
      <c r="F459" s="466"/>
      <c r="G459" s="466"/>
      <c r="H459" s="466"/>
      <c r="I459" s="467"/>
      <c r="J459" s="466"/>
      <c r="K459" s="466"/>
      <c r="L459" s="466"/>
      <c r="M459" s="352"/>
    </row>
    <row r="460" spans="1:13" x14ac:dyDescent="0.25">
      <c r="A460" s="348"/>
      <c r="B460" s="467"/>
      <c r="C460" s="467"/>
      <c r="D460" s="467"/>
      <c r="E460" s="467"/>
      <c r="F460" s="467"/>
      <c r="G460" s="467"/>
      <c r="H460" s="467"/>
      <c r="I460" s="467"/>
      <c r="J460" s="467"/>
      <c r="K460" s="467"/>
      <c r="L460" s="467"/>
      <c r="M460" s="352"/>
    </row>
    <row r="461" spans="1:13" x14ac:dyDescent="0.25">
      <c r="A461" s="348"/>
      <c r="B461" s="348"/>
      <c r="C461" s="348"/>
      <c r="D461" s="348"/>
      <c r="E461" s="348"/>
      <c r="F461" s="348"/>
      <c r="G461" s="348"/>
      <c r="H461" s="348"/>
      <c r="I461" s="348"/>
      <c r="J461" s="348"/>
      <c r="K461" s="348"/>
      <c r="L461" s="353"/>
      <c r="M461" s="352"/>
    </row>
    <row r="462" spans="1:13" x14ac:dyDescent="0.25">
      <c r="A462" s="348"/>
      <c r="B462" s="348"/>
      <c r="C462" s="348"/>
      <c r="D462" s="348"/>
      <c r="E462" s="348"/>
      <c r="F462" s="348"/>
      <c r="G462" s="348"/>
      <c r="H462" s="348"/>
      <c r="I462" s="348"/>
      <c r="J462" s="348"/>
      <c r="K462" s="348"/>
      <c r="L462" s="410"/>
      <c r="M462" s="352"/>
    </row>
    <row r="463" spans="1:13" x14ac:dyDescent="0.25">
      <c r="A463" s="374"/>
      <c r="B463" s="354"/>
      <c r="C463" s="354"/>
      <c r="D463" s="354"/>
      <c r="E463" s="354"/>
      <c r="F463" s="354"/>
      <c r="G463" s="354"/>
      <c r="H463" s="354"/>
      <c r="I463" s="354"/>
      <c r="J463" s="354"/>
      <c r="K463" s="354"/>
      <c r="L463" s="352"/>
      <c r="M463" s="352"/>
    </row>
    <row r="464" spans="1:13" x14ac:dyDescent="0.25">
      <c r="A464" s="354"/>
      <c r="B464" s="515"/>
      <c r="C464" s="515"/>
      <c r="D464" s="515"/>
      <c r="E464" s="369"/>
      <c r="F464" s="515"/>
      <c r="G464" s="515"/>
      <c r="H464" s="515"/>
      <c r="I464" s="369"/>
      <c r="J464" s="515"/>
      <c r="K464" s="515"/>
      <c r="L464" s="515"/>
      <c r="M464" s="352"/>
    </row>
    <row r="465" spans="1:13" x14ac:dyDescent="0.25">
      <c r="A465" s="374"/>
      <c r="B465" s="375"/>
      <c r="C465" s="375"/>
      <c r="D465" s="375"/>
      <c r="E465" s="375"/>
      <c r="F465" s="375"/>
      <c r="G465" s="375"/>
      <c r="H465" s="375"/>
      <c r="I465" s="375"/>
      <c r="J465" s="375"/>
      <c r="K465" s="375"/>
      <c r="L465" s="375"/>
      <c r="M465" s="352"/>
    </row>
    <row r="466" spans="1:13" x14ac:dyDescent="0.25">
      <c r="A466" s="374"/>
      <c r="B466" s="375"/>
      <c r="C466" s="375"/>
      <c r="D466" s="375"/>
      <c r="E466" s="375"/>
      <c r="F466" s="375"/>
      <c r="G466" s="375"/>
      <c r="H466" s="375"/>
      <c r="I466" s="375"/>
      <c r="J466" s="375"/>
      <c r="K466" s="375"/>
      <c r="L466" s="375"/>
      <c r="M466" s="352"/>
    </row>
    <row r="467" spans="1:13" x14ac:dyDescent="0.25">
      <c r="A467" s="348"/>
      <c r="B467" s="466"/>
      <c r="C467" s="466"/>
      <c r="D467" s="466"/>
      <c r="E467" s="467"/>
      <c r="F467" s="466"/>
      <c r="G467" s="466"/>
      <c r="H467" s="466"/>
      <c r="I467" s="467"/>
      <c r="J467" s="466"/>
      <c r="K467" s="466"/>
      <c r="L467" s="466"/>
      <c r="M467" s="352"/>
    </row>
    <row r="468" spans="1:13" x14ac:dyDescent="0.25">
      <c r="A468" s="348"/>
      <c r="B468" s="466"/>
      <c r="C468" s="466"/>
      <c r="D468" s="466"/>
      <c r="E468" s="467"/>
      <c r="F468" s="466"/>
      <c r="G468" s="466"/>
      <c r="H468" s="466"/>
      <c r="I468" s="467"/>
      <c r="J468" s="466"/>
      <c r="K468" s="466"/>
      <c r="L468" s="466"/>
      <c r="M468" s="352"/>
    </row>
    <row r="469" spans="1:13" x14ac:dyDescent="0.25">
      <c r="A469" s="348"/>
      <c r="B469" s="466"/>
      <c r="C469" s="466"/>
      <c r="D469" s="466"/>
      <c r="E469" s="467"/>
      <c r="F469" s="466"/>
      <c r="G469" s="466"/>
      <c r="H469" s="466"/>
      <c r="I469" s="467"/>
      <c r="J469" s="466"/>
      <c r="K469" s="466"/>
      <c r="L469" s="466"/>
      <c r="M469" s="352"/>
    </row>
    <row r="470" spans="1:13" x14ac:dyDescent="0.25">
      <c r="A470" s="348"/>
      <c r="B470" s="466"/>
      <c r="C470" s="466"/>
      <c r="D470" s="466"/>
      <c r="E470" s="467"/>
      <c r="F470" s="466"/>
      <c r="G470" s="466"/>
      <c r="H470" s="466"/>
      <c r="I470" s="467"/>
      <c r="J470" s="466"/>
      <c r="K470" s="466"/>
      <c r="L470" s="466"/>
      <c r="M470" s="352"/>
    </row>
    <row r="471" spans="1:13" x14ac:dyDescent="0.25">
      <c r="A471" s="348"/>
      <c r="B471" s="466"/>
      <c r="C471" s="466"/>
      <c r="D471" s="466"/>
      <c r="E471" s="467"/>
      <c r="F471" s="466"/>
      <c r="G471" s="466"/>
      <c r="H471" s="466"/>
      <c r="I471" s="467"/>
      <c r="J471" s="466"/>
      <c r="K471" s="466"/>
      <c r="L471" s="466"/>
      <c r="M471" s="352"/>
    </row>
    <row r="472" spans="1:13" x14ac:dyDescent="0.25">
      <c r="A472" s="348"/>
      <c r="B472" s="466"/>
      <c r="C472" s="466"/>
      <c r="D472" s="466"/>
      <c r="E472" s="467"/>
      <c r="F472" s="466"/>
      <c r="G472" s="466"/>
      <c r="H472" s="466"/>
      <c r="I472" s="467"/>
      <c r="J472" s="466"/>
      <c r="K472" s="466"/>
      <c r="L472" s="466"/>
      <c r="M472" s="352"/>
    </row>
    <row r="473" spans="1:13" x14ac:dyDescent="0.25">
      <c r="A473" s="348"/>
      <c r="B473" s="466"/>
      <c r="C473" s="466"/>
      <c r="D473" s="466"/>
      <c r="E473" s="467"/>
      <c r="F473" s="466"/>
      <c r="G473" s="466"/>
      <c r="H473" s="466"/>
      <c r="I473" s="467"/>
      <c r="J473" s="466"/>
      <c r="K473" s="466"/>
      <c r="L473" s="466"/>
      <c r="M473" s="352"/>
    </row>
    <row r="474" spans="1:13" x14ac:dyDescent="0.25">
      <c r="A474" s="348"/>
      <c r="B474" s="466"/>
      <c r="C474" s="466"/>
      <c r="D474" s="466"/>
      <c r="E474" s="467"/>
      <c r="F474" s="466"/>
      <c r="G474" s="466"/>
      <c r="H474" s="466"/>
      <c r="I474" s="467"/>
      <c r="J474" s="466"/>
      <c r="K474" s="466"/>
      <c r="L474" s="466"/>
      <c r="M474" s="352"/>
    </row>
    <row r="475" spans="1:13" x14ac:dyDescent="0.25">
      <c r="A475" s="348"/>
      <c r="B475" s="466"/>
      <c r="C475" s="466"/>
      <c r="D475" s="466"/>
      <c r="E475" s="467"/>
      <c r="F475" s="466"/>
      <c r="G475" s="466"/>
      <c r="H475" s="466"/>
      <c r="I475" s="467"/>
      <c r="J475" s="466"/>
      <c r="K475" s="466"/>
      <c r="L475" s="466"/>
      <c r="M475" s="352"/>
    </row>
    <row r="476" spans="1:13" x14ac:dyDescent="0.25">
      <c r="A476" s="348"/>
      <c r="B476" s="466"/>
      <c r="C476" s="466"/>
      <c r="D476" s="466"/>
      <c r="E476" s="467"/>
      <c r="F476" s="466"/>
      <c r="G476" s="466"/>
      <c r="H476" s="466"/>
      <c r="I476" s="467"/>
      <c r="J476" s="466"/>
      <c r="K476" s="466"/>
      <c r="L476" s="466"/>
      <c r="M476" s="352"/>
    </row>
    <row r="477" spans="1:13" x14ac:dyDescent="0.25">
      <c r="A477" s="348"/>
      <c r="B477" s="467"/>
      <c r="C477" s="467"/>
      <c r="D477" s="467"/>
      <c r="E477" s="467"/>
      <c r="F477" s="467"/>
      <c r="G477" s="467"/>
      <c r="H477" s="467"/>
      <c r="I477" s="467"/>
      <c r="J477" s="467"/>
      <c r="K477" s="467"/>
      <c r="L477" s="467"/>
      <c r="M477" s="352"/>
    </row>
    <row r="478" spans="1:13" x14ac:dyDescent="0.25">
      <c r="A478" s="348"/>
      <c r="B478" s="348"/>
      <c r="C478" s="348"/>
      <c r="D478" s="348"/>
      <c r="E478" s="348"/>
      <c r="F478" s="348"/>
      <c r="G478" s="348"/>
      <c r="H478" s="348"/>
      <c r="I478" s="348"/>
      <c r="J478" s="348"/>
      <c r="K478" s="348"/>
      <c r="L478" s="353"/>
      <c r="M478" s="352"/>
    </row>
    <row r="479" spans="1:13" x14ac:dyDescent="0.25">
      <c r="A479" s="348"/>
      <c r="B479" s="348"/>
      <c r="C479" s="348"/>
      <c r="D479" s="348"/>
      <c r="E479" s="348"/>
      <c r="F479" s="348"/>
      <c r="G479" s="348"/>
      <c r="H479" s="348"/>
      <c r="I479" s="348"/>
      <c r="J479" s="348"/>
      <c r="K479" s="348"/>
      <c r="L479" s="410"/>
      <c r="M479" s="352"/>
    </row>
    <row r="480" spans="1:13" x14ac:dyDescent="0.25">
      <c r="A480" s="374"/>
      <c r="B480" s="354"/>
      <c r="C480" s="354"/>
      <c r="D480" s="354"/>
      <c r="E480" s="354"/>
      <c r="F480" s="354"/>
      <c r="G480" s="354"/>
      <c r="H480" s="354"/>
      <c r="I480" s="354"/>
      <c r="J480" s="354"/>
      <c r="K480" s="354"/>
      <c r="L480" s="352"/>
      <c r="M480" s="352"/>
    </row>
    <row r="481" spans="1:13" x14ac:dyDescent="0.25">
      <c r="A481" s="354"/>
      <c r="B481" s="515"/>
      <c r="C481" s="515"/>
      <c r="D481" s="515"/>
      <c r="E481" s="369"/>
      <c r="F481" s="515"/>
      <c r="G481" s="515"/>
      <c r="H481" s="515"/>
      <c r="I481" s="369"/>
      <c r="J481" s="515"/>
      <c r="K481" s="515"/>
      <c r="L481" s="515"/>
      <c r="M481" s="352"/>
    </row>
    <row r="482" spans="1:13" x14ac:dyDescent="0.25">
      <c r="A482" s="374"/>
      <c r="B482" s="375"/>
      <c r="C482" s="375"/>
      <c r="D482" s="375"/>
      <c r="E482" s="375"/>
      <c r="F482" s="375"/>
      <c r="G482" s="375"/>
      <c r="H482" s="375"/>
      <c r="I482" s="375"/>
      <c r="J482" s="375"/>
      <c r="K482" s="375"/>
      <c r="L482" s="375"/>
      <c r="M482" s="352"/>
    </row>
    <row r="483" spans="1:13" x14ac:dyDescent="0.25">
      <c r="A483" s="374"/>
      <c r="B483" s="375"/>
      <c r="C483" s="375"/>
      <c r="D483" s="375"/>
      <c r="E483" s="375"/>
      <c r="F483" s="375"/>
      <c r="G483" s="375"/>
      <c r="H483" s="375"/>
      <c r="I483" s="375"/>
      <c r="J483" s="375"/>
      <c r="K483" s="375"/>
      <c r="L483" s="375"/>
      <c r="M483" s="352"/>
    </row>
    <row r="484" spans="1:13" x14ac:dyDescent="0.25">
      <c r="A484" s="348"/>
      <c r="B484" s="466"/>
      <c r="C484" s="466"/>
      <c r="D484" s="466"/>
      <c r="E484" s="467"/>
      <c r="F484" s="466"/>
      <c r="G484" s="466"/>
      <c r="H484" s="466"/>
      <c r="I484" s="467"/>
      <c r="J484" s="466"/>
      <c r="K484" s="466"/>
      <c r="L484" s="466"/>
      <c r="M484" s="352"/>
    </row>
    <row r="485" spans="1:13" x14ac:dyDescent="0.25">
      <c r="A485" s="348"/>
      <c r="B485" s="466"/>
      <c r="C485" s="466"/>
      <c r="D485" s="466"/>
      <c r="E485" s="467"/>
      <c r="F485" s="466"/>
      <c r="G485" s="466"/>
      <c r="H485" s="466"/>
      <c r="I485" s="467"/>
      <c r="J485" s="466"/>
      <c r="K485" s="466"/>
      <c r="L485" s="466"/>
      <c r="M485" s="352"/>
    </row>
    <row r="486" spans="1:13" x14ac:dyDescent="0.25">
      <c r="A486" s="348"/>
      <c r="B486" s="466"/>
      <c r="C486" s="466"/>
      <c r="D486" s="466"/>
      <c r="E486" s="467"/>
      <c r="F486" s="466"/>
      <c r="G486" s="466"/>
      <c r="H486" s="466"/>
      <c r="I486" s="467"/>
      <c r="J486" s="466"/>
      <c r="K486" s="466"/>
      <c r="L486" s="466"/>
      <c r="M486" s="352"/>
    </row>
    <row r="487" spans="1:13" x14ac:dyDescent="0.25">
      <c r="A487" s="348"/>
      <c r="B487" s="466"/>
      <c r="C487" s="466"/>
      <c r="D487" s="466"/>
      <c r="E487" s="467"/>
      <c r="F487" s="466"/>
      <c r="G487" s="466"/>
      <c r="H487" s="466"/>
      <c r="I487" s="467"/>
      <c r="J487" s="466"/>
      <c r="K487" s="466"/>
      <c r="L487" s="466"/>
      <c r="M487" s="352"/>
    </row>
    <row r="488" spans="1:13" x14ac:dyDescent="0.25">
      <c r="A488" s="348"/>
      <c r="B488" s="466"/>
      <c r="C488" s="466"/>
      <c r="D488" s="466"/>
      <c r="E488" s="467"/>
      <c r="F488" s="466"/>
      <c r="G488" s="466"/>
      <c r="H488" s="466"/>
      <c r="I488" s="467"/>
      <c r="J488" s="466"/>
      <c r="K488" s="466"/>
      <c r="L488" s="466"/>
      <c r="M488" s="352"/>
    </row>
    <row r="489" spans="1:13" x14ac:dyDescent="0.25">
      <c r="A489" s="348"/>
      <c r="B489" s="466"/>
      <c r="C489" s="466"/>
      <c r="D489" s="466"/>
      <c r="E489" s="467"/>
      <c r="F489" s="466"/>
      <c r="G489" s="466"/>
      <c r="H489" s="466"/>
      <c r="I489" s="467"/>
      <c r="J489" s="466"/>
      <c r="K489" s="466"/>
      <c r="L489" s="466"/>
      <c r="M489" s="352"/>
    </row>
    <row r="490" spans="1:13" x14ac:dyDescent="0.25">
      <c r="A490" s="348"/>
      <c r="B490" s="466"/>
      <c r="C490" s="466"/>
      <c r="D490" s="466"/>
      <c r="E490" s="467"/>
      <c r="F490" s="466"/>
      <c r="G490" s="466"/>
      <c r="H490" s="466"/>
      <c r="I490" s="467"/>
      <c r="J490" s="466"/>
      <c r="K490" s="466"/>
      <c r="L490" s="466"/>
      <c r="M490" s="352"/>
    </row>
    <row r="491" spans="1:13" x14ac:dyDescent="0.25">
      <c r="A491" s="348"/>
      <c r="B491" s="466"/>
      <c r="C491" s="466"/>
      <c r="D491" s="466"/>
      <c r="E491" s="467"/>
      <c r="F491" s="466"/>
      <c r="G491" s="466"/>
      <c r="H491" s="466"/>
      <c r="I491" s="467"/>
      <c r="J491" s="466"/>
      <c r="K491" s="466"/>
      <c r="L491" s="466"/>
      <c r="M491" s="352"/>
    </row>
    <row r="492" spans="1:13" x14ac:dyDescent="0.25">
      <c r="A492" s="348"/>
      <c r="B492" s="466"/>
      <c r="C492" s="466"/>
      <c r="D492" s="466"/>
      <c r="E492" s="467"/>
      <c r="F492" s="466"/>
      <c r="G492" s="466"/>
      <c r="H492" s="466"/>
      <c r="I492" s="467"/>
      <c r="J492" s="466"/>
      <c r="K492" s="466"/>
      <c r="L492" s="466"/>
      <c r="M492" s="352"/>
    </row>
    <row r="493" spans="1:13" x14ac:dyDescent="0.25">
      <c r="A493" s="348"/>
      <c r="B493" s="466"/>
      <c r="C493" s="466"/>
      <c r="D493" s="466"/>
      <c r="E493" s="467"/>
      <c r="F493" s="466"/>
      <c r="G493" s="466"/>
      <c r="H493" s="466"/>
      <c r="I493" s="467"/>
      <c r="J493" s="466"/>
      <c r="K493" s="466"/>
      <c r="L493" s="466"/>
      <c r="M493" s="352"/>
    </row>
    <row r="494" spans="1:13" x14ac:dyDescent="0.25">
      <c r="A494" s="348"/>
      <c r="B494" s="467"/>
      <c r="C494" s="467"/>
      <c r="D494" s="467"/>
      <c r="E494" s="467"/>
      <c r="F494" s="467"/>
      <c r="G494" s="467"/>
      <c r="H494" s="467"/>
      <c r="I494" s="467"/>
      <c r="J494" s="467"/>
      <c r="K494" s="467"/>
      <c r="L494" s="467"/>
      <c r="M494" s="352"/>
    </row>
    <row r="495" spans="1:13" x14ac:dyDescent="0.25">
      <c r="A495" s="348"/>
      <c r="B495" s="348"/>
      <c r="C495" s="348"/>
      <c r="D495" s="348"/>
      <c r="E495" s="348"/>
      <c r="F495" s="348"/>
      <c r="G495" s="348"/>
      <c r="H495" s="348"/>
      <c r="I495" s="348"/>
      <c r="J495" s="348"/>
      <c r="K495" s="348"/>
      <c r="L495" s="353"/>
      <c r="M495" s="352"/>
    </row>
    <row r="496" spans="1:13" x14ac:dyDescent="0.25">
      <c r="A496" s="348"/>
      <c r="B496" s="348"/>
      <c r="C496" s="348"/>
      <c r="D496" s="348"/>
      <c r="E496" s="348"/>
      <c r="F496" s="348"/>
      <c r="G496" s="348"/>
      <c r="H496" s="348"/>
      <c r="I496" s="348"/>
      <c r="J496" s="348"/>
      <c r="K496" s="348"/>
      <c r="L496" s="410"/>
      <c r="M496" s="352"/>
    </row>
    <row r="497" spans="1:13" x14ac:dyDescent="0.25">
      <c r="A497" s="374"/>
      <c r="B497" s="354"/>
      <c r="C497" s="354"/>
      <c r="D497" s="354"/>
      <c r="E497" s="354"/>
      <c r="F497" s="354"/>
      <c r="G497" s="354"/>
      <c r="H497" s="354"/>
      <c r="I497" s="354"/>
      <c r="J497" s="354"/>
      <c r="K497" s="354"/>
      <c r="L497" s="352"/>
      <c r="M497" s="352"/>
    </row>
    <row r="498" spans="1:13" x14ac:dyDescent="0.25">
      <c r="A498" s="354"/>
      <c r="B498" s="515"/>
      <c r="C498" s="515"/>
      <c r="D498" s="515"/>
      <c r="E498" s="369"/>
      <c r="F498" s="515"/>
      <c r="G498" s="515"/>
      <c r="H498" s="515"/>
      <c r="I498" s="369"/>
      <c r="J498" s="515"/>
      <c r="K498" s="515"/>
      <c r="L498" s="515"/>
      <c r="M498" s="352"/>
    </row>
    <row r="499" spans="1:13" x14ac:dyDescent="0.25">
      <c r="A499" s="374"/>
      <c r="B499" s="375"/>
      <c r="C499" s="375"/>
      <c r="D499" s="375"/>
      <c r="E499" s="375"/>
      <c r="F499" s="375"/>
      <c r="G499" s="375"/>
      <c r="H499" s="375"/>
      <c r="I499" s="375"/>
      <c r="J499" s="375"/>
      <c r="K499" s="375"/>
      <c r="L499" s="375"/>
      <c r="M499" s="352"/>
    </row>
    <row r="500" spans="1:13" x14ac:dyDescent="0.25">
      <c r="A500" s="374"/>
      <c r="B500" s="375"/>
      <c r="C500" s="375"/>
      <c r="D500" s="375"/>
      <c r="E500" s="375"/>
      <c r="F500" s="375"/>
      <c r="G500" s="375"/>
      <c r="H500" s="375"/>
      <c r="I500" s="375"/>
      <c r="J500" s="375"/>
      <c r="K500" s="375"/>
      <c r="L500" s="375"/>
      <c r="M500" s="352"/>
    </row>
    <row r="501" spans="1:13" x14ac:dyDescent="0.25">
      <c r="A501" s="348"/>
      <c r="B501" s="466"/>
      <c r="C501" s="466"/>
      <c r="D501" s="466"/>
      <c r="E501" s="467"/>
      <c r="F501" s="466"/>
      <c r="G501" s="466"/>
      <c r="H501" s="466"/>
      <c r="I501" s="467"/>
      <c r="J501" s="466"/>
      <c r="K501" s="466"/>
      <c r="L501" s="466"/>
      <c r="M501" s="352"/>
    </row>
    <row r="502" spans="1:13" x14ac:dyDescent="0.25">
      <c r="A502" s="348"/>
      <c r="B502" s="466"/>
      <c r="C502" s="466"/>
      <c r="D502" s="466"/>
      <c r="E502" s="467"/>
      <c r="F502" s="466"/>
      <c r="G502" s="466"/>
      <c r="H502" s="466"/>
      <c r="I502" s="467"/>
      <c r="J502" s="466"/>
      <c r="K502" s="466"/>
      <c r="L502" s="466"/>
      <c r="M502" s="352"/>
    </row>
    <row r="503" spans="1:13" x14ac:dyDescent="0.25">
      <c r="A503" s="348"/>
      <c r="B503" s="466"/>
      <c r="C503" s="466"/>
      <c r="D503" s="466"/>
      <c r="E503" s="467"/>
      <c r="F503" s="466"/>
      <c r="G503" s="466"/>
      <c r="H503" s="466"/>
      <c r="I503" s="467"/>
      <c r="J503" s="466"/>
      <c r="K503" s="466"/>
      <c r="L503" s="466"/>
      <c r="M503" s="352"/>
    </row>
    <row r="504" spans="1:13" x14ac:dyDescent="0.25">
      <c r="A504" s="348"/>
      <c r="B504" s="466"/>
      <c r="C504" s="466"/>
      <c r="D504" s="466"/>
      <c r="E504" s="467"/>
      <c r="F504" s="466"/>
      <c r="G504" s="466"/>
      <c r="H504" s="466"/>
      <c r="I504" s="467"/>
      <c r="J504" s="466"/>
      <c r="K504" s="466"/>
      <c r="L504" s="466"/>
      <c r="M504" s="352"/>
    </row>
    <row r="505" spans="1:13" x14ac:dyDescent="0.25">
      <c r="A505" s="348"/>
      <c r="B505" s="466"/>
      <c r="C505" s="466"/>
      <c r="D505" s="466"/>
      <c r="E505" s="467"/>
      <c r="F505" s="466"/>
      <c r="G505" s="466"/>
      <c r="H505" s="466"/>
      <c r="I505" s="467"/>
      <c r="J505" s="466"/>
      <c r="K505" s="466"/>
      <c r="L505" s="466"/>
      <c r="M505" s="352"/>
    </row>
    <row r="506" spans="1:13" x14ac:dyDescent="0.25">
      <c r="A506" s="348"/>
      <c r="B506" s="466"/>
      <c r="C506" s="466"/>
      <c r="D506" s="466"/>
      <c r="E506" s="467"/>
      <c r="F506" s="466"/>
      <c r="G506" s="466"/>
      <c r="H506" s="466"/>
      <c r="I506" s="467"/>
      <c r="J506" s="466"/>
      <c r="K506" s="466"/>
      <c r="L506" s="466"/>
      <c r="M506" s="352"/>
    </row>
    <row r="507" spans="1:13" x14ac:dyDescent="0.25">
      <c r="A507" s="348"/>
      <c r="B507" s="466"/>
      <c r="C507" s="466"/>
      <c r="D507" s="466"/>
      <c r="E507" s="467"/>
      <c r="F507" s="466"/>
      <c r="G507" s="466"/>
      <c r="H507" s="466"/>
      <c r="I507" s="467"/>
      <c r="J507" s="466"/>
      <c r="K507" s="466"/>
      <c r="L507" s="466"/>
      <c r="M507" s="352"/>
    </row>
    <row r="508" spans="1:13" x14ac:dyDescent="0.25">
      <c r="A508" s="348"/>
      <c r="B508" s="466"/>
      <c r="C508" s="466"/>
      <c r="D508" s="466"/>
      <c r="E508" s="467"/>
      <c r="F508" s="466"/>
      <c r="G508" s="466"/>
      <c r="H508" s="466"/>
      <c r="I508" s="467"/>
      <c r="J508" s="466"/>
      <c r="K508" s="466"/>
      <c r="L508" s="466"/>
      <c r="M508" s="352"/>
    </row>
    <row r="509" spans="1:13" x14ac:dyDescent="0.25">
      <c r="A509" s="348"/>
      <c r="B509" s="466"/>
      <c r="C509" s="466"/>
      <c r="D509" s="466"/>
      <c r="E509" s="467"/>
      <c r="F509" s="466"/>
      <c r="G509" s="466"/>
      <c r="H509" s="466"/>
      <c r="I509" s="467"/>
      <c r="J509" s="466"/>
      <c r="K509" s="466"/>
      <c r="L509" s="466"/>
      <c r="M509" s="352"/>
    </row>
    <row r="510" spans="1:13" x14ac:dyDescent="0.25">
      <c r="A510" s="348"/>
      <c r="B510" s="466"/>
      <c r="C510" s="466"/>
      <c r="D510" s="466"/>
      <c r="E510" s="467"/>
      <c r="F510" s="466"/>
      <c r="G510" s="466"/>
      <c r="H510" s="466"/>
      <c r="I510" s="467"/>
      <c r="J510" s="466"/>
      <c r="K510" s="466"/>
      <c r="L510" s="466"/>
      <c r="M510" s="352"/>
    </row>
    <row r="511" spans="1:13" x14ac:dyDescent="0.25">
      <c r="A511" s="348"/>
      <c r="B511" s="467"/>
      <c r="C511" s="467"/>
      <c r="D511" s="467"/>
      <c r="E511" s="467"/>
      <c r="F511" s="467"/>
      <c r="G511" s="467"/>
      <c r="H511" s="467"/>
      <c r="I511" s="467"/>
      <c r="J511" s="467"/>
      <c r="K511" s="467"/>
      <c r="L511" s="467"/>
      <c r="M511" s="352"/>
    </row>
    <row r="512" spans="1:13" x14ac:dyDescent="0.25">
      <c r="A512" s="348"/>
      <c r="B512" s="348"/>
      <c r="C512" s="348"/>
      <c r="D512" s="348"/>
      <c r="E512" s="348"/>
      <c r="F512" s="348"/>
      <c r="G512" s="348"/>
      <c r="H512" s="348"/>
      <c r="I512" s="348"/>
      <c r="J512" s="348"/>
      <c r="K512" s="348"/>
      <c r="L512" s="353"/>
      <c r="M512" s="352"/>
    </row>
    <row r="513" spans="1:13" x14ac:dyDescent="0.25">
      <c r="A513" s="348"/>
      <c r="B513" s="348"/>
      <c r="C513" s="348"/>
      <c r="D513" s="348"/>
      <c r="E513" s="348"/>
      <c r="F513" s="348"/>
      <c r="G513" s="348"/>
      <c r="H513" s="348"/>
      <c r="I513" s="348"/>
      <c r="J513" s="348"/>
      <c r="K513" s="348"/>
      <c r="L513" s="410"/>
      <c r="M513" s="352"/>
    </row>
    <row r="514" spans="1:13" x14ac:dyDescent="0.25">
      <c r="A514" s="374"/>
      <c r="B514" s="354"/>
      <c r="C514" s="354"/>
      <c r="D514" s="354"/>
      <c r="E514" s="354"/>
      <c r="F514" s="354"/>
      <c r="G514" s="354"/>
      <c r="H514" s="354"/>
      <c r="I514" s="354"/>
      <c r="J514" s="354"/>
      <c r="K514" s="354"/>
      <c r="L514" s="352"/>
      <c r="M514" s="352"/>
    </row>
    <row r="515" spans="1:13" x14ac:dyDescent="0.25">
      <c r="A515" s="354"/>
      <c r="B515" s="515"/>
      <c r="C515" s="515"/>
      <c r="D515" s="515"/>
      <c r="E515" s="369"/>
      <c r="F515" s="515"/>
      <c r="G515" s="515"/>
      <c r="H515" s="515"/>
      <c r="I515" s="369"/>
      <c r="J515" s="515"/>
      <c r="K515" s="515"/>
      <c r="L515" s="515"/>
      <c r="M515" s="352"/>
    </row>
    <row r="516" spans="1:13" x14ac:dyDescent="0.25">
      <c r="A516" s="374"/>
      <c r="B516" s="375"/>
      <c r="C516" s="375"/>
      <c r="D516" s="375"/>
      <c r="E516" s="375"/>
      <c r="F516" s="375"/>
      <c r="G516" s="375"/>
      <c r="H516" s="375"/>
      <c r="I516" s="375"/>
      <c r="J516" s="375"/>
      <c r="K516" s="375"/>
      <c r="L516" s="375"/>
      <c r="M516" s="352"/>
    </row>
    <row r="517" spans="1:13" x14ac:dyDescent="0.25">
      <c r="A517" s="374"/>
      <c r="B517" s="375"/>
      <c r="C517" s="375"/>
      <c r="D517" s="375"/>
      <c r="E517" s="375"/>
      <c r="F517" s="375"/>
      <c r="G517" s="375"/>
      <c r="H517" s="375"/>
      <c r="I517" s="375"/>
      <c r="J517" s="375"/>
      <c r="K517" s="375"/>
      <c r="L517" s="375"/>
      <c r="M517" s="352"/>
    </row>
    <row r="518" spans="1:13" x14ac:dyDescent="0.25">
      <c r="A518" s="348"/>
      <c r="B518" s="466"/>
      <c r="C518" s="466"/>
      <c r="D518" s="466"/>
      <c r="E518" s="467"/>
      <c r="F518" s="466"/>
      <c r="G518" s="466"/>
      <c r="H518" s="466"/>
      <c r="I518" s="467"/>
      <c r="J518" s="466"/>
      <c r="K518" s="466"/>
      <c r="L518" s="466"/>
      <c r="M518" s="352"/>
    </row>
    <row r="519" spans="1:13" x14ac:dyDescent="0.25">
      <c r="A519" s="348"/>
      <c r="B519" s="466"/>
      <c r="C519" s="466"/>
      <c r="D519" s="466"/>
      <c r="E519" s="467"/>
      <c r="F519" s="466"/>
      <c r="G519" s="466"/>
      <c r="H519" s="466"/>
      <c r="I519" s="467"/>
      <c r="J519" s="466"/>
      <c r="K519" s="466"/>
      <c r="L519" s="466"/>
      <c r="M519" s="352"/>
    </row>
    <row r="520" spans="1:13" x14ac:dyDescent="0.25">
      <c r="A520" s="348"/>
      <c r="B520" s="466"/>
      <c r="C520" s="466"/>
      <c r="D520" s="466"/>
      <c r="E520" s="467"/>
      <c r="F520" s="466"/>
      <c r="G520" s="466"/>
      <c r="H520" s="466"/>
      <c r="I520" s="467"/>
      <c r="J520" s="466"/>
      <c r="K520" s="466"/>
      <c r="L520" s="466"/>
      <c r="M520" s="352"/>
    </row>
    <row r="521" spans="1:13" x14ac:dyDescent="0.25">
      <c r="A521" s="348"/>
      <c r="B521" s="466"/>
      <c r="C521" s="466"/>
      <c r="D521" s="466"/>
      <c r="E521" s="467"/>
      <c r="F521" s="466"/>
      <c r="G521" s="466"/>
      <c r="H521" s="466"/>
      <c r="I521" s="467"/>
      <c r="J521" s="466"/>
      <c r="K521" s="466"/>
      <c r="L521" s="466"/>
      <c r="M521" s="352"/>
    </row>
    <row r="522" spans="1:13" x14ac:dyDescent="0.25">
      <c r="A522" s="348"/>
      <c r="B522" s="466"/>
      <c r="C522" s="466"/>
      <c r="D522" s="466"/>
      <c r="E522" s="467"/>
      <c r="F522" s="466"/>
      <c r="G522" s="466"/>
      <c r="H522" s="466"/>
      <c r="I522" s="467"/>
      <c r="J522" s="466"/>
      <c r="K522" s="466"/>
      <c r="L522" s="466"/>
      <c r="M522" s="352"/>
    </row>
    <row r="523" spans="1:13" x14ac:dyDescent="0.25">
      <c r="A523" s="348"/>
      <c r="B523" s="466"/>
      <c r="C523" s="466"/>
      <c r="D523" s="466"/>
      <c r="E523" s="467"/>
      <c r="F523" s="466"/>
      <c r="G523" s="466"/>
      <c r="H523" s="466"/>
      <c r="I523" s="467"/>
      <c r="J523" s="466"/>
      <c r="K523" s="466"/>
      <c r="L523" s="466"/>
      <c r="M523" s="352"/>
    </row>
    <row r="524" spans="1:13" x14ac:dyDescent="0.25">
      <c r="A524" s="348"/>
      <c r="B524" s="466"/>
      <c r="C524" s="466"/>
      <c r="D524" s="466"/>
      <c r="E524" s="467"/>
      <c r="F524" s="466"/>
      <c r="G524" s="466"/>
      <c r="H524" s="466"/>
      <c r="I524" s="467"/>
      <c r="J524" s="466"/>
      <c r="K524" s="466"/>
      <c r="L524" s="466"/>
      <c r="M524" s="352"/>
    </row>
    <row r="525" spans="1:13" x14ac:dyDescent="0.25">
      <c r="A525" s="348"/>
      <c r="B525" s="466"/>
      <c r="C525" s="466"/>
      <c r="D525" s="466"/>
      <c r="E525" s="467"/>
      <c r="F525" s="466"/>
      <c r="G525" s="466"/>
      <c r="H525" s="466"/>
      <c r="I525" s="467"/>
      <c r="J525" s="466"/>
      <c r="K525" s="466"/>
      <c r="L525" s="466"/>
      <c r="M525" s="352"/>
    </row>
    <row r="526" spans="1:13" x14ac:dyDescent="0.25">
      <c r="A526" s="348"/>
      <c r="B526" s="466"/>
      <c r="C526" s="466"/>
      <c r="D526" s="466"/>
      <c r="E526" s="467"/>
      <c r="F526" s="466"/>
      <c r="G526" s="466"/>
      <c r="H526" s="466"/>
      <c r="I526" s="467"/>
      <c r="J526" s="466"/>
      <c r="K526" s="466"/>
      <c r="L526" s="466"/>
      <c r="M526" s="352"/>
    </row>
    <row r="527" spans="1:13" x14ac:dyDescent="0.25">
      <c r="A527" s="348"/>
      <c r="B527" s="466"/>
      <c r="C527" s="466"/>
      <c r="D527" s="466"/>
      <c r="E527" s="467"/>
      <c r="F527" s="466"/>
      <c r="G527" s="466"/>
      <c r="H527" s="466"/>
      <c r="I527" s="467"/>
      <c r="J527" s="466"/>
      <c r="K527" s="466"/>
      <c r="L527" s="466"/>
      <c r="M527" s="352"/>
    </row>
    <row r="528" spans="1:13" x14ac:dyDescent="0.25">
      <c r="A528" s="348"/>
      <c r="B528" s="467"/>
      <c r="C528" s="467"/>
      <c r="D528" s="467"/>
      <c r="E528" s="467"/>
      <c r="F528" s="467"/>
      <c r="G528" s="467"/>
      <c r="H528" s="467"/>
      <c r="I528" s="467"/>
      <c r="J528" s="467"/>
      <c r="K528" s="467"/>
      <c r="L528" s="467"/>
      <c r="M528" s="352"/>
    </row>
    <row r="529" spans="1:13" x14ac:dyDescent="0.25">
      <c r="A529" s="348"/>
      <c r="B529" s="348"/>
      <c r="C529" s="348"/>
      <c r="D529" s="348"/>
      <c r="E529" s="348"/>
      <c r="F529" s="348"/>
      <c r="G529" s="348"/>
      <c r="H529" s="348"/>
      <c r="I529" s="348"/>
      <c r="J529" s="348"/>
      <c r="K529" s="348"/>
      <c r="L529" s="353"/>
      <c r="M529" s="352"/>
    </row>
    <row r="530" spans="1:13" x14ac:dyDescent="0.25">
      <c r="A530" s="348"/>
      <c r="B530" s="348"/>
      <c r="C530" s="348"/>
      <c r="D530" s="348"/>
      <c r="E530" s="348"/>
      <c r="F530" s="348"/>
      <c r="G530" s="348"/>
      <c r="H530" s="348"/>
      <c r="I530" s="348"/>
      <c r="J530" s="348"/>
      <c r="K530" s="348"/>
      <c r="L530" s="410"/>
      <c r="M530" s="352"/>
    </row>
    <row r="531" spans="1:13" x14ac:dyDescent="0.25">
      <c r="A531" s="374"/>
      <c r="B531" s="354"/>
      <c r="C531" s="354"/>
      <c r="D531" s="354"/>
      <c r="E531" s="354"/>
      <c r="F531" s="354"/>
      <c r="G531" s="354"/>
      <c r="H531" s="354"/>
      <c r="I531" s="354"/>
      <c r="J531" s="354"/>
      <c r="K531" s="354"/>
      <c r="L531" s="352"/>
      <c r="M531" s="352"/>
    </row>
    <row r="532" spans="1:13" x14ac:dyDescent="0.25">
      <c r="A532" s="354"/>
      <c r="B532" s="515"/>
      <c r="C532" s="515"/>
      <c r="D532" s="515"/>
      <c r="E532" s="369"/>
      <c r="F532" s="515"/>
      <c r="G532" s="515"/>
      <c r="H532" s="515"/>
      <c r="I532" s="369"/>
      <c r="J532" s="515"/>
      <c r="K532" s="515"/>
      <c r="L532" s="515"/>
      <c r="M532" s="352"/>
    </row>
    <row r="533" spans="1:13" x14ac:dyDescent="0.25">
      <c r="A533" s="374"/>
      <c r="B533" s="375"/>
      <c r="C533" s="375"/>
      <c r="D533" s="375"/>
      <c r="E533" s="375"/>
      <c r="F533" s="375"/>
      <c r="G533" s="375"/>
      <c r="H533" s="375"/>
      <c r="I533" s="375"/>
      <c r="J533" s="375"/>
      <c r="K533" s="375"/>
      <c r="L533" s="375"/>
      <c r="M533" s="352"/>
    </row>
    <row r="534" spans="1:13" x14ac:dyDescent="0.25">
      <c r="A534" s="374"/>
      <c r="B534" s="375"/>
      <c r="C534" s="375"/>
      <c r="D534" s="375"/>
      <c r="E534" s="375"/>
      <c r="F534" s="375"/>
      <c r="G534" s="375"/>
      <c r="H534" s="375"/>
      <c r="I534" s="375"/>
      <c r="J534" s="375"/>
      <c r="K534" s="375"/>
      <c r="L534" s="375"/>
      <c r="M534" s="352"/>
    </row>
    <row r="535" spans="1:13" x14ac:dyDescent="0.25">
      <c r="A535" s="348"/>
      <c r="B535" s="466"/>
      <c r="C535" s="466"/>
      <c r="D535" s="466"/>
      <c r="E535" s="467"/>
      <c r="F535" s="466"/>
      <c r="G535" s="466"/>
      <c r="H535" s="466"/>
      <c r="I535" s="467"/>
      <c r="J535" s="466"/>
      <c r="K535" s="466"/>
      <c r="L535" s="466"/>
      <c r="M535" s="352"/>
    </row>
    <row r="536" spans="1:13" x14ac:dyDescent="0.25">
      <c r="A536" s="348"/>
      <c r="B536" s="466"/>
      <c r="C536" s="466"/>
      <c r="D536" s="466"/>
      <c r="E536" s="467"/>
      <c r="F536" s="466"/>
      <c r="G536" s="466"/>
      <c r="H536" s="466"/>
      <c r="I536" s="467"/>
      <c r="J536" s="466"/>
      <c r="K536" s="466"/>
      <c r="L536" s="466"/>
      <c r="M536" s="352"/>
    </row>
    <row r="537" spans="1:13" x14ac:dyDescent="0.25">
      <c r="A537" s="348"/>
      <c r="B537" s="466"/>
      <c r="C537" s="466"/>
      <c r="D537" s="466"/>
      <c r="E537" s="467"/>
      <c r="F537" s="466"/>
      <c r="G537" s="466"/>
      <c r="H537" s="466"/>
      <c r="I537" s="467"/>
      <c r="J537" s="466"/>
      <c r="K537" s="466"/>
      <c r="L537" s="466"/>
      <c r="M537" s="352"/>
    </row>
    <row r="538" spans="1:13" x14ac:dyDescent="0.25">
      <c r="A538" s="348"/>
      <c r="B538" s="466"/>
      <c r="C538" s="466"/>
      <c r="D538" s="466"/>
      <c r="E538" s="467"/>
      <c r="F538" s="466"/>
      <c r="G538" s="466"/>
      <c r="H538" s="466"/>
      <c r="I538" s="467"/>
      <c r="J538" s="466"/>
      <c r="K538" s="466"/>
      <c r="L538" s="466"/>
      <c r="M538" s="352"/>
    </row>
    <row r="539" spans="1:13" x14ac:dyDescent="0.25">
      <c r="A539" s="348"/>
      <c r="B539" s="466"/>
      <c r="C539" s="466"/>
      <c r="D539" s="466"/>
      <c r="E539" s="467"/>
      <c r="F539" s="466"/>
      <c r="G539" s="466"/>
      <c r="H539" s="466"/>
      <c r="I539" s="467"/>
      <c r="J539" s="466"/>
      <c r="K539" s="466"/>
      <c r="L539" s="466"/>
      <c r="M539" s="352"/>
    </row>
    <row r="540" spans="1:13" x14ac:dyDescent="0.25">
      <c r="A540" s="348"/>
      <c r="B540" s="466"/>
      <c r="C540" s="466"/>
      <c r="D540" s="466"/>
      <c r="E540" s="467"/>
      <c r="F540" s="466"/>
      <c r="G540" s="466"/>
      <c r="H540" s="466"/>
      <c r="I540" s="467"/>
      <c r="J540" s="466"/>
      <c r="K540" s="466"/>
      <c r="L540" s="466"/>
      <c r="M540" s="352"/>
    </row>
    <row r="541" spans="1:13" x14ac:dyDescent="0.25">
      <c r="A541" s="348"/>
      <c r="B541" s="466"/>
      <c r="C541" s="466"/>
      <c r="D541" s="466"/>
      <c r="E541" s="467"/>
      <c r="F541" s="466"/>
      <c r="G541" s="466"/>
      <c r="H541" s="466"/>
      <c r="I541" s="467"/>
      <c r="J541" s="466"/>
      <c r="K541" s="466"/>
      <c r="L541" s="466"/>
      <c r="M541" s="352"/>
    </row>
    <row r="542" spans="1:13" x14ac:dyDescent="0.25">
      <c r="A542" s="348"/>
      <c r="B542" s="466"/>
      <c r="C542" s="466"/>
      <c r="D542" s="466"/>
      <c r="E542" s="467"/>
      <c r="F542" s="466"/>
      <c r="G542" s="466"/>
      <c r="H542" s="466"/>
      <c r="I542" s="467"/>
      <c r="J542" s="466"/>
      <c r="K542" s="466"/>
      <c r="L542" s="466"/>
      <c r="M542" s="352"/>
    </row>
    <row r="543" spans="1:13" x14ac:dyDescent="0.25">
      <c r="A543" s="348"/>
      <c r="B543" s="466"/>
      <c r="C543" s="466"/>
      <c r="D543" s="466"/>
      <c r="E543" s="467"/>
      <c r="F543" s="466"/>
      <c r="G543" s="466"/>
      <c r="H543" s="466"/>
      <c r="I543" s="467"/>
      <c r="J543" s="466"/>
      <c r="K543" s="466"/>
      <c r="L543" s="466"/>
      <c r="M543" s="352"/>
    </row>
    <row r="544" spans="1:13" x14ac:dyDescent="0.25">
      <c r="A544" s="348"/>
      <c r="B544" s="466"/>
      <c r="C544" s="466"/>
      <c r="D544" s="466"/>
      <c r="E544" s="467"/>
      <c r="F544" s="466"/>
      <c r="G544" s="466"/>
      <c r="H544" s="466"/>
      <c r="I544" s="467"/>
      <c r="J544" s="466"/>
      <c r="K544" s="466"/>
      <c r="L544" s="466"/>
      <c r="M544" s="352"/>
    </row>
    <row r="545" spans="1:13" x14ac:dyDescent="0.25">
      <c r="A545" s="348"/>
      <c r="B545" s="467"/>
      <c r="C545" s="467"/>
      <c r="D545" s="467"/>
      <c r="E545" s="467"/>
      <c r="F545" s="467"/>
      <c r="G545" s="467"/>
      <c r="H545" s="467"/>
      <c r="I545" s="467"/>
      <c r="J545" s="467"/>
      <c r="K545" s="467"/>
      <c r="L545" s="467"/>
      <c r="M545" s="352"/>
    </row>
    <row r="546" spans="1:13" x14ac:dyDescent="0.25">
      <c r="A546" s="348"/>
      <c r="B546" s="348"/>
      <c r="C546" s="348"/>
      <c r="D546" s="348"/>
      <c r="E546" s="348"/>
      <c r="F546" s="348"/>
      <c r="G546" s="348"/>
      <c r="H546" s="348"/>
      <c r="I546" s="348"/>
      <c r="J546" s="348"/>
      <c r="K546" s="348"/>
      <c r="L546" s="353"/>
      <c r="M546" s="352"/>
    </row>
    <row r="547" spans="1:13" x14ac:dyDescent="0.25">
      <c r="A547" s="348"/>
      <c r="B547" s="348"/>
      <c r="C547" s="348"/>
      <c r="D547" s="348"/>
      <c r="E547" s="348"/>
      <c r="F547" s="348"/>
      <c r="G547" s="348"/>
      <c r="H547" s="348"/>
      <c r="I547" s="348"/>
      <c r="J547" s="348"/>
      <c r="K547" s="348"/>
      <c r="L547" s="410"/>
      <c r="M547" s="352"/>
    </row>
    <row r="548" spans="1:13" x14ac:dyDescent="0.25">
      <c r="A548" s="374"/>
      <c r="B548" s="354"/>
      <c r="C548" s="354"/>
      <c r="D548" s="354"/>
      <c r="E548" s="354"/>
      <c r="F548" s="354"/>
      <c r="G548" s="354"/>
      <c r="H548" s="354"/>
      <c r="I548" s="354"/>
      <c r="J548" s="354"/>
      <c r="K548" s="354"/>
      <c r="L548" s="352"/>
      <c r="M548" s="352"/>
    </row>
    <row r="549" spans="1:13" x14ac:dyDescent="0.25">
      <c r="A549" s="354"/>
      <c r="B549" s="515"/>
      <c r="C549" s="515"/>
      <c r="D549" s="515"/>
      <c r="E549" s="369"/>
      <c r="F549" s="515"/>
      <c r="G549" s="515"/>
      <c r="H549" s="515"/>
      <c r="I549" s="369"/>
      <c r="J549" s="515"/>
      <c r="K549" s="515"/>
      <c r="L549" s="515"/>
      <c r="M549" s="352"/>
    </row>
    <row r="550" spans="1:13" x14ac:dyDescent="0.25">
      <c r="A550" s="374"/>
      <c r="B550" s="375"/>
      <c r="C550" s="375"/>
      <c r="D550" s="375"/>
      <c r="E550" s="375"/>
      <c r="F550" s="375"/>
      <c r="G550" s="375"/>
      <c r="H550" s="375"/>
      <c r="I550" s="375"/>
      <c r="J550" s="375"/>
      <c r="K550" s="375"/>
      <c r="L550" s="375"/>
      <c r="M550" s="352"/>
    </row>
    <row r="551" spans="1:13" x14ac:dyDescent="0.25">
      <c r="A551" s="374"/>
      <c r="B551" s="375"/>
      <c r="C551" s="375"/>
      <c r="D551" s="375"/>
      <c r="E551" s="375"/>
      <c r="F551" s="375"/>
      <c r="G551" s="375"/>
      <c r="H551" s="375"/>
      <c r="I551" s="375"/>
      <c r="J551" s="375"/>
      <c r="K551" s="375"/>
      <c r="L551" s="375"/>
      <c r="M551" s="352"/>
    </row>
    <row r="552" spans="1:13" x14ac:dyDescent="0.25">
      <c r="A552" s="348"/>
      <c r="B552" s="466"/>
      <c r="C552" s="466"/>
      <c r="D552" s="466"/>
      <c r="E552" s="467"/>
      <c r="F552" s="466"/>
      <c r="G552" s="466"/>
      <c r="H552" s="466"/>
      <c r="I552" s="467"/>
      <c r="J552" s="466"/>
      <c r="K552" s="466"/>
      <c r="L552" s="466"/>
      <c r="M552" s="352"/>
    </row>
    <row r="553" spans="1:13" x14ac:dyDescent="0.25">
      <c r="A553" s="348"/>
      <c r="B553" s="466"/>
      <c r="C553" s="466"/>
      <c r="D553" s="466"/>
      <c r="E553" s="467"/>
      <c r="F553" s="466"/>
      <c r="G553" s="466"/>
      <c r="H553" s="466"/>
      <c r="I553" s="467"/>
      <c r="J553" s="466"/>
      <c r="K553" s="466"/>
      <c r="L553" s="466"/>
      <c r="M553" s="352"/>
    </row>
    <row r="554" spans="1:13" x14ac:dyDescent="0.25">
      <c r="A554" s="348"/>
      <c r="B554" s="466"/>
      <c r="C554" s="466"/>
      <c r="D554" s="466"/>
      <c r="E554" s="467"/>
      <c r="F554" s="466"/>
      <c r="G554" s="466"/>
      <c r="H554" s="466"/>
      <c r="I554" s="467"/>
      <c r="J554" s="466"/>
      <c r="K554" s="466"/>
      <c r="L554" s="466"/>
      <c r="M554" s="352"/>
    </row>
    <row r="555" spans="1:13" x14ac:dyDescent="0.25">
      <c r="A555" s="348"/>
      <c r="B555" s="466"/>
      <c r="C555" s="466"/>
      <c r="D555" s="466"/>
      <c r="E555" s="467"/>
      <c r="F555" s="466"/>
      <c r="G555" s="466"/>
      <c r="H555" s="466"/>
      <c r="I555" s="467"/>
      <c r="J555" s="466"/>
      <c r="K555" s="466"/>
      <c r="L555" s="466"/>
      <c r="M555" s="352"/>
    </row>
    <row r="556" spans="1:13" x14ac:dyDescent="0.25">
      <c r="A556" s="348"/>
      <c r="B556" s="466"/>
      <c r="C556" s="466"/>
      <c r="D556" s="466"/>
      <c r="E556" s="467"/>
      <c r="F556" s="466"/>
      <c r="G556" s="466"/>
      <c r="H556" s="466"/>
      <c r="I556" s="467"/>
      <c r="J556" s="466"/>
      <c r="K556" s="466"/>
      <c r="L556" s="466"/>
      <c r="M556" s="352"/>
    </row>
    <row r="557" spans="1:13" x14ac:dyDescent="0.25">
      <c r="A557" s="348"/>
      <c r="B557" s="466"/>
      <c r="C557" s="466"/>
      <c r="D557" s="466"/>
      <c r="E557" s="467"/>
      <c r="F557" s="466"/>
      <c r="G557" s="466"/>
      <c r="H557" s="466"/>
      <c r="I557" s="467"/>
      <c r="J557" s="466"/>
      <c r="K557" s="466"/>
      <c r="L557" s="466"/>
      <c r="M557" s="352"/>
    </row>
    <row r="558" spans="1:13" x14ac:dyDescent="0.25">
      <c r="A558" s="348"/>
      <c r="B558" s="466"/>
      <c r="C558" s="466"/>
      <c r="D558" s="466"/>
      <c r="E558" s="467"/>
      <c r="F558" s="466"/>
      <c r="G558" s="466"/>
      <c r="H558" s="466"/>
      <c r="I558" s="467"/>
      <c r="J558" s="466"/>
      <c r="K558" s="466"/>
      <c r="L558" s="466"/>
      <c r="M558" s="352"/>
    </row>
    <row r="559" spans="1:13" x14ac:dyDescent="0.25">
      <c r="A559" s="348"/>
      <c r="B559" s="466"/>
      <c r="C559" s="466"/>
      <c r="D559" s="466"/>
      <c r="E559" s="467"/>
      <c r="F559" s="466"/>
      <c r="G559" s="466"/>
      <c r="H559" s="466"/>
      <c r="I559" s="467"/>
      <c r="J559" s="466"/>
      <c r="K559" s="466"/>
      <c r="L559" s="466"/>
      <c r="M559" s="352"/>
    </row>
    <row r="560" spans="1:13" x14ac:dyDescent="0.25">
      <c r="A560" s="348"/>
      <c r="B560" s="466"/>
      <c r="C560" s="466"/>
      <c r="D560" s="466"/>
      <c r="E560" s="467"/>
      <c r="F560" s="466"/>
      <c r="G560" s="466"/>
      <c r="H560" s="466"/>
      <c r="I560" s="467"/>
      <c r="J560" s="466"/>
      <c r="K560" s="466"/>
      <c r="L560" s="466"/>
      <c r="M560" s="352"/>
    </row>
    <row r="561" spans="1:13" x14ac:dyDescent="0.25">
      <c r="A561" s="348"/>
      <c r="B561" s="466"/>
      <c r="C561" s="466"/>
      <c r="D561" s="466"/>
      <c r="E561" s="467"/>
      <c r="F561" s="466"/>
      <c r="G561" s="466"/>
      <c r="H561" s="466"/>
      <c r="I561" s="467"/>
      <c r="J561" s="466"/>
      <c r="K561" s="466"/>
      <c r="L561" s="466"/>
      <c r="M561" s="352"/>
    </row>
    <row r="562" spans="1:13" x14ac:dyDescent="0.25">
      <c r="A562" s="348"/>
      <c r="B562" s="467"/>
      <c r="C562" s="467"/>
      <c r="D562" s="467"/>
      <c r="E562" s="467"/>
      <c r="F562" s="467"/>
      <c r="G562" s="467"/>
      <c r="H562" s="467"/>
      <c r="I562" s="467"/>
      <c r="J562" s="467"/>
      <c r="K562" s="467"/>
      <c r="L562" s="467"/>
      <c r="M562" s="352"/>
    </row>
    <row r="563" spans="1:13" x14ac:dyDescent="0.25">
      <c r="A563" s="348"/>
      <c r="B563" s="348"/>
      <c r="C563" s="348"/>
      <c r="D563" s="348"/>
      <c r="E563" s="348"/>
      <c r="F563" s="348"/>
      <c r="G563" s="348"/>
      <c r="H563" s="348"/>
      <c r="I563" s="348"/>
      <c r="J563" s="348"/>
      <c r="K563" s="348"/>
      <c r="L563" s="353"/>
      <c r="M563" s="352"/>
    </row>
    <row r="564" spans="1:13" x14ac:dyDescent="0.25">
      <c r="A564" s="348"/>
      <c r="B564" s="348"/>
      <c r="C564" s="348"/>
      <c r="D564" s="348"/>
      <c r="E564" s="348"/>
      <c r="F564" s="348"/>
      <c r="G564" s="348"/>
      <c r="H564" s="348"/>
      <c r="I564" s="348"/>
      <c r="J564" s="348"/>
      <c r="K564" s="348"/>
      <c r="L564" s="410"/>
      <c r="M564" s="352"/>
    </row>
    <row r="565" spans="1:13" x14ac:dyDescent="0.25">
      <c r="A565" s="374"/>
      <c r="B565" s="354"/>
      <c r="C565" s="354"/>
      <c r="D565" s="354"/>
      <c r="E565" s="354"/>
      <c r="F565" s="354"/>
      <c r="G565" s="354"/>
      <c r="H565" s="354"/>
      <c r="I565" s="354"/>
      <c r="J565" s="354"/>
      <c r="K565" s="354"/>
      <c r="L565" s="352"/>
      <c r="M565" s="352"/>
    </row>
    <row r="566" spans="1:13" x14ac:dyDescent="0.25">
      <c r="A566" s="354"/>
      <c r="B566" s="515"/>
      <c r="C566" s="515"/>
      <c r="D566" s="515"/>
      <c r="E566" s="369"/>
      <c r="F566" s="515"/>
      <c r="G566" s="515"/>
      <c r="H566" s="515"/>
      <c r="I566" s="369"/>
      <c r="J566" s="515"/>
      <c r="K566" s="515"/>
      <c r="L566" s="515"/>
      <c r="M566" s="352"/>
    </row>
    <row r="567" spans="1:13" x14ac:dyDescent="0.25">
      <c r="A567" s="374"/>
      <c r="B567" s="375"/>
      <c r="C567" s="375"/>
      <c r="D567" s="375"/>
      <c r="E567" s="375"/>
      <c r="F567" s="375"/>
      <c r="G567" s="375"/>
      <c r="H567" s="375"/>
      <c r="I567" s="375"/>
      <c r="J567" s="375"/>
      <c r="K567" s="375"/>
      <c r="L567" s="375"/>
      <c r="M567" s="352"/>
    </row>
    <row r="568" spans="1:13" x14ac:dyDescent="0.25">
      <c r="A568" s="374"/>
      <c r="B568" s="375"/>
      <c r="C568" s="375"/>
      <c r="D568" s="375"/>
      <c r="E568" s="375"/>
      <c r="F568" s="375"/>
      <c r="G568" s="375"/>
      <c r="H568" s="375"/>
      <c r="I568" s="375"/>
      <c r="J568" s="375"/>
      <c r="K568" s="375"/>
      <c r="L568" s="375"/>
      <c r="M568" s="352"/>
    </row>
    <row r="569" spans="1:13" x14ac:dyDescent="0.25">
      <c r="A569" s="348"/>
      <c r="B569" s="466"/>
      <c r="C569" s="466"/>
      <c r="D569" s="466"/>
      <c r="E569" s="467"/>
      <c r="F569" s="466"/>
      <c r="G569" s="466"/>
      <c r="H569" s="466"/>
      <c r="I569" s="467"/>
      <c r="J569" s="466"/>
      <c r="K569" s="466"/>
      <c r="L569" s="466"/>
      <c r="M569" s="352"/>
    </row>
    <row r="570" spans="1:13" x14ac:dyDescent="0.25">
      <c r="A570" s="348"/>
      <c r="B570" s="466"/>
      <c r="C570" s="466"/>
      <c r="D570" s="466"/>
      <c r="E570" s="467"/>
      <c r="F570" s="466"/>
      <c r="G570" s="466"/>
      <c r="H570" s="466"/>
      <c r="I570" s="467"/>
      <c r="J570" s="466"/>
      <c r="K570" s="466"/>
      <c r="L570" s="466"/>
      <c r="M570" s="352"/>
    </row>
    <row r="571" spans="1:13" x14ac:dyDescent="0.25">
      <c r="A571" s="348"/>
      <c r="B571" s="466"/>
      <c r="C571" s="466"/>
      <c r="D571" s="466"/>
      <c r="E571" s="467"/>
      <c r="F571" s="466"/>
      <c r="G571" s="466"/>
      <c r="H571" s="466"/>
      <c r="I571" s="467"/>
      <c r="J571" s="466"/>
      <c r="K571" s="466"/>
      <c r="L571" s="466"/>
      <c r="M571" s="352"/>
    </row>
    <row r="572" spans="1:13" x14ac:dyDescent="0.25">
      <c r="A572" s="348"/>
      <c r="B572" s="466"/>
      <c r="C572" s="466"/>
      <c r="D572" s="466"/>
      <c r="E572" s="467"/>
      <c r="F572" s="466"/>
      <c r="G572" s="466"/>
      <c r="H572" s="466"/>
      <c r="I572" s="467"/>
      <c r="J572" s="466"/>
      <c r="K572" s="466"/>
      <c r="L572" s="466"/>
      <c r="M572" s="352"/>
    </row>
    <row r="573" spans="1:13" x14ac:dyDescent="0.25">
      <c r="A573" s="348"/>
      <c r="B573" s="466"/>
      <c r="C573" s="466"/>
      <c r="D573" s="466"/>
      <c r="E573" s="467"/>
      <c r="F573" s="466"/>
      <c r="G573" s="466"/>
      <c r="H573" s="466"/>
      <c r="I573" s="467"/>
      <c r="J573" s="466"/>
      <c r="K573" s="466"/>
      <c r="L573" s="466"/>
      <c r="M573" s="352"/>
    </row>
    <row r="574" spans="1:13" x14ac:dyDescent="0.25">
      <c r="A574" s="348"/>
      <c r="B574" s="466"/>
      <c r="C574" s="466"/>
      <c r="D574" s="466"/>
      <c r="E574" s="467"/>
      <c r="F574" s="466"/>
      <c r="G574" s="466"/>
      <c r="H574" s="466"/>
      <c r="I574" s="467"/>
      <c r="J574" s="466"/>
      <c r="K574" s="466"/>
      <c r="L574" s="466"/>
      <c r="M574" s="352"/>
    </row>
    <row r="575" spans="1:13" x14ac:dyDescent="0.25">
      <c r="A575" s="348"/>
      <c r="B575" s="466"/>
      <c r="C575" s="466"/>
      <c r="D575" s="466"/>
      <c r="E575" s="467"/>
      <c r="F575" s="466"/>
      <c r="G575" s="466"/>
      <c r="H575" s="466"/>
      <c r="I575" s="467"/>
      <c r="J575" s="466"/>
      <c r="K575" s="466"/>
      <c r="L575" s="466"/>
      <c r="M575" s="352"/>
    </row>
    <row r="576" spans="1:13" x14ac:dyDescent="0.25">
      <c r="A576" s="348"/>
      <c r="B576" s="466"/>
      <c r="C576" s="466"/>
      <c r="D576" s="466"/>
      <c r="E576" s="467"/>
      <c r="F576" s="466"/>
      <c r="G576" s="466"/>
      <c r="H576" s="466"/>
      <c r="I576" s="467"/>
      <c r="J576" s="466"/>
      <c r="K576" s="466"/>
      <c r="L576" s="466"/>
      <c r="M576" s="352"/>
    </row>
    <row r="577" spans="1:13" x14ac:dyDescent="0.25">
      <c r="A577" s="348"/>
      <c r="B577" s="466"/>
      <c r="C577" s="466"/>
      <c r="D577" s="466"/>
      <c r="E577" s="467"/>
      <c r="F577" s="466"/>
      <c r="G577" s="466"/>
      <c r="H577" s="466"/>
      <c r="I577" s="467"/>
      <c r="J577" s="466"/>
      <c r="K577" s="466"/>
      <c r="L577" s="466"/>
      <c r="M577" s="352"/>
    </row>
    <row r="578" spans="1:13" x14ac:dyDescent="0.25">
      <c r="A578" s="348"/>
      <c r="B578" s="466"/>
      <c r="C578" s="466"/>
      <c r="D578" s="466"/>
      <c r="E578" s="467"/>
      <c r="F578" s="466"/>
      <c r="G578" s="466"/>
      <c r="H578" s="466"/>
      <c r="I578" s="467"/>
      <c r="J578" s="466"/>
      <c r="K578" s="466"/>
      <c r="L578" s="466"/>
      <c r="M578" s="352"/>
    </row>
    <row r="579" spans="1:13" x14ac:dyDescent="0.25">
      <c r="A579" s="348"/>
      <c r="B579" s="467"/>
      <c r="C579" s="467"/>
      <c r="D579" s="467"/>
      <c r="E579" s="467"/>
      <c r="F579" s="467"/>
      <c r="G579" s="467"/>
      <c r="H579" s="467"/>
      <c r="I579" s="467"/>
      <c r="J579" s="467"/>
      <c r="K579" s="467"/>
      <c r="L579" s="467"/>
      <c r="M579" s="352"/>
    </row>
    <row r="580" spans="1:13" x14ac:dyDescent="0.25">
      <c r="A580" s="348"/>
      <c r="B580" s="348"/>
      <c r="C580" s="348"/>
      <c r="D580" s="348"/>
      <c r="E580" s="348"/>
      <c r="F580" s="348"/>
      <c r="G580" s="348"/>
      <c r="H580" s="348"/>
      <c r="I580" s="348"/>
      <c r="J580" s="348"/>
      <c r="K580" s="348"/>
      <c r="L580" s="353"/>
      <c r="M580" s="352"/>
    </row>
    <row r="581" spans="1:13" x14ac:dyDescent="0.25">
      <c r="A581" s="348"/>
      <c r="B581" s="348"/>
      <c r="C581" s="348"/>
      <c r="D581" s="348"/>
      <c r="E581" s="348"/>
      <c r="F581" s="348"/>
      <c r="G581" s="348"/>
      <c r="H581" s="348"/>
      <c r="I581" s="348"/>
      <c r="J581" s="348"/>
      <c r="K581" s="348"/>
      <c r="L581" s="410"/>
      <c r="M581" s="352"/>
    </row>
    <row r="582" spans="1:13" x14ac:dyDescent="0.25">
      <c r="A582" s="374"/>
      <c r="B582" s="354"/>
      <c r="C582" s="354"/>
      <c r="D582" s="354"/>
      <c r="E582" s="354"/>
      <c r="F582" s="354"/>
      <c r="G582" s="354"/>
      <c r="H582" s="354"/>
      <c r="I582" s="354"/>
      <c r="J582" s="354"/>
      <c r="K582" s="354"/>
      <c r="L582" s="352"/>
      <c r="M582" s="352"/>
    </row>
    <row r="583" spans="1:13" x14ac:dyDescent="0.25">
      <c r="A583" s="354"/>
      <c r="B583" s="515"/>
      <c r="C583" s="515"/>
      <c r="D583" s="515"/>
      <c r="E583" s="369"/>
      <c r="F583" s="515"/>
      <c r="G583" s="515"/>
      <c r="H583" s="515"/>
      <c r="I583" s="369"/>
      <c r="J583" s="515"/>
      <c r="K583" s="515"/>
      <c r="L583" s="515"/>
      <c r="M583" s="352"/>
    </row>
    <row r="584" spans="1:13" x14ac:dyDescent="0.25">
      <c r="A584" s="374"/>
      <c r="B584" s="375"/>
      <c r="C584" s="375"/>
      <c r="D584" s="375"/>
      <c r="E584" s="375"/>
      <c r="F584" s="375"/>
      <c r="G584" s="375"/>
      <c r="H584" s="375"/>
      <c r="I584" s="375"/>
      <c r="J584" s="375"/>
      <c r="K584" s="375"/>
      <c r="L584" s="375"/>
      <c r="M584" s="352"/>
    </row>
    <row r="585" spans="1:13" x14ac:dyDescent="0.25">
      <c r="A585" s="374"/>
      <c r="B585" s="375"/>
      <c r="C585" s="375"/>
      <c r="D585" s="375"/>
      <c r="E585" s="375"/>
      <c r="F585" s="375"/>
      <c r="G585" s="375"/>
      <c r="H585" s="375"/>
      <c r="I585" s="375"/>
      <c r="J585" s="375"/>
      <c r="K585" s="375"/>
      <c r="L585" s="375"/>
      <c r="M585" s="352"/>
    </row>
    <row r="586" spans="1:13" x14ac:dyDescent="0.25">
      <c r="A586" s="348"/>
      <c r="B586" s="466"/>
      <c r="C586" s="466"/>
      <c r="D586" s="466"/>
      <c r="E586" s="467"/>
      <c r="F586" s="466"/>
      <c r="G586" s="466"/>
      <c r="H586" s="466"/>
      <c r="I586" s="467"/>
      <c r="J586" s="466"/>
      <c r="K586" s="466"/>
      <c r="L586" s="466"/>
      <c r="M586" s="352"/>
    </row>
    <row r="587" spans="1:13" x14ac:dyDescent="0.25">
      <c r="A587" s="348"/>
      <c r="B587" s="466"/>
      <c r="C587" s="466"/>
      <c r="D587" s="466"/>
      <c r="E587" s="467"/>
      <c r="F587" s="466"/>
      <c r="G587" s="466"/>
      <c r="H587" s="466"/>
      <c r="I587" s="467"/>
      <c r="J587" s="466"/>
      <c r="K587" s="466"/>
      <c r="L587" s="466"/>
      <c r="M587" s="352"/>
    </row>
    <row r="588" spans="1:13" x14ac:dyDescent="0.25">
      <c r="A588" s="348"/>
      <c r="B588" s="466"/>
      <c r="C588" s="466"/>
      <c r="D588" s="466"/>
      <c r="E588" s="467"/>
      <c r="F588" s="466"/>
      <c r="G588" s="466"/>
      <c r="H588" s="466"/>
      <c r="I588" s="467"/>
      <c r="J588" s="466"/>
      <c r="K588" s="466"/>
      <c r="L588" s="466"/>
      <c r="M588" s="352"/>
    </row>
    <row r="589" spans="1:13" x14ac:dyDescent="0.25">
      <c r="A589" s="348"/>
      <c r="B589" s="466"/>
      <c r="C589" s="466"/>
      <c r="D589" s="466"/>
      <c r="E589" s="467"/>
      <c r="F589" s="466"/>
      <c r="G589" s="466"/>
      <c r="H589" s="466"/>
      <c r="I589" s="467"/>
      <c r="J589" s="466"/>
      <c r="K589" s="466"/>
      <c r="L589" s="466"/>
      <c r="M589" s="352"/>
    </row>
    <row r="590" spans="1:13" x14ac:dyDescent="0.25">
      <c r="A590" s="348"/>
      <c r="B590" s="466"/>
      <c r="C590" s="466"/>
      <c r="D590" s="466"/>
      <c r="E590" s="467"/>
      <c r="F590" s="466"/>
      <c r="G590" s="466"/>
      <c r="H590" s="466"/>
      <c r="I590" s="467"/>
      <c r="J590" s="466"/>
      <c r="K590" s="466"/>
      <c r="L590" s="466"/>
      <c r="M590" s="352"/>
    </row>
    <row r="591" spans="1:13" x14ac:dyDescent="0.25">
      <c r="A591" s="348"/>
      <c r="B591" s="466"/>
      <c r="C591" s="466"/>
      <c r="D591" s="466"/>
      <c r="E591" s="467"/>
      <c r="F591" s="466"/>
      <c r="G591" s="466"/>
      <c r="H591" s="466"/>
      <c r="I591" s="467"/>
      <c r="J591" s="466"/>
      <c r="K591" s="466"/>
      <c r="L591" s="466"/>
      <c r="M591" s="352"/>
    </row>
    <row r="592" spans="1:13" x14ac:dyDescent="0.25">
      <c r="A592" s="348"/>
      <c r="B592" s="466"/>
      <c r="C592" s="466"/>
      <c r="D592" s="466"/>
      <c r="E592" s="467"/>
      <c r="F592" s="466"/>
      <c r="G592" s="466"/>
      <c r="H592" s="466"/>
      <c r="I592" s="467"/>
      <c r="J592" s="466"/>
      <c r="K592" s="466"/>
      <c r="L592" s="466"/>
      <c r="M592" s="352"/>
    </row>
    <row r="593" spans="1:13" x14ac:dyDescent="0.25">
      <c r="A593" s="348"/>
      <c r="B593" s="466"/>
      <c r="C593" s="466"/>
      <c r="D593" s="466"/>
      <c r="E593" s="467"/>
      <c r="F593" s="466"/>
      <c r="G593" s="466"/>
      <c r="H593" s="466"/>
      <c r="I593" s="467"/>
      <c r="J593" s="466"/>
      <c r="K593" s="466"/>
      <c r="L593" s="466"/>
      <c r="M593" s="352"/>
    </row>
    <row r="594" spans="1:13" x14ac:dyDescent="0.25">
      <c r="A594" s="348"/>
      <c r="B594" s="466"/>
      <c r="C594" s="466"/>
      <c r="D594" s="466"/>
      <c r="E594" s="467"/>
      <c r="F594" s="466"/>
      <c r="G594" s="466"/>
      <c r="H594" s="466"/>
      <c r="I594" s="467"/>
      <c r="J594" s="466"/>
      <c r="K594" s="466"/>
      <c r="L594" s="466"/>
      <c r="M594" s="352"/>
    </row>
    <row r="595" spans="1:13" x14ac:dyDescent="0.25">
      <c r="A595" s="348"/>
      <c r="B595" s="466"/>
      <c r="C595" s="466"/>
      <c r="D595" s="466"/>
      <c r="E595" s="467"/>
      <c r="F595" s="466"/>
      <c r="G595" s="466"/>
      <c r="H595" s="466"/>
      <c r="I595" s="467"/>
      <c r="J595" s="466"/>
      <c r="K595" s="466"/>
      <c r="L595" s="466"/>
      <c r="M595" s="352"/>
    </row>
    <row r="596" spans="1:13" x14ac:dyDescent="0.25">
      <c r="A596" s="348"/>
      <c r="B596" s="467"/>
      <c r="C596" s="467"/>
      <c r="D596" s="467"/>
      <c r="E596" s="467"/>
      <c r="F596" s="467"/>
      <c r="G596" s="467"/>
      <c r="H596" s="467"/>
      <c r="I596" s="467"/>
      <c r="J596" s="467"/>
      <c r="K596" s="467"/>
      <c r="L596" s="467"/>
      <c r="M596" s="352"/>
    </row>
    <row r="597" spans="1:13" x14ac:dyDescent="0.25">
      <c r="A597" s="348"/>
      <c r="B597" s="348"/>
      <c r="C597" s="348"/>
      <c r="D597" s="348"/>
      <c r="E597" s="348"/>
      <c r="F597" s="348"/>
      <c r="G597" s="348"/>
      <c r="H597" s="348"/>
      <c r="I597" s="348"/>
      <c r="J597" s="348"/>
      <c r="K597" s="348"/>
      <c r="L597" s="353"/>
      <c r="M597" s="352"/>
    </row>
    <row r="598" spans="1:13" x14ac:dyDescent="0.25">
      <c r="A598" s="348"/>
      <c r="B598" s="348"/>
      <c r="C598" s="348"/>
      <c r="D598" s="348"/>
      <c r="E598" s="348"/>
      <c r="F598" s="348"/>
      <c r="G598" s="348"/>
      <c r="H598" s="348"/>
      <c r="I598" s="348"/>
      <c r="J598" s="348"/>
      <c r="K598" s="348"/>
      <c r="L598" s="410"/>
      <c r="M598" s="352"/>
    </row>
    <row r="599" spans="1:13" x14ac:dyDescent="0.25">
      <c r="A599" s="374"/>
      <c r="B599" s="354"/>
      <c r="C599" s="354"/>
      <c r="D599" s="354"/>
      <c r="E599" s="354"/>
      <c r="F599" s="354"/>
      <c r="G599" s="354"/>
      <c r="H599" s="354"/>
      <c r="I599" s="354"/>
      <c r="J599" s="354"/>
      <c r="K599" s="354"/>
      <c r="L599" s="352"/>
      <c r="M599" s="352"/>
    </row>
    <row r="600" spans="1:13" x14ac:dyDescent="0.25">
      <c r="A600" s="354"/>
      <c r="B600" s="515"/>
      <c r="C600" s="515"/>
      <c r="D600" s="515"/>
      <c r="E600" s="369"/>
      <c r="F600" s="515"/>
      <c r="G600" s="515"/>
      <c r="H600" s="515"/>
      <c r="I600" s="369"/>
      <c r="J600" s="515"/>
      <c r="K600" s="515"/>
      <c r="L600" s="515"/>
      <c r="M600" s="352"/>
    </row>
    <row r="601" spans="1:13" x14ac:dyDescent="0.25">
      <c r="A601" s="374"/>
      <c r="B601" s="375"/>
      <c r="C601" s="375"/>
      <c r="D601" s="375"/>
      <c r="E601" s="375"/>
      <c r="F601" s="375"/>
      <c r="G601" s="375"/>
      <c r="H601" s="375"/>
      <c r="I601" s="375"/>
      <c r="J601" s="375"/>
      <c r="K601" s="375"/>
      <c r="L601" s="375"/>
      <c r="M601" s="352"/>
    </row>
    <row r="602" spans="1:13" x14ac:dyDescent="0.25">
      <c r="A602" s="374"/>
      <c r="B602" s="375"/>
      <c r="C602" s="375"/>
      <c r="D602" s="375"/>
      <c r="E602" s="375"/>
      <c r="F602" s="375"/>
      <c r="G602" s="375"/>
      <c r="H602" s="375"/>
      <c r="I602" s="375"/>
      <c r="J602" s="375"/>
      <c r="K602" s="375"/>
      <c r="L602" s="375"/>
      <c r="M602" s="352"/>
    </row>
    <row r="603" spans="1:13" x14ac:dyDescent="0.25">
      <c r="A603" s="348"/>
      <c r="B603" s="466"/>
      <c r="C603" s="466"/>
      <c r="D603" s="466"/>
      <c r="E603" s="467"/>
      <c r="F603" s="466"/>
      <c r="G603" s="466"/>
      <c r="H603" s="466"/>
      <c r="I603" s="467"/>
      <c r="J603" s="466"/>
      <c r="K603" s="466"/>
      <c r="L603" s="466"/>
      <c r="M603" s="352"/>
    </row>
    <row r="604" spans="1:13" x14ac:dyDescent="0.25">
      <c r="A604" s="348"/>
      <c r="B604" s="466"/>
      <c r="C604" s="466"/>
      <c r="D604" s="466"/>
      <c r="E604" s="467"/>
      <c r="F604" s="466"/>
      <c r="G604" s="466"/>
      <c r="H604" s="466"/>
      <c r="I604" s="467"/>
      <c r="J604" s="466"/>
      <c r="K604" s="466"/>
      <c r="L604" s="466"/>
      <c r="M604" s="352"/>
    </row>
    <row r="605" spans="1:13" x14ac:dyDescent="0.25">
      <c r="A605" s="348"/>
      <c r="B605" s="466"/>
      <c r="C605" s="466"/>
      <c r="D605" s="466"/>
      <c r="E605" s="467"/>
      <c r="F605" s="466"/>
      <c r="G605" s="466"/>
      <c r="H605" s="466"/>
      <c r="I605" s="467"/>
      <c r="J605" s="466"/>
      <c r="K605" s="466"/>
      <c r="L605" s="466"/>
      <c r="M605" s="352"/>
    </row>
    <row r="606" spans="1:13" x14ac:dyDescent="0.25">
      <c r="A606" s="348"/>
      <c r="B606" s="466"/>
      <c r="C606" s="466"/>
      <c r="D606" s="466"/>
      <c r="E606" s="467"/>
      <c r="F606" s="466"/>
      <c r="G606" s="466"/>
      <c r="H606" s="466"/>
      <c r="I606" s="467"/>
      <c r="J606" s="466"/>
      <c r="K606" s="466"/>
      <c r="L606" s="466"/>
      <c r="M606" s="352"/>
    </row>
    <row r="607" spans="1:13" x14ac:dyDescent="0.25">
      <c r="A607" s="348"/>
      <c r="B607" s="466"/>
      <c r="C607" s="466"/>
      <c r="D607" s="466"/>
      <c r="E607" s="467"/>
      <c r="F607" s="466"/>
      <c r="G607" s="466"/>
      <c r="H607" s="466"/>
      <c r="I607" s="467"/>
      <c r="J607" s="466"/>
      <c r="K607" s="466"/>
      <c r="L607" s="466"/>
      <c r="M607" s="352"/>
    </row>
    <row r="608" spans="1:13" x14ac:dyDescent="0.25">
      <c r="A608" s="348"/>
      <c r="B608" s="466"/>
      <c r="C608" s="466"/>
      <c r="D608" s="466"/>
      <c r="E608" s="467"/>
      <c r="F608" s="466"/>
      <c r="G608" s="466"/>
      <c r="H608" s="466"/>
      <c r="I608" s="467"/>
      <c r="J608" s="466"/>
      <c r="K608" s="466"/>
      <c r="L608" s="466"/>
      <c r="M608" s="352"/>
    </row>
    <row r="609" spans="1:13" x14ac:dyDescent="0.25">
      <c r="A609" s="348"/>
      <c r="B609" s="466"/>
      <c r="C609" s="466"/>
      <c r="D609" s="466"/>
      <c r="E609" s="467"/>
      <c r="F609" s="466"/>
      <c r="G609" s="466"/>
      <c r="H609" s="466"/>
      <c r="I609" s="467"/>
      <c r="J609" s="466"/>
      <c r="K609" s="466"/>
      <c r="L609" s="466"/>
      <c r="M609" s="352"/>
    </row>
    <row r="610" spans="1:13" x14ac:dyDescent="0.25">
      <c r="A610" s="348"/>
      <c r="B610" s="466"/>
      <c r="C610" s="466"/>
      <c r="D610" s="466"/>
      <c r="E610" s="467"/>
      <c r="F610" s="466"/>
      <c r="G610" s="466"/>
      <c r="H610" s="466"/>
      <c r="I610" s="467"/>
      <c r="J610" s="466"/>
      <c r="K610" s="466"/>
      <c r="L610" s="466"/>
      <c r="M610" s="352"/>
    </row>
    <row r="611" spans="1:13" x14ac:dyDescent="0.25">
      <c r="A611" s="348"/>
      <c r="B611" s="466"/>
      <c r="C611" s="466"/>
      <c r="D611" s="466"/>
      <c r="E611" s="467"/>
      <c r="F611" s="466"/>
      <c r="G611" s="466"/>
      <c r="H611" s="466"/>
      <c r="I611" s="467"/>
      <c r="J611" s="466"/>
      <c r="K611" s="466"/>
      <c r="L611" s="466"/>
      <c r="M611" s="352"/>
    </row>
    <row r="612" spans="1:13" x14ac:dyDescent="0.25">
      <c r="A612" s="348"/>
      <c r="B612" s="466"/>
      <c r="C612" s="466"/>
      <c r="D612" s="466"/>
      <c r="E612" s="467"/>
      <c r="F612" s="466"/>
      <c r="G612" s="466"/>
      <c r="H612" s="466"/>
      <c r="I612" s="467"/>
      <c r="J612" s="466"/>
      <c r="K612" s="466"/>
      <c r="L612" s="466"/>
      <c r="M612" s="352"/>
    </row>
    <row r="613" spans="1:13" x14ac:dyDescent="0.25">
      <c r="A613" s="348"/>
      <c r="B613" s="467"/>
      <c r="C613" s="467"/>
      <c r="D613" s="467"/>
      <c r="E613" s="467"/>
      <c r="F613" s="467"/>
      <c r="G613" s="467"/>
      <c r="H613" s="467"/>
      <c r="I613" s="467"/>
      <c r="J613" s="467"/>
      <c r="K613" s="467"/>
      <c r="L613" s="467"/>
      <c r="M613" s="352"/>
    </row>
    <row r="614" spans="1:13" x14ac:dyDescent="0.25">
      <c r="A614" s="348"/>
      <c r="B614" s="348"/>
      <c r="C614" s="348"/>
      <c r="D614" s="348"/>
      <c r="E614" s="348"/>
      <c r="F614" s="348"/>
      <c r="G614" s="348"/>
      <c r="H614" s="348"/>
      <c r="I614" s="348"/>
      <c r="J614" s="348"/>
      <c r="K614" s="348"/>
      <c r="L614" s="353"/>
      <c r="M614" s="352"/>
    </row>
    <row r="615" spans="1:13" x14ac:dyDescent="0.25">
      <c r="A615" s="348"/>
      <c r="B615" s="348"/>
      <c r="C615" s="348"/>
      <c r="D615" s="348"/>
      <c r="E615" s="348"/>
      <c r="F615" s="348"/>
      <c r="G615" s="348"/>
      <c r="H615" s="348"/>
      <c r="I615" s="348"/>
      <c r="J615" s="348"/>
      <c r="K615" s="348"/>
      <c r="L615" s="410"/>
      <c r="M615" s="352"/>
    </row>
    <row r="616" spans="1:13" x14ac:dyDescent="0.25">
      <c r="A616" s="374"/>
      <c r="B616" s="354"/>
      <c r="C616" s="354"/>
      <c r="D616" s="354"/>
      <c r="E616" s="354"/>
      <c r="F616" s="354"/>
      <c r="G616" s="354"/>
      <c r="H616" s="354"/>
      <c r="I616" s="354"/>
      <c r="J616" s="354"/>
      <c r="K616" s="354"/>
      <c r="L616" s="352"/>
      <c r="M616" s="352"/>
    </row>
    <row r="617" spans="1:13" x14ac:dyDescent="0.25">
      <c r="A617" s="354"/>
      <c r="B617" s="515"/>
      <c r="C617" s="515"/>
      <c r="D617" s="515"/>
      <c r="E617" s="369"/>
      <c r="F617" s="515"/>
      <c r="G617" s="515"/>
      <c r="H617" s="515"/>
      <c r="I617" s="369"/>
      <c r="J617" s="515"/>
      <c r="K617" s="515"/>
      <c r="L617" s="515"/>
      <c r="M617" s="352"/>
    </row>
    <row r="618" spans="1:13" x14ac:dyDescent="0.25">
      <c r="A618" s="374"/>
      <c r="B618" s="375"/>
      <c r="C618" s="375"/>
      <c r="D618" s="375"/>
      <c r="E618" s="375"/>
      <c r="F618" s="375"/>
      <c r="G618" s="375"/>
      <c r="H618" s="375"/>
      <c r="I618" s="375"/>
      <c r="J618" s="375"/>
      <c r="K618" s="375"/>
      <c r="L618" s="375"/>
      <c r="M618" s="352"/>
    </row>
    <row r="619" spans="1:13" x14ac:dyDescent="0.25">
      <c r="A619" s="374"/>
      <c r="B619" s="375"/>
      <c r="C619" s="375"/>
      <c r="D619" s="375"/>
      <c r="E619" s="375"/>
      <c r="F619" s="375"/>
      <c r="G619" s="375"/>
      <c r="H619" s="375"/>
      <c r="I619" s="375"/>
      <c r="J619" s="375"/>
      <c r="K619" s="375"/>
      <c r="L619" s="375"/>
      <c r="M619" s="352"/>
    </row>
    <row r="620" spans="1:13" x14ac:dyDescent="0.25">
      <c r="A620" s="348"/>
      <c r="B620" s="466"/>
      <c r="C620" s="466"/>
      <c r="D620" s="466"/>
      <c r="E620" s="467"/>
      <c r="F620" s="466"/>
      <c r="G620" s="466"/>
      <c r="H620" s="466"/>
      <c r="I620" s="467"/>
      <c r="J620" s="466"/>
      <c r="K620" s="466"/>
      <c r="L620" s="466"/>
      <c r="M620" s="352"/>
    </row>
    <row r="621" spans="1:13" x14ac:dyDescent="0.25">
      <c r="A621" s="348"/>
      <c r="B621" s="466"/>
      <c r="C621" s="466"/>
      <c r="D621" s="466"/>
      <c r="E621" s="467"/>
      <c r="F621" s="466"/>
      <c r="G621" s="466"/>
      <c r="H621" s="466"/>
      <c r="I621" s="467"/>
      <c r="J621" s="466"/>
      <c r="K621" s="466"/>
      <c r="L621" s="466"/>
      <c r="M621" s="352"/>
    </row>
    <row r="622" spans="1:13" x14ac:dyDescent="0.25">
      <c r="A622" s="348"/>
      <c r="B622" s="466"/>
      <c r="C622" s="466"/>
      <c r="D622" s="466"/>
      <c r="E622" s="467"/>
      <c r="F622" s="466"/>
      <c r="G622" s="466"/>
      <c r="H622" s="466"/>
      <c r="I622" s="467"/>
      <c r="J622" s="466"/>
      <c r="K622" s="466"/>
      <c r="L622" s="466"/>
      <c r="M622" s="352"/>
    </row>
    <row r="623" spans="1:13" x14ac:dyDescent="0.25">
      <c r="A623" s="348"/>
      <c r="B623" s="466"/>
      <c r="C623" s="466"/>
      <c r="D623" s="466"/>
      <c r="E623" s="467"/>
      <c r="F623" s="466"/>
      <c r="G623" s="466"/>
      <c r="H623" s="466"/>
      <c r="I623" s="467"/>
      <c r="J623" s="466"/>
      <c r="K623" s="466"/>
      <c r="L623" s="466"/>
      <c r="M623" s="352"/>
    </row>
    <row r="624" spans="1:13" x14ac:dyDescent="0.25">
      <c r="A624" s="348"/>
      <c r="B624" s="466"/>
      <c r="C624" s="466"/>
      <c r="D624" s="466"/>
      <c r="E624" s="467"/>
      <c r="F624" s="466"/>
      <c r="G624" s="466"/>
      <c r="H624" s="466"/>
      <c r="I624" s="467"/>
      <c r="J624" s="466"/>
      <c r="K624" s="466"/>
      <c r="L624" s="466"/>
      <c r="M624" s="352"/>
    </row>
    <row r="625" spans="1:13" x14ac:dyDescent="0.25">
      <c r="A625" s="348"/>
      <c r="B625" s="466"/>
      <c r="C625" s="466"/>
      <c r="D625" s="466"/>
      <c r="E625" s="467"/>
      <c r="F625" s="466"/>
      <c r="G625" s="466"/>
      <c r="H625" s="466"/>
      <c r="I625" s="467"/>
      <c r="J625" s="466"/>
      <c r="K625" s="466"/>
      <c r="L625" s="466"/>
      <c r="M625" s="352"/>
    </row>
    <row r="626" spans="1:13" x14ac:dyDescent="0.25">
      <c r="A626" s="348"/>
      <c r="B626" s="466"/>
      <c r="C626" s="466"/>
      <c r="D626" s="466"/>
      <c r="E626" s="467"/>
      <c r="F626" s="466"/>
      <c r="G626" s="466"/>
      <c r="H626" s="466"/>
      <c r="I626" s="467"/>
      <c r="J626" s="466"/>
      <c r="K626" s="466"/>
      <c r="L626" s="466"/>
      <c r="M626" s="352"/>
    </row>
    <row r="627" spans="1:13" x14ac:dyDescent="0.25">
      <c r="A627" s="348"/>
      <c r="B627" s="466"/>
      <c r="C627" s="466"/>
      <c r="D627" s="466"/>
      <c r="E627" s="467"/>
      <c r="F627" s="466"/>
      <c r="G627" s="466"/>
      <c r="H627" s="466"/>
      <c r="I627" s="467"/>
      <c r="J627" s="466"/>
      <c r="K627" s="466"/>
      <c r="L627" s="466"/>
      <c r="M627" s="352"/>
    </row>
    <row r="628" spans="1:13" x14ac:dyDescent="0.25">
      <c r="A628" s="348"/>
      <c r="B628" s="466"/>
      <c r="C628" s="466"/>
      <c r="D628" s="466"/>
      <c r="E628" s="467"/>
      <c r="F628" s="466"/>
      <c r="G628" s="466"/>
      <c r="H628" s="466"/>
      <c r="I628" s="467"/>
      <c r="J628" s="466"/>
      <c r="K628" s="466"/>
      <c r="L628" s="466"/>
      <c r="M628" s="352"/>
    </row>
    <row r="629" spans="1:13" x14ac:dyDescent="0.25">
      <c r="A629" s="348"/>
      <c r="B629" s="466"/>
      <c r="C629" s="466"/>
      <c r="D629" s="466"/>
      <c r="E629" s="467"/>
      <c r="F629" s="466"/>
      <c r="G629" s="466"/>
      <c r="H629" s="466"/>
      <c r="I629" s="467"/>
      <c r="J629" s="466"/>
      <c r="K629" s="466"/>
      <c r="L629" s="466"/>
      <c r="M629" s="352"/>
    </row>
    <row r="630" spans="1:13" x14ac:dyDescent="0.25">
      <c r="A630" s="348"/>
      <c r="B630" s="467"/>
      <c r="C630" s="467"/>
      <c r="D630" s="467"/>
      <c r="E630" s="467"/>
      <c r="F630" s="467"/>
      <c r="G630" s="467"/>
      <c r="H630" s="467"/>
      <c r="I630" s="467"/>
      <c r="J630" s="467"/>
      <c r="K630" s="467"/>
      <c r="L630" s="467"/>
      <c r="M630" s="352"/>
    </row>
    <row r="631" spans="1:13" x14ac:dyDescent="0.25">
      <c r="A631" s="348"/>
      <c r="B631" s="348"/>
      <c r="C631" s="348"/>
      <c r="D631" s="348"/>
      <c r="E631" s="348"/>
      <c r="F631" s="348"/>
      <c r="G631" s="348"/>
      <c r="H631" s="348"/>
      <c r="I631" s="348"/>
      <c r="J631" s="348"/>
      <c r="K631" s="348"/>
      <c r="L631" s="353"/>
      <c r="M631" s="352"/>
    </row>
    <row r="632" spans="1:13" x14ac:dyDescent="0.25">
      <c r="A632" s="348"/>
      <c r="B632" s="348"/>
      <c r="C632" s="348"/>
      <c r="D632" s="348"/>
      <c r="E632" s="348"/>
      <c r="F632" s="348"/>
      <c r="G632" s="348"/>
      <c r="H632" s="348"/>
      <c r="I632" s="348"/>
      <c r="J632" s="348"/>
      <c r="K632" s="348"/>
      <c r="L632" s="410"/>
      <c r="M632" s="352"/>
    </row>
    <row r="633" spans="1:13" x14ac:dyDescent="0.25">
      <c r="A633" s="374"/>
      <c r="B633" s="354"/>
      <c r="C633" s="354"/>
      <c r="D633" s="354"/>
      <c r="E633" s="354"/>
      <c r="F633" s="354"/>
      <c r="G633" s="354"/>
      <c r="H633" s="354"/>
      <c r="I633" s="354"/>
      <c r="J633" s="354"/>
      <c r="K633" s="354"/>
      <c r="L633" s="352"/>
      <c r="M633" s="352"/>
    </row>
    <row r="634" spans="1:13" x14ac:dyDescent="0.25">
      <c r="A634" s="354"/>
      <c r="B634" s="515"/>
      <c r="C634" s="515"/>
      <c r="D634" s="515"/>
      <c r="E634" s="369"/>
      <c r="F634" s="515"/>
      <c r="G634" s="515"/>
      <c r="H634" s="515"/>
      <c r="I634" s="369"/>
      <c r="J634" s="515"/>
      <c r="K634" s="515"/>
      <c r="L634" s="515"/>
      <c r="M634" s="352"/>
    </row>
    <row r="635" spans="1:13" x14ac:dyDescent="0.25">
      <c r="A635" s="374"/>
      <c r="B635" s="375"/>
      <c r="C635" s="375"/>
      <c r="D635" s="375"/>
      <c r="E635" s="375"/>
      <c r="F635" s="375"/>
      <c r="G635" s="375"/>
      <c r="H635" s="375"/>
      <c r="I635" s="375"/>
      <c r="J635" s="375"/>
      <c r="K635" s="375"/>
      <c r="L635" s="375"/>
      <c r="M635" s="352"/>
    </row>
    <row r="636" spans="1:13" x14ac:dyDescent="0.25">
      <c r="A636" s="374"/>
      <c r="B636" s="375"/>
      <c r="C636" s="375"/>
      <c r="D636" s="375"/>
      <c r="E636" s="375"/>
      <c r="F636" s="375"/>
      <c r="G636" s="375"/>
      <c r="H636" s="375"/>
      <c r="I636" s="375"/>
      <c r="J636" s="375"/>
      <c r="K636" s="375"/>
      <c r="L636" s="375"/>
      <c r="M636" s="352"/>
    </row>
    <row r="637" spans="1:13" x14ac:dyDescent="0.25">
      <c r="A637" s="348"/>
      <c r="B637" s="466"/>
      <c r="C637" s="466"/>
      <c r="D637" s="466"/>
      <c r="E637" s="467"/>
      <c r="F637" s="466"/>
      <c r="G637" s="466"/>
      <c r="H637" s="466"/>
      <c r="I637" s="467"/>
      <c r="J637" s="466"/>
      <c r="K637" s="466"/>
      <c r="L637" s="466"/>
      <c r="M637" s="352"/>
    </row>
    <row r="638" spans="1:13" x14ac:dyDescent="0.25">
      <c r="A638" s="348"/>
      <c r="B638" s="466"/>
      <c r="C638" s="466"/>
      <c r="D638" s="466"/>
      <c r="E638" s="467"/>
      <c r="F638" s="466"/>
      <c r="G638" s="466"/>
      <c r="H638" s="466"/>
      <c r="I638" s="467"/>
      <c r="J638" s="466"/>
      <c r="K638" s="466"/>
      <c r="L638" s="466"/>
      <c r="M638" s="352"/>
    </row>
    <row r="639" spans="1:13" x14ac:dyDescent="0.25">
      <c r="A639" s="348"/>
      <c r="B639" s="466"/>
      <c r="C639" s="466"/>
      <c r="D639" s="466"/>
      <c r="E639" s="467"/>
      <c r="F639" s="466"/>
      <c r="G639" s="466"/>
      <c r="H639" s="466"/>
      <c r="I639" s="467"/>
      <c r="J639" s="466"/>
      <c r="K639" s="466"/>
      <c r="L639" s="466"/>
      <c r="M639" s="352"/>
    </row>
    <row r="640" spans="1:13" x14ac:dyDescent="0.25">
      <c r="A640" s="348"/>
      <c r="B640" s="466"/>
      <c r="C640" s="466"/>
      <c r="D640" s="466"/>
      <c r="E640" s="467"/>
      <c r="F640" s="466"/>
      <c r="G640" s="466"/>
      <c r="H640" s="466"/>
      <c r="I640" s="467"/>
      <c r="J640" s="466"/>
      <c r="K640" s="466"/>
      <c r="L640" s="466"/>
      <c r="M640" s="352"/>
    </row>
    <row r="641" spans="1:13" x14ac:dyDescent="0.25">
      <c r="A641" s="348"/>
      <c r="B641" s="466"/>
      <c r="C641" s="466"/>
      <c r="D641" s="466"/>
      <c r="E641" s="467"/>
      <c r="F641" s="466"/>
      <c r="G641" s="466"/>
      <c r="H641" s="466"/>
      <c r="I641" s="467"/>
      <c r="J641" s="466"/>
      <c r="K641" s="466"/>
      <c r="L641" s="466"/>
      <c r="M641" s="352"/>
    </row>
    <row r="642" spans="1:13" x14ac:dyDescent="0.25">
      <c r="A642" s="348"/>
      <c r="B642" s="466"/>
      <c r="C642" s="466"/>
      <c r="D642" s="466"/>
      <c r="E642" s="467"/>
      <c r="F642" s="466"/>
      <c r="G642" s="466"/>
      <c r="H642" s="466"/>
      <c r="I642" s="467"/>
      <c r="J642" s="466"/>
      <c r="K642" s="466"/>
      <c r="L642" s="466"/>
      <c r="M642" s="352"/>
    </row>
    <row r="643" spans="1:13" x14ac:dyDescent="0.25">
      <c r="A643" s="348"/>
      <c r="B643" s="466"/>
      <c r="C643" s="466"/>
      <c r="D643" s="466"/>
      <c r="E643" s="467"/>
      <c r="F643" s="466"/>
      <c r="G643" s="466"/>
      <c r="H643" s="466"/>
      <c r="I643" s="467"/>
      <c r="J643" s="466"/>
      <c r="K643" s="466"/>
      <c r="L643" s="466"/>
      <c r="M643" s="352"/>
    </row>
    <row r="644" spans="1:13" x14ac:dyDescent="0.25">
      <c r="A644" s="348"/>
      <c r="B644" s="466"/>
      <c r="C644" s="466"/>
      <c r="D644" s="466"/>
      <c r="E644" s="467"/>
      <c r="F644" s="466"/>
      <c r="G644" s="466"/>
      <c r="H644" s="466"/>
      <c r="I644" s="467"/>
      <c r="J644" s="466"/>
      <c r="K644" s="466"/>
      <c r="L644" s="466"/>
      <c r="M644" s="352"/>
    </row>
    <row r="645" spans="1:13" x14ac:dyDescent="0.25">
      <c r="A645" s="348"/>
      <c r="B645" s="466"/>
      <c r="C645" s="466"/>
      <c r="D645" s="466"/>
      <c r="E645" s="467"/>
      <c r="F645" s="466"/>
      <c r="G645" s="466"/>
      <c r="H645" s="466"/>
      <c r="I645" s="467"/>
      <c r="J645" s="466"/>
      <c r="K645" s="466"/>
      <c r="L645" s="466"/>
      <c r="M645" s="352"/>
    </row>
    <row r="646" spans="1:13" x14ac:dyDescent="0.25">
      <c r="A646" s="348"/>
      <c r="B646" s="466"/>
      <c r="C646" s="466"/>
      <c r="D646" s="466"/>
      <c r="E646" s="467"/>
      <c r="F646" s="466"/>
      <c r="G646" s="466"/>
      <c r="H646" s="466"/>
      <c r="I646" s="467"/>
      <c r="J646" s="466"/>
      <c r="K646" s="466"/>
      <c r="L646" s="466"/>
      <c r="M646" s="352"/>
    </row>
    <row r="647" spans="1:13" x14ac:dyDescent="0.25">
      <c r="A647" s="348"/>
      <c r="B647" s="467"/>
      <c r="C647" s="467"/>
      <c r="D647" s="467"/>
      <c r="E647" s="467"/>
      <c r="F647" s="467"/>
      <c r="G647" s="467"/>
      <c r="H647" s="467"/>
      <c r="I647" s="467"/>
      <c r="J647" s="467"/>
      <c r="K647" s="467"/>
      <c r="L647" s="467"/>
      <c r="M647" s="352"/>
    </row>
    <row r="648" spans="1:13" x14ac:dyDescent="0.25">
      <c r="A648" s="348"/>
      <c r="B648" s="348"/>
      <c r="C648" s="348"/>
      <c r="D648" s="348"/>
      <c r="E648" s="348"/>
      <c r="F648" s="348"/>
      <c r="G648" s="348"/>
      <c r="H648" s="348"/>
      <c r="I648" s="348"/>
      <c r="J648" s="348"/>
      <c r="K648" s="348"/>
      <c r="L648" s="353"/>
      <c r="M648" s="352"/>
    </row>
    <row r="649" spans="1:13" x14ac:dyDescent="0.25">
      <c r="A649" s="348"/>
      <c r="B649" s="348"/>
      <c r="C649" s="348"/>
      <c r="D649" s="348"/>
      <c r="E649" s="348"/>
      <c r="F649" s="348"/>
      <c r="G649" s="348"/>
      <c r="H649" s="348"/>
      <c r="I649" s="348"/>
      <c r="J649" s="348"/>
      <c r="K649" s="348"/>
      <c r="L649" s="410"/>
      <c r="M649" s="352"/>
    </row>
    <row r="650" spans="1:13" x14ac:dyDescent="0.25">
      <c r="A650" s="374"/>
      <c r="B650" s="354"/>
      <c r="C650" s="354"/>
      <c r="D650" s="354"/>
      <c r="E650" s="354"/>
      <c r="F650" s="354"/>
      <c r="G650" s="354"/>
      <c r="H650" s="354"/>
      <c r="I650" s="354"/>
      <c r="J650" s="354"/>
      <c r="K650" s="354"/>
      <c r="L650" s="352"/>
      <c r="M650" s="352"/>
    </row>
    <row r="651" spans="1:13" x14ac:dyDescent="0.25">
      <c r="A651" s="354"/>
      <c r="B651" s="515"/>
      <c r="C651" s="515"/>
      <c r="D651" s="515"/>
      <c r="E651" s="369"/>
      <c r="F651" s="515"/>
      <c r="G651" s="515"/>
      <c r="H651" s="515"/>
      <c r="I651" s="369"/>
      <c r="J651" s="515"/>
      <c r="K651" s="515"/>
      <c r="L651" s="515"/>
      <c r="M651" s="352"/>
    </row>
    <row r="652" spans="1:13" x14ac:dyDescent="0.25">
      <c r="A652" s="374"/>
      <c r="B652" s="375"/>
      <c r="C652" s="375"/>
      <c r="D652" s="375"/>
      <c r="E652" s="375"/>
      <c r="F652" s="375"/>
      <c r="G652" s="375"/>
      <c r="H652" s="375"/>
      <c r="I652" s="375"/>
      <c r="J652" s="375"/>
      <c r="K652" s="375"/>
      <c r="L652" s="375"/>
      <c r="M652" s="352"/>
    </row>
    <row r="653" spans="1:13" x14ac:dyDescent="0.25">
      <c r="A653" s="374"/>
      <c r="B653" s="375"/>
      <c r="C653" s="375"/>
      <c r="D653" s="375"/>
      <c r="E653" s="375"/>
      <c r="F653" s="375"/>
      <c r="G653" s="375"/>
      <c r="H653" s="375"/>
      <c r="I653" s="375"/>
      <c r="J653" s="375"/>
      <c r="K653" s="375"/>
      <c r="L653" s="375"/>
      <c r="M653" s="352"/>
    </row>
    <row r="654" spans="1:13" x14ac:dyDescent="0.25">
      <c r="A654" s="348"/>
      <c r="B654" s="466"/>
      <c r="C654" s="466"/>
      <c r="D654" s="466"/>
      <c r="E654" s="467"/>
      <c r="F654" s="466"/>
      <c r="G654" s="466"/>
      <c r="H654" s="466"/>
      <c r="I654" s="467"/>
      <c r="J654" s="466"/>
      <c r="K654" s="466"/>
      <c r="L654" s="466"/>
      <c r="M654" s="352"/>
    </row>
    <row r="655" spans="1:13" x14ac:dyDescent="0.25">
      <c r="A655" s="348"/>
      <c r="B655" s="466"/>
      <c r="C655" s="466"/>
      <c r="D655" s="466"/>
      <c r="E655" s="467"/>
      <c r="F655" s="466"/>
      <c r="G655" s="466"/>
      <c r="H655" s="466"/>
      <c r="I655" s="467"/>
      <c r="J655" s="466"/>
      <c r="K655" s="466"/>
      <c r="L655" s="466"/>
      <c r="M655" s="352"/>
    </row>
    <row r="656" spans="1:13" x14ac:dyDescent="0.25">
      <c r="A656" s="348"/>
      <c r="B656" s="466"/>
      <c r="C656" s="466"/>
      <c r="D656" s="466"/>
      <c r="E656" s="467"/>
      <c r="F656" s="466"/>
      <c r="G656" s="466"/>
      <c r="H656" s="466"/>
      <c r="I656" s="467"/>
      <c r="J656" s="466"/>
      <c r="K656" s="466"/>
      <c r="L656" s="466"/>
      <c r="M656" s="352"/>
    </row>
    <row r="657" spans="1:13" x14ac:dyDescent="0.25">
      <c r="A657" s="348"/>
      <c r="B657" s="466"/>
      <c r="C657" s="466"/>
      <c r="D657" s="466"/>
      <c r="E657" s="467"/>
      <c r="F657" s="466"/>
      <c r="G657" s="466"/>
      <c r="H657" s="466"/>
      <c r="I657" s="467"/>
      <c r="J657" s="466"/>
      <c r="K657" s="466"/>
      <c r="L657" s="466"/>
      <c r="M657" s="352"/>
    </row>
    <row r="658" spans="1:13" x14ac:dyDescent="0.25">
      <c r="A658" s="348"/>
      <c r="B658" s="466"/>
      <c r="C658" s="466"/>
      <c r="D658" s="466"/>
      <c r="E658" s="467"/>
      <c r="F658" s="466"/>
      <c r="G658" s="466"/>
      <c r="H658" s="466"/>
      <c r="I658" s="467"/>
      <c r="J658" s="466"/>
      <c r="K658" s="466"/>
      <c r="L658" s="466"/>
      <c r="M658" s="352"/>
    </row>
    <row r="659" spans="1:13" x14ac:dyDescent="0.25">
      <c r="A659" s="348"/>
      <c r="B659" s="466"/>
      <c r="C659" s="466"/>
      <c r="D659" s="466"/>
      <c r="E659" s="467"/>
      <c r="F659" s="466"/>
      <c r="G659" s="466"/>
      <c r="H659" s="466"/>
      <c r="I659" s="467"/>
      <c r="J659" s="466"/>
      <c r="K659" s="466"/>
      <c r="L659" s="466"/>
      <c r="M659" s="352"/>
    </row>
    <row r="660" spans="1:13" x14ac:dyDescent="0.25">
      <c r="A660" s="348"/>
      <c r="B660" s="466"/>
      <c r="C660" s="466"/>
      <c r="D660" s="466"/>
      <c r="E660" s="467"/>
      <c r="F660" s="466"/>
      <c r="G660" s="466"/>
      <c r="H660" s="466"/>
      <c r="I660" s="467"/>
      <c r="J660" s="466"/>
      <c r="K660" s="466"/>
      <c r="L660" s="466"/>
      <c r="M660" s="352"/>
    </row>
    <row r="661" spans="1:13" x14ac:dyDescent="0.25">
      <c r="A661" s="348"/>
      <c r="B661" s="466"/>
      <c r="C661" s="466"/>
      <c r="D661" s="466"/>
      <c r="E661" s="467"/>
      <c r="F661" s="466"/>
      <c r="G661" s="466"/>
      <c r="H661" s="466"/>
      <c r="I661" s="467"/>
      <c r="J661" s="466"/>
      <c r="K661" s="466"/>
      <c r="L661" s="466"/>
      <c r="M661" s="352"/>
    </row>
    <row r="662" spans="1:13" x14ac:dyDescent="0.25">
      <c r="A662" s="348"/>
      <c r="B662" s="466"/>
      <c r="C662" s="466"/>
      <c r="D662" s="466"/>
      <c r="E662" s="467"/>
      <c r="F662" s="466"/>
      <c r="G662" s="466"/>
      <c r="H662" s="466"/>
      <c r="I662" s="467"/>
      <c r="J662" s="466"/>
      <c r="K662" s="466"/>
      <c r="L662" s="466"/>
      <c r="M662" s="352"/>
    </row>
    <row r="663" spans="1:13" x14ac:dyDescent="0.25">
      <c r="A663" s="348"/>
      <c r="B663" s="466"/>
      <c r="C663" s="466"/>
      <c r="D663" s="466"/>
      <c r="E663" s="467"/>
      <c r="F663" s="466"/>
      <c r="G663" s="466"/>
      <c r="H663" s="466"/>
      <c r="I663" s="467"/>
      <c r="J663" s="466"/>
      <c r="K663" s="466"/>
      <c r="L663" s="466"/>
      <c r="M663" s="352"/>
    </row>
    <row r="664" spans="1:13" x14ac:dyDescent="0.25">
      <c r="A664" s="348"/>
      <c r="B664" s="467"/>
      <c r="C664" s="467"/>
      <c r="D664" s="467"/>
      <c r="E664" s="467"/>
      <c r="F664" s="467"/>
      <c r="G664" s="467"/>
      <c r="H664" s="467"/>
      <c r="I664" s="467"/>
      <c r="J664" s="467"/>
      <c r="K664" s="467"/>
      <c r="L664" s="467"/>
      <c r="M664" s="352"/>
    </row>
    <row r="665" spans="1:13" x14ac:dyDescent="0.25">
      <c r="A665" s="348"/>
      <c r="B665" s="348"/>
      <c r="C665" s="348"/>
      <c r="D665" s="348"/>
      <c r="E665" s="348"/>
      <c r="F665" s="348"/>
      <c r="G665" s="348"/>
      <c r="H665" s="348"/>
      <c r="I665" s="348"/>
      <c r="J665" s="348"/>
      <c r="K665" s="348"/>
      <c r="L665" s="353"/>
      <c r="M665" s="352"/>
    </row>
    <row r="666" spans="1:13" x14ac:dyDescent="0.25">
      <c r="A666" s="348"/>
      <c r="B666" s="348"/>
      <c r="C666" s="348"/>
      <c r="D666" s="348"/>
      <c r="E666" s="348"/>
      <c r="F666" s="348"/>
      <c r="G666" s="348"/>
      <c r="H666" s="348"/>
      <c r="I666" s="348"/>
      <c r="J666" s="348"/>
      <c r="K666" s="348"/>
      <c r="L666" s="410"/>
      <c r="M666" s="352"/>
    </row>
    <row r="667" spans="1:13" x14ac:dyDescent="0.25">
      <c r="A667" s="374"/>
      <c r="B667" s="354"/>
      <c r="C667" s="354"/>
      <c r="D667" s="354"/>
      <c r="E667" s="354"/>
      <c r="F667" s="354"/>
      <c r="G667" s="354"/>
      <c r="H667" s="354"/>
      <c r="I667" s="354"/>
      <c r="J667" s="354"/>
      <c r="K667" s="354"/>
      <c r="L667" s="352"/>
      <c r="M667" s="352"/>
    </row>
    <row r="668" spans="1:13" x14ac:dyDescent="0.25">
      <c r="A668" s="354"/>
      <c r="B668" s="515"/>
      <c r="C668" s="515"/>
      <c r="D668" s="515"/>
      <c r="E668" s="369"/>
      <c r="F668" s="515"/>
      <c r="G668" s="515"/>
      <c r="H668" s="515"/>
      <c r="I668" s="369"/>
      <c r="J668" s="515"/>
      <c r="K668" s="515"/>
      <c r="L668" s="515"/>
      <c r="M668" s="352"/>
    </row>
    <row r="669" spans="1:13" x14ac:dyDescent="0.25">
      <c r="A669" s="374"/>
      <c r="B669" s="375"/>
      <c r="C669" s="375"/>
      <c r="D669" s="375"/>
      <c r="E669" s="375"/>
      <c r="F669" s="375"/>
      <c r="G669" s="375"/>
      <c r="H669" s="375"/>
      <c r="I669" s="375"/>
      <c r="J669" s="375"/>
      <c r="K669" s="375"/>
      <c r="L669" s="375"/>
      <c r="M669" s="352"/>
    </row>
    <row r="670" spans="1:13" x14ac:dyDescent="0.25">
      <c r="A670" s="374"/>
      <c r="B670" s="375"/>
      <c r="C670" s="375"/>
      <c r="D670" s="375"/>
      <c r="E670" s="375"/>
      <c r="F670" s="375"/>
      <c r="G670" s="375"/>
      <c r="H670" s="375"/>
      <c r="I670" s="375"/>
      <c r="J670" s="375"/>
      <c r="K670" s="375"/>
      <c r="L670" s="375"/>
      <c r="M670" s="352"/>
    </row>
    <row r="671" spans="1:13" x14ac:dyDescent="0.25">
      <c r="A671" s="348"/>
      <c r="B671" s="466"/>
      <c r="C671" s="466"/>
      <c r="D671" s="466"/>
      <c r="E671" s="467"/>
      <c r="F671" s="466"/>
      <c r="G671" s="466"/>
      <c r="H671" s="466"/>
      <c r="I671" s="467"/>
      <c r="J671" s="466"/>
      <c r="K671" s="466"/>
      <c r="L671" s="466"/>
      <c r="M671" s="352"/>
    </row>
    <row r="672" spans="1:13" x14ac:dyDescent="0.25">
      <c r="A672" s="348"/>
      <c r="B672" s="466"/>
      <c r="C672" s="466"/>
      <c r="D672" s="466"/>
      <c r="E672" s="467"/>
      <c r="F672" s="466"/>
      <c r="G672" s="466"/>
      <c r="H672" s="466"/>
      <c r="I672" s="467"/>
      <c r="J672" s="466"/>
      <c r="K672" s="466"/>
      <c r="L672" s="466"/>
      <c r="M672" s="352"/>
    </row>
    <row r="673" spans="1:13" x14ac:dyDescent="0.25">
      <c r="A673" s="348"/>
      <c r="B673" s="466"/>
      <c r="C673" s="466"/>
      <c r="D673" s="466"/>
      <c r="E673" s="467"/>
      <c r="F673" s="466"/>
      <c r="G673" s="466"/>
      <c r="H673" s="466"/>
      <c r="I673" s="467"/>
      <c r="J673" s="466"/>
      <c r="K673" s="466"/>
      <c r="L673" s="466"/>
      <c r="M673" s="352"/>
    </row>
    <row r="674" spans="1:13" x14ac:dyDescent="0.25">
      <c r="A674" s="348"/>
      <c r="B674" s="466"/>
      <c r="C674" s="466"/>
      <c r="D674" s="466"/>
      <c r="E674" s="467"/>
      <c r="F674" s="466"/>
      <c r="G674" s="466"/>
      <c r="H674" s="466"/>
      <c r="I674" s="467"/>
      <c r="J674" s="466"/>
      <c r="K674" s="466"/>
      <c r="L674" s="466"/>
      <c r="M674" s="352"/>
    </row>
    <row r="675" spans="1:13" x14ac:dyDescent="0.25">
      <c r="A675" s="348"/>
      <c r="B675" s="466"/>
      <c r="C675" s="466"/>
      <c r="D675" s="466"/>
      <c r="E675" s="467"/>
      <c r="F675" s="466"/>
      <c r="G675" s="466"/>
      <c r="H675" s="466"/>
      <c r="I675" s="467"/>
      <c r="J675" s="466"/>
      <c r="K675" s="466"/>
      <c r="L675" s="466"/>
      <c r="M675" s="352"/>
    </row>
    <row r="676" spans="1:13" x14ac:dyDescent="0.25">
      <c r="A676" s="348"/>
      <c r="B676" s="466"/>
      <c r="C676" s="466"/>
      <c r="D676" s="466"/>
      <c r="E676" s="467"/>
      <c r="F676" s="466"/>
      <c r="G676" s="466"/>
      <c r="H676" s="466"/>
      <c r="I676" s="467"/>
      <c r="J676" s="466"/>
      <c r="K676" s="466"/>
      <c r="L676" s="466"/>
      <c r="M676" s="352"/>
    </row>
    <row r="677" spans="1:13" x14ac:dyDescent="0.25">
      <c r="A677" s="348"/>
      <c r="B677" s="466"/>
      <c r="C677" s="466"/>
      <c r="D677" s="466"/>
      <c r="E677" s="467"/>
      <c r="F677" s="466"/>
      <c r="G677" s="466"/>
      <c r="H677" s="466"/>
      <c r="I677" s="467"/>
      <c r="J677" s="466"/>
      <c r="K677" s="466"/>
      <c r="L677" s="466"/>
      <c r="M677" s="352"/>
    </row>
    <row r="678" spans="1:13" x14ac:dyDescent="0.25">
      <c r="A678" s="348"/>
      <c r="B678" s="466"/>
      <c r="C678" s="466"/>
      <c r="D678" s="466"/>
      <c r="E678" s="467"/>
      <c r="F678" s="466"/>
      <c r="G678" s="466"/>
      <c r="H678" s="466"/>
      <c r="I678" s="467"/>
      <c r="J678" s="466"/>
      <c r="K678" s="466"/>
      <c r="L678" s="466"/>
      <c r="M678" s="352"/>
    </row>
    <row r="679" spans="1:13" x14ac:dyDescent="0.25">
      <c r="A679" s="348"/>
      <c r="B679" s="466"/>
      <c r="C679" s="466"/>
      <c r="D679" s="466"/>
      <c r="E679" s="467"/>
      <c r="F679" s="466"/>
      <c r="G679" s="466"/>
      <c r="H679" s="466"/>
      <c r="I679" s="467"/>
      <c r="J679" s="466"/>
      <c r="K679" s="466"/>
      <c r="L679" s="466"/>
      <c r="M679" s="352"/>
    </row>
    <row r="680" spans="1:13" x14ac:dyDescent="0.25">
      <c r="A680" s="348"/>
      <c r="B680" s="466"/>
      <c r="C680" s="466"/>
      <c r="D680" s="466"/>
      <c r="E680" s="467"/>
      <c r="F680" s="466"/>
      <c r="G680" s="466"/>
      <c r="H680" s="466"/>
      <c r="I680" s="467"/>
      <c r="J680" s="466"/>
      <c r="K680" s="466"/>
      <c r="L680" s="466"/>
      <c r="M680" s="352"/>
    </row>
    <row r="681" spans="1:13" x14ac:dyDescent="0.25">
      <c r="A681" s="348"/>
      <c r="B681" s="467"/>
      <c r="C681" s="467"/>
      <c r="D681" s="467"/>
      <c r="E681" s="467"/>
      <c r="F681" s="467"/>
      <c r="G681" s="467"/>
      <c r="H681" s="467"/>
      <c r="I681" s="467"/>
      <c r="J681" s="467"/>
      <c r="K681" s="467"/>
      <c r="L681" s="467"/>
      <c r="M681" s="352"/>
    </row>
    <row r="682" spans="1:13" x14ac:dyDescent="0.25">
      <c r="A682" s="348"/>
      <c r="B682" s="348"/>
      <c r="C682" s="348"/>
      <c r="D682" s="348"/>
      <c r="E682" s="348"/>
      <c r="F682" s="348"/>
      <c r="G682" s="348"/>
      <c r="H682" s="348"/>
      <c r="I682" s="348"/>
      <c r="J682" s="348"/>
      <c r="K682" s="348"/>
      <c r="L682" s="353"/>
      <c r="M682" s="352"/>
    </row>
    <row r="683" spans="1:13" x14ac:dyDescent="0.25">
      <c r="A683" s="348"/>
      <c r="B683" s="348"/>
      <c r="C683" s="348"/>
      <c r="D683" s="348"/>
      <c r="E683" s="348"/>
      <c r="F683" s="348"/>
      <c r="G683" s="348"/>
      <c r="H683" s="348"/>
      <c r="I683" s="348"/>
      <c r="J683" s="348"/>
      <c r="K683" s="348"/>
      <c r="L683" s="410"/>
      <c r="M683" s="352"/>
    </row>
    <row r="684" spans="1:13" x14ac:dyDescent="0.25">
      <c r="A684" s="374"/>
      <c r="B684" s="354"/>
      <c r="C684" s="354"/>
      <c r="D684" s="354"/>
      <c r="E684" s="354"/>
      <c r="F684" s="354"/>
      <c r="G684" s="354"/>
      <c r="H684" s="354"/>
      <c r="I684" s="354"/>
      <c r="J684" s="354"/>
      <c r="K684" s="354"/>
      <c r="L684" s="352"/>
      <c r="M684" s="352"/>
    </row>
    <row r="685" spans="1:13" x14ac:dyDescent="0.25">
      <c r="A685" s="354"/>
      <c r="B685" s="515"/>
      <c r="C685" s="515"/>
      <c r="D685" s="515"/>
      <c r="E685" s="369"/>
      <c r="F685" s="515"/>
      <c r="G685" s="515"/>
      <c r="H685" s="515"/>
      <c r="I685" s="369"/>
      <c r="J685" s="515"/>
      <c r="K685" s="515"/>
      <c r="L685" s="515"/>
      <c r="M685" s="352"/>
    </row>
    <row r="686" spans="1:13" x14ac:dyDescent="0.25">
      <c r="A686" s="374"/>
      <c r="B686" s="375"/>
      <c r="C686" s="375"/>
      <c r="D686" s="375"/>
      <c r="E686" s="375"/>
      <c r="F686" s="375"/>
      <c r="G686" s="375"/>
      <c r="H686" s="375"/>
      <c r="I686" s="375"/>
      <c r="J686" s="375"/>
      <c r="K686" s="375"/>
      <c r="L686" s="375"/>
      <c r="M686" s="352"/>
    </row>
    <row r="687" spans="1:13" x14ac:dyDescent="0.25">
      <c r="A687" s="374"/>
      <c r="B687" s="375"/>
      <c r="C687" s="375"/>
      <c r="D687" s="375"/>
      <c r="E687" s="375"/>
      <c r="F687" s="375"/>
      <c r="G687" s="375"/>
      <c r="H687" s="375"/>
      <c r="I687" s="375"/>
      <c r="J687" s="375"/>
      <c r="K687" s="375"/>
      <c r="L687" s="375"/>
      <c r="M687" s="352"/>
    </row>
    <row r="688" spans="1:13" x14ac:dyDescent="0.25">
      <c r="A688" s="348"/>
      <c r="B688" s="466"/>
      <c r="C688" s="466"/>
      <c r="D688" s="466"/>
      <c r="E688" s="467"/>
      <c r="F688" s="466"/>
      <c r="G688" s="466"/>
      <c r="H688" s="466"/>
      <c r="I688" s="467"/>
      <c r="J688" s="466"/>
      <c r="K688" s="466"/>
      <c r="L688" s="466"/>
      <c r="M688" s="352"/>
    </row>
    <row r="689" spans="1:13" x14ac:dyDescent="0.25">
      <c r="A689" s="348"/>
      <c r="B689" s="466"/>
      <c r="C689" s="466"/>
      <c r="D689" s="466"/>
      <c r="E689" s="467"/>
      <c r="F689" s="466"/>
      <c r="G689" s="466"/>
      <c r="H689" s="466"/>
      <c r="I689" s="467"/>
      <c r="J689" s="466"/>
      <c r="K689" s="466"/>
      <c r="L689" s="466"/>
      <c r="M689" s="352"/>
    </row>
    <row r="690" spans="1:13" x14ac:dyDescent="0.25">
      <c r="A690" s="348"/>
      <c r="B690" s="466"/>
      <c r="C690" s="466"/>
      <c r="D690" s="466"/>
      <c r="E690" s="467"/>
      <c r="F690" s="466"/>
      <c r="G690" s="466"/>
      <c r="H690" s="466"/>
      <c r="I690" s="467"/>
      <c r="J690" s="466"/>
      <c r="K690" s="466"/>
      <c r="L690" s="466"/>
      <c r="M690" s="352"/>
    </row>
    <row r="691" spans="1:13" x14ac:dyDescent="0.25">
      <c r="A691" s="348"/>
      <c r="B691" s="466"/>
      <c r="C691" s="466"/>
      <c r="D691" s="466"/>
      <c r="E691" s="467"/>
      <c r="F691" s="466"/>
      <c r="G691" s="466"/>
      <c r="H691" s="466"/>
      <c r="I691" s="467"/>
      <c r="J691" s="466"/>
      <c r="K691" s="466"/>
      <c r="L691" s="466"/>
      <c r="M691" s="352"/>
    </row>
    <row r="692" spans="1:13" x14ac:dyDescent="0.25">
      <c r="A692" s="348"/>
      <c r="B692" s="466"/>
      <c r="C692" s="466"/>
      <c r="D692" s="466"/>
      <c r="E692" s="467"/>
      <c r="F692" s="466"/>
      <c r="G692" s="466"/>
      <c r="H692" s="466"/>
      <c r="I692" s="467"/>
      <c r="J692" s="466"/>
      <c r="K692" s="466"/>
      <c r="L692" s="466"/>
      <c r="M692" s="352"/>
    </row>
    <row r="693" spans="1:13" x14ac:dyDescent="0.25">
      <c r="A693" s="348"/>
      <c r="B693" s="466"/>
      <c r="C693" s="466"/>
      <c r="D693" s="466"/>
      <c r="E693" s="467"/>
      <c r="F693" s="466"/>
      <c r="G693" s="466"/>
      <c r="H693" s="466"/>
      <c r="I693" s="467"/>
      <c r="J693" s="466"/>
      <c r="K693" s="466"/>
      <c r="L693" s="466"/>
      <c r="M693" s="352"/>
    </row>
    <row r="694" spans="1:13" x14ac:dyDescent="0.25">
      <c r="A694" s="348"/>
      <c r="B694" s="466"/>
      <c r="C694" s="466"/>
      <c r="D694" s="466"/>
      <c r="E694" s="467"/>
      <c r="F694" s="466"/>
      <c r="G694" s="466"/>
      <c r="H694" s="466"/>
      <c r="I694" s="467"/>
      <c r="J694" s="466"/>
      <c r="K694" s="466"/>
      <c r="L694" s="466"/>
      <c r="M694" s="352"/>
    </row>
    <row r="695" spans="1:13" x14ac:dyDescent="0.25">
      <c r="A695" s="348"/>
      <c r="B695" s="466"/>
      <c r="C695" s="466"/>
      <c r="D695" s="466"/>
      <c r="E695" s="467"/>
      <c r="F695" s="466"/>
      <c r="G695" s="466"/>
      <c r="H695" s="466"/>
      <c r="I695" s="467"/>
      <c r="J695" s="466"/>
      <c r="K695" s="466"/>
      <c r="L695" s="466"/>
      <c r="M695" s="352"/>
    </row>
    <row r="696" spans="1:13" x14ac:dyDescent="0.25">
      <c r="A696" s="348"/>
      <c r="B696" s="466"/>
      <c r="C696" s="466"/>
      <c r="D696" s="466"/>
      <c r="E696" s="467"/>
      <c r="F696" s="466"/>
      <c r="G696" s="466"/>
      <c r="H696" s="466"/>
      <c r="I696" s="467"/>
      <c r="J696" s="466"/>
      <c r="K696" s="466"/>
      <c r="L696" s="466"/>
      <c r="M696" s="352"/>
    </row>
    <row r="697" spans="1:13" x14ac:dyDescent="0.25">
      <c r="A697" s="348"/>
      <c r="B697" s="466"/>
      <c r="C697" s="466"/>
      <c r="D697" s="466"/>
      <c r="E697" s="467"/>
      <c r="F697" s="466"/>
      <c r="G697" s="466"/>
      <c r="H697" s="466"/>
      <c r="I697" s="467"/>
      <c r="J697" s="466"/>
      <c r="K697" s="466"/>
      <c r="L697" s="466"/>
      <c r="M697" s="352"/>
    </row>
    <row r="698" spans="1:13" x14ac:dyDescent="0.25">
      <c r="A698" s="348"/>
      <c r="B698" s="467"/>
      <c r="C698" s="467"/>
      <c r="D698" s="467"/>
      <c r="E698" s="467"/>
      <c r="F698" s="467"/>
      <c r="G698" s="467"/>
      <c r="H698" s="467"/>
      <c r="I698" s="467"/>
      <c r="J698" s="467"/>
      <c r="K698" s="467"/>
      <c r="L698" s="467"/>
      <c r="M698" s="352"/>
    </row>
    <row r="699" spans="1:13" x14ac:dyDescent="0.25">
      <c r="A699" s="348"/>
      <c r="B699" s="348"/>
      <c r="C699" s="348"/>
      <c r="D699" s="348"/>
      <c r="E699" s="348"/>
      <c r="F699" s="348"/>
      <c r="G699" s="348"/>
      <c r="H699" s="348"/>
      <c r="I699" s="348"/>
      <c r="J699" s="348"/>
      <c r="K699" s="348"/>
      <c r="L699" s="353"/>
      <c r="M699" s="352"/>
    </row>
    <row r="700" spans="1:13" x14ac:dyDescent="0.25">
      <c r="A700" s="348"/>
      <c r="B700" s="348"/>
      <c r="C700" s="348"/>
      <c r="D700" s="348"/>
      <c r="E700" s="348"/>
      <c r="F700" s="348"/>
      <c r="G700" s="348"/>
      <c r="H700" s="348"/>
      <c r="I700" s="348"/>
      <c r="J700" s="348"/>
      <c r="K700" s="348"/>
      <c r="L700" s="410"/>
      <c r="M700" s="352"/>
    </row>
    <row r="701" spans="1:13" x14ac:dyDescent="0.25">
      <c r="A701" s="374"/>
      <c r="B701" s="354"/>
      <c r="C701" s="354"/>
      <c r="D701" s="354"/>
      <c r="E701" s="354"/>
      <c r="F701" s="354"/>
      <c r="G701" s="354"/>
      <c r="H701" s="354"/>
      <c r="I701" s="354"/>
      <c r="J701" s="354"/>
      <c r="K701" s="354"/>
      <c r="L701" s="352"/>
      <c r="M701" s="352"/>
    </row>
    <row r="702" spans="1:13" x14ac:dyDescent="0.25">
      <c r="A702" s="354"/>
      <c r="B702" s="515"/>
      <c r="C702" s="515"/>
      <c r="D702" s="515"/>
      <c r="E702" s="369"/>
      <c r="F702" s="515"/>
      <c r="G702" s="515"/>
      <c r="H702" s="515"/>
      <c r="I702" s="369"/>
      <c r="J702" s="515"/>
      <c r="K702" s="515"/>
      <c r="L702" s="515"/>
      <c r="M702" s="352"/>
    </row>
    <row r="703" spans="1:13" x14ac:dyDescent="0.25">
      <c r="A703" s="374"/>
      <c r="B703" s="375"/>
      <c r="C703" s="375"/>
      <c r="D703" s="375"/>
      <c r="E703" s="375"/>
      <c r="F703" s="375"/>
      <c r="G703" s="375"/>
      <c r="H703" s="375"/>
      <c r="I703" s="375"/>
      <c r="J703" s="375"/>
      <c r="K703" s="375"/>
      <c r="L703" s="375"/>
      <c r="M703" s="352"/>
    </row>
    <row r="704" spans="1:13" x14ac:dyDescent="0.25">
      <c r="A704" s="374"/>
      <c r="B704" s="375"/>
      <c r="C704" s="375"/>
      <c r="D704" s="375"/>
      <c r="E704" s="375"/>
      <c r="F704" s="375"/>
      <c r="G704" s="375"/>
      <c r="H704" s="375"/>
      <c r="I704" s="375"/>
      <c r="J704" s="375"/>
      <c r="K704" s="375"/>
      <c r="L704" s="375"/>
      <c r="M704" s="352"/>
    </row>
    <row r="705" spans="1:13" x14ac:dyDescent="0.25">
      <c r="A705" s="348"/>
      <c r="B705" s="466"/>
      <c r="C705" s="466"/>
      <c r="D705" s="466"/>
      <c r="E705" s="467"/>
      <c r="F705" s="466"/>
      <c r="G705" s="466"/>
      <c r="H705" s="466"/>
      <c r="I705" s="467"/>
      <c r="J705" s="466"/>
      <c r="K705" s="466"/>
      <c r="L705" s="466"/>
      <c r="M705" s="352"/>
    </row>
    <row r="706" spans="1:13" x14ac:dyDescent="0.25">
      <c r="A706" s="348"/>
      <c r="B706" s="466"/>
      <c r="C706" s="466"/>
      <c r="D706" s="466"/>
      <c r="E706" s="467"/>
      <c r="F706" s="466"/>
      <c r="G706" s="466"/>
      <c r="H706" s="466"/>
      <c r="I706" s="467"/>
      <c r="J706" s="466"/>
      <c r="K706" s="466"/>
      <c r="L706" s="466"/>
      <c r="M706" s="352"/>
    </row>
    <row r="707" spans="1:13" x14ac:dyDescent="0.25">
      <c r="A707" s="348"/>
      <c r="B707" s="466"/>
      <c r="C707" s="466"/>
      <c r="D707" s="466"/>
      <c r="E707" s="467"/>
      <c r="F707" s="466"/>
      <c r="G707" s="466"/>
      <c r="H707" s="466"/>
      <c r="I707" s="467"/>
      <c r="J707" s="466"/>
      <c r="K707" s="466"/>
      <c r="L707" s="466"/>
      <c r="M707" s="352"/>
    </row>
    <row r="708" spans="1:13" x14ac:dyDescent="0.25">
      <c r="A708" s="348"/>
      <c r="B708" s="466"/>
      <c r="C708" s="466"/>
      <c r="D708" s="466"/>
      <c r="E708" s="467"/>
      <c r="F708" s="466"/>
      <c r="G708" s="466"/>
      <c r="H708" s="466"/>
      <c r="I708" s="467"/>
      <c r="J708" s="466"/>
      <c r="K708" s="466"/>
      <c r="L708" s="466"/>
      <c r="M708" s="352"/>
    </row>
    <row r="709" spans="1:13" x14ac:dyDescent="0.25">
      <c r="A709" s="348"/>
      <c r="B709" s="466"/>
      <c r="C709" s="466"/>
      <c r="D709" s="466"/>
      <c r="E709" s="467"/>
      <c r="F709" s="466"/>
      <c r="G709" s="466"/>
      <c r="H709" s="466"/>
      <c r="I709" s="467"/>
      <c r="J709" s="466"/>
      <c r="K709" s="466"/>
      <c r="L709" s="466"/>
      <c r="M709" s="352"/>
    </row>
    <row r="710" spans="1:13" x14ac:dyDescent="0.25">
      <c r="A710" s="348"/>
      <c r="B710" s="466"/>
      <c r="C710" s="466"/>
      <c r="D710" s="466"/>
      <c r="E710" s="467"/>
      <c r="F710" s="466"/>
      <c r="G710" s="466"/>
      <c r="H710" s="466"/>
      <c r="I710" s="467"/>
      <c r="J710" s="466"/>
      <c r="K710" s="466"/>
      <c r="L710" s="466"/>
      <c r="M710" s="352"/>
    </row>
    <row r="711" spans="1:13" x14ac:dyDescent="0.25">
      <c r="A711" s="348"/>
      <c r="B711" s="466"/>
      <c r="C711" s="466"/>
      <c r="D711" s="466"/>
      <c r="E711" s="467"/>
      <c r="F711" s="466"/>
      <c r="G711" s="466"/>
      <c r="H711" s="466"/>
      <c r="I711" s="467"/>
      <c r="J711" s="466"/>
      <c r="K711" s="466"/>
      <c r="L711" s="466"/>
      <c r="M711" s="352"/>
    </row>
    <row r="712" spans="1:13" x14ac:dyDescent="0.25">
      <c r="A712" s="348"/>
      <c r="B712" s="466"/>
      <c r="C712" s="466"/>
      <c r="D712" s="466"/>
      <c r="E712" s="467"/>
      <c r="F712" s="466"/>
      <c r="G712" s="466"/>
      <c r="H712" s="466"/>
      <c r="I712" s="467"/>
      <c r="J712" s="466"/>
      <c r="K712" s="466"/>
      <c r="L712" s="466"/>
      <c r="M712" s="352"/>
    </row>
    <row r="713" spans="1:13" x14ac:dyDescent="0.25">
      <c r="A713" s="348"/>
      <c r="B713" s="466"/>
      <c r="C713" s="466"/>
      <c r="D713" s="466"/>
      <c r="E713" s="467"/>
      <c r="F713" s="466"/>
      <c r="G713" s="466"/>
      <c r="H713" s="466"/>
      <c r="I713" s="467"/>
      <c r="J713" s="466"/>
      <c r="K713" s="466"/>
      <c r="L713" s="466"/>
      <c r="M713" s="352"/>
    </row>
    <row r="714" spans="1:13" x14ac:dyDescent="0.25">
      <c r="A714" s="348"/>
      <c r="B714" s="466"/>
      <c r="C714" s="466"/>
      <c r="D714" s="466"/>
      <c r="E714" s="467"/>
      <c r="F714" s="466"/>
      <c r="G714" s="466"/>
      <c r="H714" s="466"/>
      <c r="I714" s="467"/>
      <c r="J714" s="466"/>
      <c r="K714" s="466"/>
      <c r="L714" s="466"/>
      <c r="M714" s="352"/>
    </row>
    <row r="715" spans="1:13" x14ac:dyDescent="0.25">
      <c r="A715" s="348"/>
      <c r="B715" s="467"/>
      <c r="C715" s="467"/>
      <c r="D715" s="467"/>
      <c r="E715" s="467"/>
      <c r="F715" s="467"/>
      <c r="G715" s="467"/>
      <c r="H715" s="467"/>
      <c r="I715" s="467"/>
      <c r="J715" s="467"/>
      <c r="K715" s="467"/>
      <c r="L715" s="467"/>
      <c r="M715" s="352"/>
    </row>
    <row r="716" spans="1:13" x14ac:dyDescent="0.25">
      <c r="A716" s="348"/>
      <c r="B716" s="348"/>
      <c r="C716" s="348"/>
      <c r="D716" s="348"/>
      <c r="E716" s="348"/>
      <c r="F716" s="348"/>
      <c r="G716" s="348"/>
      <c r="H716" s="348"/>
      <c r="I716" s="348"/>
      <c r="J716" s="348"/>
      <c r="K716" s="348"/>
      <c r="L716" s="353"/>
      <c r="M716" s="352"/>
    </row>
    <row r="717" spans="1:13" x14ac:dyDescent="0.25">
      <c r="A717" s="348"/>
      <c r="B717" s="348"/>
      <c r="C717" s="348"/>
      <c r="D717" s="348"/>
      <c r="E717" s="348"/>
      <c r="F717" s="348"/>
      <c r="G717" s="348"/>
      <c r="H717" s="348"/>
      <c r="I717" s="348"/>
      <c r="J717" s="348"/>
      <c r="K717" s="348"/>
      <c r="L717" s="410"/>
      <c r="M717" s="352"/>
    </row>
    <row r="718" spans="1:13" x14ac:dyDescent="0.25">
      <c r="A718" s="374"/>
      <c r="B718" s="354"/>
      <c r="C718" s="354"/>
      <c r="D718" s="354"/>
      <c r="E718" s="354"/>
      <c r="F718" s="354"/>
      <c r="G718" s="354"/>
      <c r="H718" s="354"/>
      <c r="I718" s="354"/>
      <c r="J718" s="354"/>
      <c r="K718" s="354"/>
      <c r="L718" s="352"/>
      <c r="M718" s="352"/>
    </row>
    <row r="719" spans="1:13" x14ac:dyDescent="0.25">
      <c r="A719" s="354"/>
      <c r="B719" s="515"/>
      <c r="C719" s="515"/>
      <c r="D719" s="515"/>
      <c r="E719" s="369"/>
      <c r="F719" s="515"/>
      <c r="G719" s="515"/>
      <c r="H719" s="515"/>
      <c r="I719" s="369"/>
      <c r="J719" s="515"/>
      <c r="K719" s="515"/>
      <c r="L719" s="515"/>
      <c r="M719" s="352"/>
    </row>
    <row r="720" spans="1:13" x14ac:dyDescent="0.25">
      <c r="A720" s="374"/>
      <c r="B720" s="375"/>
      <c r="C720" s="375"/>
      <c r="D720" s="375"/>
      <c r="E720" s="375"/>
      <c r="F720" s="375"/>
      <c r="G720" s="375"/>
      <c r="H720" s="375"/>
      <c r="I720" s="375"/>
      <c r="J720" s="375"/>
      <c r="K720" s="375"/>
      <c r="L720" s="375"/>
      <c r="M720" s="352"/>
    </row>
    <row r="721" spans="1:13" x14ac:dyDescent="0.25">
      <c r="A721" s="374"/>
      <c r="B721" s="375"/>
      <c r="C721" s="375"/>
      <c r="D721" s="375"/>
      <c r="E721" s="375"/>
      <c r="F721" s="375"/>
      <c r="G721" s="375"/>
      <c r="H721" s="375"/>
      <c r="I721" s="375"/>
      <c r="J721" s="375"/>
      <c r="K721" s="375"/>
      <c r="L721" s="375"/>
      <c r="M721" s="352"/>
    </row>
    <row r="722" spans="1:13" x14ac:dyDescent="0.25">
      <c r="A722" s="348"/>
      <c r="B722" s="466"/>
      <c r="C722" s="466"/>
      <c r="D722" s="466"/>
      <c r="E722" s="467"/>
      <c r="F722" s="466"/>
      <c r="G722" s="466"/>
      <c r="H722" s="466"/>
      <c r="I722" s="467"/>
      <c r="J722" s="466"/>
      <c r="K722" s="466"/>
      <c r="L722" s="466"/>
      <c r="M722" s="352"/>
    </row>
    <row r="723" spans="1:13" x14ac:dyDescent="0.25">
      <c r="A723" s="348"/>
      <c r="B723" s="466"/>
      <c r="C723" s="466"/>
      <c r="D723" s="466"/>
      <c r="E723" s="467"/>
      <c r="F723" s="466"/>
      <c r="G723" s="466"/>
      <c r="H723" s="466"/>
      <c r="I723" s="467"/>
      <c r="J723" s="466"/>
      <c r="K723" s="466"/>
      <c r="L723" s="466"/>
      <c r="M723" s="352"/>
    </row>
    <row r="724" spans="1:13" x14ac:dyDescent="0.25">
      <c r="A724" s="348"/>
      <c r="B724" s="466"/>
      <c r="C724" s="466"/>
      <c r="D724" s="466"/>
      <c r="E724" s="467"/>
      <c r="F724" s="466"/>
      <c r="G724" s="466"/>
      <c r="H724" s="466"/>
      <c r="I724" s="467"/>
      <c r="J724" s="466"/>
      <c r="K724" s="466"/>
      <c r="L724" s="466"/>
      <c r="M724" s="352"/>
    </row>
    <row r="725" spans="1:13" x14ac:dyDescent="0.25">
      <c r="A725" s="348"/>
      <c r="B725" s="466"/>
      <c r="C725" s="466"/>
      <c r="D725" s="466"/>
      <c r="E725" s="467"/>
      <c r="F725" s="466"/>
      <c r="G725" s="466"/>
      <c r="H725" s="466"/>
      <c r="I725" s="467"/>
      <c r="J725" s="466"/>
      <c r="K725" s="466"/>
      <c r="L725" s="466"/>
      <c r="M725" s="352"/>
    </row>
    <row r="726" spans="1:13" x14ac:dyDescent="0.25">
      <c r="A726" s="348"/>
      <c r="B726" s="466"/>
      <c r="C726" s="466"/>
      <c r="D726" s="466"/>
      <c r="E726" s="467"/>
      <c r="F726" s="466"/>
      <c r="G726" s="466"/>
      <c r="H726" s="466"/>
      <c r="I726" s="467"/>
      <c r="J726" s="466"/>
      <c r="K726" s="466"/>
      <c r="L726" s="466"/>
      <c r="M726" s="352"/>
    </row>
    <row r="727" spans="1:13" x14ac:dyDescent="0.25">
      <c r="A727" s="348"/>
      <c r="B727" s="466"/>
      <c r="C727" s="466"/>
      <c r="D727" s="466"/>
      <c r="E727" s="467"/>
      <c r="F727" s="466"/>
      <c r="G727" s="466"/>
      <c r="H727" s="466"/>
      <c r="I727" s="467"/>
      <c r="J727" s="466"/>
      <c r="K727" s="466"/>
      <c r="L727" s="466"/>
      <c r="M727" s="352"/>
    </row>
    <row r="728" spans="1:13" x14ac:dyDescent="0.25">
      <c r="A728" s="348"/>
      <c r="B728" s="466"/>
      <c r="C728" s="466"/>
      <c r="D728" s="466"/>
      <c r="E728" s="467"/>
      <c r="F728" s="466"/>
      <c r="G728" s="466"/>
      <c r="H728" s="466"/>
      <c r="I728" s="467"/>
      <c r="J728" s="466"/>
      <c r="K728" s="466"/>
      <c r="L728" s="466"/>
      <c r="M728" s="352"/>
    </row>
    <row r="729" spans="1:13" x14ac:dyDescent="0.25">
      <c r="A729" s="348"/>
      <c r="B729" s="466"/>
      <c r="C729" s="466"/>
      <c r="D729" s="466"/>
      <c r="E729" s="467"/>
      <c r="F729" s="466"/>
      <c r="G729" s="466"/>
      <c r="H729" s="466"/>
      <c r="I729" s="467"/>
      <c r="J729" s="466"/>
      <c r="K729" s="466"/>
      <c r="L729" s="466"/>
      <c r="M729" s="352"/>
    </row>
    <row r="730" spans="1:13" x14ac:dyDescent="0.25">
      <c r="A730" s="348"/>
      <c r="B730" s="466"/>
      <c r="C730" s="466"/>
      <c r="D730" s="466"/>
      <c r="E730" s="467"/>
      <c r="F730" s="466"/>
      <c r="G730" s="466"/>
      <c r="H730" s="466"/>
      <c r="I730" s="467"/>
      <c r="J730" s="466"/>
      <c r="K730" s="466"/>
      <c r="L730" s="466"/>
      <c r="M730" s="352"/>
    </row>
    <row r="731" spans="1:13" x14ac:dyDescent="0.25">
      <c r="A731" s="348"/>
      <c r="B731" s="466"/>
      <c r="C731" s="466"/>
      <c r="D731" s="466"/>
      <c r="E731" s="467"/>
      <c r="F731" s="466"/>
      <c r="G731" s="466"/>
      <c r="H731" s="466"/>
      <c r="I731" s="467"/>
      <c r="J731" s="466"/>
      <c r="K731" s="466"/>
      <c r="L731" s="466"/>
      <c r="M731" s="352"/>
    </row>
    <row r="732" spans="1:13" x14ac:dyDescent="0.25">
      <c r="A732" s="348"/>
      <c r="B732" s="467"/>
      <c r="C732" s="467"/>
      <c r="D732" s="467"/>
      <c r="E732" s="467"/>
      <c r="F732" s="467"/>
      <c r="G732" s="467"/>
      <c r="H732" s="467"/>
      <c r="I732" s="467"/>
      <c r="J732" s="467"/>
      <c r="K732" s="467"/>
      <c r="L732" s="467"/>
      <c r="M732" s="352"/>
    </row>
    <row r="733" spans="1:13" x14ac:dyDescent="0.25">
      <c r="A733" s="348"/>
      <c r="B733" s="348"/>
      <c r="C733" s="348"/>
      <c r="D733" s="348"/>
      <c r="E733" s="348"/>
      <c r="F733" s="348"/>
      <c r="G733" s="348"/>
      <c r="H733" s="348"/>
      <c r="I733" s="348"/>
      <c r="J733" s="348"/>
      <c r="K733" s="348"/>
      <c r="L733" s="353"/>
      <c r="M733" s="352"/>
    </row>
    <row r="734" spans="1:13" x14ac:dyDescent="0.25">
      <c r="A734" s="348"/>
      <c r="B734" s="348"/>
      <c r="C734" s="348"/>
      <c r="D734" s="348"/>
      <c r="E734" s="348"/>
      <c r="F734" s="348"/>
      <c r="G734" s="348"/>
      <c r="H734" s="348"/>
      <c r="I734" s="348"/>
      <c r="J734" s="348"/>
      <c r="K734" s="348"/>
      <c r="L734" s="410"/>
      <c r="M734" s="352"/>
    </row>
    <row r="735" spans="1:13" x14ac:dyDescent="0.25">
      <c r="A735" s="374"/>
      <c r="B735" s="354"/>
      <c r="C735" s="354"/>
      <c r="D735" s="354"/>
      <c r="E735" s="354"/>
      <c r="F735" s="354"/>
      <c r="G735" s="354"/>
      <c r="H735" s="354"/>
      <c r="I735" s="354"/>
      <c r="J735" s="354"/>
      <c r="K735" s="354"/>
      <c r="L735" s="352"/>
      <c r="M735" s="352"/>
    </row>
    <row r="736" spans="1:13" x14ac:dyDescent="0.25">
      <c r="A736" s="354"/>
      <c r="B736" s="515"/>
      <c r="C736" s="515"/>
      <c r="D736" s="515"/>
      <c r="E736" s="369"/>
      <c r="F736" s="515"/>
      <c r="G736" s="515"/>
      <c r="H736" s="515"/>
      <c r="I736" s="369"/>
      <c r="J736" s="515"/>
      <c r="K736" s="515"/>
      <c r="L736" s="515"/>
      <c r="M736" s="352"/>
    </row>
    <row r="737" spans="1:13" x14ac:dyDescent="0.25">
      <c r="A737" s="374"/>
      <c r="B737" s="375"/>
      <c r="C737" s="375"/>
      <c r="D737" s="375"/>
      <c r="E737" s="375"/>
      <c r="F737" s="375"/>
      <c r="G737" s="375"/>
      <c r="H737" s="375"/>
      <c r="I737" s="375"/>
      <c r="J737" s="375"/>
      <c r="K737" s="375"/>
      <c r="L737" s="375"/>
      <c r="M737" s="352"/>
    </row>
    <row r="738" spans="1:13" x14ac:dyDescent="0.25">
      <c r="A738" s="374"/>
      <c r="B738" s="375"/>
      <c r="C738" s="375"/>
      <c r="D738" s="375"/>
      <c r="E738" s="375"/>
      <c r="F738" s="375"/>
      <c r="G738" s="375"/>
      <c r="H738" s="375"/>
      <c r="I738" s="375"/>
      <c r="J738" s="375"/>
      <c r="K738" s="375"/>
      <c r="L738" s="375"/>
      <c r="M738" s="352"/>
    </row>
    <row r="739" spans="1:13" x14ac:dyDescent="0.25">
      <c r="A739" s="348"/>
      <c r="B739" s="466"/>
      <c r="C739" s="466"/>
      <c r="D739" s="466"/>
      <c r="E739" s="467"/>
      <c r="F739" s="466"/>
      <c r="G739" s="466"/>
      <c r="H739" s="466"/>
      <c r="I739" s="467"/>
      <c r="J739" s="466"/>
      <c r="K739" s="466"/>
      <c r="L739" s="466"/>
      <c r="M739" s="352"/>
    </row>
    <row r="740" spans="1:13" x14ac:dyDescent="0.25">
      <c r="A740" s="348"/>
      <c r="B740" s="466"/>
      <c r="C740" s="466"/>
      <c r="D740" s="466"/>
      <c r="E740" s="467"/>
      <c r="F740" s="466"/>
      <c r="G740" s="466"/>
      <c r="H740" s="466"/>
      <c r="I740" s="467"/>
      <c r="J740" s="466"/>
      <c r="K740" s="466"/>
      <c r="L740" s="466"/>
      <c r="M740" s="352"/>
    </row>
    <row r="741" spans="1:13" x14ac:dyDescent="0.25">
      <c r="A741" s="348"/>
      <c r="B741" s="466"/>
      <c r="C741" s="466"/>
      <c r="D741" s="466"/>
      <c r="E741" s="467"/>
      <c r="F741" s="466"/>
      <c r="G741" s="466"/>
      <c r="H741" s="466"/>
      <c r="I741" s="467"/>
      <c r="J741" s="466"/>
      <c r="K741" s="466"/>
      <c r="L741" s="466"/>
      <c r="M741" s="352"/>
    </row>
    <row r="742" spans="1:13" x14ac:dyDescent="0.25">
      <c r="A742" s="348"/>
      <c r="B742" s="466"/>
      <c r="C742" s="466"/>
      <c r="D742" s="466"/>
      <c r="E742" s="467"/>
      <c r="F742" s="466"/>
      <c r="G742" s="466"/>
      <c r="H742" s="466"/>
      <c r="I742" s="467"/>
      <c r="J742" s="466"/>
      <c r="K742" s="466"/>
      <c r="L742" s="466"/>
      <c r="M742" s="352"/>
    </row>
    <row r="743" spans="1:13" x14ac:dyDescent="0.25">
      <c r="A743" s="348"/>
      <c r="B743" s="466"/>
      <c r="C743" s="466"/>
      <c r="D743" s="466"/>
      <c r="E743" s="467"/>
      <c r="F743" s="466"/>
      <c r="G743" s="466"/>
      <c r="H743" s="466"/>
      <c r="I743" s="467"/>
      <c r="J743" s="466"/>
      <c r="K743" s="466"/>
      <c r="L743" s="466"/>
      <c r="M743" s="352"/>
    </row>
    <row r="744" spans="1:13" x14ac:dyDescent="0.25">
      <c r="A744" s="348"/>
      <c r="B744" s="466"/>
      <c r="C744" s="466"/>
      <c r="D744" s="466"/>
      <c r="E744" s="467"/>
      <c r="F744" s="466"/>
      <c r="G744" s="466"/>
      <c r="H744" s="466"/>
      <c r="I744" s="467"/>
      <c r="J744" s="466"/>
      <c r="K744" s="466"/>
      <c r="L744" s="466"/>
      <c r="M744" s="352"/>
    </row>
    <row r="745" spans="1:13" x14ac:dyDescent="0.25">
      <c r="A745" s="348"/>
      <c r="B745" s="466"/>
      <c r="C745" s="466"/>
      <c r="D745" s="466"/>
      <c r="E745" s="467"/>
      <c r="F745" s="466"/>
      <c r="G745" s="466"/>
      <c r="H745" s="466"/>
      <c r="I745" s="467"/>
      <c r="J745" s="466"/>
      <c r="K745" s="466"/>
      <c r="L745" s="466"/>
      <c r="M745" s="352"/>
    </row>
    <row r="746" spans="1:13" x14ac:dyDescent="0.25">
      <c r="A746" s="348"/>
      <c r="B746" s="466"/>
      <c r="C746" s="466"/>
      <c r="D746" s="466"/>
      <c r="E746" s="467"/>
      <c r="F746" s="466"/>
      <c r="G746" s="466"/>
      <c r="H746" s="466"/>
      <c r="I746" s="467"/>
      <c r="J746" s="466"/>
      <c r="K746" s="466"/>
      <c r="L746" s="466"/>
      <c r="M746" s="352"/>
    </row>
    <row r="747" spans="1:13" x14ac:dyDescent="0.25">
      <c r="A747" s="348"/>
      <c r="B747" s="466"/>
      <c r="C747" s="466"/>
      <c r="D747" s="466"/>
      <c r="E747" s="467"/>
      <c r="F747" s="466"/>
      <c r="G747" s="466"/>
      <c r="H747" s="466"/>
      <c r="I747" s="467"/>
      <c r="J747" s="466"/>
      <c r="K747" s="466"/>
      <c r="L747" s="466"/>
      <c r="M747" s="352"/>
    </row>
    <row r="748" spans="1:13" x14ac:dyDescent="0.25">
      <c r="A748" s="348"/>
      <c r="B748" s="466"/>
      <c r="C748" s="466"/>
      <c r="D748" s="466"/>
      <c r="E748" s="467"/>
      <c r="F748" s="466"/>
      <c r="G748" s="466"/>
      <c r="H748" s="466"/>
      <c r="I748" s="467"/>
      <c r="J748" s="466"/>
      <c r="K748" s="466"/>
      <c r="L748" s="466"/>
      <c r="M748" s="352"/>
    </row>
    <row r="749" spans="1:13" x14ac:dyDescent="0.25">
      <c r="A749" s="348"/>
      <c r="B749" s="467"/>
      <c r="C749" s="467"/>
      <c r="D749" s="467"/>
      <c r="E749" s="467"/>
      <c r="F749" s="467"/>
      <c r="G749" s="467"/>
      <c r="H749" s="467"/>
      <c r="I749" s="467"/>
      <c r="J749" s="467"/>
      <c r="K749" s="467"/>
      <c r="L749" s="467"/>
      <c r="M749" s="352"/>
    </row>
    <row r="750" spans="1:13" x14ac:dyDescent="0.25">
      <c r="A750" s="348"/>
      <c r="B750" s="348"/>
      <c r="C750" s="348"/>
      <c r="D750" s="348"/>
      <c r="E750" s="348"/>
      <c r="F750" s="348"/>
      <c r="G750" s="348"/>
      <c r="H750" s="348"/>
      <c r="I750" s="348"/>
      <c r="J750" s="348"/>
      <c r="K750" s="348"/>
      <c r="L750" s="353"/>
      <c r="M750" s="352"/>
    </row>
    <row r="751" spans="1:13" x14ac:dyDescent="0.25">
      <c r="A751" s="348"/>
      <c r="B751" s="348"/>
      <c r="C751" s="348"/>
      <c r="D751" s="348"/>
      <c r="E751" s="348"/>
      <c r="F751" s="348"/>
      <c r="G751" s="348"/>
      <c r="H751" s="348"/>
      <c r="I751" s="348"/>
      <c r="J751" s="348"/>
      <c r="K751" s="348"/>
      <c r="L751" s="410"/>
      <c r="M751" s="352"/>
    </row>
    <row r="752" spans="1:13" x14ac:dyDescent="0.25">
      <c r="A752" s="374"/>
      <c r="B752" s="354"/>
      <c r="C752" s="354"/>
      <c r="D752" s="354"/>
      <c r="E752" s="354"/>
      <c r="F752" s="354"/>
      <c r="G752" s="354"/>
      <c r="H752" s="354"/>
      <c r="I752" s="354"/>
      <c r="J752" s="354"/>
      <c r="K752" s="354"/>
      <c r="L752" s="352"/>
      <c r="M752" s="352"/>
    </row>
    <row r="753" spans="1:13" x14ac:dyDescent="0.25">
      <c r="A753" s="354"/>
      <c r="B753" s="515"/>
      <c r="C753" s="515"/>
      <c r="D753" s="515"/>
      <c r="E753" s="369"/>
      <c r="F753" s="515"/>
      <c r="G753" s="515"/>
      <c r="H753" s="515"/>
      <c r="I753" s="369"/>
      <c r="J753" s="515"/>
      <c r="K753" s="515"/>
      <c r="L753" s="515"/>
      <c r="M753" s="352"/>
    </row>
    <row r="754" spans="1:13" x14ac:dyDescent="0.25">
      <c r="A754" s="374"/>
      <c r="B754" s="375"/>
      <c r="C754" s="375"/>
      <c r="D754" s="375"/>
      <c r="E754" s="375"/>
      <c r="F754" s="375"/>
      <c r="G754" s="375"/>
      <c r="H754" s="375"/>
      <c r="I754" s="375"/>
      <c r="J754" s="375"/>
      <c r="K754" s="375"/>
      <c r="L754" s="375"/>
      <c r="M754" s="352"/>
    </row>
    <row r="755" spans="1:13" x14ac:dyDescent="0.25">
      <c r="A755" s="374"/>
      <c r="B755" s="375"/>
      <c r="C755" s="375"/>
      <c r="D755" s="375"/>
      <c r="E755" s="375"/>
      <c r="F755" s="375"/>
      <c r="G755" s="375"/>
      <c r="H755" s="375"/>
      <c r="I755" s="375"/>
      <c r="J755" s="375"/>
      <c r="K755" s="375"/>
      <c r="L755" s="375"/>
      <c r="M755" s="352"/>
    </row>
    <row r="756" spans="1:13" x14ac:dyDescent="0.25">
      <c r="A756" s="348"/>
      <c r="B756" s="466"/>
      <c r="C756" s="466"/>
      <c r="D756" s="466"/>
      <c r="E756" s="467"/>
      <c r="F756" s="466"/>
      <c r="G756" s="466"/>
      <c r="H756" s="466"/>
      <c r="I756" s="467"/>
      <c r="J756" s="466"/>
      <c r="K756" s="466"/>
      <c r="L756" s="466"/>
      <c r="M756" s="352"/>
    </row>
    <row r="757" spans="1:13" x14ac:dyDescent="0.25">
      <c r="A757" s="348"/>
      <c r="B757" s="466"/>
      <c r="C757" s="466"/>
      <c r="D757" s="466"/>
      <c r="E757" s="467"/>
      <c r="F757" s="466"/>
      <c r="G757" s="466"/>
      <c r="H757" s="466"/>
      <c r="I757" s="467"/>
      <c r="J757" s="466"/>
      <c r="K757" s="466"/>
      <c r="L757" s="466"/>
      <c r="M757" s="352"/>
    </row>
    <row r="758" spans="1:13" x14ac:dyDescent="0.25">
      <c r="A758" s="348"/>
      <c r="B758" s="466"/>
      <c r="C758" s="466"/>
      <c r="D758" s="466"/>
      <c r="E758" s="467"/>
      <c r="F758" s="466"/>
      <c r="G758" s="466"/>
      <c r="H758" s="466"/>
      <c r="I758" s="467"/>
      <c r="J758" s="466"/>
      <c r="K758" s="466"/>
      <c r="L758" s="466"/>
      <c r="M758" s="352"/>
    </row>
    <row r="759" spans="1:13" x14ac:dyDescent="0.25">
      <c r="A759" s="348"/>
      <c r="B759" s="466"/>
      <c r="C759" s="466"/>
      <c r="D759" s="466"/>
      <c r="E759" s="467"/>
      <c r="F759" s="466"/>
      <c r="G759" s="466"/>
      <c r="H759" s="466"/>
      <c r="I759" s="467"/>
      <c r="J759" s="466"/>
      <c r="K759" s="466"/>
      <c r="L759" s="466"/>
      <c r="M759" s="352"/>
    </row>
    <row r="760" spans="1:13" x14ac:dyDescent="0.25">
      <c r="A760" s="348"/>
      <c r="B760" s="466"/>
      <c r="C760" s="466"/>
      <c r="D760" s="466"/>
      <c r="E760" s="467"/>
      <c r="F760" s="466"/>
      <c r="G760" s="466"/>
      <c r="H760" s="466"/>
      <c r="I760" s="467"/>
      <c r="J760" s="466"/>
      <c r="K760" s="466"/>
      <c r="L760" s="466"/>
      <c r="M760" s="352"/>
    </row>
    <row r="761" spans="1:13" x14ac:dyDescent="0.25">
      <c r="A761" s="348"/>
      <c r="B761" s="466"/>
      <c r="C761" s="466"/>
      <c r="D761" s="466"/>
      <c r="E761" s="467"/>
      <c r="F761" s="466"/>
      <c r="G761" s="466"/>
      <c r="H761" s="466"/>
      <c r="I761" s="467"/>
      <c r="J761" s="466"/>
      <c r="K761" s="466"/>
      <c r="L761" s="466"/>
      <c r="M761" s="352"/>
    </row>
    <row r="762" spans="1:13" x14ac:dyDescent="0.25">
      <c r="A762" s="348"/>
      <c r="B762" s="466"/>
      <c r="C762" s="466"/>
      <c r="D762" s="466"/>
      <c r="E762" s="467"/>
      <c r="F762" s="466"/>
      <c r="G762" s="466"/>
      <c r="H762" s="466"/>
      <c r="I762" s="467"/>
      <c r="J762" s="466"/>
      <c r="K762" s="466"/>
      <c r="L762" s="466"/>
      <c r="M762" s="352"/>
    </row>
    <row r="763" spans="1:13" x14ac:dyDescent="0.25">
      <c r="A763" s="348"/>
      <c r="B763" s="466"/>
      <c r="C763" s="466"/>
      <c r="D763" s="466"/>
      <c r="E763" s="467"/>
      <c r="F763" s="466"/>
      <c r="G763" s="466"/>
      <c r="H763" s="466"/>
      <c r="I763" s="467"/>
      <c r="J763" s="466"/>
      <c r="K763" s="466"/>
      <c r="L763" s="466"/>
      <c r="M763" s="352"/>
    </row>
    <row r="764" spans="1:13" x14ac:dyDescent="0.25">
      <c r="A764" s="348"/>
      <c r="B764" s="466"/>
      <c r="C764" s="466"/>
      <c r="D764" s="466"/>
      <c r="E764" s="467"/>
      <c r="F764" s="466"/>
      <c r="G764" s="466"/>
      <c r="H764" s="466"/>
      <c r="I764" s="467"/>
      <c r="J764" s="466"/>
      <c r="K764" s="466"/>
      <c r="L764" s="466"/>
      <c r="M764" s="352"/>
    </row>
    <row r="765" spans="1:13" x14ac:dyDescent="0.25">
      <c r="A765" s="348"/>
      <c r="B765" s="466"/>
      <c r="C765" s="466"/>
      <c r="D765" s="466"/>
      <c r="E765" s="467"/>
      <c r="F765" s="466"/>
      <c r="G765" s="466"/>
      <c r="H765" s="466"/>
      <c r="I765" s="467"/>
      <c r="J765" s="466"/>
      <c r="K765" s="466"/>
      <c r="L765" s="466"/>
      <c r="M765" s="352"/>
    </row>
    <row r="766" spans="1:13" x14ac:dyDescent="0.25">
      <c r="A766" s="348"/>
      <c r="B766" s="467"/>
      <c r="C766" s="467"/>
      <c r="D766" s="467"/>
      <c r="E766" s="467"/>
      <c r="F766" s="467"/>
      <c r="G766" s="467"/>
      <c r="H766" s="467"/>
      <c r="I766" s="467"/>
      <c r="J766" s="467"/>
      <c r="K766" s="467"/>
      <c r="L766" s="467"/>
      <c r="M766" s="352"/>
    </row>
    <row r="767" spans="1:13" x14ac:dyDescent="0.25">
      <c r="A767" s="348"/>
      <c r="B767" s="348"/>
      <c r="C767" s="348"/>
      <c r="D767" s="348"/>
      <c r="E767" s="348"/>
      <c r="F767" s="348"/>
      <c r="G767" s="348"/>
      <c r="H767" s="348"/>
      <c r="I767" s="348"/>
      <c r="J767" s="348"/>
      <c r="K767" s="348"/>
      <c r="L767" s="353"/>
      <c r="M767" s="352"/>
    </row>
    <row r="768" spans="1:13" x14ac:dyDescent="0.25">
      <c r="A768" s="348"/>
      <c r="B768" s="348"/>
      <c r="C768" s="348"/>
      <c r="D768" s="348"/>
      <c r="E768" s="348"/>
      <c r="F768" s="348"/>
      <c r="G768" s="348"/>
      <c r="H768" s="348"/>
      <c r="I768" s="348"/>
      <c r="J768" s="348"/>
      <c r="K768" s="348"/>
      <c r="L768" s="410"/>
      <c r="M768" s="352"/>
    </row>
    <row r="769" spans="1:13" x14ac:dyDescent="0.25">
      <c r="A769" s="374"/>
      <c r="B769" s="354"/>
      <c r="C769" s="354"/>
      <c r="D769" s="354"/>
      <c r="E769" s="354"/>
      <c r="F769" s="354"/>
      <c r="G769" s="354"/>
      <c r="H769" s="354"/>
      <c r="I769" s="354"/>
      <c r="J769" s="354"/>
      <c r="K769" s="354"/>
      <c r="L769" s="352"/>
      <c r="M769" s="352"/>
    </row>
    <row r="770" spans="1:13" x14ac:dyDescent="0.25">
      <c r="A770" s="354"/>
      <c r="B770" s="515"/>
      <c r="C770" s="515"/>
      <c r="D770" s="515"/>
      <c r="E770" s="369"/>
      <c r="F770" s="515"/>
      <c r="G770" s="515"/>
      <c r="H770" s="515"/>
      <c r="I770" s="369"/>
      <c r="J770" s="515"/>
      <c r="K770" s="515"/>
      <c r="L770" s="515"/>
      <c r="M770" s="352"/>
    </row>
    <row r="771" spans="1:13" x14ac:dyDescent="0.25">
      <c r="A771" s="374"/>
      <c r="B771" s="375"/>
      <c r="C771" s="375"/>
      <c r="D771" s="375"/>
      <c r="E771" s="375"/>
      <c r="F771" s="375"/>
      <c r="G771" s="375"/>
      <c r="H771" s="375"/>
      <c r="I771" s="375"/>
      <c r="J771" s="375"/>
      <c r="K771" s="375"/>
      <c r="L771" s="375"/>
      <c r="M771" s="352"/>
    </row>
    <row r="772" spans="1:13" x14ac:dyDescent="0.25">
      <c r="A772" s="374"/>
      <c r="B772" s="375"/>
      <c r="C772" s="375"/>
      <c r="D772" s="375"/>
      <c r="E772" s="375"/>
      <c r="F772" s="375"/>
      <c r="G772" s="375"/>
      <c r="H772" s="375"/>
      <c r="I772" s="375"/>
      <c r="J772" s="375"/>
      <c r="K772" s="375"/>
      <c r="L772" s="375"/>
      <c r="M772" s="352"/>
    </row>
    <row r="773" spans="1:13" x14ac:dyDescent="0.25">
      <c r="A773" s="348"/>
      <c r="B773" s="466"/>
      <c r="C773" s="466"/>
      <c r="D773" s="466"/>
      <c r="E773" s="467"/>
      <c r="F773" s="466"/>
      <c r="G773" s="466"/>
      <c r="H773" s="466"/>
      <c r="I773" s="467"/>
      <c r="J773" s="466"/>
      <c r="K773" s="466"/>
      <c r="L773" s="466"/>
      <c r="M773" s="352"/>
    </row>
    <row r="774" spans="1:13" x14ac:dyDescent="0.25">
      <c r="A774" s="348"/>
      <c r="B774" s="466"/>
      <c r="C774" s="466"/>
      <c r="D774" s="466"/>
      <c r="E774" s="467"/>
      <c r="F774" s="466"/>
      <c r="G774" s="466"/>
      <c r="H774" s="466"/>
      <c r="I774" s="467"/>
      <c r="J774" s="466"/>
      <c r="K774" s="466"/>
      <c r="L774" s="466"/>
      <c r="M774" s="352"/>
    </row>
    <row r="775" spans="1:13" x14ac:dyDescent="0.25">
      <c r="A775" s="348"/>
      <c r="B775" s="466"/>
      <c r="C775" s="466"/>
      <c r="D775" s="466"/>
      <c r="E775" s="467"/>
      <c r="F775" s="466"/>
      <c r="G775" s="466"/>
      <c r="H775" s="466"/>
      <c r="I775" s="467"/>
      <c r="J775" s="466"/>
      <c r="K775" s="466"/>
      <c r="L775" s="466"/>
      <c r="M775" s="352"/>
    </row>
    <row r="776" spans="1:13" x14ac:dyDescent="0.25">
      <c r="A776" s="348"/>
      <c r="B776" s="466"/>
      <c r="C776" s="466"/>
      <c r="D776" s="466"/>
      <c r="E776" s="467"/>
      <c r="F776" s="466"/>
      <c r="G776" s="466"/>
      <c r="H776" s="466"/>
      <c r="I776" s="467"/>
      <c r="J776" s="466"/>
      <c r="K776" s="466"/>
      <c r="L776" s="466"/>
      <c r="M776" s="352"/>
    </row>
    <row r="777" spans="1:13" x14ac:dyDescent="0.25">
      <c r="A777" s="348"/>
      <c r="B777" s="466"/>
      <c r="C777" s="466"/>
      <c r="D777" s="466"/>
      <c r="E777" s="467"/>
      <c r="F777" s="466"/>
      <c r="G777" s="466"/>
      <c r="H777" s="466"/>
      <c r="I777" s="467"/>
      <c r="J777" s="466"/>
      <c r="K777" s="466"/>
      <c r="L777" s="466"/>
      <c r="M777" s="352"/>
    </row>
    <row r="778" spans="1:13" x14ac:dyDescent="0.25">
      <c r="A778" s="348"/>
      <c r="B778" s="466"/>
      <c r="C778" s="466"/>
      <c r="D778" s="466"/>
      <c r="E778" s="467"/>
      <c r="F778" s="466"/>
      <c r="G778" s="466"/>
      <c r="H778" s="466"/>
      <c r="I778" s="467"/>
      <c r="J778" s="466"/>
      <c r="K778" s="466"/>
      <c r="L778" s="466"/>
      <c r="M778" s="352"/>
    </row>
    <row r="779" spans="1:13" x14ac:dyDescent="0.25">
      <c r="A779" s="348"/>
      <c r="B779" s="466"/>
      <c r="C779" s="466"/>
      <c r="D779" s="466"/>
      <c r="E779" s="467"/>
      <c r="F779" s="466"/>
      <c r="G779" s="466"/>
      <c r="H779" s="466"/>
      <c r="I779" s="467"/>
      <c r="J779" s="466"/>
      <c r="K779" s="466"/>
      <c r="L779" s="466"/>
      <c r="M779" s="352"/>
    </row>
    <row r="780" spans="1:13" x14ac:dyDescent="0.25">
      <c r="A780" s="348"/>
      <c r="B780" s="466"/>
      <c r="C780" s="466"/>
      <c r="D780" s="466"/>
      <c r="E780" s="467"/>
      <c r="F780" s="466"/>
      <c r="G780" s="466"/>
      <c r="H780" s="466"/>
      <c r="I780" s="467"/>
      <c r="J780" s="466"/>
      <c r="K780" s="466"/>
      <c r="L780" s="466"/>
      <c r="M780" s="352"/>
    </row>
    <row r="781" spans="1:13" x14ac:dyDescent="0.25">
      <c r="A781" s="348"/>
      <c r="B781" s="466"/>
      <c r="C781" s="466"/>
      <c r="D781" s="466"/>
      <c r="E781" s="467"/>
      <c r="F781" s="466"/>
      <c r="G781" s="466"/>
      <c r="H781" s="466"/>
      <c r="I781" s="467"/>
      <c r="J781" s="466"/>
      <c r="K781" s="466"/>
      <c r="L781" s="466"/>
      <c r="M781" s="352"/>
    </row>
    <row r="782" spans="1:13" x14ac:dyDescent="0.25">
      <c r="A782" s="348"/>
      <c r="B782" s="466"/>
      <c r="C782" s="466"/>
      <c r="D782" s="466"/>
      <c r="E782" s="467"/>
      <c r="F782" s="466"/>
      <c r="G782" s="466"/>
      <c r="H782" s="466"/>
      <c r="I782" s="467"/>
      <c r="J782" s="466"/>
      <c r="K782" s="466"/>
      <c r="L782" s="466"/>
      <c r="M782" s="352"/>
    </row>
    <row r="783" spans="1:13" x14ac:dyDescent="0.25">
      <c r="A783" s="348"/>
      <c r="B783" s="467"/>
      <c r="C783" s="467"/>
      <c r="D783" s="467"/>
      <c r="E783" s="467"/>
      <c r="F783" s="467"/>
      <c r="G783" s="467"/>
      <c r="H783" s="467"/>
      <c r="I783" s="467"/>
      <c r="J783" s="467"/>
      <c r="K783" s="467"/>
      <c r="L783" s="467"/>
      <c r="M783" s="352"/>
    </row>
    <row r="784" spans="1:13" x14ac:dyDescent="0.25">
      <c r="A784" s="348"/>
      <c r="B784" s="348"/>
      <c r="C784" s="348"/>
      <c r="D784" s="348"/>
      <c r="E784" s="348"/>
      <c r="F784" s="348"/>
      <c r="G784" s="348"/>
      <c r="H784" s="348"/>
      <c r="I784" s="348"/>
      <c r="J784" s="348"/>
      <c r="K784" s="348"/>
      <c r="L784" s="353"/>
      <c r="M784" s="352"/>
    </row>
    <row r="785" spans="1:13" x14ac:dyDescent="0.25">
      <c r="A785" s="348"/>
      <c r="B785" s="348"/>
      <c r="C785" s="348"/>
      <c r="D785" s="348"/>
      <c r="E785" s="348"/>
      <c r="F785" s="348"/>
      <c r="G785" s="348"/>
      <c r="H785" s="348"/>
      <c r="I785" s="348"/>
      <c r="J785" s="348"/>
      <c r="K785" s="348"/>
      <c r="L785" s="410"/>
      <c r="M785" s="352"/>
    </row>
    <row r="786" spans="1:13" x14ac:dyDescent="0.25">
      <c r="A786" s="374"/>
      <c r="B786" s="354"/>
      <c r="C786" s="354"/>
      <c r="D786" s="354"/>
      <c r="E786" s="354"/>
      <c r="F786" s="354"/>
      <c r="G786" s="354"/>
      <c r="H786" s="354"/>
      <c r="I786" s="354"/>
      <c r="J786" s="354"/>
      <c r="K786" s="354"/>
      <c r="L786" s="352"/>
      <c r="M786" s="352"/>
    </row>
    <row r="787" spans="1:13" x14ac:dyDescent="0.25">
      <c r="A787" s="354"/>
      <c r="B787" s="515"/>
      <c r="C787" s="515"/>
      <c r="D787" s="515"/>
      <c r="E787" s="369"/>
      <c r="F787" s="515"/>
      <c r="G787" s="515"/>
      <c r="H787" s="515"/>
      <c r="I787" s="369"/>
      <c r="J787" s="515"/>
      <c r="K787" s="515"/>
      <c r="L787" s="515"/>
      <c r="M787" s="352"/>
    </row>
    <row r="788" spans="1:13" x14ac:dyDescent="0.25">
      <c r="A788" s="374"/>
      <c r="B788" s="375"/>
      <c r="C788" s="375"/>
      <c r="D788" s="375"/>
      <c r="E788" s="375"/>
      <c r="F788" s="375"/>
      <c r="G788" s="375"/>
      <c r="H788" s="375"/>
      <c r="I788" s="375"/>
      <c r="J788" s="375"/>
      <c r="K788" s="375"/>
      <c r="L788" s="375"/>
      <c r="M788" s="352"/>
    </row>
    <row r="789" spans="1:13" x14ac:dyDescent="0.25">
      <c r="A789" s="374"/>
      <c r="B789" s="375"/>
      <c r="C789" s="375"/>
      <c r="D789" s="375"/>
      <c r="E789" s="375"/>
      <c r="F789" s="375"/>
      <c r="G789" s="375"/>
      <c r="H789" s="375"/>
      <c r="I789" s="375"/>
      <c r="J789" s="375"/>
      <c r="K789" s="375"/>
      <c r="L789" s="375"/>
      <c r="M789" s="352"/>
    </row>
    <row r="790" spans="1:13" x14ac:dyDescent="0.25">
      <c r="A790" s="348"/>
      <c r="B790" s="466"/>
      <c r="C790" s="466"/>
      <c r="D790" s="466"/>
      <c r="E790" s="467"/>
      <c r="F790" s="466"/>
      <c r="G790" s="466"/>
      <c r="H790" s="466"/>
      <c r="I790" s="467"/>
      <c r="J790" s="466"/>
      <c r="K790" s="466"/>
      <c r="L790" s="466"/>
      <c r="M790" s="352"/>
    </row>
    <row r="791" spans="1:13" x14ac:dyDescent="0.25">
      <c r="A791" s="348"/>
      <c r="B791" s="466"/>
      <c r="C791" s="466"/>
      <c r="D791" s="466"/>
      <c r="E791" s="467"/>
      <c r="F791" s="466"/>
      <c r="G791" s="466"/>
      <c r="H791" s="466"/>
      <c r="I791" s="467"/>
      <c r="J791" s="466"/>
      <c r="K791" s="466"/>
      <c r="L791" s="466"/>
      <c r="M791" s="352"/>
    </row>
    <row r="792" spans="1:13" x14ac:dyDescent="0.25">
      <c r="A792" s="348"/>
      <c r="B792" s="466"/>
      <c r="C792" s="466"/>
      <c r="D792" s="466"/>
      <c r="E792" s="467"/>
      <c r="F792" s="466"/>
      <c r="G792" s="466"/>
      <c r="H792" s="466"/>
      <c r="I792" s="467"/>
      <c r="J792" s="466"/>
      <c r="K792" s="466"/>
      <c r="L792" s="466"/>
      <c r="M792" s="352"/>
    </row>
    <row r="793" spans="1:13" x14ac:dyDescent="0.25">
      <c r="A793" s="348"/>
      <c r="B793" s="466"/>
      <c r="C793" s="466"/>
      <c r="D793" s="466"/>
      <c r="E793" s="467"/>
      <c r="F793" s="466"/>
      <c r="G793" s="466"/>
      <c r="H793" s="466"/>
      <c r="I793" s="467"/>
      <c r="J793" s="466"/>
      <c r="K793" s="466"/>
      <c r="L793" s="466"/>
      <c r="M793" s="352"/>
    </row>
    <row r="794" spans="1:13" x14ac:dyDescent="0.25">
      <c r="A794" s="348"/>
      <c r="B794" s="466"/>
      <c r="C794" s="466"/>
      <c r="D794" s="466"/>
      <c r="E794" s="467"/>
      <c r="F794" s="466"/>
      <c r="G794" s="466"/>
      <c r="H794" s="466"/>
      <c r="I794" s="467"/>
      <c r="J794" s="466"/>
      <c r="K794" s="466"/>
      <c r="L794" s="466"/>
      <c r="M794" s="352"/>
    </row>
    <row r="795" spans="1:13" x14ac:dyDescent="0.25">
      <c r="A795" s="348"/>
      <c r="B795" s="466"/>
      <c r="C795" s="466"/>
      <c r="D795" s="466"/>
      <c r="E795" s="467"/>
      <c r="F795" s="466"/>
      <c r="G795" s="466"/>
      <c r="H795" s="466"/>
      <c r="I795" s="467"/>
      <c r="J795" s="466"/>
      <c r="K795" s="466"/>
      <c r="L795" s="466"/>
      <c r="M795" s="352"/>
    </row>
    <row r="796" spans="1:13" x14ac:dyDescent="0.25">
      <c r="A796" s="348"/>
      <c r="B796" s="466"/>
      <c r="C796" s="466"/>
      <c r="D796" s="466"/>
      <c r="E796" s="467"/>
      <c r="F796" s="466"/>
      <c r="G796" s="466"/>
      <c r="H796" s="466"/>
      <c r="I796" s="467"/>
      <c r="J796" s="466"/>
      <c r="K796" s="466"/>
      <c r="L796" s="466"/>
      <c r="M796" s="352"/>
    </row>
    <row r="797" spans="1:13" x14ac:dyDescent="0.25">
      <c r="A797" s="348"/>
      <c r="B797" s="466"/>
      <c r="C797" s="466"/>
      <c r="D797" s="466"/>
      <c r="E797" s="467"/>
      <c r="F797" s="466"/>
      <c r="G797" s="466"/>
      <c r="H797" s="466"/>
      <c r="I797" s="467"/>
      <c r="J797" s="466"/>
      <c r="K797" s="466"/>
      <c r="L797" s="466"/>
      <c r="M797" s="352"/>
    </row>
    <row r="798" spans="1:13" x14ac:dyDescent="0.25">
      <c r="A798" s="348"/>
      <c r="B798" s="466"/>
      <c r="C798" s="466"/>
      <c r="D798" s="466"/>
      <c r="E798" s="467"/>
      <c r="F798" s="466"/>
      <c r="G798" s="466"/>
      <c r="H798" s="466"/>
      <c r="I798" s="467"/>
      <c r="J798" s="466"/>
      <c r="K798" s="466"/>
      <c r="L798" s="466"/>
      <c r="M798" s="352"/>
    </row>
    <row r="799" spans="1:13" x14ac:dyDescent="0.25">
      <c r="A799" s="348"/>
      <c r="B799" s="466"/>
      <c r="C799" s="466"/>
      <c r="D799" s="466"/>
      <c r="E799" s="467"/>
      <c r="F799" s="466"/>
      <c r="G799" s="466"/>
      <c r="H799" s="466"/>
      <c r="I799" s="467"/>
      <c r="J799" s="466"/>
      <c r="K799" s="466"/>
      <c r="L799" s="466"/>
      <c r="M799" s="352"/>
    </row>
    <row r="800" spans="1:13" x14ac:dyDescent="0.25">
      <c r="A800" s="348"/>
      <c r="B800" s="467"/>
      <c r="C800" s="467"/>
      <c r="D800" s="467"/>
      <c r="E800" s="467"/>
      <c r="F800" s="467"/>
      <c r="G800" s="467"/>
      <c r="H800" s="467"/>
      <c r="I800" s="467"/>
      <c r="J800" s="467"/>
      <c r="K800" s="467"/>
      <c r="L800" s="467"/>
      <c r="M800" s="352"/>
    </row>
    <row r="801" spans="1:13" x14ac:dyDescent="0.25">
      <c r="A801" s="348"/>
      <c r="B801" s="348"/>
      <c r="C801" s="348"/>
      <c r="D801" s="348"/>
      <c r="E801" s="348"/>
      <c r="F801" s="348"/>
      <c r="G801" s="348"/>
      <c r="H801" s="348"/>
      <c r="I801" s="348"/>
      <c r="J801" s="348"/>
      <c r="K801" s="348"/>
      <c r="L801" s="353"/>
      <c r="M801" s="352"/>
    </row>
    <row r="802" spans="1:13" x14ac:dyDescent="0.25">
      <c r="A802" s="348"/>
      <c r="B802" s="348"/>
      <c r="C802" s="348"/>
      <c r="D802" s="348"/>
      <c r="E802" s="348"/>
      <c r="F802" s="348"/>
      <c r="G802" s="348"/>
      <c r="H802" s="348"/>
      <c r="I802" s="348"/>
      <c r="J802" s="348"/>
      <c r="K802" s="348"/>
      <c r="L802" s="410"/>
      <c r="M802" s="352"/>
    </row>
    <row r="803" spans="1:13" x14ac:dyDescent="0.25">
      <c r="A803" s="374"/>
      <c r="B803" s="354"/>
      <c r="C803" s="354"/>
      <c r="D803" s="354"/>
      <c r="E803" s="354"/>
      <c r="F803" s="354"/>
      <c r="G803" s="354"/>
      <c r="H803" s="354"/>
      <c r="I803" s="354"/>
      <c r="J803" s="354"/>
      <c r="K803" s="354"/>
      <c r="L803" s="352"/>
      <c r="M803" s="352"/>
    </row>
    <row r="804" spans="1:13" x14ac:dyDescent="0.25">
      <c r="A804" s="354"/>
      <c r="B804" s="515"/>
      <c r="C804" s="515"/>
      <c r="D804" s="515"/>
      <c r="E804" s="369"/>
      <c r="F804" s="515"/>
      <c r="G804" s="515"/>
      <c r="H804" s="515"/>
      <c r="I804" s="369"/>
      <c r="J804" s="515"/>
      <c r="K804" s="515"/>
      <c r="L804" s="515"/>
      <c r="M804" s="352"/>
    </row>
    <row r="805" spans="1:13" x14ac:dyDescent="0.25">
      <c r="A805" s="374"/>
      <c r="B805" s="375"/>
      <c r="C805" s="375"/>
      <c r="D805" s="375"/>
      <c r="E805" s="375"/>
      <c r="F805" s="375"/>
      <c r="G805" s="375"/>
      <c r="H805" s="375"/>
      <c r="I805" s="375"/>
      <c r="J805" s="375"/>
      <c r="K805" s="375"/>
      <c r="L805" s="375"/>
      <c r="M805" s="352"/>
    </row>
    <row r="806" spans="1:13" x14ac:dyDescent="0.25">
      <c r="A806" s="374"/>
      <c r="B806" s="375"/>
      <c r="C806" s="375"/>
      <c r="D806" s="375"/>
      <c r="E806" s="375"/>
      <c r="F806" s="375"/>
      <c r="G806" s="375"/>
      <c r="H806" s="375"/>
      <c r="I806" s="375"/>
      <c r="J806" s="375"/>
      <c r="K806" s="375"/>
      <c r="L806" s="375"/>
      <c r="M806" s="352"/>
    </row>
    <row r="807" spans="1:13" x14ac:dyDescent="0.25">
      <c r="A807" s="348"/>
      <c r="B807" s="466"/>
      <c r="C807" s="466"/>
      <c r="D807" s="466"/>
      <c r="E807" s="467"/>
      <c r="F807" s="466"/>
      <c r="G807" s="466"/>
      <c r="H807" s="466"/>
      <c r="I807" s="467"/>
      <c r="J807" s="466"/>
      <c r="K807" s="466"/>
      <c r="L807" s="466"/>
      <c r="M807" s="352"/>
    </row>
    <row r="808" spans="1:13" x14ac:dyDescent="0.25">
      <c r="A808" s="348"/>
      <c r="B808" s="466"/>
      <c r="C808" s="466"/>
      <c r="D808" s="466"/>
      <c r="E808" s="467"/>
      <c r="F808" s="466"/>
      <c r="G808" s="466"/>
      <c r="H808" s="466"/>
      <c r="I808" s="467"/>
      <c r="J808" s="466"/>
      <c r="K808" s="466"/>
      <c r="L808" s="466"/>
      <c r="M808" s="352"/>
    </row>
    <row r="809" spans="1:13" x14ac:dyDescent="0.25">
      <c r="A809" s="348"/>
      <c r="B809" s="466"/>
      <c r="C809" s="466"/>
      <c r="D809" s="466"/>
      <c r="E809" s="467"/>
      <c r="F809" s="466"/>
      <c r="G809" s="466"/>
      <c r="H809" s="466"/>
      <c r="I809" s="467"/>
      <c r="J809" s="466"/>
      <c r="K809" s="466"/>
      <c r="L809" s="466"/>
      <c r="M809" s="352"/>
    </row>
    <row r="810" spans="1:13" x14ac:dyDescent="0.25">
      <c r="A810" s="348"/>
      <c r="B810" s="466"/>
      <c r="C810" s="466"/>
      <c r="D810" s="466"/>
      <c r="E810" s="467"/>
      <c r="F810" s="466"/>
      <c r="G810" s="466"/>
      <c r="H810" s="466"/>
      <c r="I810" s="467"/>
      <c r="J810" s="466"/>
      <c r="K810" s="466"/>
      <c r="L810" s="466"/>
      <c r="M810" s="352"/>
    </row>
    <row r="811" spans="1:13" x14ac:dyDescent="0.25">
      <c r="A811" s="348"/>
      <c r="B811" s="466"/>
      <c r="C811" s="466"/>
      <c r="D811" s="466"/>
      <c r="E811" s="467"/>
      <c r="F811" s="466"/>
      <c r="G811" s="466"/>
      <c r="H811" s="466"/>
      <c r="I811" s="467"/>
      <c r="J811" s="466"/>
      <c r="K811" s="466"/>
      <c r="L811" s="466"/>
      <c r="M811" s="352"/>
    </row>
    <row r="812" spans="1:13" x14ac:dyDescent="0.25">
      <c r="A812" s="348"/>
      <c r="B812" s="466"/>
      <c r="C812" s="466"/>
      <c r="D812" s="466"/>
      <c r="E812" s="467"/>
      <c r="F812" s="466"/>
      <c r="G812" s="466"/>
      <c r="H812" s="466"/>
      <c r="I812" s="467"/>
      <c r="J812" s="466"/>
      <c r="K812" s="466"/>
      <c r="L812" s="466"/>
      <c r="M812" s="352"/>
    </row>
    <row r="813" spans="1:13" x14ac:dyDescent="0.25">
      <c r="A813" s="348"/>
      <c r="B813" s="466"/>
      <c r="C813" s="466"/>
      <c r="D813" s="466"/>
      <c r="E813" s="467"/>
      <c r="F813" s="466"/>
      <c r="G813" s="466"/>
      <c r="H813" s="466"/>
      <c r="I813" s="467"/>
      <c r="J813" s="466"/>
      <c r="K813" s="466"/>
      <c r="L813" s="466"/>
      <c r="M813" s="352"/>
    </row>
    <row r="814" spans="1:13" x14ac:dyDescent="0.25">
      <c r="A814" s="348"/>
      <c r="B814" s="466"/>
      <c r="C814" s="466"/>
      <c r="D814" s="466"/>
      <c r="E814" s="467"/>
      <c r="F814" s="466"/>
      <c r="G814" s="466"/>
      <c r="H814" s="466"/>
      <c r="I814" s="467"/>
      <c r="J814" s="466"/>
      <c r="K814" s="466"/>
      <c r="L814" s="466"/>
      <c r="M814" s="352"/>
    </row>
    <row r="815" spans="1:13" x14ac:dyDescent="0.25">
      <c r="A815" s="348"/>
      <c r="B815" s="466"/>
      <c r="C815" s="466"/>
      <c r="D815" s="466"/>
      <c r="E815" s="467"/>
      <c r="F815" s="466"/>
      <c r="G815" s="466"/>
      <c r="H815" s="466"/>
      <c r="I815" s="467"/>
      <c r="J815" s="466"/>
      <c r="K815" s="466"/>
      <c r="L815" s="466"/>
      <c r="M815" s="352"/>
    </row>
    <row r="816" spans="1:13" x14ac:dyDescent="0.25">
      <c r="A816" s="348"/>
      <c r="B816" s="466"/>
      <c r="C816" s="466"/>
      <c r="D816" s="466"/>
      <c r="E816" s="467"/>
      <c r="F816" s="466"/>
      <c r="G816" s="466"/>
      <c r="H816" s="466"/>
      <c r="I816" s="467"/>
      <c r="J816" s="466"/>
      <c r="K816" s="466"/>
      <c r="L816" s="466"/>
      <c r="M816" s="352"/>
    </row>
    <row r="817" spans="1:13" x14ac:dyDescent="0.25">
      <c r="A817" s="348"/>
      <c r="B817" s="467"/>
      <c r="C817" s="467"/>
      <c r="D817" s="467"/>
      <c r="E817" s="467"/>
      <c r="F817" s="467"/>
      <c r="G817" s="467"/>
      <c r="H817" s="467"/>
      <c r="I817" s="467"/>
      <c r="J817" s="467"/>
      <c r="K817" s="467"/>
      <c r="L817" s="467"/>
      <c r="M817" s="352"/>
    </row>
    <row r="818" spans="1:13" x14ac:dyDescent="0.25">
      <c r="A818" s="348"/>
      <c r="B818" s="348"/>
      <c r="C818" s="348"/>
      <c r="D818" s="348"/>
      <c r="E818" s="348"/>
      <c r="F818" s="348"/>
      <c r="G818" s="348"/>
      <c r="H818" s="348"/>
      <c r="I818" s="348"/>
      <c r="J818" s="348"/>
      <c r="K818" s="348"/>
      <c r="L818" s="353"/>
      <c r="M818" s="352"/>
    </row>
    <row r="819" spans="1:13" x14ac:dyDescent="0.25">
      <c r="A819" s="348"/>
      <c r="B819" s="348"/>
      <c r="C819" s="348"/>
      <c r="D819" s="348"/>
      <c r="E819" s="348"/>
      <c r="F819" s="348"/>
      <c r="G819" s="348"/>
      <c r="H819" s="348"/>
      <c r="I819" s="348"/>
      <c r="J819" s="348"/>
      <c r="K819" s="348"/>
      <c r="L819" s="410"/>
      <c r="M819" s="352"/>
    </row>
    <row r="820" spans="1:13" x14ac:dyDescent="0.25">
      <c r="A820" s="374"/>
      <c r="B820" s="354"/>
      <c r="C820" s="354"/>
      <c r="D820" s="354"/>
      <c r="E820" s="354"/>
      <c r="F820" s="354"/>
      <c r="G820" s="354"/>
      <c r="H820" s="354"/>
      <c r="I820" s="354"/>
      <c r="J820" s="354"/>
      <c r="K820" s="354"/>
      <c r="L820" s="352"/>
      <c r="M820" s="352"/>
    </row>
    <row r="821" spans="1:13" x14ac:dyDescent="0.25">
      <c r="A821" s="354"/>
      <c r="B821" s="515"/>
      <c r="C821" s="515"/>
      <c r="D821" s="515"/>
      <c r="E821" s="369"/>
      <c r="F821" s="515"/>
      <c r="G821" s="515"/>
      <c r="H821" s="515"/>
      <c r="I821" s="369"/>
      <c r="J821" s="515"/>
      <c r="K821" s="515"/>
      <c r="L821" s="515"/>
      <c r="M821" s="352"/>
    </row>
    <row r="822" spans="1:13" x14ac:dyDescent="0.25">
      <c r="A822" s="374"/>
      <c r="B822" s="375"/>
      <c r="C822" s="375"/>
      <c r="D822" s="375"/>
      <c r="E822" s="375"/>
      <c r="F822" s="375"/>
      <c r="G822" s="375"/>
      <c r="H822" s="375"/>
      <c r="I822" s="375"/>
      <c r="J822" s="375"/>
      <c r="K822" s="375"/>
      <c r="L822" s="375"/>
      <c r="M822" s="352"/>
    </row>
    <row r="823" spans="1:13" x14ac:dyDescent="0.25">
      <c r="A823" s="374"/>
      <c r="B823" s="375"/>
      <c r="C823" s="375"/>
      <c r="D823" s="375"/>
      <c r="E823" s="375"/>
      <c r="F823" s="375"/>
      <c r="G823" s="375"/>
      <c r="H823" s="375"/>
      <c r="I823" s="375"/>
      <c r="J823" s="375"/>
      <c r="K823" s="375"/>
      <c r="L823" s="375"/>
      <c r="M823" s="352"/>
    </row>
    <row r="824" spans="1:13" x14ac:dyDescent="0.25">
      <c r="A824" s="348"/>
      <c r="B824" s="466"/>
      <c r="C824" s="466"/>
      <c r="D824" s="466"/>
      <c r="E824" s="467"/>
      <c r="F824" s="466"/>
      <c r="G824" s="466"/>
      <c r="H824" s="466"/>
      <c r="I824" s="467"/>
      <c r="J824" s="466"/>
      <c r="K824" s="466"/>
      <c r="L824" s="466"/>
      <c r="M824" s="352"/>
    </row>
    <row r="825" spans="1:13" x14ac:dyDescent="0.25">
      <c r="A825" s="348"/>
      <c r="B825" s="466"/>
      <c r="C825" s="466"/>
      <c r="D825" s="466"/>
      <c r="E825" s="467"/>
      <c r="F825" s="466"/>
      <c r="G825" s="466"/>
      <c r="H825" s="466"/>
      <c r="I825" s="467"/>
      <c r="J825" s="466"/>
      <c r="K825" s="466"/>
      <c r="L825" s="466"/>
      <c r="M825" s="352"/>
    </row>
    <row r="826" spans="1:13" x14ac:dyDescent="0.25">
      <c r="A826" s="348"/>
      <c r="B826" s="466"/>
      <c r="C826" s="466"/>
      <c r="D826" s="466"/>
      <c r="E826" s="467"/>
      <c r="F826" s="466"/>
      <c r="G826" s="466"/>
      <c r="H826" s="466"/>
      <c r="I826" s="467"/>
      <c r="J826" s="466"/>
      <c r="K826" s="466"/>
      <c r="L826" s="466"/>
      <c r="M826" s="352"/>
    </row>
    <row r="827" spans="1:13" x14ac:dyDescent="0.25">
      <c r="A827" s="348"/>
      <c r="B827" s="466"/>
      <c r="C827" s="466"/>
      <c r="D827" s="466"/>
      <c r="E827" s="467"/>
      <c r="F827" s="466"/>
      <c r="G827" s="466"/>
      <c r="H827" s="466"/>
      <c r="I827" s="467"/>
      <c r="J827" s="466"/>
      <c r="K827" s="466"/>
      <c r="L827" s="466"/>
      <c r="M827" s="352"/>
    </row>
    <row r="828" spans="1:13" x14ac:dyDescent="0.25">
      <c r="A828" s="348"/>
      <c r="B828" s="466"/>
      <c r="C828" s="466"/>
      <c r="D828" s="466"/>
      <c r="E828" s="467"/>
      <c r="F828" s="466"/>
      <c r="G828" s="466"/>
      <c r="H828" s="466"/>
      <c r="I828" s="467"/>
      <c r="J828" s="466"/>
      <c r="K828" s="466"/>
      <c r="L828" s="466"/>
      <c r="M828" s="352"/>
    </row>
    <row r="829" spans="1:13" x14ac:dyDescent="0.25">
      <c r="A829" s="348"/>
      <c r="B829" s="466"/>
      <c r="C829" s="466"/>
      <c r="D829" s="466"/>
      <c r="E829" s="467"/>
      <c r="F829" s="466"/>
      <c r="G829" s="466"/>
      <c r="H829" s="466"/>
      <c r="I829" s="467"/>
      <c r="J829" s="466"/>
      <c r="K829" s="466"/>
      <c r="L829" s="466"/>
      <c r="M829" s="352"/>
    </row>
    <row r="830" spans="1:13" x14ac:dyDescent="0.25">
      <c r="A830" s="348"/>
      <c r="B830" s="466"/>
      <c r="C830" s="466"/>
      <c r="D830" s="466"/>
      <c r="E830" s="467"/>
      <c r="F830" s="466"/>
      <c r="G830" s="466"/>
      <c r="H830" s="466"/>
      <c r="I830" s="467"/>
      <c r="J830" s="466"/>
      <c r="K830" s="466"/>
      <c r="L830" s="466"/>
      <c r="M830" s="352"/>
    </row>
    <row r="831" spans="1:13" x14ac:dyDescent="0.25">
      <c r="A831" s="348"/>
      <c r="B831" s="466"/>
      <c r="C831" s="466"/>
      <c r="D831" s="466"/>
      <c r="E831" s="467"/>
      <c r="F831" s="466"/>
      <c r="G831" s="466"/>
      <c r="H831" s="466"/>
      <c r="I831" s="467"/>
      <c r="J831" s="466"/>
      <c r="K831" s="466"/>
      <c r="L831" s="466"/>
      <c r="M831" s="352"/>
    </row>
    <row r="832" spans="1:13" x14ac:dyDescent="0.25">
      <c r="A832" s="348"/>
      <c r="B832" s="466"/>
      <c r="C832" s="466"/>
      <c r="D832" s="466"/>
      <c r="E832" s="467"/>
      <c r="F832" s="466"/>
      <c r="G832" s="466"/>
      <c r="H832" s="466"/>
      <c r="I832" s="467"/>
      <c r="J832" s="466"/>
      <c r="K832" s="466"/>
      <c r="L832" s="466"/>
      <c r="M832" s="352"/>
    </row>
    <row r="833" spans="1:13" x14ac:dyDescent="0.25">
      <c r="A833" s="348"/>
      <c r="B833" s="466"/>
      <c r="C833" s="466"/>
      <c r="D833" s="466"/>
      <c r="E833" s="467"/>
      <c r="F833" s="466"/>
      <c r="G833" s="466"/>
      <c r="H833" s="466"/>
      <c r="I833" s="467"/>
      <c r="J833" s="466"/>
      <c r="K833" s="466"/>
      <c r="L833" s="466"/>
      <c r="M833" s="352"/>
    </row>
    <row r="834" spans="1:13" x14ac:dyDescent="0.25">
      <c r="A834" s="348"/>
      <c r="B834" s="467"/>
      <c r="C834" s="467"/>
      <c r="D834" s="467"/>
      <c r="E834" s="467"/>
      <c r="F834" s="467"/>
      <c r="G834" s="467"/>
      <c r="H834" s="467"/>
      <c r="I834" s="467"/>
      <c r="J834" s="467"/>
      <c r="K834" s="467"/>
      <c r="L834" s="467"/>
      <c r="M834" s="352"/>
    </row>
    <row r="835" spans="1:13" x14ac:dyDescent="0.25">
      <c r="A835" s="348"/>
      <c r="B835" s="348"/>
      <c r="C835" s="348"/>
      <c r="D835" s="348"/>
      <c r="E835" s="348"/>
      <c r="F835" s="348"/>
      <c r="G835" s="348"/>
      <c r="H835" s="348"/>
      <c r="I835" s="348"/>
      <c r="J835" s="348"/>
      <c r="K835" s="348"/>
      <c r="L835" s="353"/>
      <c r="M835" s="352"/>
    </row>
    <row r="836" spans="1:13" x14ac:dyDescent="0.25">
      <c r="A836" s="348"/>
      <c r="B836" s="348"/>
      <c r="C836" s="348"/>
      <c r="D836" s="348"/>
      <c r="E836" s="348"/>
      <c r="F836" s="348"/>
      <c r="G836" s="348"/>
      <c r="H836" s="348"/>
      <c r="I836" s="348"/>
      <c r="J836" s="348"/>
      <c r="K836" s="348"/>
      <c r="L836" s="410"/>
      <c r="M836" s="352"/>
    </row>
    <row r="837" spans="1:13" x14ac:dyDescent="0.25">
      <c r="A837" s="374"/>
      <c r="B837" s="354"/>
      <c r="C837" s="354"/>
      <c r="D837" s="354"/>
      <c r="E837" s="354"/>
      <c r="F837" s="354"/>
      <c r="G837" s="354"/>
      <c r="H837" s="354"/>
      <c r="I837" s="354"/>
      <c r="J837" s="354"/>
      <c r="K837" s="354"/>
      <c r="L837" s="352"/>
      <c r="M837" s="352"/>
    </row>
    <row r="838" spans="1:13" x14ac:dyDescent="0.25">
      <c r="A838" s="354"/>
      <c r="B838" s="515"/>
      <c r="C838" s="515"/>
      <c r="D838" s="515"/>
      <c r="E838" s="369"/>
      <c r="F838" s="515"/>
      <c r="G838" s="515"/>
      <c r="H838" s="515"/>
      <c r="I838" s="369"/>
      <c r="J838" s="515"/>
      <c r="K838" s="515"/>
      <c r="L838" s="515"/>
      <c r="M838" s="352"/>
    </row>
    <row r="839" spans="1:13" x14ac:dyDescent="0.25">
      <c r="A839" s="374"/>
      <c r="B839" s="375"/>
      <c r="C839" s="375"/>
      <c r="D839" s="375"/>
      <c r="E839" s="375"/>
      <c r="F839" s="375"/>
      <c r="G839" s="375"/>
      <c r="H839" s="375"/>
      <c r="I839" s="375"/>
      <c r="J839" s="375"/>
      <c r="K839" s="375"/>
      <c r="L839" s="375"/>
      <c r="M839" s="352"/>
    </row>
    <row r="840" spans="1:13" x14ac:dyDescent="0.25">
      <c r="A840" s="374"/>
      <c r="B840" s="375"/>
      <c r="C840" s="375"/>
      <c r="D840" s="375"/>
      <c r="E840" s="375"/>
      <c r="F840" s="375"/>
      <c r="G840" s="375"/>
      <c r="H840" s="375"/>
      <c r="I840" s="375"/>
      <c r="J840" s="375"/>
      <c r="K840" s="375"/>
      <c r="L840" s="375"/>
      <c r="M840" s="352"/>
    </row>
    <row r="841" spans="1:13" x14ac:dyDescent="0.25">
      <c r="A841" s="348"/>
      <c r="B841" s="466"/>
      <c r="C841" s="466"/>
      <c r="D841" s="466"/>
      <c r="E841" s="467"/>
      <c r="F841" s="466"/>
      <c r="G841" s="466"/>
      <c r="H841" s="466"/>
      <c r="I841" s="467"/>
      <c r="J841" s="466"/>
      <c r="K841" s="466"/>
      <c r="L841" s="466"/>
      <c r="M841" s="352"/>
    </row>
    <row r="842" spans="1:13" x14ac:dyDescent="0.25">
      <c r="A842" s="348"/>
      <c r="B842" s="466"/>
      <c r="C842" s="466"/>
      <c r="D842" s="466"/>
      <c r="E842" s="467"/>
      <c r="F842" s="466"/>
      <c r="G842" s="466"/>
      <c r="H842" s="466"/>
      <c r="I842" s="467"/>
      <c r="J842" s="466"/>
      <c r="K842" s="466"/>
      <c r="L842" s="466"/>
      <c r="M842" s="352"/>
    </row>
    <row r="843" spans="1:13" x14ac:dyDescent="0.25">
      <c r="A843" s="348"/>
      <c r="B843" s="466"/>
      <c r="C843" s="466"/>
      <c r="D843" s="466"/>
      <c r="E843" s="467"/>
      <c r="F843" s="466"/>
      <c r="G843" s="466"/>
      <c r="H843" s="466"/>
      <c r="I843" s="467"/>
      <c r="J843" s="466"/>
      <c r="K843" s="466"/>
      <c r="L843" s="466"/>
      <c r="M843" s="352"/>
    </row>
    <row r="844" spans="1:13" x14ac:dyDescent="0.25">
      <c r="A844" s="348"/>
      <c r="B844" s="466"/>
      <c r="C844" s="466"/>
      <c r="D844" s="466"/>
      <c r="E844" s="467"/>
      <c r="F844" s="466"/>
      <c r="G844" s="466"/>
      <c r="H844" s="466"/>
      <c r="I844" s="467"/>
      <c r="J844" s="466"/>
      <c r="K844" s="466"/>
      <c r="L844" s="466"/>
      <c r="M844" s="352"/>
    </row>
    <row r="845" spans="1:13" x14ac:dyDescent="0.25">
      <c r="A845" s="348"/>
      <c r="B845" s="466"/>
      <c r="C845" s="466"/>
      <c r="D845" s="466"/>
      <c r="E845" s="467"/>
      <c r="F845" s="466"/>
      <c r="G845" s="466"/>
      <c r="H845" s="466"/>
      <c r="I845" s="467"/>
      <c r="J845" s="466"/>
      <c r="K845" s="466"/>
      <c r="L845" s="466"/>
      <c r="M845" s="352"/>
    </row>
    <row r="846" spans="1:13" x14ac:dyDescent="0.25">
      <c r="A846" s="348"/>
      <c r="B846" s="466"/>
      <c r="C846" s="466"/>
      <c r="D846" s="466"/>
      <c r="E846" s="467"/>
      <c r="F846" s="466"/>
      <c r="G846" s="466"/>
      <c r="H846" s="466"/>
      <c r="I846" s="467"/>
      <c r="J846" s="466"/>
      <c r="K846" s="466"/>
      <c r="L846" s="466"/>
      <c r="M846" s="352"/>
    </row>
    <row r="847" spans="1:13" x14ac:dyDescent="0.25">
      <c r="A847" s="348"/>
      <c r="B847" s="466"/>
      <c r="C847" s="466"/>
      <c r="D847" s="466"/>
      <c r="E847" s="467"/>
      <c r="F847" s="466"/>
      <c r="G847" s="466"/>
      <c r="H847" s="466"/>
      <c r="I847" s="467"/>
      <c r="J847" s="466"/>
      <c r="K847" s="466"/>
      <c r="L847" s="466"/>
      <c r="M847" s="352"/>
    </row>
    <row r="848" spans="1:13" x14ac:dyDescent="0.25">
      <c r="A848" s="348"/>
      <c r="B848" s="466"/>
      <c r="C848" s="466"/>
      <c r="D848" s="466"/>
      <c r="E848" s="467"/>
      <c r="F848" s="466"/>
      <c r="G848" s="466"/>
      <c r="H848" s="466"/>
      <c r="I848" s="467"/>
      <c r="J848" s="466"/>
      <c r="K848" s="466"/>
      <c r="L848" s="466"/>
      <c r="M848" s="352"/>
    </row>
    <row r="849" spans="1:13" x14ac:dyDescent="0.25">
      <c r="A849" s="348"/>
      <c r="B849" s="466"/>
      <c r="C849" s="466"/>
      <c r="D849" s="466"/>
      <c r="E849" s="467"/>
      <c r="F849" s="466"/>
      <c r="G849" s="466"/>
      <c r="H849" s="466"/>
      <c r="I849" s="467"/>
      <c r="J849" s="466"/>
      <c r="K849" s="466"/>
      <c r="L849" s="466"/>
      <c r="M849" s="352"/>
    </row>
    <row r="850" spans="1:13" x14ac:dyDescent="0.25">
      <c r="A850" s="348"/>
      <c r="B850" s="466"/>
      <c r="C850" s="466"/>
      <c r="D850" s="466"/>
      <c r="E850" s="467"/>
      <c r="F850" s="466"/>
      <c r="G850" s="466"/>
      <c r="H850" s="466"/>
      <c r="I850" s="467"/>
      <c r="J850" s="466"/>
      <c r="K850" s="466"/>
      <c r="L850" s="466"/>
      <c r="M850" s="352"/>
    </row>
    <row r="851" spans="1:13" x14ac:dyDescent="0.25">
      <c r="A851" s="348"/>
      <c r="B851" s="467"/>
      <c r="C851" s="467"/>
      <c r="D851" s="467"/>
      <c r="E851" s="467"/>
      <c r="F851" s="467"/>
      <c r="G851" s="467"/>
      <c r="H851" s="467"/>
      <c r="I851" s="467"/>
      <c r="J851" s="467"/>
      <c r="K851" s="467"/>
      <c r="L851" s="467"/>
      <c r="M851" s="352"/>
    </row>
    <row r="852" spans="1:13" x14ac:dyDescent="0.25">
      <c r="A852" s="348"/>
      <c r="B852" s="348"/>
      <c r="C852" s="348"/>
      <c r="D852" s="348"/>
      <c r="E852" s="348"/>
      <c r="F852" s="348"/>
      <c r="G852" s="348"/>
      <c r="H852" s="348"/>
      <c r="I852" s="348"/>
      <c r="J852" s="348"/>
      <c r="K852" s="348"/>
      <c r="L852" s="353"/>
      <c r="M852" s="352"/>
    </row>
    <row r="853" spans="1:13" x14ac:dyDescent="0.25">
      <c r="A853" s="348"/>
      <c r="B853" s="348"/>
      <c r="C853" s="348"/>
      <c r="D853" s="348"/>
      <c r="E853" s="348"/>
      <c r="F853" s="348"/>
      <c r="G853" s="348"/>
      <c r="H853" s="348"/>
      <c r="I853" s="348"/>
      <c r="J853" s="348"/>
      <c r="K853" s="348"/>
      <c r="L853" s="410"/>
      <c r="M853" s="352"/>
    </row>
    <row r="854" spans="1:13" x14ac:dyDescent="0.25">
      <c r="A854" s="374"/>
      <c r="B854" s="354"/>
      <c r="C854" s="354"/>
      <c r="D854" s="354"/>
      <c r="E854" s="354"/>
      <c r="F854" s="354"/>
      <c r="G854" s="354"/>
      <c r="H854" s="354"/>
      <c r="I854" s="354"/>
      <c r="J854" s="354"/>
      <c r="K854" s="354"/>
      <c r="L854" s="352"/>
      <c r="M854" s="352"/>
    </row>
    <row r="855" spans="1:13" x14ac:dyDescent="0.25">
      <c r="A855" s="354"/>
      <c r="B855" s="515"/>
      <c r="C855" s="515"/>
      <c r="D855" s="515"/>
      <c r="E855" s="369"/>
      <c r="F855" s="515"/>
      <c r="G855" s="515"/>
      <c r="H855" s="515"/>
      <c r="I855" s="369"/>
      <c r="J855" s="515"/>
      <c r="K855" s="515"/>
      <c r="L855" s="515"/>
      <c r="M855" s="352"/>
    </row>
    <row r="856" spans="1:13" x14ac:dyDescent="0.25">
      <c r="A856" s="374"/>
      <c r="B856" s="375"/>
      <c r="C856" s="375"/>
      <c r="D856" s="375"/>
      <c r="E856" s="375"/>
      <c r="F856" s="375"/>
      <c r="G856" s="375"/>
      <c r="H856" s="375"/>
      <c r="I856" s="375"/>
      <c r="J856" s="375"/>
      <c r="K856" s="375"/>
      <c r="L856" s="375"/>
      <c r="M856" s="352"/>
    </row>
    <row r="857" spans="1:13" x14ac:dyDescent="0.25">
      <c r="A857" s="374"/>
      <c r="B857" s="375"/>
      <c r="C857" s="375"/>
      <c r="D857" s="375"/>
      <c r="E857" s="375"/>
      <c r="F857" s="375"/>
      <c r="G857" s="375"/>
      <c r="H857" s="375"/>
      <c r="I857" s="375"/>
      <c r="J857" s="375"/>
      <c r="K857" s="375"/>
      <c r="L857" s="375"/>
      <c r="M857" s="352"/>
    </row>
    <row r="858" spans="1:13" x14ac:dyDescent="0.25">
      <c r="A858" s="348"/>
      <c r="B858" s="466"/>
      <c r="C858" s="466"/>
      <c r="D858" s="466"/>
      <c r="E858" s="467"/>
      <c r="F858" s="466"/>
      <c r="G858" s="466"/>
      <c r="H858" s="466"/>
      <c r="I858" s="467"/>
      <c r="J858" s="466"/>
      <c r="K858" s="466"/>
      <c r="L858" s="466"/>
      <c r="M858" s="352"/>
    </row>
    <row r="859" spans="1:13" x14ac:dyDescent="0.25">
      <c r="A859" s="348"/>
      <c r="B859" s="466"/>
      <c r="C859" s="466"/>
      <c r="D859" s="466"/>
      <c r="E859" s="467"/>
      <c r="F859" s="466"/>
      <c r="G859" s="466"/>
      <c r="H859" s="466"/>
      <c r="I859" s="467"/>
      <c r="J859" s="466"/>
      <c r="K859" s="466"/>
      <c r="L859" s="466"/>
      <c r="M859" s="352"/>
    </row>
    <row r="860" spans="1:13" x14ac:dyDescent="0.25">
      <c r="A860" s="348"/>
      <c r="B860" s="466"/>
      <c r="C860" s="466"/>
      <c r="D860" s="466"/>
      <c r="E860" s="467"/>
      <c r="F860" s="466"/>
      <c r="G860" s="466"/>
      <c r="H860" s="466"/>
      <c r="I860" s="467"/>
      <c r="J860" s="466"/>
      <c r="K860" s="466"/>
      <c r="L860" s="466"/>
      <c r="M860" s="352"/>
    </row>
    <row r="861" spans="1:13" x14ac:dyDescent="0.25">
      <c r="A861" s="348"/>
      <c r="B861" s="466"/>
      <c r="C861" s="466"/>
      <c r="D861" s="466"/>
      <c r="E861" s="467"/>
      <c r="F861" s="466"/>
      <c r="G861" s="466"/>
      <c r="H861" s="466"/>
      <c r="I861" s="467"/>
      <c r="J861" s="466"/>
      <c r="K861" s="466"/>
      <c r="L861" s="466"/>
      <c r="M861" s="352"/>
    </row>
    <row r="862" spans="1:13" x14ac:dyDescent="0.25">
      <c r="A862" s="348"/>
      <c r="B862" s="466"/>
      <c r="C862" s="466"/>
      <c r="D862" s="466"/>
      <c r="E862" s="467"/>
      <c r="F862" s="466"/>
      <c r="G862" s="466"/>
      <c r="H862" s="466"/>
      <c r="I862" s="467"/>
      <c r="J862" s="466"/>
      <c r="K862" s="466"/>
      <c r="L862" s="466"/>
      <c r="M862" s="352"/>
    </row>
    <row r="863" spans="1:13" x14ac:dyDescent="0.25">
      <c r="A863" s="348"/>
      <c r="B863" s="466"/>
      <c r="C863" s="466"/>
      <c r="D863" s="466"/>
      <c r="E863" s="467"/>
      <c r="F863" s="466"/>
      <c r="G863" s="466"/>
      <c r="H863" s="466"/>
      <c r="I863" s="467"/>
      <c r="J863" s="466"/>
      <c r="K863" s="466"/>
      <c r="L863" s="466"/>
      <c r="M863" s="352"/>
    </row>
    <row r="864" spans="1:13" x14ac:dyDescent="0.25">
      <c r="A864" s="348"/>
      <c r="B864" s="466"/>
      <c r="C864" s="466"/>
      <c r="D864" s="466"/>
      <c r="E864" s="467"/>
      <c r="F864" s="466"/>
      <c r="G864" s="466"/>
      <c r="H864" s="466"/>
      <c r="I864" s="467"/>
      <c r="J864" s="466"/>
      <c r="K864" s="466"/>
      <c r="L864" s="466"/>
      <c r="M864" s="352"/>
    </row>
    <row r="865" spans="1:13" x14ac:dyDescent="0.25">
      <c r="A865" s="348"/>
      <c r="B865" s="466"/>
      <c r="C865" s="466"/>
      <c r="D865" s="466"/>
      <c r="E865" s="467"/>
      <c r="F865" s="466"/>
      <c r="G865" s="466"/>
      <c r="H865" s="466"/>
      <c r="I865" s="467"/>
      <c r="J865" s="466"/>
      <c r="K865" s="466"/>
      <c r="L865" s="466"/>
      <c r="M865" s="352"/>
    </row>
    <row r="866" spans="1:13" x14ac:dyDescent="0.25">
      <c r="A866" s="348"/>
      <c r="B866" s="466"/>
      <c r="C866" s="466"/>
      <c r="D866" s="466"/>
      <c r="E866" s="467"/>
      <c r="F866" s="466"/>
      <c r="G866" s="466"/>
      <c r="H866" s="466"/>
      <c r="I866" s="467"/>
      <c r="J866" s="466"/>
      <c r="K866" s="466"/>
      <c r="L866" s="466"/>
      <c r="M866" s="352"/>
    </row>
    <row r="867" spans="1:13" x14ac:dyDescent="0.25">
      <c r="A867" s="348"/>
      <c r="B867" s="466"/>
      <c r="C867" s="466"/>
      <c r="D867" s="466"/>
      <c r="E867" s="467"/>
      <c r="F867" s="466"/>
      <c r="G867" s="466"/>
      <c r="H867" s="466"/>
      <c r="I867" s="467"/>
      <c r="J867" s="466"/>
      <c r="K867" s="466"/>
      <c r="L867" s="466"/>
      <c r="M867" s="352"/>
    </row>
    <row r="868" spans="1:13" x14ac:dyDescent="0.25">
      <c r="A868" s="348"/>
      <c r="B868" s="467"/>
      <c r="C868" s="467"/>
      <c r="D868" s="467"/>
      <c r="E868" s="467"/>
      <c r="F868" s="467"/>
      <c r="G868" s="467"/>
      <c r="H868" s="467"/>
      <c r="I868" s="467"/>
      <c r="J868" s="467"/>
      <c r="K868" s="467"/>
      <c r="L868" s="467"/>
      <c r="M868" s="352"/>
    </row>
    <row r="869" spans="1:13" x14ac:dyDescent="0.25">
      <c r="A869" s="348"/>
      <c r="B869" s="348"/>
      <c r="C869" s="348"/>
      <c r="D869" s="348"/>
      <c r="E869" s="348"/>
      <c r="F869" s="348"/>
      <c r="G869" s="348"/>
      <c r="H869" s="348"/>
      <c r="I869" s="348"/>
      <c r="J869" s="348"/>
      <c r="K869" s="348"/>
      <c r="L869" s="353"/>
      <c r="M869" s="352"/>
    </row>
    <row r="870" spans="1:13" x14ac:dyDescent="0.25">
      <c r="A870" s="348"/>
      <c r="B870" s="348"/>
      <c r="C870" s="348"/>
      <c r="D870" s="348"/>
      <c r="E870" s="348"/>
      <c r="F870" s="348"/>
      <c r="G870" s="348"/>
      <c r="H870" s="348"/>
      <c r="I870" s="348"/>
      <c r="J870" s="348"/>
      <c r="K870" s="348"/>
      <c r="L870" s="410"/>
      <c r="M870" s="352"/>
    </row>
    <row r="871" spans="1:13" x14ac:dyDescent="0.25">
      <c r="A871" s="374"/>
      <c r="B871" s="354"/>
      <c r="C871" s="354"/>
      <c r="D871" s="354"/>
      <c r="E871" s="354"/>
      <c r="F871" s="354"/>
      <c r="G871" s="354"/>
      <c r="H871" s="354"/>
      <c r="I871" s="354"/>
      <c r="J871" s="354"/>
      <c r="K871" s="354"/>
      <c r="L871" s="352"/>
      <c r="M871" s="352"/>
    </row>
    <row r="872" spans="1:13" x14ac:dyDescent="0.25">
      <c r="A872" s="354"/>
      <c r="B872" s="515"/>
      <c r="C872" s="515"/>
      <c r="D872" s="515"/>
      <c r="E872" s="369"/>
      <c r="F872" s="515"/>
      <c r="G872" s="515"/>
      <c r="H872" s="515"/>
      <c r="I872" s="369"/>
      <c r="J872" s="515"/>
      <c r="K872" s="515"/>
      <c r="L872" s="515"/>
      <c r="M872" s="352"/>
    </row>
    <row r="873" spans="1:13" x14ac:dyDescent="0.25">
      <c r="A873" s="374"/>
      <c r="B873" s="375"/>
      <c r="C873" s="375"/>
      <c r="D873" s="375"/>
      <c r="E873" s="375"/>
      <c r="F873" s="375"/>
      <c r="G873" s="375"/>
      <c r="H873" s="375"/>
      <c r="I873" s="375"/>
      <c r="J873" s="375"/>
      <c r="K873" s="375"/>
      <c r="L873" s="375"/>
      <c r="M873" s="352"/>
    </row>
    <row r="874" spans="1:13" x14ac:dyDescent="0.25">
      <c r="A874" s="374"/>
      <c r="B874" s="375"/>
      <c r="C874" s="375"/>
      <c r="D874" s="375"/>
      <c r="E874" s="375"/>
      <c r="F874" s="375"/>
      <c r="G874" s="375"/>
      <c r="H874" s="375"/>
      <c r="I874" s="375"/>
      <c r="J874" s="375"/>
      <c r="K874" s="375"/>
      <c r="L874" s="375"/>
      <c r="M874" s="352"/>
    </row>
    <row r="875" spans="1:13" x14ac:dyDescent="0.25">
      <c r="A875" s="348"/>
      <c r="B875" s="466"/>
      <c r="C875" s="466"/>
      <c r="D875" s="466"/>
      <c r="E875" s="467"/>
      <c r="F875" s="466"/>
      <c r="G875" s="466"/>
      <c r="H875" s="466"/>
      <c r="I875" s="467"/>
      <c r="J875" s="466"/>
      <c r="K875" s="466"/>
      <c r="L875" s="466"/>
      <c r="M875" s="352"/>
    </row>
    <row r="876" spans="1:13" x14ac:dyDescent="0.25">
      <c r="A876" s="348"/>
      <c r="B876" s="466"/>
      <c r="C876" s="466"/>
      <c r="D876" s="466"/>
      <c r="E876" s="467"/>
      <c r="F876" s="466"/>
      <c r="G876" s="466"/>
      <c r="H876" s="466"/>
      <c r="I876" s="467"/>
      <c r="J876" s="466"/>
      <c r="K876" s="466"/>
      <c r="L876" s="466"/>
      <c r="M876" s="352"/>
    </row>
    <row r="877" spans="1:13" x14ac:dyDescent="0.25">
      <c r="A877" s="348"/>
      <c r="B877" s="466"/>
      <c r="C877" s="466"/>
      <c r="D877" s="466"/>
      <c r="E877" s="467"/>
      <c r="F877" s="466"/>
      <c r="G877" s="466"/>
      <c r="H877" s="466"/>
      <c r="I877" s="467"/>
      <c r="J877" s="466"/>
      <c r="K877" s="466"/>
      <c r="L877" s="466"/>
      <c r="M877" s="352"/>
    </row>
    <row r="878" spans="1:13" x14ac:dyDescent="0.25">
      <c r="A878" s="348"/>
      <c r="B878" s="466"/>
      <c r="C878" s="466"/>
      <c r="D878" s="466"/>
      <c r="E878" s="467"/>
      <c r="F878" s="466"/>
      <c r="G878" s="466"/>
      <c r="H878" s="466"/>
      <c r="I878" s="467"/>
      <c r="J878" s="466"/>
      <c r="K878" s="466"/>
      <c r="L878" s="466"/>
      <c r="M878" s="352"/>
    </row>
    <row r="879" spans="1:13" x14ac:dyDescent="0.25">
      <c r="A879" s="348"/>
      <c r="B879" s="466"/>
      <c r="C879" s="466"/>
      <c r="D879" s="466"/>
      <c r="E879" s="467"/>
      <c r="F879" s="466"/>
      <c r="G879" s="466"/>
      <c r="H879" s="466"/>
      <c r="I879" s="467"/>
      <c r="J879" s="466"/>
      <c r="K879" s="466"/>
      <c r="L879" s="466"/>
      <c r="M879" s="352"/>
    </row>
    <row r="880" spans="1:13" x14ac:dyDescent="0.25">
      <c r="A880" s="348"/>
      <c r="B880" s="466"/>
      <c r="C880" s="466"/>
      <c r="D880" s="466"/>
      <c r="E880" s="467"/>
      <c r="F880" s="466"/>
      <c r="G880" s="466"/>
      <c r="H880" s="466"/>
      <c r="I880" s="467"/>
      <c r="J880" s="466"/>
      <c r="K880" s="466"/>
      <c r="L880" s="466"/>
      <c r="M880" s="352"/>
    </row>
    <row r="881" spans="1:13" x14ac:dyDescent="0.25">
      <c r="A881" s="348"/>
      <c r="B881" s="466"/>
      <c r="C881" s="466"/>
      <c r="D881" s="466"/>
      <c r="E881" s="467"/>
      <c r="F881" s="466"/>
      <c r="G881" s="466"/>
      <c r="H881" s="466"/>
      <c r="I881" s="467"/>
      <c r="J881" s="466"/>
      <c r="K881" s="466"/>
      <c r="L881" s="466"/>
      <c r="M881" s="352"/>
    </row>
    <row r="882" spans="1:13" x14ac:dyDescent="0.25">
      <c r="A882" s="348"/>
      <c r="B882" s="466"/>
      <c r="C882" s="466"/>
      <c r="D882" s="466"/>
      <c r="E882" s="467"/>
      <c r="F882" s="466"/>
      <c r="G882" s="466"/>
      <c r="H882" s="466"/>
      <c r="I882" s="467"/>
      <c r="J882" s="466"/>
      <c r="K882" s="466"/>
      <c r="L882" s="466"/>
      <c r="M882" s="352"/>
    </row>
    <row r="883" spans="1:13" x14ac:dyDescent="0.25">
      <c r="A883" s="348"/>
      <c r="B883" s="466"/>
      <c r="C883" s="466"/>
      <c r="D883" s="466"/>
      <c r="E883" s="467"/>
      <c r="F883" s="466"/>
      <c r="G883" s="466"/>
      <c r="H883" s="466"/>
      <c r="I883" s="467"/>
      <c r="J883" s="466"/>
      <c r="K883" s="466"/>
      <c r="L883" s="466"/>
      <c r="M883" s="352"/>
    </row>
    <row r="884" spans="1:13" x14ac:dyDescent="0.25">
      <c r="A884" s="348"/>
      <c r="B884" s="466"/>
      <c r="C884" s="466"/>
      <c r="D884" s="466"/>
      <c r="E884" s="467"/>
      <c r="F884" s="466"/>
      <c r="G884" s="466"/>
      <c r="H884" s="466"/>
      <c r="I884" s="467"/>
      <c r="J884" s="466"/>
      <c r="K884" s="466"/>
      <c r="L884" s="466"/>
      <c r="M884" s="352"/>
    </row>
    <row r="885" spans="1:13" x14ac:dyDescent="0.25">
      <c r="A885" s="348"/>
      <c r="B885" s="467"/>
      <c r="C885" s="467"/>
      <c r="D885" s="467"/>
      <c r="E885" s="467"/>
      <c r="F885" s="467"/>
      <c r="G885" s="467"/>
      <c r="H885" s="467"/>
      <c r="I885" s="467"/>
      <c r="J885" s="467"/>
      <c r="K885" s="467"/>
      <c r="L885" s="467"/>
      <c r="M885" s="352"/>
    </row>
    <row r="886" spans="1:13" x14ac:dyDescent="0.25">
      <c r="A886" s="348"/>
      <c r="B886" s="348"/>
      <c r="C886" s="348"/>
      <c r="D886" s="348"/>
      <c r="E886" s="348"/>
      <c r="F886" s="348"/>
      <c r="G886" s="348"/>
      <c r="H886" s="348"/>
      <c r="I886" s="348"/>
      <c r="J886" s="348"/>
      <c r="K886" s="348"/>
      <c r="L886" s="353"/>
      <c r="M886" s="352"/>
    </row>
    <row r="887" spans="1:13" x14ac:dyDescent="0.25">
      <c r="A887" s="348"/>
      <c r="B887" s="348"/>
      <c r="C887" s="348"/>
      <c r="D887" s="348"/>
      <c r="E887" s="348"/>
      <c r="F887" s="348"/>
      <c r="G887" s="348"/>
      <c r="H887" s="348"/>
      <c r="I887" s="348"/>
      <c r="J887" s="348"/>
      <c r="K887" s="348"/>
      <c r="L887" s="410"/>
      <c r="M887" s="352"/>
    </row>
    <row r="888" spans="1:13" x14ac:dyDescent="0.25">
      <c r="A888" s="374"/>
      <c r="B888" s="354"/>
      <c r="C888" s="354"/>
      <c r="D888" s="354"/>
      <c r="E888" s="354"/>
      <c r="F888" s="354"/>
      <c r="G888" s="354"/>
      <c r="H888" s="354"/>
      <c r="I888" s="354"/>
      <c r="J888" s="354"/>
      <c r="K888" s="354"/>
      <c r="L888" s="352"/>
      <c r="M888" s="352"/>
    </row>
    <row r="889" spans="1:13" x14ac:dyDescent="0.25">
      <c r="A889" s="354"/>
      <c r="B889" s="515"/>
      <c r="C889" s="515"/>
      <c r="D889" s="515"/>
      <c r="E889" s="369"/>
      <c r="F889" s="515"/>
      <c r="G889" s="515"/>
      <c r="H889" s="515"/>
      <c r="I889" s="369"/>
      <c r="J889" s="515"/>
      <c r="K889" s="515"/>
      <c r="L889" s="515"/>
      <c r="M889" s="352"/>
    </row>
    <row r="890" spans="1:13" x14ac:dyDescent="0.25">
      <c r="A890" s="374"/>
      <c r="B890" s="375"/>
      <c r="C890" s="375"/>
      <c r="D890" s="375"/>
      <c r="E890" s="375"/>
      <c r="F890" s="375"/>
      <c r="G890" s="375"/>
      <c r="H890" s="375"/>
      <c r="I890" s="375"/>
      <c r="J890" s="375"/>
      <c r="K890" s="375"/>
      <c r="L890" s="375"/>
      <c r="M890" s="352"/>
    </row>
    <row r="891" spans="1:13" x14ac:dyDescent="0.25">
      <c r="A891" s="374"/>
      <c r="B891" s="375"/>
      <c r="C891" s="375"/>
      <c r="D891" s="375"/>
      <c r="E891" s="375"/>
      <c r="F891" s="375"/>
      <c r="G891" s="375"/>
      <c r="H891" s="375"/>
      <c r="I891" s="375"/>
      <c r="J891" s="375"/>
      <c r="K891" s="375"/>
      <c r="L891" s="375"/>
      <c r="M891" s="352"/>
    </row>
    <row r="892" spans="1:13" x14ac:dyDescent="0.25">
      <c r="A892" s="348"/>
      <c r="B892" s="466"/>
      <c r="C892" s="466"/>
      <c r="D892" s="466"/>
      <c r="E892" s="467"/>
      <c r="F892" s="466"/>
      <c r="G892" s="466"/>
      <c r="H892" s="466"/>
      <c r="I892" s="467"/>
      <c r="J892" s="466"/>
      <c r="K892" s="466"/>
      <c r="L892" s="466"/>
      <c r="M892" s="352"/>
    </row>
    <row r="893" spans="1:13" x14ac:dyDescent="0.25">
      <c r="A893" s="348"/>
      <c r="B893" s="466"/>
      <c r="C893" s="466"/>
      <c r="D893" s="466"/>
      <c r="E893" s="467"/>
      <c r="F893" s="466"/>
      <c r="G893" s="466"/>
      <c r="H893" s="466"/>
      <c r="I893" s="467"/>
      <c r="J893" s="466"/>
      <c r="K893" s="466"/>
      <c r="L893" s="466"/>
      <c r="M893" s="352"/>
    </row>
    <row r="894" spans="1:13" x14ac:dyDescent="0.25">
      <c r="A894" s="348"/>
      <c r="B894" s="466"/>
      <c r="C894" s="466"/>
      <c r="D894" s="466"/>
      <c r="E894" s="467"/>
      <c r="F894" s="466"/>
      <c r="G894" s="466"/>
      <c r="H894" s="466"/>
      <c r="I894" s="467"/>
      <c r="J894" s="466"/>
      <c r="K894" s="466"/>
      <c r="L894" s="466"/>
      <c r="M894" s="352"/>
    </row>
    <row r="895" spans="1:13" x14ac:dyDescent="0.25">
      <c r="A895" s="348"/>
      <c r="B895" s="466"/>
      <c r="C895" s="466"/>
      <c r="D895" s="466"/>
      <c r="E895" s="467"/>
      <c r="F895" s="466"/>
      <c r="G895" s="466"/>
      <c r="H895" s="466"/>
      <c r="I895" s="467"/>
      <c r="J895" s="466"/>
      <c r="K895" s="466"/>
      <c r="L895" s="466"/>
      <c r="M895" s="352"/>
    </row>
    <row r="896" spans="1:13" x14ac:dyDescent="0.25">
      <c r="A896" s="348"/>
      <c r="B896" s="466"/>
      <c r="C896" s="466"/>
      <c r="D896" s="466"/>
      <c r="E896" s="467"/>
      <c r="F896" s="466"/>
      <c r="G896" s="466"/>
      <c r="H896" s="466"/>
      <c r="I896" s="467"/>
      <c r="J896" s="466"/>
      <c r="K896" s="466"/>
      <c r="L896" s="466"/>
      <c r="M896" s="352"/>
    </row>
    <row r="897" spans="1:13" x14ac:dyDescent="0.25">
      <c r="A897" s="348"/>
      <c r="B897" s="466"/>
      <c r="C897" s="466"/>
      <c r="D897" s="466"/>
      <c r="E897" s="467"/>
      <c r="F897" s="466"/>
      <c r="G897" s="466"/>
      <c r="H897" s="466"/>
      <c r="I897" s="467"/>
      <c r="J897" s="466"/>
      <c r="K897" s="466"/>
      <c r="L897" s="466"/>
      <c r="M897" s="352"/>
    </row>
    <row r="898" spans="1:13" x14ac:dyDescent="0.25">
      <c r="A898" s="348"/>
      <c r="B898" s="466"/>
      <c r="C898" s="466"/>
      <c r="D898" s="466"/>
      <c r="E898" s="467"/>
      <c r="F898" s="466"/>
      <c r="G898" s="466"/>
      <c r="H898" s="466"/>
      <c r="I898" s="467"/>
      <c r="J898" s="466"/>
      <c r="K898" s="466"/>
      <c r="L898" s="466"/>
      <c r="M898" s="352"/>
    </row>
    <row r="899" spans="1:13" x14ac:dyDescent="0.25">
      <c r="A899" s="348"/>
      <c r="B899" s="466"/>
      <c r="C899" s="466"/>
      <c r="D899" s="466"/>
      <c r="E899" s="467"/>
      <c r="F899" s="466"/>
      <c r="G899" s="466"/>
      <c r="H899" s="466"/>
      <c r="I899" s="467"/>
      <c r="J899" s="466"/>
      <c r="K899" s="466"/>
      <c r="L899" s="466"/>
      <c r="M899" s="352"/>
    </row>
    <row r="900" spans="1:13" x14ac:dyDescent="0.25">
      <c r="A900" s="348"/>
      <c r="B900" s="466"/>
      <c r="C900" s="466"/>
      <c r="D900" s="466"/>
      <c r="E900" s="467"/>
      <c r="F900" s="466"/>
      <c r="G900" s="466"/>
      <c r="H900" s="466"/>
      <c r="I900" s="467"/>
      <c r="J900" s="466"/>
      <c r="K900" s="466"/>
      <c r="L900" s="466"/>
      <c r="M900" s="352"/>
    </row>
    <row r="901" spans="1:13" x14ac:dyDescent="0.25">
      <c r="A901" s="348"/>
      <c r="B901" s="466"/>
      <c r="C901" s="466"/>
      <c r="D901" s="466"/>
      <c r="E901" s="467"/>
      <c r="F901" s="466"/>
      <c r="G901" s="466"/>
      <c r="H901" s="466"/>
      <c r="I901" s="467"/>
      <c r="J901" s="466"/>
      <c r="K901" s="466"/>
      <c r="L901" s="466"/>
      <c r="M901" s="352"/>
    </row>
    <row r="902" spans="1:13" x14ac:dyDescent="0.25">
      <c r="A902" s="348"/>
      <c r="B902" s="467"/>
      <c r="C902" s="467"/>
      <c r="D902" s="467"/>
      <c r="E902" s="467"/>
      <c r="F902" s="467"/>
      <c r="G902" s="467"/>
      <c r="H902" s="467"/>
      <c r="I902" s="467"/>
      <c r="J902" s="467"/>
      <c r="K902" s="467"/>
      <c r="L902" s="467"/>
      <c r="M902" s="352"/>
    </row>
    <row r="903" spans="1:13" x14ac:dyDescent="0.25">
      <c r="A903" s="348"/>
      <c r="B903" s="348"/>
      <c r="C903" s="348"/>
      <c r="D903" s="348"/>
      <c r="E903" s="348"/>
      <c r="F903" s="348"/>
      <c r="G903" s="348"/>
      <c r="H903" s="348"/>
      <c r="I903" s="348"/>
      <c r="J903" s="348"/>
      <c r="K903" s="348"/>
      <c r="L903" s="353"/>
      <c r="M903" s="352"/>
    </row>
    <row r="904" spans="1:13" x14ac:dyDescent="0.25">
      <c r="A904" s="348"/>
      <c r="B904" s="348"/>
      <c r="C904" s="348"/>
      <c r="D904" s="348"/>
      <c r="E904" s="348"/>
      <c r="F904" s="348"/>
      <c r="G904" s="348"/>
      <c r="H904" s="348"/>
      <c r="I904" s="348"/>
      <c r="J904" s="348"/>
      <c r="K904" s="348"/>
      <c r="L904" s="410"/>
      <c r="M904" s="352"/>
    </row>
    <row r="905" spans="1:13" x14ac:dyDescent="0.25">
      <c r="A905" s="374"/>
      <c r="B905" s="354"/>
      <c r="C905" s="354"/>
      <c r="D905" s="354"/>
      <c r="E905" s="354"/>
      <c r="F905" s="354"/>
      <c r="G905" s="354"/>
      <c r="H905" s="354"/>
      <c r="I905" s="354"/>
      <c r="J905" s="354"/>
      <c r="K905" s="354"/>
      <c r="L905" s="352"/>
      <c r="M905" s="352"/>
    </row>
    <row r="906" spans="1:13" x14ac:dyDescent="0.25">
      <c r="A906" s="354"/>
      <c r="B906" s="515"/>
      <c r="C906" s="515"/>
      <c r="D906" s="515"/>
      <c r="E906" s="369"/>
      <c r="F906" s="515"/>
      <c r="G906" s="515"/>
      <c r="H906" s="515"/>
      <c r="I906" s="369"/>
      <c r="J906" s="515"/>
      <c r="K906" s="515"/>
      <c r="L906" s="515"/>
      <c r="M906" s="352"/>
    </row>
    <row r="907" spans="1:13" x14ac:dyDescent="0.25">
      <c r="A907" s="374"/>
      <c r="B907" s="375"/>
      <c r="C907" s="375"/>
      <c r="D907" s="375"/>
      <c r="E907" s="375"/>
      <c r="F907" s="375"/>
      <c r="G907" s="375"/>
      <c r="H907" s="375"/>
      <c r="I907" s="375"/>
      <c r="J907" s="375"/>
      <c r="K907" s="375"/>
      <c r="L907" s="375"/>
      <c r="M907" s="352"/>
    </row>
    <row r="908" spans="1:13" x14ac:dyDescent="0.25">
      <c r="A908" s="374"/>
      <c r="B908" s="375"/>
      <c r="C908" s="375"/>
      <c r="D908" s="375"/>
      <c r="E908" s="375"/>
      <c r="F908" s="375"/>
      <c r="G908" s="375"/>
      <c r="H908" s="375"/>
      <c r="I908" s="375"/>
      <c r="J908" s="375"/>
      <c r="K908" s="375"/>
      <c r="L908" s="375"/>
      <c r="M908" s="352"/>
    </row>
    <row r="909" spans="1:13" x14ac:dyDescent="0.25">
      <c r="A909" s="348"/>
      <c r="B909" s="466"/>
      <c r="C909" s="466"/>
      <c r="D909" s="466"/>
      <c r="E909" s="467"/>
      <c r="F909" s="466"/>
      <c r="G909" s="466"/>
      <c r="H909" s="466"/>
      <c r="I909" s="467"/>
      <c r="J909" s="466"/>
      <c r="K909" s="466"/>
      <c r="L909" s="466"/>
      <c r="M909" s="352"/>
    </row>
    <row r="910" spans="1:13" x14ac:dyDescent="0.25">
      <c r="A910" s="348"/>
      <c r="B910" s="466"/>
      <c r="C910" s="466"/>
      <c r="D910" s="466"/>
      <c r="E910" s="467"/>
      <c r="F910" s="466"/>
      <c r="G910" s="466"/>
      <c r="H910" s="466"/>
      <c r="I910" s="467"/>
      <c r="J910" s="466"/>
      <c r="K910" s="466"/>
      <c r="L910" s="466"/>
      <c r="M910" s="352"/>
    </row>
    <row r="911" spans="1:13" x14ac:dyDescent="0.25">
      <c r="A911" s="348"/>
      <c r="B911" s="466"/>
      <c r="C911" s="466"/>
      <c r="D911" s="466"/>
      <c r="E911" s="467"/>
      <c r="F911" s="466"/>
      <c r="G911" s="466"/>
      <c r="H911" s="466"/>
      <c r="I911" s="467"/>
      <c r="J911" s="466"/>
      <c r="K911" s="466"/>
      <c r="L911" s="466"/>
      <c r="M911" s="352"/>
    </row>
    <row r="912" spans="1:13" x14ac:dyDescent="0.25">
      <c r="A912" s="348"/>
      <c r="B912" s="466"/>
      <c r="C912" s="466"/>
      <c r="D912" s="466"/>
      <c r="E912" s="467"/>
      <c r="F912" s="466"/>
      <c r="G912" s="466"/>
      <c r="H912" s="466"/>
      <c r="I912" s="467"/>
      <c r="J912" s="466"/>
      <c r="K912" s="466"/>
      <c r="L912" s="466"/>
      <c r="M912" s="352"/>
    </row>
    <row r="913" spans="1:13" x14ac:dyDescent="0.25">
      <c r="A913" s="348"/>
      <c r="B913" s="466"/>
      <c r="C913" s="466"/>
      <c r="D913" s="466"/>
      <c r="E913" s="467"/>
      <c r="F913" s="466"/>
      <c r="G913" s="466"/>
      <c r="H913" s="466"/>
      <c r="I913" s="467"/>
      <c r="J913" s="466"/>
      <c r="K913" s="466"/>
      <c r="L913" s="466"/>
      <c r="M913" s="352"/>
    </row>
    <row r="914" spans="1:13" x14ac:dyDescent="0.25">
      <c r="A914" s="348"/>
      <c r="B914" s="466"/>
      <c r="C914" s="466"/>
      <c r="D914" s="466"/>
      <c r="E914" s="467"/>
      <c r="F914" s="466"/>
      <c r="G914" s="466"/>
      <c r="H914" s="466"/>
      <c r="I914" s="467"/>
      <c r="J914" s="466"/>
      <c r="K914" s="466"/>
      <c r="L914" s="466"/>
      <c r="M914" s="352"/>
    </row>
    <row r="915" spans="1:13" x14ac:dyDescent="0.25">
      <c r="A915" s="348"/>
      <c r="B915" s="466"/>
      <c r="C915" s="466"/>
      <c r="D915" s="466"/>
      <c r="E915" s="467"/>
      <c r="F915" s="466"/>
      <c r="G915" s="466"/>
      <c r="H915" s="466"/>
      <c r="I915" s="467"/>
      <c r="J915" s="466"/>
      <c r="K915" s="466"/>
      <c r="L915" s="466"/>
      <c r="M915" s="352"/>
    </row>
    <row r="916" spans="1:13" x14ac:dyDescent="0.25">
      <c r="A916" s="348"/>
      <c r="B916" s="466"/>
      <c r="C916" s="466"/>
      <c r="D916" s="466"/>
      <c r="E916" s="467"/>
      <c r="F916" s="466"/>
      <c r="G916" s="466"/>
      <c r="H916" s="466"/>
      <c r="I916" s="467"/>
      <c r="J916" s="466"/>
      <c r="K916" s="466"/>
      <c r="L916" s="466"/>
      <c r="M916" s="352"/>
    </row>
    <row r="917" spans="1:13" x14ac:dyDescent="0.25">
      <c r="A917" s="348"/>
      <c r="B917" s="466"/>
      <c r="C917" s="466"/>
      <c r="D917" s="466"/>
      <c r="E917" s="467"/>
      <c r="F917" s="466"/>
      <c r="G917" s="466"/>
      <c r="H917" s="466"/>
      <c r="I917" s="467"/>
      <c r="J917" s="466"/>
      <c r="K917" s="466"/>
      <c r="L917" s="466"/>
      <c r="M917" s="352"/>
    </row>
    <row r="918" spans="1:13" x14ac:dyDescent="0.25">
      <c r="A918" s="348"/>
      <c r="B918" s="466"/>
      <c r="C918" s="466"/>
      <c r="D918" s="466"/>
      <c r="E918" s="467"/>
      <c r="F918" s="466"/>
      <c r="G918" s="466"/>
      <c r="H918" s="466"/>
      <c r="I918" s="467"/>
      <c r="J918" s="466"/>
      <c r="K918" s="466"/>
      <c r="L918" s="466"/>
      <c r="M918" s="352"/>
    </row>
    <row r="919" spans="1:13" x14ac:dyDescent="0.25">
      <c r="A919" s="348"/>
      <c r="B919" s="467"/>
      <c r="C919" s="467"/>
      <c r="D919" s="467"/>
      <c r="E919" s="467"/>
      <c r="F919" s="467"/>
      <c r="G919" s="467"/>
      <c r="H919" s="467"/>
      <c r="I919" s="467"/>
      <c r="J919" s="467"/>
      <c r="K919" s="467"/>
      <c r="L919" s="467"/>
      <c r="M919" s="352"/>
    </row>
    <row r="920" spans="1:13" x14ac:dyDescent="0.25">
      <c r="A920" s="348"/>
      <c r="B920" s="348"/>
      <c r="C920" s="348"/>
      <c r="D920" s="348"/>
      <c r="E920" s="348"/>
      <c r="F920" s="348"/>
      <c r="G920" s="348"/>
      <c r="H920" s="348"/>
      <c r="I920" s="348"/>
      <c r="J920" s="348"/>
      <c r="K920" s="348"/>
      <c r="L920" s="353"/>
      <c r="M920" s="352"/>
    </row>
    <row r="921" spans="1:13" x14ac:dyDescent="0.25">
      <c r="A921" s="348"/>
      <c r="B921" s="348"/>
      <c r="C921" s="348"/>
      <c r="D921" s="348"/>
      <c r="E921" s="348"/>
      <c r="F921" s="348"/>
      <c r="G921" s="348"/>
      <c r="H921" s="348"/>
      <c r="I921" s="348"/>
      <c r="J921" s="348"/>
      <c r="K921" s="348"/>
      <c r="L921" s="410"/>
      <c r="M921" s="352"/>
    </row>
    <row r="922" spans="1:13" x14ac:dyDescent="0.25">
      <c r="A922" s="374"/>
      <c r="B922" s="354"/>
      <c r="C922" s="354"/>
      <c r="D922" s="354"/>
      <c r="E922" s="354"/>
      <c r="F922" s="354"/>
      <c r="G922" s="354"/>
      <c r="H922" s="354"/>
      <c r="I922" s="354"/>
      <c r="J922" s="354"/>
      <c r="K922" s="354"/>
      <c r="L922" s="352"/>
      <c r="M922" s="352"/>
    </row>
    <row r="923" spans="1:13" x14ac:dyDescent="0.25">
      <c r="A923" s="354"/>
      <c r="B923" s="515"/>
      <c r="C923" s="515"/>
      <c r="D923" s="515"/>
      <c r="E923" s="369"/>
      <c r="F923" s="515"/>
      <c r="G923" s="515"/>
      <c r="H923" s="515"/>
      <c r="I923" s="369"/>
      <c r="J923" s="515"/>
      <c r="K923" s="515"/>
      <c r="L923" s="515"/>
      <c r="M923" s="352"/>
    </row>
    <row r="924" spans="1:13" x14ac:dyDescent="0.25">
      <c r="A924" s="374"/>
      <c r="B924" s="375"/>
      <c r="C924" s="375"/>
      <c r="D924" s="375"/>
      <c r="E924" s="375"/>
      <c r="F924" s="375"/>
      <c r="G924" s="375"/>
      <c r="H924" s="375"/>
      <c r="I924" s="375"/>
      <c r="J924" s="375"/>
      <c r="K924" s="375"/>
      <c r="L924" s="375"/>
      <c r="M924" s="352"/>
    </row>
    <row r="925" spans="1:13" x14ac:dyDescent="0.25">
      <c r="A925" s="374"/>
      <c r="B925" s="375"/>
      <c r="C925" s="375"/>
      <c r="D925" s="375"/>
      <c r="E925" s="375"/>
      <c r="F925" s="375"/>
      <c r="G925" s="375"/>
      <c r="H925" s="375"/>
      <c r="I925" s="375"/>
      <c r="J925" s="375"/>
      <c r="K925" s="375"/>
      <c r="L925" s="375"/>
      <c r="M925" s="352"/>
    </row>
    <row r="926" spans="1:13" x14ac:dyDescent="0.25">
      <c r="A926" s="348"/>
      <c r="B926" s="466"/>
      <c r="C926" s="466"/>
      <c r="D926" s="466"/>
      <c r="E926" s="467"/>
      <c r="F926" s="466"/>
      <c r="G926" s="466"/>
      <c r="H926" s="466"/>
      <c r="I926" s="467"/>
      <c r="J926" s="466"/>
      <c r="K926" s="466"/>
      <c r="L926" s="466"/>
      <c r="M926" s="352"/>
    </row>
    <row r="927" spans="1:13" x14ac:dyDescent="0.25">
      <c r="A927" s="348"/>
      <c r="B927" s="466"/>
      <c r="C927" s="466"/>
      <c r="D927" s="466"/>
      <c r="E927" s="467"/>
      <c r="F927" s="466"/>
      <c r="G927" s="466"/>
      <c r="H927" s="466"/>
      <c r="I927" s="467"/>
      <c r="J927" s="466"/>
      <c r="K927" s="466"/>
      <c r="L927" s="466"/>
      <c r="M927" s="352"/>
    </row>
    <row r="928" spans="1:13" x14ac:dyDescent="0.25">
      <c r="A928" s="348"/>
      <c r="B928" s="466"/>
      <c r="C928" s="466"/>
      <c r="D928" s="466"/>
      <c r="E928" s="467"/>
      <c r="F928" s="466"/>
      <c r="G928" s="466"/>
      <c r="H928" s="466"/>
      <c r="I928" s="467"/>
      <c r="J928" s="466"/>
      <c r="K928" s="466"/>
      <c r="L928" s="466"/>
      <c r="M928" s="352"/>
    </row>
    <row r="929" spans="1:13" x14ac:dyDescent="0.25">
      <c r="A929" s="348"/>
      <c r="B929" s="466"/>
      <c r="C929" s="466"/>
      <c r="D929" s="466"/>
      <c r="E929" s="467"/>
      <c r="F929" s="466"/>
      <c r="G929" s="466"/>
      <c r="H929" s="466"/>
      <c r="I929" s="467"/>
      <c r="J929" s="466"/>
      <c r="K929" s="466"/>
      <c r="L929" s="466"/>
      <c r="M929" s="352"/>
    </row>
    <row r="930" spans="1:13" x14ac:dyDescent="0.25">
      <c r="A930" s="348"/>
      <c r="B930" s="466"/>
      <c r="C930" s="466"/>
      <c r="D930" s="466"/>
      <c r="E930" s="467"/>
      <c r="F930" s="466"/>
      <c r="G930" s="466"/>
      <c r="H930" s="466"/>
      <c r="I930" s="467"/>
      <c r="J930" s="466"/>
      <c r="K930" s="466"/>
      <c r="L930" s="466"/>
      <c r="M930" s="352"/>
    </row>
    <row r="931" spans="1:13" x14ac:dyDescent="0.25">
      <c r="A931" s="348"/>
      <c r="B931" s="466"/>
      <c r="C931" s="466"/>
      <c r="D931" s="466"/>
      <c r="E931" s="467"/>
      <c r="F931" s="466"/>
      <c r="G931" s="466"/>
      <c r="H931" s="466"/>
      <c r="I931" s="467"/>
      <c r="J931" s="466"/>
      <c r="K931" s="466"/>
      <c r="L931" s="466"/>
      <c r="M931" s="352"/>
    </row>
    <row r="932" spans="1:13" x14ac:dyDescent="0.25">
      <c r="A932" s="348"/>
      <c r="B932" s="466"/>
      <c r="C932" s="466"/>
      <c r="D932" s="466"/>
      <c r="E932" s="467"/>
      <c r="F932" s="466"/>
      <c r="G932" s="466"/>
      <c r="H932" s="466"/>
      <c r="I932" s="467"/>
      <c r="J932" s="466"/>
      <c r="K932" s="466"/>
      <c r="L932" s="466"/>
      <c r="M932" s="352"/>
    </row>
    <row r="933" spans="1:13" x14ac:dyDescent="0.25">
      <c r="A933" s="348"/>
      <c r="B933" s="466"/>
      <c r="C933" s="466"/>
      <c r="D933" s="466"/>
      <c r="E933" s="467"/>
      <c r="F933" s="466"/>
      <c r="G933" s="466"/>
      <c r="H933" s="466"/>
      <c r="I933" s="467"/>
      <c r="J933" s="466"/>
      <c r="K933" s="466"/>
      <c r="L933" s="466"/>
      <c r="M933" s="352"/>
    </row>
    <row r="934" spans="1:13" x14ac:dyDescent="0.25">
      <c r="A934" s="348"/>
      <c r="B934" s="466"/>
      <c r="C934" s="466"/>
      <c r="D934" s="466"/>
      <c r="E934" s="467"/>
      <c r="F934" s="466"/>
      <c r="G934" s="466"/>
      <c r="H934" s="466"/>
      <c r="I934" s="467"/>
      <c r="J934" s="466"/>
      <c r="K934" s="466"/>
      <c r="L934" s="466"/>
      <c r="M934" s="352"/>
    </row>
    <row r="935" spans="1:13" x14ac:dyDescent="0.25">
      <c r="A935" s="348"/>
      <c r="B935" s="466"/>
      <c r="C935" s="466"/>
      <c r="D935" s="466"/>
      <c r="E935" s="467"/>
      <c r="F935" s="466"/>
      <c r="G935" s="466"/>
      <c r="H935" s="466"/>
      <c r="I935" s="467"/>
      <c r="J935" s="466"/>
      <c r="K935" s="466"/>
      <c r="L935" s="466"/>
      <c r="M935" s="352"/>
    </row>
    <row r="936" spans="1:13" x14ac:dyDescent="0.25">
      <c r="A936" s="348"/>
      <c r="B936" s="467"/>
      <c r="C936" s="467"/>
      <c r="D936" s="467"/>
      <c r="E936" s="467"/>
      <c r="F936" s="467"/>
      <c r="G936" s="467"/>
      <c r="H936" s="467"/>
      <c r="I936" s="467"/>
      <c r="J936" s="467"/>
      <c r="K936" s="467"/>
      <c r="L936" s="467"/>
      <c r="M936" s="352"/>
    </row>
    <row r="937" spans="1:13" x14ac:dyDescent="0.25">
      <c r="A937" s="348"/>
      <c r="B937" s="348"/>
      <c r="C937" s="348"/>
      <c r="D937" s="348"/>
      <c r="E937" s="348"/>
      <c r="F937" s="348"/>
      <c r="G937" s="348"/>
      <c r="H937" s="348"/>
      <c r="I937" s="348"/>
      <c r="J937" s="348"/>
      <c r="K937" s="348"/>
      <c r="L937" s="353"/>
      <c r="M937" s="352"/>
    </row>
    <row r="938" spans="1:13" x14ac:dyDescent="0.25">
      <c r="A938" s="348"/>
      <c r="B938" s="348"/>
      <c r="C938" s="348"/>
      <c r="D938" s="348"/>
      <c r="E938" s="348"/>
      <c r="F938" s="348"/>
      <c r="G938" s="348"/>
      <c r="H938" s="348"/>
      <c r="I938" s="348"/>
      <c r="J938" s="348"/>
      <c r="K938" s="348"/>
      <c r="L938" s="410"/>
      <c r="M938" s="352"/>
    </row>
    <row r="939" spans="1:13" x14ac:dyDescent="0.25">
      <c r="A939" s="374"/>
      <c r="B939" s="354"/>
      <c r="C939" s="354"/>
      <c r="D939" s="354"/>
      <c r="E939" s="354"/>
      <c r="F939" s="354"/>
      <c r="G939" s="354"/>
      <c r="H939" s="354"/>
      <c r="I939" s="354"/>
      <c r="J939" s="354"/>
      <c r="K939" s="354"/>
      <c r="L939" s="352"/>
      <c r="M939" s="352"/>
    </row>
    <row r="940" spans="1:13" x14ac:dyDescent="0.25">
      <c r="A940" s="354"/>
      <c r="B940" s="515"/>
      <c r="C940" s="515"/>
      <c r="D940" s="515"/>
      <c r="E940" s="369"/>
      <c r="F940" s="515"/>
      <c r="G940" s="515"/>
      <c r="H940" s="515"/>
      <c r="I940" s="369"/>
      <c r="J940" s="515"/>
      <c r="K940" s="515"/>
      <c r="L940" s="515"/>
      <c r="M940" s="352"/>
    </row>
    <row r="941" spans="1:13" x14ac:dyDescent="0.25">
      <c r="A941" s="374"/>
      <c r="B941" s="375"/>
      <c r="C941" s="375"/>
      <c r="D941" s="375"/>
      <c r="E941" s="375"/>
      <c r="F941" s="375"/>
      <c r="G941" s="375"/>
      <c r="H941" s="375"/>
      <c r="I941" s="375"/>
      <c r="J941" s="375"/>
      <c r="K941" s="375"/>
      <c r="L941" s="375"/>
      <c r="M941" s="352"/>
    </row>
    <row r="942" spans="1:13" x14ac:dyDescent="0.25">
      <c r="A942" s="374"/>
      <c r="B942" s="375"/>
      <c r="C942" s="375"/>
      <c r="D942" s="375"/>
      <c r="E942" s="375"/>
      <c r="F942" s="375"/>
      <c r="G942" s="375"/>
      <c r="H942" s="375"/>
      <c r="I942" s="375"/>
      <c r="J942" s="375"/>
      <c r="K942" s="375"/>
      <c r="L942" s="375"/>
      <c r="M942" s="352"/>
    </row>
    <row r="943" spans="1:13" x14ac:dyDescent="0.25">
      <c r="A943" s="348"/>
      <c r="B943" s="466"/>
      <c r="C943" s="466"/>
      <c r="D943" s="466"/>
      <c r="E943" s="467"/>
      <c r="F943" s="466"/>
      <c r="G943" s="466"/>
      <c r="H943" s="466"/>
      <c r="I943" s="467"/>
      <c r="J943" s="466"/>
      <c r="K943" s="466"/>
      <c r="L943" s="466"/>
      <c r="M943" s="352"/>
    </row>
    <row r="944" spans="1:13" x14ac:dyDescent="0.25">
      <c r="A944" s="348"/>
      <c r="B944" s="466"/>
      <c r="C944" s="466"/>
      <c r="D944" s="466"/>
      <c r="E944" s="467"/>
      <c r="F944" s="466"/>
      <c r="G944" s="466"/>
      <c r="H944" s="466"/>
      <c r="I944" s="467"/>
      <c r="J944" s="466"/>
      <c r="K944" s="466"/>
      <c r="L944" s="466"/>
      <c r="M944" s="352"/>
    </row>
    <row r="945" spans="1:13" x14ac:dyDescent="0.25">
      <c r="A945" s="348"/>
      <c r="B945" s="466"/>
      <c r="C945" s="466"/>
      <c r="D945" s="466"/>
      <c r="E945" s="467"/>
      <c r="F945" s="466"/>
      <c r="G945" s="466"/>
      <c r="H945" s="466"/>
      <c r="I945" s="467"/>
      <c r="J945" s="466"/>
      <c r="K945" s="466"/>
      <c r="L945" s="466"/>
      <c r="M945" s="352"/>
    </row>
    <row r="946" spans="1:13" x14ac:dyDescent="0.25">
      <c r="A946" s="348"/>
      <c r="B946" s="466"/>
      <c r="C946" s="466"/>
      <c r="D946" s="466"/>
      <c r="E946" s="467"/>
      <c r="F946" s="466"/>
      <c r="G946" s="466"/>
      <c r="H946" s="466"/>
      <c r="I946" s="467"/>
      <c r="J946" s="466"/>
      <c r="K946" s="466"/>
      <c r="L946" s="466"/>
      <c r="M946" s="352"/>
    </row>
    <row r="947" spans="1:13" x14ac:dyDescent="0.25">
      <c r="A947" s="348"/>
      <c r="B947" s="466"/>
      <c r="C947" s="466"/>
      <c r="D947" s="466"/>
      <c r="E947" s="467"/>
      <c r="F947" s="466"/>
      <c r="G947" s="466"/>
      <c r="H947" s="466"/>
      <c r="I947" s="467"/>
      <c r="J947" s="466"/>
      <c r="K947" s="466"/>
      <c r="L947" s="466"/>
      <c r="M947" s="352"/>
    </row>
    <row r="948" spans="1:13" x14ac:dyDescent="0.25">
      <c r="A948" s="348"/>
      <c r="B948" s="466"/>
      <c r="C948" s="466"/>
      <c r="D948" s="466"/>
      <c r="E948" s="467"/>
      <c r="F948" s="466"/>
      <c r="G948" s="466"/>
      <c r="H948" s="466"/>
      <c r="I948" s="467"/>
      <c r="J948" s="466"/>
      <c r="K948" s="466"/>
      <c r="L948" s="466"/>
      <c r="M948" s="352"/>
    </row>
    <row r="949" spans="1:13" x14ac:dyDescent="0.25">
      <c r="A949" s="348"/>
      <c r="B949" s="466"/>
      <c r="C949" s="466"/>
      <c r="D949" s="466"/>
      <c r="E949" s="467"/>
      <c r="F949" s="466"/>
      <c r="G949" s="466"/>
      <c r="H949" s="466"/>
      <c r="I949" s="467"/>
      <c r="J949" s="466"/>
      <c r="K949" s="466"/>
      <c r="L949" s="466"/>
      <c r="M949" s="352"/>
    </row>
    <row r="950" spans="1:13" x14ac:dyDescent="0.25">
      <c r="A950" s="348"/>
      <c r="B950" s="466"/>
      <c r="C950" s="466"/>
      <c r="D950" s="466"/>
      <c r="E950" s="467"/>
      <c r="F950" s="466"/>
      <c r="G950" s="466"/>
      <c r="H950" s="466"/>
      <c r="I950" s="467"/>
      <c r="J950" s="466"/>
      <c r="K950" s="466"/>
      <c r="L950" s="466"/>
      <c r="M950" s="352"/>
    </row>
    <row r="951" spans="1:13" x14ac:dyDescent="0.25">
      <c r="A951" s="348"/>
      <c r="B951" s="466"/>
      <c r="C951" s="466"/>
      <c r="D951" s="466"/>
      <c r="E951" s="467"/>
      <c r="F951" s="466"/>
      <c r="G951" s="466"/>
      <c r="H951" s="466"/>
      <c r="I951" s="467"/>
      <c r="J951" s="466"/>
      <c r="K951" s="466"/>
      <c r="L951" s="466"/>
      <c r="M951" s="352"/>
    </row>
    <row r="952" spans="1:13" x14ac:dyDescent="0.25">
      <c r="A952" s="348"/>
      <c r="B952" s="466"/>
      <c r="C952" s="466"/>
      <c r="D952" s="466"/>
      <c r="E952" s="467"/>
      <c r="F952" s="466"/>
      <c r="G952" s="466"/>
      <c r="H952" s="466"/>
      <c r="I952" s="467"/>
      <c r="J952" s="466"/>
      <c r="K952" s="466"/>
      <c r="L952" s="466"/>
      <c r="M952" s="352"/>
    </row>
    <row r="953" spans="1:13" x14ac:dyDescent="0.25">
      <c r="A953" s="348"/>
      <c r="B953" s="467"/>
      <c r="C953" s="467"/>
      <c r="D953" s="467"/>
      <c r="E953" s="467"/>
      <c r="F953" s="467"/>
      <c r="G953" s="467"/>
      <c r="H953" s="467"/>
      <c r="I953" s="467"/>
      <c r="J953" s="467"/>
      <c r="K953" s="467"/>
      <c r="L953" s="467"/>
      <c r="M953" s="352"/>
    </row>
    <row r="954" spans="1:13" x14ac:dyDescent="0.25">
      <c r="A954" s="348"/>
      <c r="B954" s="348"/>
      <c r="C954" s="348"/>
      <c r="D954" s="348"/>
      <c r="E954" s="348"/>
      <c r="F954" s="348"/>
      <c r="G954" s="348"/>
      <c r="H954" s="348"/>
      <c r="I954" s="348"/>
      <c r="J954" s="348"/>
      <c r="K954" s="348"/>
      <c r="L954" s="353"/>
      <c r="M954" s="352"/>
    </row>
    <row r="955" spans="1:13" x14ac:dyDescent="0.25">
      <c r="A955" s="348"/>
      <c r="B955" s="348"/>
      <c r="C955" s="348"/>
      <c r="D955" s="348"/>
      <c r="E955" s="348"/>
      <c r="F955" s="348"/>
      <c r="G955" s="348"/>
      <c r="H955" s="348"/>
      <c r="I955" s="348"/>
      <c r="J955" s="348"/>
      <c r="K955" s="348"/>
      <c r="L955" s="410"/>
      <c r="M955" s="352"/>
    </row>
    <row r="956" spans="1:13" x14ac:dyDescent="0.25">
      <c r="A956" s="374"/>
      <c r="B956" s="354"/>
      <c r="C956" s="354"/>
      <c r="D956" s="354"/>
      <c r="E956" s="354"/>
      <c r="F956" s="354"/>
      <c r="G956" s="354"/>
      <c r="H956" s="354"/>
      <c r="I956" s="354"/>
      <c r="J956" s="354"/>
      <c r="K956" s="354"/>
      <c r="L956" s="352"/>
      <c r="M956" s="352"/>
    </row>
    <row r="957" spans="1:13" x14ac:dyDescent="0.25">
      <c r="A957" s="354"/>
      <c r="B957" s="515"/>
      <c r="C957" s="515"/>
      <c r="D957" s="515"/>
      <c r="E957" s="369"/>
      <c r="F957" s="515"/>
      <c r="G957" s="515"/>
      <c r="H957" s="515"/>
      <c r="I957" s="369"/>
      <c r="J957" s="515"/>
      <c r="K957" s="515"/>
      <c r="L957" s="515"/>
      <c r="M957" s="352"/>
    </row>
    <row r="958" spans="1:13" x14ac:dyDescent="0.25">
      <c r="A958" s="374"/>
      <c r="B958" s="375"/>
      <c r="C958" s="375"/>
      <c r="D958" s="375"/>
      <c r="E958" s="375"/>
      <c r="F958" s="375"/>
      <c r="G958" s="375"/>
      <c r="H958" s="375"/>
      <c r="I958" s="375"/>
      <c r="J958" s="375"/>
      <c r="K958" s="375"/>
      <c r="L958" s="375"/>
      <c r="M958" s="352"/>
    </row>
    <row r="959" spans="1:13" x14ac:dyDescent="0.25">
      <c r="A959" s="374"/>
      <c r="B959" s="375"/>
      <c r="C959" s="375"/>
      <c r="D959" s="375"/>
      <c r="E959" s="375"/>
      <c r="F959" s="375"/>
      <c r="G959" s="375"/>
      <c r="H959" s="375"/>
      <c r="I959" s="375"/>
      <c r="J959" s="375"/>
      <c r="K959" s="375"/>
      <c r="L959" s="375"/>
      <c r="M959" s="352"/>
    </row>
    <row r="960" spans="1:13" x14ac:dyDescent="0.25">
      <c r="A960" s="348"/>
      <c r="B960" s="466"/>
      <c r="C960" s="466"/>
      <c r="D960" s="466"/>
      <c r="E960" s="467"/>
      <c r="F960" s="466"/>
      <c r="G960" s="466"/>
      <c r="H960" s="466"/>
      <c r="I960" s="467"/>
      <c r="J960" s="466"/>
      <c r="K960" s="466"/>
      <c r="L960" s="466"/>
      <c r="M960" s="352"/>
    </row>
    <row r="961" spans="1:13" x14ac:dyDescent="0.25">
      <c r="A961" s="348"/>
      <c r="B961" s="466"/>
      <c r="C961" s="466"/>
      <c r="D961" s="466"/>
      <c r="E961" s="467"/>
      <c r="F961" s="466"/>
      <c r="G961" s="466"/>
      <c r="H961" s="466"/>
      <c r="I961" s="467"/>
      <c r="J961" s="466"/>
      <c r="K961" s="466"/>
      <c r="L961" s="466"/>
      <c r="M961" s="352"/>
    </row>
    <row r="962" spans="1:13" x14ac:dyDescent="0.25">
      <c r="A962" s="348"/>
      <c r="B962" s="466"/>
      <c r="C962" s="466"/>
      <c r="D962" s="466"/>
      <c r="E962" s="467"/>
      <c r="F962" s="466"/>
      <c r="G962" s="466"/>
      <c r="H962" s="466"/>
      <c r="I962" s="467"/>
      <c r="J962" s="466"/>
      <c r="K962" s="466"/>
      <c r="L962" s="466"/>
      <c r="M962" s="352"/>
    </row>
    <row r="963" spans="1:13" x14ac:dyDescent="0.25">
      <c r="A963" s="348"/>
      <c r="B963" s="466"/>
      <c r="C963" s="466"/>
      <c r="D963" s="466"/>
      <c r="E963" s="467"/>
      <c r="F963" s="466"/>
      <c r="G963" s="466"/>
      <c r="H963" s="466"/>
      <c r="I963" s="467"/>
      <c r="J963" s="466"/>
      <c r="K963" s="466"/>
      <c r="L963" s="466"/>
      <c r="M963" s="352"/>
    </row>
    <row r="964" spans="1:13" x14ac:dyDescent="0.25">
      <c r="A964" s="348"/>
      <c r="B964" s="466"/>
      <c r="C964" s="466"/>
      <c r="D964" s="466"/>
      <c r="E964" s="467"/>
      <c r="F964" s="466"/>
      <c r="G964" s="466"/>
      <c r="H964" s="466"/>
      <c r="I964" s="467"/>
      <c r="J964" s="466"/>
      <c r="K964" s="466"/>
      <c r="L964" s="466"/>
      <c r="M964" s="352"/>
    </row>
    <row r="965" spans="1:13" x14ac:dyDescent="0.25">
      <c r="A965" s="348"/>
      <c r="B965" s="466"/>
      <c r="C965" s="466"/>
      <c r="D965" s="466"/>
      <c r="E965" s="467"/>
      <c r="F965" s="466"/>
      <c r="G965" s="466"/>
      <c r="H965" s="466"/>
      <c r="I965" s="467"/>
      <c r="J965" s="466"/>
      <c r="K965" s="466"/>
      <c r="L965" s="466"/>
      <c r="M965" s="352"/>
    </row>
    <row r="966" spans="1:13" x14ac:dyDescent="0.25">
      <c r="A966" s="348"/>
      <c r="B966" s="466"/>
      <c r="C966" s="466"/>
      <c r="D966" s="466"/>
      <c r="E966" s="467"/>
      <c r="F966" s="466"/>
      <c r="G966" s="466"/>
      <c r="H966" s="466"/>
      <c r="I966" s="467"/>
      <c r="J966" s="466"/>
      <c r="K966" s="466"/>
      <c r="L966" s="466"/>
      <c r="M966" s="352"/>
    </row>
    <row r="967" spans="1:13" x14ac:dyDescent="0.25">
      <c r="A967" s="348"/>
      <c r="B967" s="466"/>
      <c r="C967" s="466"/>
      <c r="D967" s="466"/>
      <c r="E967" s="467"/>
      <c r="F967" s="466"/>
      <c r="G967" s="466"/>
      <c r="H967" s="466"/>
      <c r="I967" s="467"/>
      <c r="J967" s="466"/>
      <c r="K967" s="466"/>
      <c r="L967" s="466"/>
      <c r="M967" s="352"/>
    </row>
    <row r="968" spans="1:13" x14ac:dyDescent="0.25">
      <c r="A968" s="348"/>
      <c r="B968" s="466"/>
      <c r="C968" s="466"/>
      <c r="D968" s="466"/>
      <c r="E968" s="467"/>
      <c r="F968" s="466"/>
      <c r="G968" s="466"/>
      <c r="H968" s="466"/>
      <c r="I968" s="467"/>
      <c r="J968" s="466"/>
      <c r="K968" s="466"/>
      <c r="L968" s="466"/>
      <c r="M968" s="352"/>
    </row>
    <row r="969" spans="1:13" x14ac:dyDescent="0.25">
      <c r="A969" s="348"/>
      <c r="B969" s="466"/>
      <c r="C969" s="466"/>
      <c r="D969" s="466"/>
      <c r="E969" s="467"/>
      <c r="F969" s="466"/>
      <c r="G969" s="466"/>
      <c r="H969" s="466"/>
      <c r="I969" s="467"/>
      <c r="J969" s="466"/>
      <c r="K969" s="466"/>
      <c r="L969" s="466"/>
      <c r="M969" s="352"/>
    </row>
    <row r="970" spans="1:13" x14ac:dyDescent="0.25">
      <c r="A970" s="348"/>
      <c r="B970" s="467"/>
      <c r="C970" s="467"/>
      <c r="D970" s="467"/>
      <c r="E970" s="467"/>
      <c r="F970" s="467"/>
      <c r="G970" s="467"/>
      <c r="H970" s="467"/>
      <c r="I970" s="467"/>
      <c r="J970" s="467"/>
      <c r="K970" s="467"/>
      <c r="L970" s="467"/>
      <c r="M970" s="352"/>
    </row>
    <row r="971" spans="1:13" x14ac:dyDescent="0.25">
      <c r="A971" s="348"/>
      <c r="B971" s="348"/>
      <c r="C971" s="348"/>
      <c r="D971" s="348"/>
      <c r="E971" s="348"/>
      <c r="F971" s="348"/>
      <c r="G971" s="348"/>
      <c r="H971" s="348"/>
      <c r="I971" s="348"/>
      <c r="J971" s="348"/>
      <c r="K971" s="348"/>
      <c r="L971" s="353"/>
      <c r="M971" s="352"/>
    </row>
    <row r="972" spans="1:13" x14ac:dyDescent="0.25">
      <c r="A972" s="348"/>
      <c r="B972" s="348"/>
      <c r="C972" s="348"/>
      <c r="D972" s="348"/>
      <c r="E972" s="348"/>
      <c r="F972" s="348"/>
      <c r="G972" s="348"/>
      <c r="H972" s="348"/>
      <c r="I972" s="348"/>
      <c r="J972" s="348"/>
      <c r="K972" s="348"/>
      <c r="L972" s="410"/>
      <c r="M972" s="352"/>
    </row>
    <row r="973" spans="1:13" x14ac:dyDescent="0.25">
      <c r="A973" s="374"/>
      <c r="B973" s="354"/>
      <c r="C973" s="354"/>
      <c r="D973" s="354"/>
      <c r="E973" s="354"/>
      <c r="F973" s="354"/>
      <c r="G973" s="354"/>
      <c r="H973" s="354"/>
      <c r="I973" s="354"/>
      <c r="J973" s="354"/>
      <c r="K973" s="354"/>
      <c r="L973" s="352"/>
      <c r="M973" s="352"/>
    </row>
    <row r="974" spans="1:13" x14ac:dyDescent="0.25">
      <c r="A974" s="354"/>
      <c r="B974" s="515"/>
      <c r="C974" s="515"/>
      <c r="D974" s="515"/>
      <c r="E974" s="369"/>
      <c r="F974" s="515"/>
      <c r="G974" s="515"/>
      <c r="H974" s="515"/>
      <c r="I974" s="369"/>
      <c r="J974" s="515"/>
      <c r="K974" s="515"/>
      <c r="L974" s="515"/>
      <c r="M974" s="352"/>
    </row>
    <row r="975" spans="1:13" x14ac:dyDescent="0.25">
      <c r="A975" s="374"/>
      <c r="B975" s="375"/>
      <c r="C975" s="375"/>
      <c r="D975" s="375"/>
      <c r="E975" s="375"/>
      <c r="F975" s="375"/>
      <c r="G975" s="375"/>
      <c r="H975" s="375"/>
      <c r="I975" s="375"/>
      <c r="J975" s="375"/>
      <c r="K975" s="375"/>
      <c r="L975" s="375"/>
      <c r="M975" s="352"/>
    </row>
    <row r="976" spans="1:13" x14ac:dyDescent="0.25">
      <c r="A976" s="374"/>
      <c r="B976" s="375"/>
      <c r="C976" s="375"/>
      <c r="D976" s="375"/>
      <c r="E976" s="375"/>
      <c r="F976" s="375"/>
      <c r="G976" s="375"/>
      <c r="H976" s="375"/>
      <c r="I976" s="375"/>
      <c r="J976" s="375"/>
      <c r="K976" s="375"/>
      <c r="L976" s="375"/>
      <c r="M976" s="352"/>
    </row>
    <row r="977" spans="1:13" x14ac:dyDescent="0.25">
      <c r="A977" s="348"/>
      <c r="B977" s="466"/>
      <c r="C977" s="466"/>
      <c r="D977" s="466"/>
      <c r="E977" s="467"/>
      <c r="F977" s="466"/>
      <c r="G977" s="466"/>
      <c r="H977" s="466"/>
      <c r="I977" s="467"/>
      <c r="J977" s="466"/>
      <c r="K977" s="466"/>
      <c r="L977" s="466"/>
      <c r="M977" s="352"/>
    </row>
    <row r="978" spans="1:13" x14ac:dyDescent="0.25">
      <c r="A978" s="348"/>
      <c r="B978" s="466"/>
      <c r="C978" s="466"/>
      <c r="D978" s="466"/>
      <c r="E978" s="467"/>
      <c r="F978" s="466"/>
      <c r="G978" s="466"/>
      <c r="H978" s="466"/>
      <c r="I978" s="467"/>
      <c r="J978" s="466"/>
      <c r="K978" s="466"/>
      <c r="L978" s="466"/>
      <c r="M978" s="352"/>
    </row>
    <row r="979" spans="1:13" x14ac:dyDescent="0.25">
      <c r="A979" s="348"/>
      <c r="B979" s="466"/>
      <c r="C979" s="466"/>
      <c r="D979" s="466"/>
      <c r="E979" s="467"/>
      <c r="F979" s="466"/>
      <c r="G979" s="466"/>
      <c r="H979" s="466"/>
      <c r="I979" s="467"/>
      <c r="J979" s="466"/>
      <c r="K979" s="466"/>
      <c r="L979" s="466"/>
      <c r="M979" s="352"/>
    </row>
    <row r="980" spans="1:13" x14ac:dyDescent="0.25">
      <c r="A980" s="348"/>
      <c r="B980" s="466"/>
      <c r="C980" s="466"/>
      <c r="D980" s="466"/>
      <c r="E980" s="467"/>
      <c r="F980" s="466"/>
      <c r="G980" s="466"/>
      <c r="H980" s="466"/>
      <c r="I980" s="467"/>
      <c r="J980" s="466"/>
      <c r="K980" s="466"/>
      <c r="L980" s="466"/>
      <c r="M980" s="352"/>
    </row>
    <row r="981" spans="1:13" x14ac:dyDescent="0.25">
      <c r="A981" s="348"/>
      <c r="B981" s="466"/>
      <c r="C981" s="466"/>
      <c r="D981" s="466"/>
      <c r="E981" s="467"/>
      <c r="F981" s="466"/>
      <c r="G981" s="466"/>
      <c r="H981" s="466"/>
      <c r="I981" s="467"/>
      <c r="J981" s="466"/>
      <c r="K981" s="466"/>
      <c r="L981" s="466"/>
      <c r="M981" s="352"/>
    </row>
    <row r="982" spans="1:13" x14ac:dyDescent="0.25">
      <c r="A982" s="348"/>
      <c r="B982" s="466"/>
      <c r="C982" s="466"/>
      <c r="D982" s="466"/>
      <c r="E982" s="467"/>
      <c r="F982" s="466"/>
      <c r="G982" s="466"/>
      <c r="H982" s="466"/>
      <c r="I982" s="467"/>
      <c r="J982" s="466"/>
      <c r="K982" s="466"/>
      <c r="L982" s="466"/>
      <c r="M982" s="352"/>
    </row>
    <row r="983" spans="1:13" x14ac:dyDescent="0.25">
      <c r="A983" s="348"/>
      <c r="B983" s="466"/>
      <c r="C983" s="466"/>
      <c r="D983" s="466"/>
      <c r="E983" s="467"/>
      <c r="F983" s="466"/>
      <c r="G983" s="466"/>
      <c r="H983" s="466"/>
      <c r="I983" s="467"/>
      <c r="J983" s="466"/>
      <c r="K983" s="466"/>
      <c r="L983" s="466"/>
      <c r="M983" s="352"/>
    </row>
    <row r="984" spans="1:13" x14ac:dyDescent="0.25">
      <c r="A984" s="348"/>
      <c r="B984" s="466"/>
      <c r="C984" s="466"/>
      <c r="D984" s="466"/>
      <c r="E984" s="467"/>
      <c r="F984" s="466"/>
      <c r="G984" s="466"/>
      <c r="H984" s="466"/>
      <c r="I984" s="467"/>
      <c r="J984" s="466"/>
      <c r="K984" s="466"/>
      <c r="L984" s="466"/>
      <c r="M984" s="352"/>
    </row>
    <row r="985" spans="1:13" x14ac:dyDescent="0.25">
      <c r="A985" s="348"/>
      <c r="B985" s="466"/>
      <c r="C985" s="466"/>
      <c r="D985" s="466"/>
      <c r="E985" s="467"/>
      <c r="F985" s="466"/>
      <c r="G985" s="466"/>
      <c r="H985" s="466"/>
      <c r="I985" s="467"/>
      <c r="J985" s="466"/>
      <c r="K985" s="466"/>
      <c r="L985" s="466"/>
      <c r="M985" s="352"/>
    </row>
    <row r="986" spans="1:13" x14ac:dyDescent="0.25">
      <c r="A986" s="348"/>
      <c r="B986" s="466"/>
      <c r="C986" s="466"/>
      <c r="D986" s="466"/>
      <c r="E986" s="467"/>
      <c r="F986" s="466"/>
      <c r="G986" s="466"/>
      <c r="H986" s="466"/>
      <c r="I986" s="467"/>
      <c r="J986" s="466"/>
      <c r="K986" s="466"/>
      <c r="L986" s="466"/>
      <c r="M986" s="352"/>
    </row>
    <row r="987" spans="1:13" x14ac:dyDescent="0.25">
      <c r="A987" s="348"/>
      <c r="B987" s="467"/>
      <c r="C987" s="467"/>
      <c r="D987" s="467"/>
      <c r="E987" s="467"/>
      <c r="F987" s="467"/>
      <c r="G987" s="467"/>
      <c r="H987" s="467"/>
      <c r="I987" s="467"/>
      <c r="J987" s="467"/>
      <c r="K987" s="467"/>
      <c r="L987" s="467"/>
      <c r="M987" s="352"/>
    </row>
    <row r="988" spans="1:13" x14ac:dyDescent="0.25">
      <c r="A988" s="348"/>
      <c r="B988" s="348"/>
      <c r="C988" s="348"/>
      <c r="D988" s="348"/>
      <c r="E988" s="348"/>
      <c r="F988" s="348"/>
      <c r="G988" s="348"/>
      <c r="H988" s="348"/>
      <c r="I988" s="348"/>
      <c r="J988" s="348"/>
      <c r="K988" s="348"/>
      <c r="L988" s="353"/>
      <c r="M988" s="352"/>
    </row>
    <row r="989" spans="1:13" x14ac:dyDescent="0.25">
      <c r="A989" s="348"/>
      <c r="B989" s="348"/>
      <c r="C989" s="348"/>
      <c r="D989" s="348"/>
      <c r="E989" s="348"/>
      <c r="F989" s="348"/>
      <c r="G989" s="348"/>
      <c r="H989" s="348"/>
      <c r="I989" s="348"/>
      <c r="J989" s="348"/>
      <c r="K989" s="348"/>
      <c r="L989" s="410"/>
      <c r="M989" s="352"/>
    </row>
    <row r="990" spans="1:13" x14ac:dyDescent="0.25">
      <c r="A990" s="374"/>
      <c r="B990" s="354"/>
      <c r="C990" s="354"/>
      <c r="D990" s="354"/>
      <c r="E990" s="354"/>
      <c r="F990" s="354"/>
      <c r="G990" s="354"/>
      <c r="H990" s="354"/>
      <c r="I990" s="354"/>
      <c r="J990" s="354"/>
      <c r="K990" s="354"/>
      <c r="L990" s="352"/>
      <c r="M990" s="352"/>
    </row>
    <row r="991" spans="1:13" x14ac:dyDescent="0.25">
      <c r="A991" s="354"/>
      <c r="B991" s="515"/>
      <c r="C991" s="515"/>
      <c r="D991" s="515"/>
      <c r="E991" s="369"/>
      <c r="F991" s="515"/>
      <c r="G991" s="515"/>
      <c r="H991" s="515"/>
      <c r="I991" s="369"/>
      <c r="J991" s="515"/>
      <c r="K991" s="515"/>
      <c r="L991" s="515"/>
      <c r="M991" s="352"/>
    </row>
    <row r="992" spans="1:13" x14ac:dyDescent="0.25">
      <c r="A992" s="374"/>
      <c r="B992" s="375"/>
      <c r="C992" s="375"/>
      <c r="D992" s="375"/>
      <c r="E992" s="375"/>
      <c r="F992" s="375"/>
      <c r="G992" s="375"/>
      <c r="H992" s="375"/>
      <c r="I992" s="375"/>
      <c r="J992" s="375"/>
      <c r="K992" s="375"/>
      <c r="L992" s="375"/>
      <c r="M992" s="352"/>
    </row>
    <row r="993" spans="1:13" x14ac:dyDescent="0.25">
      <c r="A993" s="374"/>
      <c r="B993" s="375"/>
      <c r="C993" s="375"/>
      <c r="D993" s="375"/>
      <c r="E993" s="375"/>
      <c r="F993" s="375"/>
      <c r="G993" s="375"/>
      <c r="H993" s="375"/>
      <c r="I993" s="375"/>
      <c r="J993" s="375"/>
      <c r="K993" s="375"/>
      <c r="L993" s="375"/>
      <c r="M993" s="352"/>
    </row>
    <row r="994" spans="1:13" x14ac:dyDescent="0.25">
      <c r="A994" s="348"/>
      <c r="B994" s="466"/>
      <c r="C994" s="466"/>
      <c r="D994" s="466"/>
      <c r="E994" s="467"/>
      <c r="F994" s="466"/>
      <c r="G994" s="466"/>
      <c r="H994" s="466"/>
      <c r="I994" s="467"/>
      <c r="J994" s="466"/>
      <c r="K994" s="466"/>
      <c r="L994" s="466"/>
      <c r="M994" s="352"/>
    </row>
    <row r="995" spans="1:13" x14ac:dyDescent="0.25">
      <c r="A995" s="348"/>
      <c r="B995" s="466"/>
      <c r="C995" s="466"/>
      <c r="D995" s="466"/>
      <c r="E995" s="467"/>
      <c r="F995" s="466"/>
      <c r="G995" s="466"/>
      <c r="H995" s="466"/>
      <c r="I995" s="467"/>
      <c r="J995" s="466"/>
      <c r="K995" s="466"/>
      <c r="L995" s="466"/>
      <c r="M995" s="352"/>
    </row>
    <row r="996" spans="1:13" x14ac:dyDescent="0.25">
      <c r="A996" s="348"/>
      <c r="B996" s="466"/>
      <c r="C996" s="466"/>
      <c r="D996" s="466"/>
      <c r="E996" s="467"/>
      <c r="F996" s="466"/>
      <c r="G996" s="466"/>
      <c r="H996" s="466"/>
      <c r="I996" s="467"/>
      <c r="J996" s="466"/>
      <c r="K996" s="466"/>
      <c r="L996" s="466"/>
      <c r="M996" s="352"/>
    </row>
    <row r="997" spans="1:13" x14ac:dyDescent="0.25">
      <c r="A997" s="348"/>
      <c r="B997" s="466"/>
      <c r="C997" s="466"/>
      <c r="D997" s="466"/>
      <c r="E997" s="467"/>
      <c r="F997" s="466"/>
      <c r="G997" s="466"/>
      <c r="H997" s="466"/>
      <c r="I997" s="467"/>
      <c r="J997" s="466"/>
      <c r="K997" s="466"/>
      <c r="L997" s="466"/>
      <c r="M997" s="352"/>
    </row>
    <row r="998" spans="1:13" x14ac:dyDescent="0.25">
      <c r="A998" s="348"/>
      <c r="B998" s="466"/>
      <c r="C998" s="466"/>
      <c r="D998" s="466"/>
      <c r="E998" s="467"/>
      <c r="F998" s="466"/>
      <c r="G998" s="466"/>
      <c r="H998" s="466"/>
      <c r="I998" s="467"/>
      <c r="J998" s="466"/>
      <c r="K998" s="466"/>
      <c r="L998" s="466"/>
      <c r="M998" s="352"/>
    </row>
    <row r="999" spans="1:13" x14ac:dyDescent="0.25">
      <c r="A999" s="348"/>
      <c r="B999" s="466"/>
      <c r="C999" s="466"/>
      <c r="D999" s="466"/>
      <c r="E999" s="467"/>
      <c r="F999" s="466"/>
      <c r="G999" s="466"/>
      <c r="H999" s="466"/>
      <c r="I999" s="467"/>
      <c r="J999" s="466"/>
      <c r="K999" s="466"/>
      <c r="L999" s="466"/>
      <c r="M999" s="352"/>
    </row>
    <row r="1000" spans="1:13" x14ac:dyDescent="0.25">
      <c r="A1000" s="348"/>
      <c r="B1000" s="466"/>
      <c r="C1000" s="466"/>
      <c r="D1000" s="466"/>
      <c r="E1000" s="467"/>
      <c r="F1000" s="466"/>
      <c r="G1000" s="466"/>
      <c r="H1000" s="466"/>
      <c r="I1000" s="467"/>
      <c r="J1000" s="466"/>
      <c r="K1000" s="466"/>
      <c r="L1000" s="466"/>
      <c r="M1000" s="352"/>
    </row>
    <row r="1001" spans="1:13" x14ac:dyDescent="0.25">
      <c r="A1001" s="348"/>
      <c r="B1001" s="466"/>
      <c r="C1001" s="466"/>
      <c r="D1001" s="466"/>
      <c r="E1001" s="467"/>
      <c r="F1001" s="466"/>
      <c r="G1001" s="466"/>
      <c r="H1001" s="466"/>
      <c r="I1001" s="467"/>
      <c r="J1001" s="466"/>
      <c r="K1001" s="466"/>
      <c r="L1001" s="466"/>
      <c r="M1001" s="352"/>
    </row>
    <row r="1002" spans="1:13" x14ac:dyDescent="0.25">
      <c r="A1002" s="348"/>
      <c r="B1002" s="466"/>
      <c r="C1002" s="466"/>
      <c r="D1002" s="466"/>
      <c r="E1002" s="467"/>
      <c r="F1002" s="466"/>
      <c r="G1002" s="466"/>
      <c r="H1002" s="466"/>
      <c r="I1002" s="467"/>
      <c r="J1002" s="466"/>
      <c r="K1002" s="466"/>
      <c r="L1002" s="466"/>
      <c r="M1002" s="352"/>
    </row>
    <row r="1003" spans="1:13" x14ac:dyDescent="0.25">
      <c r="A1003" s="348"/>
      <c r="B1003" s="466"/>
      <c r="C1003" s="466"/>
      <c r="D1003" s="466"/>
      <c r="E1003" s="467"/>
      <c r="F1003" s="466"/>
      <c r="G1003" s="466"/>
      <c r="H1003" s="466"/>
      <c r="I1003" s="467"/>
      <c r="J1003" s="466"/>
      <c r="K1003" s="466"/>
      <c r="L1003" s="466"/>
      <c r="M1003" s="352"/>
    </row>
    <row r="1004" spans="1:13" x14ac:dyDescent="0.25">
      <c r="A1004" s="348"/>
      <c r="B1004" s="467"/>
      <c r="C1004" s="467"/>
      <c r="D1004" s="467"/>
      <c r="E1004" s="467"/>
      <c r="F1004" s="467"/>
      <c r="G1004" s="467"/>
      <c r="H1004" s="467"/>
      <c r="I1004" s="467"/>
      <c r="J1004" s="467"/>
      <c r="K1004" s="467"/>
      <c r="L1004" s="467"/>
      <c r="M1004" s="352"/>
    </row>
    <row r="1005" spans="1:13" x14ac:dyDescent="0.25">
      <c r="A1005" s="348"/>
      <c r="B1005" s="348"/>
      <c r="C1005" s="348"/>
      <c r="D1005" s="348"/>
      <c r="E1005" s="348"/>
      <c r="F1005" s="348"/>
      <c r="G1005" s="348"/>
      <c r="H1005" s="348"/>
      <c r="I1005" s="348"/>
      <c r="J1005" s="348"/>
      <c r="K1005" s="348"/>
      <c r="L1005" s="353"/>
      <c r="M1005" s="352"/>
    </row>
    <row r="1006" spans="1:13" x14ac:dyDescent="0.25">
      <c r="A1006" s="348"/>
      <c r="B1006" s="348"/>
      <c r="C1006" s="348"/>
      <c r="D1006" s="348"/>
      <c r="E1006" s="348"/>
      <c r="F1006" s="348"/>
      <c r="G1006" s="348"/>
      <c r="H1006" s="348"/>
      <c r="I1006" s="348"/>
      <c r="J1006" s="348"/>
      <c r="K1006" s="348"/>
      <c r="L1006" s="410"/>
      <c r="M1006" s="352"/>
    </row>
    <row r="1007" spans="1:13" x14ac:dyDescent="0.25">
      <c r="A1007" s="374"/>
      <c r="B1007" s="354"/>
      <c r="C1007" s="354"/>
      <c r="D1007" s="354"/>
      <c r="E1007" s="354"/>
      <c r="F1007" s="354"/>
      <c r="G1007" s="354"/>
      <c r="H1007" s="354"/>
      <c r="I1007" s="354"/>
      <c r="J1007" s="354"/>
      <c r="K1007" s="354"/>
      <c r="L1007" s="352"/>
      <c r="M1007" s="352"/>
    </row>
    <row r="1008" spans="1:13" x14ac:dyDescent="0.25">
      <c r="A1008" s="354"/>
      <c r="B1008" s="515"/>
      <c r="C1008" s="515"/>
      <c r="D1008" s="515"/>
      <c r="E1008" s="369"/>
      <c r="F1008" s="515"/>
      <c r="G1008" s="515"/>
      <c r="H1008" s="515"/>
      <c r="I1008" s="369"/>
      <c r="J1008" s="515"/>
      <c r="K1008" s="515"/>
      <c r="L1008" s="515"/>
      <c r="M1008" s="352"/>
    </row>
    <row r="1009" spans="1:13" x14ac:dyDescent="0.25">
      <c r="A1009" s="374"/>
      <c r="B1009" s="375"/>
      <c r="C1009" s="375"/>
      <c r="D1009" s="375"/>
      <c r="E1009" s="375"/>
      <c r="F1009" s="375"/>
      <c r="G1009" s="375"/>
      <c r="H1009" s="375"/>
      <c r="I1009" s="375"/>
      <c r="J1009" s="375"/>
      <c r="K1009" s="375"/>
      <c r="L1009" s="375"/>
      <c r="M1009" s="352"/>
    </row>
    <row r="1010" spans="1:13" x14ac:dyDescent="0.25">
      <c r="A1010" s="374"/>
      <c r="B1010" s="375"/>
      <c r="C1010" s="375"/>
      <c r="D1010" s="375"/>
      <c r="E1010" s="375"/>
      <c r="F1010" s="375"/>
      <c r="G1010" s="375"/>
      <c r="H1010" s="375"/>
      <c r="I1010" s="375"/>
      <c r="J1010" s="375"/>
      <c r="K1010" s="375"/>
      <c r="L1010" s="375"/>
      <c r="M1010" s="352"/>
    </row>
    <row r="1011" spans="1:13" x14ac:dyDescent="0.25">
      <c r="A1011" s="348"/>
      <c r="B1011" s="466"/>
      <c r="C1011" s="466"/>
      <c r="D1011" s="466"/>
      <c r="E1011" s="467"/>
      <c r="F1011" s="466"/>
      <c r="G1011" s="466"/>
      <c r="H1011" s="466"/>
      <c r="I1011" s="467"/>
      <c r="J1011" s="466"/>
      <c r="K1011" s="466"/>
      <c r="L1011" s="466"/>
      <c r="M1011" s="352"/>
    </row>
    <row r="1012" spans="1:13" x14ac:dyDescent="0.25">
      <c r="A1012" s="348"/>
      <c r="B1012" s="466"/>
      <c r="C1012" s="466"/>
      <c r="D1012" s="466"/>
      <c r="E1012" s="467"/>
      <c r="F1012" s="466"/>
      <c r="G1012" s="466"/>
      <c r="H1012" s="466"/>
      <c r="I1012" s="467"/>
      <c r="J1012" s="466"/>
      <c r="K1012" s="466"/>
      <c r="L1012" s="466"/>
      <c r="M1012" s="352"/>
    </row>
    <row r="1013" spans="1:13" x14ac:dyDescent="0.25">
      <c r="A1013" s="348"/>
      <c r="B1013" s="466"/>
      <c r="C1013" s="466"/>
      <c r="D1013" s="466"/>
      <c r="E1013" s="467"/>
      <c r="F1013" s="466"/>
      <c r="G1013" s="466"/>
      <c r="H1013" s="466"/>
      <c r="I1013" s="467"/>
      <c r="J1013" s="466"/>
      <c r="K1013" s="466"/>
      <c r="L1013" s="466"/>
      <c r="M1013" s="352"/>
    </row>
    <row r="1014" spans="1:13" x14ac:dyDescent="0.25">
      <c r="A1014" s="348"/>
      <c r="B1014" s="466"/>
      <c r="C1014" s="466"/>
      <c r="D1014" s="466"/>
      <c r="E1014" s="467"/>
      <c r="F1014" s="466"/>
      <c r="G1014" s="466"/>
      <c r="H1014" s="466"/>
      <c r="I1014" s="467"/>
      <c r="J1014" s="466"/>
      <c r="K1014" s="466"/>
      <c r="L1014" s="466"/>
      <c r="M1014" s="352"/>
    </row>
    <row r="1015" spans="1:13" x14ac:dyDescent="0.25">
      <c r="A1015" s="348"/>
      <c r="B1015" s="466"/>
      <c r="C1015" s="466"/>
      <c r="D1015" s="466"/>
      <c r="E1015" s="467"/>
      <c r="F1015" s="466"/>
      <c r="G1015" s="466"/>
      <c r="H1015" s="466"/>
      <c r="I1015" s="467"/>
      <c r="J1015" s="466"/>
      <c r="K1015" s="466"/>
      <c r="L1015" s="466"/>
      <c r="M1015" s="352"/>
    </row>
    <row r="1016" spans="1:13" x14ac:dyDescent="0.25">
      <c r="A1016" s="348"/>
      <c r="B1016" s="466"/>
      <c r="C1016" s="466"/>
      <c r="D1016" s="466"/>
      <c r="E1016" s="467"/>
      <c r="F1016" s="466"/>
      <c r="G1016" s="466"/>
      <c r="H1016" s="466"/>
      <c r="I1016" s="467"/>
      <c r="J1016" s="466"/>
      <c r="K1016" s="466"/>
      <c r="L1016" s="466"/>
      <c r="M1016" s="352"/>
    </row>
    <row r="1017" spans="1:13" x14ac:dyDescent="0.25">
      <c r="A1017" s="348"/>
      <c r="B1017" s="466"/>
      <c r="C1017" s="466"/>
      <c r="D1017" s="466"/>
      <c r="E1017" s="467"/>
      <c r="F1017" s="466"/>
      <c r="G1017" s="466"/>
      <c r="H1017" s="466"/>
      <c r="I1017" s="467"/>
      <c r="J1017" s="466"/>
      <c r="K1017" s="466"/>
      <c r="L1017" s="466"/>
      <c r="M1017" s="352"/>
    </row>
    <row r="1018" spans="1:13" x14ac:dyDescent="0.25">
      <c r="A1018" s="348"/>
      <c r="B1018" s="466"/>
      <c r="C1018" s="466"/>
      <c r="D1018" s="466"/>
      <c r="E1018" s="467"/>
      <c r="F1018" s="466"/>
      <c r="G1018" s="466"/>
      <c r="H1018" s="466"/>
      <c r="I1018" s="467"/>
      <c r="J1018" s="466"/>
      <c r="K1018" s="466"/>
      <c r="L1018" s="466"/>
      <c r="M1018" s="352"/>
    </row>
    <row r="1019" spans="1:13" x14ac:dyDescent="0.25">
      <c r="A1019" s="348"/>
      <c r="B1019" s="466"/>
      <c r="C1019" s="466"/>
      <c r="D1019" s="466"/>
      <c r="E1019" s="467"/>
      <c r="F1019" s="466"/>
      <c r="G1019" s="466"/>
      <c r="H1019" s="466"/>
      <c r="I1019" s="467"/>
      <c r="J1019" s="466"/>
      <c r="K1019" s="466"/>
      <c r="L1019" s="466"/>
      <c r="M1019" s="352"/>
    </row>
    <row r="1020" spans="1:13" x14ac:dyDescent="0.25">
      <c r="A1020" s="348"/>
      <c r="B1020" s="466"/>
      <c r="C1020" s="466"/>
      <c r="D1020" s="466"/>
      <c r="E1020" s="467"/>
      <c r="F1020" s="466"/>
      <c r="G1020" s="466"/>
      <c r="H1020" s="466"/>
      <c r="I1020" s="467"/>
      <c r="J1020" s="466"/>
      <c r="K1020" s="466"/>
      <c r="L1020" s="466"/>
      <c r="M1020" s="352"/>
    </row>
    <row r="1021" spans="1:13" x14ac:dyDescent="0.25">
      <c r="A1021" s="348"/>
      <c r="B1021" s="467"/>
      <c r="C1021" s="467"/>
      <c r="D1021" s="467"/>
      <c r="E1021" s="467"/>
      <c r="F1021" s="467"/>
      <c r="G1021" s="467"/>
      <c r="H1021" s="467"/>
      <c r="I1021" s="467"/>
      <c r="J1021" s="467"/>
      <c r="K1021" s="467"/>
      <c r="L1021" s="467"/>
      <c r="M1021" s="352"/>
    </row>
    <row r="1022" spans="1:13" x14ac:dyDescent="0.25">
      <c r="A1022" s="348"/>
      <c r="B1022" s="348"/>
      <c r="C1022" s="348"/>
      <c r="D1022" s="348"/>
      <c r="E1022" s="348"/>
      <c r="F1022" s="348"/>
      <c r="G1022" s="348"/>
      <c r="H1022" s="348"/>
      <c r="I1022" s="348"/>
      <c r="J1022" s="348"/>
      <c r="K1022" s="348"/>
      <c r="L1022" s="353"/>
      <c r="M1022" s="352"/>
    </row>
    <row r="1023" spans="1:13" x14ac:dyDescent="0.25">
      <c r="A1023" s="348"/>
      <c r="B1023" s="348"/>
      <c r="C1023" s="348"/>
      <c r="D1023" s="348"/>
      <c r="E1023" s="348"/>
      <c r="F1023" s="348"/>
      <c r="G1023" s="348"/>
      <c r="H1023" s="348"/>
      <c r="I1023" s="348"/>
      <c r="J1023" s="348"/>
      <c r="K1023" s="348"/>
      <c r="L1023" s="410"/>
      <c r="M1023" s="352"/>
    </row>
    <row r="1024" spans="1:13" x14ac:dyDescent="0.25">
      <c r="A1024" s="374"/>
      <c r="B1024" s="354"/>
      <c r="C1024" s="354"/>
      <c r="D1024" s="354"/>
      <c r="E1024" s="354"/>
      <c r="F1024" s="354"/>
      <c r="G1024" s="354"/>
      <c r="H1024" s="354"/>
      <c r="I1024" s="354"/>
      <c r="J1024" s="354"/>
      <c r="K1024" s="354"/>
      <c r="L1024" s="352"/>
      <c r="M1024" s="352"/>
    </row>
    <row r="1025" spans="1:13" x14ac:dyDescent="0.25">
      <c r="A1025" s="354"/>
      <c r="B1025" s="515"/>
      <c r="C1025" s="515"/>
      <c r="D1025" s="515"/>
      <c r="E1025" s="369"/>
      <c r="F1025" s="515"/>
      <c r="G1025" s="515"/>
      <c r="H1025" s="515"/>
      <c r="I1025" s="369"/>
      <c r="J1025" s="515"/>
      <c r="K1025" s="515"/>
      <c r="L1025" s="515"/>
      <c r="M1025" s="352"/>
    </row>
    <row r="1026" spans="1:13" x14ac:dyDescent="0.25">
      <c r="A1026" s="374"/>
      <c r="B1026" s="375"/>
      <c r="C1026" s="375"/>
      <c r="D1026" s="375"/>
      <c r="E1026" s="375"/>
      <c r="F1026" s="375"/>
      <c r="G1026" s="375"/>
      <c r="H1026" s="375"/>
      <c r="I1026" s="375"/>
      <c r="J1026" s="375"/>
      <c r="K1026" s="375"/>
      <c r="L1026" s="375"/>
      <c r="M1026" s="352"/>
    </row>
    <row r="1027" spans="1:13" x14ac:dyDescent="0.25">
      <c r="A1027" s="374"/>
      <c r="B1027" s="375"/>
      <c r="C1027" s="375"/>
      <c r="D1027" s="375"/>
      <c r="E1027" s="375"/>
      <c r="F1027" s="375"/>
      <c r="G1027" s="375"/>
      <c r="H1027" s="375"/>
      <c r="I1027" s="375"/>
      <c r="J1027" s="375"/>
      <c r="K1027" s="375"/>
      <c r="L1027" s="375"/>
      <c r="M1027" s="352"/>
    </row>
    <row r="1028" spans="1:13" x14ac:dyDescent="0.25">
      <c r="A1028" s="348"/>
      <c r="B1028" s="466"/>
      <c r="C1028" s="466"/>
      <c r="D1028" s="466"/>
      <c r="E1028" s="467"/>
      <c r="F1028" s="466"/>
      <c r="G1028" s="466"/>
      <c r="H1028" s="466"/>
      <c r="I1028" s="467"/>
      <c r="J1028" s="466"/>
      <c r="K1028" s="466"/>
      <c r="L1028" s="466"/>
      <c r="M1028" s="352"/>
    </row>
    <row r="1029" spans="1:13" x14ac:dyDescent="0.25">
      <c r="A1029" s="348"/>
      <c r="B1029" s="466"/>
      <c r="C1029" s="466"/>
      <c r="D1029" s="466"/>
      <c r="E1029" s="467"/>
      <c r="F1029" s="466"/>
      <c r="G1029" s="466"/>
      <c r="H1029" s="466"/>
      <c r="I1029" s="467"/>
      <c r="J1029" s="466"/>
      <c r="K1029" s="466"/>
      <c r="L1029" s="466"/>
      <c r="M1029" s="352"/>
    </row>
    <row r="1030" spans="1:13" x14ac:dyDescent="0.25">
      <c r="A1030" s="348"/>
      <c r="B1030" s="466"/>
      <c r="C1030" s="466"/>
      <c r="D1030" s="466"/>
      <c r="E1030" s="467"/>
      <c r="F1030" s="466"/>
      <c r="G1030" s="466"/>
      <c r="H1030" s="466"/>
      <c r="I1030" s="467"/>
      <c r="J1030" s="466"/>
      <c r="K1030" s="466"/>
      <c r="L1030" s="466"/>
      <c r="M1030" s="352"/>
    </row>
    <row r="1031" spans="1:13" x14ac:dyDescent="0.25">
      <c r="A1031" s="348"/>
      <c r="B1031" s="466"/>
      <c r="C1031" s="466"/>
      <c r="D1031" s="466"/>
      <c r="E1031" s="467"/>
      <c r="F1031" s="466"/>
      <c r="G1031" s="466"/>
      <c r="H1031" s="466"/>
      <c r="I1031" s="467"/>
      <c r="J1031" s="466"/>
      <c r="K1031" s="466"/>
      <c r="L1031" s="466"/>
      <c r="M1031" s="352"/>
    </row>
    <row r="1032" spans="1:13" x14ac:dyDescent="0.25">
      <c r="A1032" s="348"/>
      <c r="B1032" s="466"/>
      <c r="C1032" s="466"/>
      <c r="D1032" s="466"/>
      <c r="E1032" s="467"/>
      <c r="F1032" s="466"/>
      <c r="G1032" s="466"/>
      <c r="H1032" s="466"/>
      <c r="I1032" s="467"/>
      <c r="J1032" s="466"/>
      <c r="K1032" s="466"/>
      <c r="L1032" s="466"/>
      <c r="M1032" s="352"/>
    </row>
    <row r="1033" spans="1:13" x14ac:dyDescent="0.25">
      <c r="A1033" s="348"/>
      <c r="B1033" s="466"/>
      <c r="C1033" s="466"/>
      <c r="D1033" s="466"/>
      <c r="E1033" s="467"/>
      <c r="F1033" s="466"/>
      <c r="G1033" s="466"/>
      <c r="H1033" s="466"/>
      <c r="I1033" s="467"/>
      <c r="J1033" s="466"/>
      <c r="K1033" s="466"/>
      <c r="L1033" s="466"/>
      <c r="M1033" s="352"/>
    </row>
    <row r="1034" spans="1:13" x14ac:dyDescent="0.25">
      <c r="A1034" s="348"/>
      <c r="B1034" s="466"/>
      <c r="C1034" s="466"/>
      <c r="D1034" s="466"/>
      <c r="E1034" s="467"/>
      <c r="F1034" s="466"/>
      <c r="G1034" s="466"/>
      <c r="H1034" s="466"/>
      <c r="I1034" s="467"/>
      <c r="J1034" s="466"/>
      <c r="K1034" s="466"/>
      <c r="L1034" s="466"/>
      <c r="M1034" s="352"/>
    </row>
    <row r="1035" spans="1:13" x14ac:dyDescent="0.25">
      <c r="A1035" s="348"/>
      <c r="B1035" s="466"/>
      <c r="C1035" s="466"/>
      <c r="D1035" s="466"/>
      <c r="E1035" s="467"/>
      <c r="F1035" s="466"/>
      <c r="G1035" s="466"/>
      <c r="H1035" s="466"/>
      <c r="I1035" s="467"/>
      <c r="J1035" s="466"/>
      <c r="K1035" s="466"/>
      <c r="L1035" s="466"/>
      <c r="M1035" s="352"/>
    </row>
    <row r="1036" spans="1:13" ht="13.5" customHeight="1" x14ac:dyDescent="0.25">
      <c r="A1036" s="348"/>
      <c r="B1036" s="466"/>
      <c r="C1036" s="466"/>
      <c r="D1036" s="466"/>
      <c r="E1036" s="467"/>
      <c r="F1036" s="466"/>
      <c r="G1036" s="466"/>
      <c r="H1036" s="466"/>
      <c r="I1036" s="467"/>
      <c r="J1036" s="466"/>
      <c r="K1036" s="466"/>
      <c r="L1036" s="466"/>
      <c r="M1036" s="352"/>
    </row>
    <row r="1037" spans="1:13" ht="13.5" customHeight="1" x14ac:dyDescent="0.25">
      <c r="A1037" s="348"/>
      <c r="B1037" s="466"/>
      <c r="C1037" s="466"/>
      <c r="D1037" s="466"/>
      <c r="E1037" s="467"/>
      <c r="F1037" s="466"/>
      <c r="G1037" s="466"/>
      <c r="H1037" s="466"/>
      <c r="I1037" s="467"/>
      <c r="J1037" s="466"/>
      <c r="K1037" s="466"/>
      <c r="L1037" s="466"/>
      <c r="M1037" s="352"/>
    </row>
    <row r="1038" spans="1:13" x14ac:dyDescent="0.25">
      <c r="A1038" s="348"/>
      <c r="B1038" s="467"/>
      <c r="C1038" s="467"/>
      <c r="D1038" s="467"/>
      <c r="E1038" s="467"/>
      <c r="F1038" s="467"/>
      <c r="G1038" s="467"/>
      <c r="H1038" s="467"/>
      <c r="I1038" s="467"/>
      <c r="J1038" s="467"/>
      <c r="K1038" s="467"/>
      <c r="L1038" s="467"/>
      <c r="M1038" s="352"/>
    </row>
    <row r="1039" spans="1:13" x14ac:dyDescent="0.25">
      <c r="A1039" s="348"/>
      <c r="B1039" s="348"/>
      <c r="C1039" s="348"/>
      <c r="D1039" s="348"/>
      <c r="E1039" s="348"/>
      <c r="F1039" s="348"/>
      <c r="G1039" s="348"/>
      <c r="H1039" s="348"/>
      <c r="I1039" s="348"/>
      <c r="J1039" s="348"/>
      <c r="K1039" s="348"/>
      <c r="L1039" s="353"/>
      <c r="M1039" s="352"/>
    </row>
    <row r="1040" spans="1:13" x14ac:dyDescent="0.25">
      <c r="A1040" s="348"/>
      <c r="B1040" s="348"/>
      <c r="C1040" s="348"/>
      <c r="D1040" s="348"/>
      <c r="E1040" s="348"/>
      <c r="F1040" s="348"/>
      <c r="G1040" s="348"/>
      <c r="H1040" s="348"/>
      <c r="I1040" s="348"/>
      <c r="J1040" s="348"/>
      <c r="K1040" s="348"/>
      <c r="L1040" s="410"/>
      <c r="M1040" s="352"/>
    </row>
    <row r="1041" spans="1:13" x14ac:dyDescent="0.25">
      <c r="A1041" s="374"/>
      <c r="B1041" s="354"/>
      <c r="C1041" s="354"/>
      <c r="D1041" s="354"/>
      <c r="E1041" s="354"/>
      <c r="F1041" s="354"/>
      <c r="G1041" s="354"/>
      <c r="H1041" s="354"/>
      <c r="I1041" s="354"/>
      <c r="J1041" s="354"/>
      <c r="K1041" s="354"/>
      <c r="L1041" s="352"/>
      <c r="M1041" s="352"/>
    </row>
    <row r="1042" spans="1:13" x14ac:dyDescent="0.25">
      <c r="A1042" s="354"/>
      <c r="B1042" s="515"/>
      <c r="C1042" s="515"/>
      <c r="D1042" s="515"/>
      <c r="E1042" s="369"/>
      <c r="F1042" s="515"/>
      <c r="G1042" s="515"/>
      <c r="H1042" s="515"/>
      <c r="I1042" s="369"/>
      <c r="J1042" s="515"/>
      <c r="K1042" s="515"/>
      <c r="L1042" s="515"/>
      <c r="M1042" s="352"/>
    </row>
    <row r="1043" spans="1:13" x14ac:dyDescent="0.25">
      <c r="A1043" s="374"/>
      <c r="B1043" s="375"/>
      <c r="C1043" s="375"/>
      <c r="D1043" s="375"/>
      <c r="E1043" s="375"/>
      <c r="F1043" s="375"/>
      <c r="G1043" s="375"/>
      <c r="H1043" s="375"/>
      <c r="I1043" s="375"/>
      <c r="J1043" s="375"/>
      <c r="K1043" s="375"/>
      <c r="L1043" s="375"/>
      <c r="M1043" s="352"/>
    </row>
    <row r="1044" spans="1:13" x14ac:dyDescent="0.25">
      <c r="A1044" s="374"/>
      <c r="B1044" s="375"/>
      <c r="C1044" s="375"/>
      <c r="D1044" s="375"/>
      <c r="E1044" s="375"/>
      <c r="F1044" s="375"/>
      <c r="G1044" s="375"/>
      <c r="H1044" s="375"/>
      <c r="I1044" s="375"/>
      <c r="J1044" s="375"/>
      <c r="K1044" s="375"/>
      <c r="L1044" s="375"/>
      <c r="M1044" s="352"/>
    </row>
    <row r="1045" spans="1:13" x14ac:dyDescent="0.25">
      <c r="A1045" s="348"/>
      <c r="B1045" s="466"/>
      <c r="C1045" s="466"/>
      <c r="D1045" s="466"/>
      <c r="E1045" s="467"/>
      <c r="F1045" s="466"/>
      <c r="G1045" s="466"/>
      <c r="H1045" s="466"/>
      <c r="I1045" s="467"/>
      <c r="J1045" s="466"/>
      <c r="K1045" s="466"/>
      <c r="L1045" s="466"/>
      <c r="M1045" s="352"/>
    </row>
    <row r="1046" spans="1:13" x14ac:dyDescent="0.25">
      <c r="A1046" s="348"/>
      <c r="B1046" s="466"/>
      <c r="C1046" s="466"/>
      <c r="D1046" s="466"/>
      <c r="E1046" s="467"/>
      <c r="F1046" s="466"/>
      <c r="G1046" s="466"/>
      <c r="H1046" s="466"/>
      <c r="I1046" s="467"/>
      <c r="J1046" s="466"/>
      <c r="K1046" s="466"/>
      <c r="L1046" s="466"/>
      <c r="M1046" s="352"/>
    </row>
    <row r="1047" spans="1:13" x14ac:dyDescent="0.25">
      <c r="A1047" s="348"/>
      <c r="B1047" s="466"/>
      <c r="C1047" s="466"/>
      <c r="D1047" s="466"/>
      <c r="E1047" s="467"/>
      <c r="F1047" s="466"/>
      <c r="G1047" s="466"/>
      <c r="H1047" s="466"/>
      <c r="I1047" s="467"/>
      <c r="J1047" s="466"/>
      <c r="K1047" s="466"/>
      <c r="L1047" s="466"/>
      <c r="M1047" s="352"/>
    </row>
    <row r="1048" spans="1:13" x14ac:dyDescent="0.25">
      <c r="A1048" s="348"/>
      <c r="B1048" s="466"/>
      <c r="C1048" s="466"/>
      <c r="D1048" s="466"/>
      <c r="E1048" s="467"/>
      <c r="F1048" s="466"/>
      <c r="G1048" s="466"/>
      <c r="H1048" s="466"/>
      <c r="I1048" s="467"/>
      <c r="J1048" s="466"/>
      <c r="K1048" s="466"/>
      <c r="L1048" s="466"/>
      <c r="M1048" s="352"/>
    </row>
    <row r="1049" spans="1:13" x14ac:dyDescent="0.25">
      <c r="A1049" s="348"/>
      <c r="B1049" s="466"/>
      <c r="C1049" s="466"/>
      <c r="D1049" s="466"/>
      <c r="E1049" s="467"/>
      <c r="F1049" s="466"/>
      <c r="G1049" s="466"/>
      <c r="H1049" s="466"/>
      <c r="I1049" s="467"/>
      <c r="J1049" s="466"/>
      <c r="K1049" s="466"/>
      <c r="L1049" s="466"/>
      <c r="M1049" s="352"/>
    </row>
    <row r="1050" spans="1:13" x14ac:dyDescent="0.25">
      <c r="A1050" s="348"/>
      <c r="B1050" s="466"/>
      <c r="C1050" s="466"/>
      <c r="D1050" s="466"/>
      <c r="E1050" s="467"/>
      <c r="F1050" s="466"/>
      <c r="G1050" s="466"/>
      <c r="H1050" s="466"/>
      <c r="I1050" s="467"/>
      <c r="J1050" s="466"/>
      <c r="K1050" s="466"/>
      <c r="L1050" s="466"/>
      <c r="M1050" s="352"/>
    </row>
    <row r="1051" spans="1:13" x14ac:dyDescent="0.25">
      <c r="A1051" s="348"/>
      <c r="B1051" s="466"/>
      <c r="C1051" s="466"/>
      <c r="D1051" s="466"/>
      <c r="E1051" s="467"/>
      <c r="F1051" s="466"/>
      <c r="G1051" s="466"/>
      <c r="H1051" s="466"/>
      <c r="I1051" s="467"/>
      <c r="J1051" s="466"/>
      <c r="K1051" s="466"/>
      <c r="L1051" s="466"/>
      <c r="M1051" s="352"/>
    </row>
    <row r="1052" spans="1:13" x14ac:dyDescent="0.25">
      <c r="A1052" s="348"/>
      <c r="B1052" s="466"/>
      <c r="C1052" s="466"/>
      <c r="D1052" s="466"/>
      <c r="E1052" s="467"/>
      <c r="F1052" s="466"/>
      <c r="G1052" s="466"/>
      <c r="H1052" s="466"/>
      <c r="I1052" s="467"/>
      <c r="J1052" s="466"/>
      <c r="K1052" s="466"/>
      <c r="L1052" s="466"/>
      <c r="M1052" s="352"/>
    </row>
    <row r="1053" spans="1:13" x14ac:dyDescent="0.25">
      <c r="A1053" s="348"/>
      <c r="B1053" s="466"/>
      <c r="C1053" s="466"/>
      <c r="D1053" s="466"/>
      <c r="E1053" s="467"/>
      <c r="F1053" s="466"/>
      <c r="G1053" s="466"/>
      <c r="H1053" s="466"/>
      <c r="I1053" s="467"/>
      <c r="J1053" s="466"/>
      <c r="K1053" s="466"/>
      <c r="L1053" s="466"/>
      <c r="M1053" s="352"/>
    </row>
    <row r="1054" spans="1:13" x14ac:dyDescent="0.25">
      <c r="A1054" s="348"/>
      <c r="B1054" s="466"/>
      <c r="C1054" s="466"/>
      <c r="D1054" s="466"/>
      <c r="E1054" s="467"/>
      <c r="F1054" s="466"/>
      <c r="G1054" s="466"/>
      <c r="H1054" s="466"/>
      <c r="I1054" s="467"/>
      <c r="J1054" s="466"/>
      <c r="K1054" s="466"/>
      <c r="L1054" s="466"/>
      <c r="M1054" s="352"/>
    </row>
    <row r="1055" spans="1:13" x14ac:dyDescent="0.25">
      <c r="A1055" s="348"/>
      <c r="B1055" s="467"/>
      <c r="C1055" s="467"/>
      <c r="D1055" s="467"/>
      <c r="E1055" s="467"/>
      <c r="F1055" s="467"/>
      <c r="G1055" s="467"/>
      <c r="H1055" s="467"/>
      <c r="I1055" s="467"/>
      <c r="J1055" s="467"/>
      <c r="K1055" s="467"/>
      <c r="L1055" s="467"/>
      <c r="M1055" s="352"/>
    </row>
    <row r="1056" spans="1:13" x14ac:dyDescent="0.25">
      <c r="A1056" s="348"/>
      <c r="B1056" s="348"/>
      <c r="C1056" s="348"/>
      <c r="D1056" s="348"/>
      <c r="E1056" s="348"/>
      <c r="F1056" s="348"/>
      <c r="G1056" s="348"/>
      <c r="H1056" s="348"/>
      <c r="I1056" s="348"/>
      <c r="J1056" s="348"/>
      <c r="K1056" s="348"/>
      <c r="L1056" s="353"/>
      <c r="M1056" s="352"/>
    </row>
    <row r="1057" spans="1:13" x14ac:dyDescent="0.25">
      <c r="A1057" s="348"/>
      <c r="B1057" s="348"/>
      <c r="C1057" s="348"/>
      <c r="D1057" s="348"/>
      <c r="E1057" s="348"/>
      <c r="F1057" s="348"/>
      <c r="G1057" s="348"/>
      <c r="H1057" s="348"/>
      <c r="I1057" s="348"/>
      <c r="J1057" s="348"/>
      <c r="K1057" s="348"/>
      <c r="L1057" s="410"/>
      <c r="M1057" s="352"/>
    </row>
    <row r="1058" spans="1:13" x14ac:dyDescent="0.25">
      <c r="A1058" s="374"/>
      <c r="B1058" s="354"/>
      <c r="C1058" s="354"/>
      <c r="D1058" s="354"/>
      <c r="E1058" s="354"/>
      <c r="F1058" s="354"/>
      <c r="G1058" s="354"/>
      <c r="H1058" s="354"/>
      <c r="I1058" s="354"/>
      <c r="J1058" s="354"/>
      <c r="K1058" s="354"/>
      <c r="L1058" s="352"/>
      <c r="M1058" s="352"/>
    </row>
    <row r="1059" spans="1:13" x14ac:dyDescent="0.25">
      <c r="A1059" s="354"/>
      <c r="B1059" s="515"/>
      <c r="C1059" s="515"/>
      <c r="D1059" s="515"/>
      <c r="E1059" s="369"/>
      <c r="F1059" s="515"/>
      <c r="G1059" s="515"/>
      <c r="H1059" s="515"/>
      <c r="I1059" s="369"/>
      <c r="J1059" s="515"/>
      <c r="K1059" s="515"/>
      <c r="L1059" s="515"/>
      <c r="M1059" s="352"/>
    </row>
    <row r="1060" spans="1:13" x14ac:dyDescent="0.25">
      <c r="A1060" s="374"/>
      <c r="B1060" s="375"/>
      <c r="C1060" s="375"/>
      <c r="D1060" s="375"/>
      <c r="E1060" s="375"/>
      <c r="F1060" s="375"/>
      <c r="G1060" s="375"/>
      <c r="H1060" s="375"/>
      <c r="I1060" s="375"/>
      <c r="J1060" s="375"/>
      <c r="K1060" s="375"/>
      <c r="L1060" s="375"/>
      <c r="M1060" s="352"/>
    </row>
    <row r="1061" spans="1:13" x14ac:dyDescent="0.25">
      <c r="A1061" s="374"/>
      <c r="B1061" s="375"/>
      <c r="C1061" s="375"/>
      <c r="D1061" s="375"/>
      <c r="E1061" s="375"/>
      <c r="F1061" s="375"/>
      <c r="G1061" s="375"/>
      <c r="H1061" s="375"/>
      <c r="I1061" s="375"/>
      <c r="J1061" s="375"/>
      <c r="K1061" s="375"/>
      <c r="L1061" s="375"/>
      <c r="M1061" s="352"/>
    </row>
    <row r="1062" spans="1:13" x14ac:dyDescent="0.25">
      <c r="A1062" s="348"/>
      <c r="B1062" s="466"/>
      <c r="C1062" s="466"/>
      <c r="D1062" s="466"/>
      <c r="E1062" s="467"/>
      <c r="F1062" s="466"/>
      <c r="G1062" s="466"/>
      <c r="H1062" s="466"/>
      <c r="I1062" s="467"/>
      <c r="J1062" s="466"/>
      <c r="K1062" s="466"/>
      <c r="L1062" s="466"/>
      <c r="M1062" s="352"/>
    </row>
    <row r="1063" spans="1:13" x14ac:dyDescent="0.25">
      <c r="A1063" s="348"/>
      <c r="B1063" s="466"/>
      <c r="C1063" s="466"/>
      <c r="D1063" s="466"/>
      <c r="E1063" s="467"/>
      <c r="F1063" s="466"/>
      <c r="G1063" s="466"/>
      <c r="H1063" s="466"/>
      <c r="I1063" s="467"/>
      <c r="J1063" s="466"/>
      <c r="K1063" s="466"/>
      <c r="L1063" s="466"/>
      <c r="M1063" s="352"/>
    </row>
    <row r="1064" spans="1:13" x14ac:dyDescent="0.25">
      <c r="A1064" s="348"/>
      <c r="B1064" s="466"/>
      <c r="C1064" s="466"/>
      <c r="D1064" s="466"/>
      <c r="E1064" s="467"/>
      <c r="F1064" s="466"/>
      <c r="G1064" s="466"/>
      <c r="H1064" s="466"/>
      <c r="I1064" s="467"/>
      <c r="J1064" s="466"/>
      <c r="K1064" s="466"/>
      <c r="L1064" s="466"/>
      <c r="M1064" s="352"/>
    </row>
    <row r="1065" spans="1:13" x14ac:dyDescent="0.25">
      <c r="A1065" s="348"/>
      <c r="B1065" s="466"/>
      <c r="C1065" s="466"/>
      <c r="D1065" s="466"/>
      <c r="E1065" s="467"/>
      <c r="F1065" s="466"/>
      <c r="G1065" s="466"/>
      <c r="H1065" s="466"/>
      <c r="I1065" s="467"/>
      <c r="J1065" s="466"/>
      <c r="K1065" s="466"/>
      <c r="L1065" s="466"/>
      <c r="M1065" s="352"/>
    </row>
    <row r="1066" spans="1:13" x14ac:dyDescent="0.25">
      <c r="A1066" s="348"/>
      <c r="B1066" s="466"/>
      <c r="C1066" s="466"/>
      <c r="D1066" s="466"/>
      <c r="E1066" s="467"/>
      <c r="F1066" s="466"/>
      <c r="G1066" s="466"/>
      <c r="H1066" s="466"/>
      <c r="I1066" s="467"/>
      <c r="J1066" s="466"/>
      <c r="K1066" s="466"/>
      <c r="L1066" s="466"/>
      <c r="M1066" s="352"/>
    </row>
    <row r="1067" spans="1:13" x14ac:dyDescent="0.25">
      <c r="A1067" s="348"/>
      <c r="B1067" s="466"/>
      <c r="C1067" s="466"/>
      <c r="D1067" s="466"/>
      <c r="E1067" s="467"/>
      <c r="F1067" s="466"/>
      <c r="G1067" s="466"/>
      <c r="H1067" s="466"/>
      <c r="I1067" s="467"/>
      <c r="J1067" s="466"/>
      <c r="K1067" s="466"/>
      <c r="L1067" s="466"/>
      <c r="M1067" s="352"/>
    </row>
    <row r="1068" spans="1:13" x14ac:dyDescent="0.25">
      <c r="A1068" s="348"/>
      <c r="B1068" s="466"/>
      <c r="C1068" s="466"/>
      <c r="D1068" s="466"/>
      <c r="E1068" s="467"/>
      <c r="F1068" s="466"/>
      <c r="G1068" s="466"/>
      <c r="H1068" s="466"/>
      <c r="I1068" s="467"/>
      <c r="J1068" s="466"/>
      <c r="K1068" s="466"/>
      <c r="L1068" s="466"/>
      <c r="M1068" s="352"/>
    </row>
    <row r="1069" spans="1:13" x14ac:dyDescent="0.25">
      <c r="A1069" s="348"/>
      <c r="B1069" s="466"/>
      <c r="C1069" s="466"/>
      <c r="D1069" s="466"/>
      <c r="E1069" s="467"/>
      <c r="F1069" s="466"/>
      <c r="G1069" s="466"/>
      <c r="H1069" s="466"/>
      <c r="I1069" s="467"/>
      <c r="J1069" s="466"/>
      <c r="K1069" s="466"/>
      <c r="L1069" s="466"/>
      <c r="M1069" s="352"/>
    </row>
    <row r="1070" spans="1:13" x14ac:dyDescent="0.25">
      <c r="A1070" s="348"/>
      <c r="B1070" s="466"/>
      <c r="C1070" s="466"/>
      <c r="D1070" s="466"/>
      <c r="E1070" s="467"/>
      <c r="F1070" s="466"/>
      <c r="G1070" s="466"/>
      <c r="H1070" s="466"/>
      <c r="I1070" s="467"/>
      <c r="J1070" s="466"/>
      <c r="K1070" s="466"/>
      <c r="L1070" s="466"/>
      <c r="M1070" s="352"/>
    </row>
    <row r="1071" spans="1:13" x14ac:dyDescent="0.25">
      <c r="A1071" s="348"/>
      <c r="B1071" s="466"/>
      <c r="C1071" s="466"/>
      <c r="D1071" s="466"/>
      <c r="E1071" s="467"/>
      <c r="F1071" s="466"/>
      <c r="G1071" s="466"/>
      <c r="H1071" s="466"/>
      <c r="I1071" s="467"/>
      <c r="J1071" s="466"/>
      <c r="K1071" s="466"/>
      <c r="L1071" s="466"/>
      <c r="M1071" s="352"/>
    </row>
    <row r="1072" spans="1:13" x14ac:dyDescent="0.25">
      <c r="A1072" s="348"/>
      <c r="B1072" s="467"/>
      <c r="C1072" s="467"/>
      <c r="D1072" s="467"/>
      <c r="E1072" s="467"/>
      <c r="F1072" s="467"/>
      <c r="G1072" s="467"/>
      <c r="H1072" s="467"/>
      <c r="I1072" s="467"/>
      <c r="J1072" s="467"/>
      <c r="K1072" s="467"/>
      <c r="L1072" s="467"/>
      <c r="M1072" s="352"/>
    </row>
    <row r="1073" spans="1:13" x14ac:dyDescent="0.25">
      <c r="A1073" s="348"/>
      <c r="B1073" s="348"/>
      <c r="C1073" s="348"/>
      <c r="D1073" s="348"/>
      <c r="E1073" s="348"/>
      <c r="F1073" s="348"/>
      <c r="G1073" s="348"/>
      <c r="H1073" s="348"/>
      <c r="I1073" s="348"/>
      <c r="J1073" s="348"/>
      <c r="K1073" s="348"/>
      <c r="L1073" s="353"/>
      <c r="M1073" s="352"/>
    </row>
    <row r="1074" spans="1:13" x14ac:dyDescent="0.25">
      <c r="A1074" s="348"/>
      <c r="B1074" s="348"/>
      <c r="C1074" s="348"/>
      <c r="D1074" s="348"/>
      <c r="E1074" s="348"/>
      <c r="F1074" s="348"/>
      <c r="G1074" s="348"/>
      <c r="H1074" s="348"/>
      <c r="I1074" s="348"/>
      <c r="J1074" s="348"/>
      <c r="K1074" s="348"/>
      <c r="L1074" s="410"/>
      <c r="M1074" s="352"/>
    </row>
    <row r="1075" spans="1:13" x14ac:dyDescent="0.25">
      <c r="A1075" s="374"/>
      <c r="B1075" s="354"/>
      <c r="C1075" s="354"/>
      <c r="D1075" s="354"/>
      <c r="E1075" s="354"/>
      <c r="F1075" s="354"/>
      <c r="G1075" s="354"/>
      <c r="H1075" s="354"/>
      <c r="I1075" s="354"/>
      <c r="J1075" s="354"/>
      <c r="K1075" s="354"/>
      <c r="L1075" s="352"/>
      <c r="M1075" s="352"/>
    </row>
    <row r="1076" spans="1:13" x14ac:dyDescent="0.25">
      <c r="A1076" s="354"/>
      <c r="B1076" s="515"/>
      <c r="C1076" s="515"/>
      <c r="D1076" s="515"/>
      <c r="E1076" s="369"/>
      <c r="F1076" s="515"/>
      <c r="G1076" s="515"/>
      <c r="H1076" s="515"/>
      <c r="I1076" s="369"/>
      <c r="J1076" s="515"/>
      <c r="K1076" s="515"/>
      <c r="L1076" s="515"/>
      <c r="M1076" s="352"/>
    </row>
    <row r="1077" spans="1:13" x14ac:dyDescent="0.25">
      <c r="A1077" s="374"/>
      <c r="B1077" s="375"/>
      <c r="C1077" s="375"/>
      <c r="D1077" s="375"/>
      <c r="E1077" s="375"/>
      <c r="F1077" s="375"/>
      <c r="G1077" s="375"/>
      <c r="H1077" s="375"/>
      <c r="I1077" s="375"/>
      <c r="J1077" s="375"/>
      <c r="K1077" s="375"/>
      <c r="L1077" s="375"/>
      <c r="M1077" s="352"/>
    </row>
    <row r="1078" spans="1:13" x14ac:dyDescent="0.25">
      <c r="A1078" s="374"/>
      <c r="B1078" s="375"/>
      <c r="C1078" s="375"/>
      <c r="D1078" s="375"/>
      <c r="E1078" s="375"/>
      <c r="F1078" s="375"/>
      <c r="G1078" s="375"/>
      <c r="H1078" s="375"/>
      <c r="I1078" s="375"/>
      <c r="J1078" s="375"/>
      <c r="K1078" s="375"/>
      <c r="L1078" s="375"/>
      <c r="M1078" s="352"/>
    </row>
    <row r="1079" spans="1:13" x14ac:dyDescent="0.25">
      <c r="A1079" s="348"/>
      <c r="B1079" s="466"/>
      <c r="C1079" s="466"/>
      <c r="D1079" s="466"/>
      <c r="E1079" s="467"/>
      <c r="F1079" s="466"/>
      <c r="G1079" s="466"/>
      <c r="H1079" s="466"/>
      <c r="I1079" s="467"/>
      <c r="J1079" s="466"/>
      <c r="K1079" s="466"/>
      <c r="L1079" s="466"/>
      <c r="M1079" s="352"/>
    </row>
    <row r="1080" spans="1:13" x14ac:dyDescent="0.25">
      <c r="A1080" s="348"/>
      <c r="B1080" s="466"/>
      <c r="C1080" s="466"/>
      <c r="D1080" s="466"/>
      <c r="E1080" s="467"/>
      <c r="F1080" s="466"/>
      <c r="G1080" s="466"/>
      <c r="H1080" s="466"/>
      <c r="I1080" s="467"/>
      <c r="J1080" s="466"/>
      <c r="K1080" s="466"/>
      <c r="L1080" s="466"/>
      <c r="M1080" s="352"/>
    </row>
    <row r="1081" spans="1:13" x14ac:dyDescent="0.25">
      <c r="A1081" s="348"/>
      <c r="B1081" s="466"/>
      <c r="C1081" s="466"/>
      <c r="D1081" s="466"/>
      <c r="E1081" s="467"/>
      <c r="F1081" s="466"/>
      <c r="G1081" s="466"/>
      <c r="H1081" s="466"/>
      <c r="I1081" s="467"/>
      <c r="J1081" s="466"/>
      <c r="K1081" s="466"/>
      <c r="L1081" s="466"/>
      <c r="M1081" s="352"/>
    </row>
    <row r="1082" spans="1:13" x14ac:dyDescent="0.25">
      <c r="A1082" s="348"/>
      <c r="B1082" s="466"/>
      <c r="C1082" s="466"/>
      <c r="D1082" s="466"/>
      <c r="E1082" s="467"/>
      <c r="F1082" s="466"/>
      <c r="G1082" s="466"/>
      <c r="H1082" s="466"/>
      <c r="I1082" s="467"/>
      <c r="J1082" s="466"/>
      <c r="K1082" s="466"/>
      <c r="L1082" s="466"/>
      <c r="M1082" s="352"/>
    </row>
    <row r="1083" spans="1:13" x14ac:dyDescent="0.25">
      <c r="A1083" s="348"/>
      <c r="B1083" s="466"/>
      <c r="C1083" s="466"/>
      <c r="D1083" s="466"/>
      <c r="E1083" s="467"/>
      <c r="F1083" s="466"/>
      <c r="G1083" s="466"/>
      <c r="H1083" s="466"/>
      <c r="I1083" s="467"/>
      <c r="J1083" s="466"/>
      <c r="K1083" s="466"/>
      <c r="L1083" s="466"/>
      <c r="M1083" s="352"/>
    </row>
    <row r="1084" spans="1:13" x14ac:dyDescent="0.25">
      <c r="A1084" s="348"/>
      <c r="B1084" s="466"/>
      <c r="C1084" s="466"/>
      <c r="D1084" s="466"/>
      <c r="E1084" s="467"/>
      <c r="F1084" s="466"/>
      <c r="G1084" s="466"/>
      <c r="H1084" s="466"/>
      <c r="I1084" s="467"/>
      <c r="J1084" s="466"/>
      <c r="K1084" s="466"/>
      <c r="L1084" s="466"/>
      <c r="M1084" s="352"/>
    </row>
    <row r="1085" spans="1:13" x14ac:dyDescent="0.25">
      <c r="A1085" s="348"/>
      <c r="B1085" s="466"/>
      <c r="C1085" s="466"/>
      <c r="D1085" s="466"/>
      <c r="E1085" s="467"/>
      <c r="F1085" s="466"/>
      <c r="G1085" s="466"/>
      <c r="H1085" s="466"/>
      <c r="I1085" s="467"/>
      <c r="J1085" s="466"/>
      <c r="K1085" s="466"/>
      <c r="L1085" s="466"/>
      <c r="M1085" s="352"/>
    </row>
    <row r="1086" spans="1:13" x14ac:dyDescent="0.25">
      <c r="A1086" s="348"/>
      <c r="B1086" s="466"/>
      <c r="C1086" s="466"/>
      <c r="D1086" s="466"/>
      <c r="E1086" s="467"/>
      <c r="F1086" s="466"/>
      <c r="G1086" s="466"/>
      <c r="H1086" s="466"/>
      <c r="I1086" s="467"/>
      <c r="J1086" s="466"/>
      <c r="K1086" s="466"/>
      <c r="L1086" s="466"/>
      <c r="M1086" s="352"/>
    </row>
    <row r="1087" spans="1:13" x14ac:dyDescent="0.25">
      <c r="A1087" s="348"/>
      <c r="B1087" s="466"/>
      <c r="C1087" s="466"/>
      <c r="D1087" s="466"/>
      <c r="E1087" s="467"/>
      <c r="F1087" s="466"/>
      <c r="G1087" s="466"/>
      <c r="H1087" s="466"/>
      <c r="I1087" s="467"/>
      <c r="J1087" s="466"/>
      <c r="K1087" s="466"/>
      <c r="L1087" s="466"/>
      <c r="M1087" s="352"/>
    </row>
    <row r="1088" spans="1:13" x14ac:dyDescent="0.25">
      <c r="A1088" s="348"/>
      <c r="B1088" s="466"/>
      <c r="C1088" s="466"/>
      <c r="D1088" s="466"/>
      <c r="E1088" s="467"/>
      <c r="F1088" s="466"/>
      <c r="G1088" s="466"/>
      <c r="H1088" s="466"/>
      <c r="I1088" s="467"/>
      <c r="J1088" s="466"/>
      <c r="K1088" s="466"/>
      <c r="L1088" s="466"/>
      <c r="M1088" s="352"/>
    </row>
    <row r="1089" spans="1:13" x14ac:dyDescent="0.25">
      <c r="A1089" s="348"/>
      <c r="B1089" s="467"/>
      <c r="C1089" s="467"/>
      <c r="D1089" s="467"/>
      <c r="E1089" s="467"/>
      <c r="F1089" s="467"/>
      <c r="G1089" s="467"/>
      <c r="H1089" s="467"/>
      <c r="I1089" s="467"/>
      <c r="J1089" s="467"/>
      <c r="K1089" s="467"/>
      <c r="L1089" s="467"/>
      <c r="M1089" s="352"/>
    </row>
    <row r="1090" spans="1:13" x14ac:dyDescent="0.25">
      <c r="A1090" s="348"/>
      <c r="B1090" s="348"/>
      <c r="C1090" s="348"/>
      <c r="D1090" s="348"/>
      <c r="E1090" s="348"/>
      <c r="F1090" s="348"/>
      <c r="G1090" s="348"/>
      <c r="H1090" s="348"/>
      <c r="I1090" s="348"/>
      <c r="J1090" s="348"/>
      <c r="K1090" s="348"/>
      <c r="L1090" s="353"/>
      <c r="M1090" s="352"/>
    </row>
    <row r="1091" spans="1:13" x14ac:dyDescent="0.25">
      <c r="A1091" s="348"/>
      <c r="B1091" s="348"/>
      <c r="C1091" s="348"/>
      <c r="D1091" s="348"/>
      <c r="E1091" s="348"/>
      <c r="F1091" s="348"/>
      <c r="G1091" s="348"/>
      <c r="H1091" s="348"/>
      <c r="I1091" s="348"/>
      <c r="J1091" s="348"/>
      <c r="K1091" s="348"/>
      <c r="L1091" s="410"/>
      <c r="M1091" s="352"/>
    </row>
    <row r="1092" spans="1:13" x14ac:dyDescent="0.25">
      <c r="A1092" s="374"/>
      <c r="B1092" s="354"/>
      <c r="C1092" s="354"/>
      <c r="D1092" s="354"/>
      <c r="E1092" s="354"/>
      <c r="F1092" s="354"/>
      <c r="G1092" s="354"/>
      <c r="H1092" s="354"/>
      <c r="I1092" s="354"/>
      <c r="J1092" s="354"/>
      <c r="K1092" s="354"/>
      <c r="L1092" s="352"/>
      <c r="M1092" s="352"/>
    </row>
    <row r="1093" spans="1:13" x14ac:dyDescent="0.25">
      <c r="A1093" s="354"/>
      <c r="B1093" s="515"/>
      <c r="C1093" s="515"/>
      <c r="D1093" s="515"/>
      <c r="E1093" s="369"/>
      <c r="F1093" s="515"/>
      <c r="G1093" s="515"/>
      <c r="H1093" s="515"/>
      <c r="I1093" s="369"/>
      <c r="J1093" s="515"/>
      <c r="K1093" s="515"/>
      <c r="L1093" s="515"/>
      <c r="M1093" s="352"/>
    </row>
    <row r="1094" spans="1:13" x14ac:dyDescent="0.25">
      <c r="A1094" s="374"/>
      <c r="B1094" s="375"/>
      <c r="C1094" s="375"/>
      <c r="D1094" s="375"/>
      <c r="E1094" s="375"/>
      <c r="F1094" s="375"/>
      <c r="G1094" s="375"/>
      <c r="H1094" s="375"/>
      <c r="I1094" s="375"/>
      <c r="J1094" s="375"/>
      <c r="K1094" s="375"/>
      <c r="L1094" s="375"/>
      <c r="M1094" s="352"/>
    </row>
    <row r="1095" spans="1:13" x14ac:dyDescent="0.25">
      <c r="A1095" s="374"/>
      <c r="B1095" s="375"/>
      <c r="C1095" s="375"/>
      <c r="D1095" s="375"/>
      <c r="E1095" s="375"/>
      <c r="F1095" s="375"/>
      <c r="G1095" s="375"/>
      <c r="H1095" s="375"/>
      <c r="I1095" s="375"/>
      <c r="J1095" s="375"/>
      <c r="K1095" s="375"/>
      <c r="L1095" s="375"/>
      <c r="M1095" s="352"/>
    </row>
    <row r="1096" spans="1:13" x14ac:dyDescent="0.25">
      <c r="A1096" s="348"/>
      <c r="B1096" s="466"/>
      <c r="C1096" s="466"/>
      <c r="D1096" s="466"/>
      <c r="E1096" s="467"/>
      <c r="F1096" s="466"/>
      <c r="G1096" s="466"/>
      <c r="H1096" s="466"/>
      <c r="I1096" s="467"/>
      <c r="J1096" s="466"/>
      <c r="K1096" s="466"/>
      <c r="L1096" s="466"/>
      <c r="M1096" s="352"/>
    </row>
    <row r="1097" spans="1:13" x14ac:dyDescent="0.25">
      <c r="A1097" s="348"/>
      <c r="B1097" s="466"/>
      <c r="C1097" s="466"/>
      <c r="D1097" s="466"/>
      <c r="E1097" s="467"/>
      <c r="F1097" s="466"/>
      <c r="G1097" s="466"/>
      <c r="H1097" s="466"/>
      <c r="I1097" s="467"/>
      <c r="J1097" s="466"/>
      <c r="K1097" s="466"/>
      <c r="L1097" s="466"/>
      <c r="M1097" s="352"/>
    </row>
    <row r="1098" spans="1:13" x14ac:dyDescent="0.25">
      <c r="A1098" s="348"/>
      <c r="B1098" s="466"/>
      <c r="C1098" s="466"/>
      <c r="D1098" s="466"/>
      <c r="E1098" s="467"/>
      <c r="F1098" s="466"/>
      <c r="G1098" s="466"/>
      <c r="H1098" s="466"/>
      <c r="I1098" s="467"/>
      <c r="J1098" s="466"/>
      <c r="K1098" s="466"/>
      <c r="L1098" s="466"/>
      <c r="M1098" s="352"/>
    </row>
    <row r="1099" spans="1:13" x14ac:dyDescent="0.25">
      <c r="A1099" s="348"/>
      <c r="B1099" s="466"/>
      <c r="C1099" s="466"/>
      <c r="D1099" s="466"/>
      <c r="E1099" s="467"/>
      <c r="F1099" s="466"/>
      <c r="G1099" s="466"/>
      <c r="H1099" s="466"/>
      <c r="I1099" s="467"/>
      <c r="J1099" s="466"/>
      <c r="K1099" s="466"/>
      <c r="L1099" s="466"/>
      <c r="M1099" s="352"/>
    </row>
    <row r="1100" spans="1:13" x14ac:dyDescent="0.25">
      <c r="A1100" s="348"/>
      <c r="B1100" s="466"/>
      <c r="C1100" s="466"/>
      <c r="D1100" s="466"/>
      <c r="E1100" s="467"/>
      <c r="F1100" s="466"/>
      <c r="G1100" s="466"/>
      <c r="H1100" s="466"/>
      <c r="I1100" s="467"/>
      <c r="J1100" s="466"/>
      <c r="K1100" s="466"/>
      <c r="L1100" s="466"/>
      <c r="M1100" s="352"/>
    </row>
    <row r="1101" spans="1:13" x14ac:dyDescent="0.25">
      <c r="A1101" s="348"/>
      <c r="B1101" s="466"/>
      <c r="C1101" s="466"/>
      <c r="D1101" s="466"/>
      <c r="E1101" s="467"/>
      <c r="F1101" s="466"/>
      <c r="G1101" s="466"/>
      <c r="H1101" s="466"/>
      <c r="I1101" s="467"/>
      <c r="J1101" s="466"/>
      <c r="K1101" s="466"/>
      <c r="L1101" s="466"/>
      <c r="M1101" s="352"/>
    </row>
    <row r="1102" spans="1:13" x14ac:dyDescent="0.25">
      <c r="A1102" s="348"/>
      <c r="B1102" s="466"/>
      <c r="C1102" s="466"/>
      <c r="D1102" s="466"/>
      <c r="E1102" s="467"/>
      <c r="F1102" s="466"/>
      <c r="G1102" s="466"/>
      <c r="H1102" s="466"/>
      <c r="I1102" s="467"/>
      <c r="J1102" s="466"/>
      <c r="K1102" s="466"/>
      <c r="L1102" s="466"/>
      <c r="M1102" s="352"/>
    </row>
    <row r="1103" spans="1:13" x14ac:dyDescent="0.25">
      <c r="A1103" s="348"/>
      <c r="B1103" s="466"/>
      <c r="C1103" s="466"/>
      <c r="D1103" s="466"/>
      <c r="E1103" s="467"/>
      <c r="F1103" s="466"/>
      <c r="G1103" s="466"/>
      <c r="H1103" s="466"/>
      <c r="I1103" s="467"/>
      <c r="J1103" s="466"/>
      <c r="K1103" s="466"/>
      <c r="L1103" s="466"/>
      <c r="M1103" s="352"/>
    </row>
    <row r="1104" spans="1:13" x14ac:dyDescent="0.25">
      <c r="A1104" s="348"/>
      <c r="B1104" s="466"/>
      <c r="C1104" s="466"/>
      <c r="D1104" s="466"/>
      <c r="E1104" s="467"/>
      <c r="F1104" s="466"/>
      <c r="G1104" s="466"/>
      <c r="H1104" s="466"/>
      <c r="I1104" s="467"/>
      <c r="J1104" s="466"/>
      <c r="K1104" s="466"/>
      <c r="L1104" s="466"/>
      <c r="M1104" s="352"/>
    </row>
    <row r="1105" spans="1:13" x14ac:dyDescent="0.25">
      <c r="A1105" s="348"/>
      <c r="B1105" s="466"/>
      <c r="C1105" s="466"/>
      <c r="D1105" s="466"/>
      <c r="E1105" s="467"/>
      <c r="F1105" s="466"/>
      <c r="G1105" s="466"/>
      <c r="H1105" s="466"/>
      <c r="I1105" s="467"/>
      <c r="J1105" s="466"/>
      <c r="K1105" s="466"/>
      <c r="L1105" s="466"/>
      <c r="M1105" s="352"/>
    </row>
    <row r="1106" spans="1:13" x14ac:dyDescent="0.25">
      <c r="A1106" s="348"/>
      <c r="B1106" s="467"/>
      <c r="C1106" s="467"/>
      <c r="D1106" s="467"/>
      <c r="E1106" s="467"/>
      <c r="F1106" s="467"/>
      <c r="G1106" s="467"/>
      <c r="H1106" s="467"/>
      <c r="I1106" s="467"/>
      <c r="J1106" s="467"/>
      <c r="K1106" s="467"/>
      <c r="L1106" s="467"/>
      <c r="M1106" s="352"/>
    </row>
    <row r="1107" spans="1:13" x14ac:dyDescent="0.25">
      <c r="A1107" s="348"/>
      <c r="B1107" s="348"/>
      <c r="C1107" s="348"/>
      <c r="D1107" s="348"/>
      <c r="E1107" s="348"/>
      <c r="F1107" s="348"/>
      <c r="G1107" s="348"/>
      <c r="H1107" s="348"/>
      <c r="I1107" s="348"/>
      <c r="J1107" s="348"/>
      <c r="K1107" s="348"/>
      <c r="L1107" s="353"/>
      <c r="M1107" s="352"/>
    </row>
    <row r="1108" spans="1:13" x14ac:dyDescent="0.25">
      <c r="A1108" s="348"/>
      <c r="B1108" s="348"/>
      <c r="C1108" s="348"/>
      <c r="D1108" s="348"/>
      <c r="E1108" s="348"/>
      <c r="F1108" s="348"/>
      <c r="G1108" s="348"/>
      <c r="H1108" s="348"/>
      <c r="I1108" s="348"/>
      <c r="J1108" s="348"/>
      <c r="K1108" s="348"/>
      <c r="L1108" s="410"/>
      <c r="M1108" s="352"/>
    </row>
    <row r="1109" spans="1:13" x14ac:dyDescent="0.25">
      <c r="A1109" s="374"/>
      <c r="B1109" s="354"/>
      <c r="C1109" s="354"/>
      <c r="D1109" s="354"/>
      <c r="E1109" s="354"/>
      <c r="F1109" s="354"/>
      <c r="G1109" s="354"/>
      <c r="H1109" s="354"/>
      <c r="I1109" s="354"/>
      <c r="J1109" s="354"/>
      <c r="K1109" s="354"/>
      <c r="L1109" s="352"/>
      <c r="M1109" s="352"/>
    </row>
    <row r="1110" spans="1:13" x14ac:dyDescent="0.25">
      <c r="A1110" s="354"/>
      <c r="B1110" s="515"/>
      <c r="C1110" s="515"/>
      <c r="D1110" s="515"/>
      <c r="E1110" s="369"/>
      <c r="F1110" s="515"/>
      <c r="G1110" s="515"/>
      <c r="H1110" s="515"/>
      <c r="I1110" s="369"/>
      <c r="J1110" s="515"/>
      <c r="K1110" s="515"/>
      <c r="L1110" s="515"/>
      <c r="M1110" s="352"/>
    </row>
    <row r="1111" spans="1:13" x14ac:dyDescent="0.25">
      <c r="A1111" s="374"/>
      <c r="B1111" s="375"/>
      <c r="C1111" s="375"/>
      <c r="D1111" s="375"/>
      <c r="E1111" s="375"/>
      <c r="F1111" s="375"/>
      <c r="G1111" s="375"/>
      <c r="H1111" s="375"/>
      <c r="I1111" s="375"/>
      <c r="J1111" s="375"/>
      <c r="K1111" s="375"/>
      <c r="L1111" s="375"/>
      <c r="M1111" s="352"/>
    </row>
    <row r="1112" spans="1:13" x14ac:dyDescent="0.25">
      <c r="A1112" s="374"/>
      <c r="B1112" s="375"/>
      <c r="C1112" s="375"/>
      <c r="D1112" s="375"/>
      <c r="E1112" s="375"/>
      <c r="F1112" s="375"/>
      <c r="G1112" s="375"/>
      <c r="H1112" s="375"/>
      <c r="I1112" s="375"/>
      <c r="J1112" s="375"/>
      <c r="K1112" s="375"/>
      <c r="L1112" s="375"/>
      <c r="M1112" s="352"/>
    </row>
    <row r="1113" spans="1:13" x14ac:dyDescent="0.25">
      <c r="A1113" s="348"/>
      <c r="B1113" s="466"/>
      <c r="C1113" s="466"/>
      <c r="D1113" s="466"/>
      <c r="E1113" s="467"/>
      <c r="F1113" s="466"/>
      <c r="G1113" s="466"/>
      <c r="H1113" s="466"/>
      <c r="I1113" s="467"/>
      <c r="J1113" s="466"/>
      <c r="K1113" s="466"/>
      <c r="L1113" s="466"/>
      <c r="M1113" s="352"/>
    </row>
    <row r="1114" spans="1:13" x14ac:dyDescent="0.25">
      <c r="A1114" s="348"/>
      <c r="B1114" s="466"/>
      <c r="C1114" s="466"/>
      <c r="D1114" s="466"/>
      <c r="E1114" s="467"/>
      <c r="F1114" s="466"/>
      <c r="G1114" s="466"/>
      <c r="H1114" s="466"/>
      <c r="I1114" s="467"/>
      <c r="J1114" s="466"/>
      <c r="K1114" s="466"/>
      <c r="L1114" s="466"/>
      <c r="M1114" s="352"/>
    </row>
    <row r="1115" spans="1:13" x14ac:dyDescent="0.25">
      <c r="A1115" s="348"/>
      <c r="B1115" s="466"/>
      <c r="C1115" s="466"/>
      <c r="D1115" s="466"/>
      <c r="E1115" s="467"/>
      <c r="F1115" s="466"/>
      <c r="G1115" s="466"/>
      <c r="H1115" s="466"/>
      <c r="I1115" s="467"/>
      <c r="J1115" s="466"/>
      <c r="K1115" s="466"/>
      <c r="L1115" s="466"/>
      <c r="M1115" s="352"/>
    </row>
    <row r="1116" spans="1:13" x14ac:dyDescent="0.25">
      <c r="A1116" s="348"/>
      <c r="B1116" s="466"/>
      <c r="C1116" s="466"/>
      <c r="D1116" s="466"/>
      <c r="E1116" s="467"/>
      <c r="F1116" s="466"/>
      <c r="G1116" s="466"/>
      <c r="H1116" s="466"/>
      <c r="I1116" s="467"/>
      <c r="J1116" s="466"/>
      <c r="K1116" s="466"/>
      <c r="L1116" s="466"/>
      <c r="M1116" s="352"/>
    </row>
    <row r="1117" spans="1:13" x14ac:dyDescent="0.25">
      <c r="A1117" s="348"/>
      <c r="B1117" s="466"/>
      <c r="C1117" s="466"/>
      <c r="D1117" s="466"/>
      <c r="E1117" s="467"/>
      <c r="F1117" s="466"/>
      <c r="G1117" s="466"/>
      <c r="H1117" s="466"/>
      <c r="I1117" s="467"/>
      <c r="J1117" s="466"/>
      <c r="K1117" s="466"/>
      <c r="L1117" s="466"/>
      <c r="M1117" s="352"/>
    </row>
    <row r="1118" spans="1:13" x14ac:dyDescent="0.25">
      <c r="A1118" s="348"/>
      <c r="B1118" s="466"/>
      <c r="C1118" s="466"/>
      <c r="D1118" s="466"/>
      <c r="E1118" s="467"/>
      <c r="F1118" s="466"/>
      <c r="G1118" s="466"/>
      <c r="H1118" s="466"/>
      <c r="I1118" s="467"/>
      <c r="J1118" s="466"/>
      <c r="K1118" s="466"/>
      <c r="L1118" s="466"/>
      <c r="M1118" s="352"/>
    </row>
    <row r="1119" spans="1:13" x14ac:dyDescent="0.25">
      <c r="A1119" s="348"/>
      <c r="B1119" s="466"/>
      <c r="C1119" s="466"/>
      <c r="D1119" s="466"/>
      <c r="E1119" s="467"/>
      <c r="F1119" s="466"/>
      <c r="G1119" s="466"/>
      <c r="H1119" s="466"/>
      <c r="I1119" s="467"/>
      <c r="J1119" s="466"/>
      <c r="K1119" s="466"/>
      <c r="L1119" s="466"/>
      <c r="M1119" s="352"/>
    </row>
    <row r="1120" spans="1:13" x14ac:dyDescent="0.25">
      <c r="A1120" s="348"/>
      <c r="B1120" s="466"/>
      <c r="C1120" s="466"/>
      <c r="D1120" s="466"/>
      <c r="E1120" s="467"/>
      <c r="F1120" s="466"/>
      <c r="G1120" s="466"/>
      <c r="H1120" s="466"/>
      <c r="I1120" s="467"/>
      <c r="J1120" s="466"/>
      <c r="K1120" s="466"/>
      <c r="L1120" s="466"/>
      <c r="M1120" s="352"/>
    </row>
    <row r="1121" spans="1:13" x14ac:dyDescent="0.25">
      <c r="A1121" s="348"/>
      <c r="B1121" s="466"/>
      <c r="C1121" s="466"/>
      <c r="D1121" s="466"/>
      <c r="E1121" s="467"/>
      <c r="F1121" s="466"/>
      <c r="G1121" s="466"/>
      <c r="H1121" s="466"/>
      <c r="I1121" s="467"/>
      <c r="J1121" s="466"/>
      <c r="K1121" s="466"/>
      <c r="L1121" s="466"/>
      <c r="M1121" s="352"/>
    </row>
    <row r="1122" spans="1:13" x14ac:dyDescent="0.25">
      <c r="A1122" s="348"/>
      <c r="B1122" s="466"/>
      <c r="C1122" s="466"/>
      <c r="D1122" s="466"/>
      <c r="E1122" s="467"/>
      <c r="F1122" s="466"/>
      <c r="G1122" s="466"/>
      <c r="H1122" s="466"/>
      <c r="I1122" s="467"/>
      <c r="J1122" s="466"/>
      <c r="K1122" s="466"/>
      <c r="L1122" s="466"/>
      <c r="M1122" s="352"/>
    </row>
    <row r="1123" spans="1:13" x14ac:dyDescent="0.25">
      <c r="A1123" s="348"/>
      <c r="B1123" s="467"/>
      <c r="C1123" s="467"/>
      <c r="D1123" s="467"/>
      <c r="E1123" s="467"/>
      <c r="F1123" s="467"/>
      <c r="G1123" s="467"/>
      <c r="H1123" s="467"/>
      <c r="I1123" s="467"/>
      <c r="J1123" s="467"/>
      <c r="K1123" s="467"/>
      <c r="L1123" s="467"/>
      <c r="M1123" s="352"/>
    </row>
    <row r="1124" spans="1:13" x14ac:dyDescent="0.25">
      <c r="A1124" s="348"/>
      <c r="B1124" s="348"/>
      <c r="C1124" s="348"/>
      <c r="D1124" s="348"/>
      <c r="E1124" s="348"/>
      <c r="F1124" s="348"/>
      <c r="G1124" s="348"/>
      <c r="H1124" s="348"/>
      <c r="I1124" s="348"/>
      <c r="J1124" s="348"/>
      <c r="K1124" s="348"/>
      <c r="L1124" s="353"/>
      <c r="M1124" s="352"/>
    </row>
    <row r="1125" spans="1:13" x14ac:dyDescent="0.25">
      <c r="A1125" s="348"/>
      <c r="B1125" s="348"/>
      <c r="C1125" s="348"/>
      <c r="D1125" s="348"/>
      <c r="E1125" s="348"/>
      <c r="F1125" s="348"/>
      <c r="G1125" s="348"/>
      <c r="H1125" s="348"/>
      <c r="I1125" s="348"/>
      <c r="J1125" s="348"/>
      <c r="K1125" s="348"/>
      <c r="L1125" s="410"/>
      <c r="M1125" s="352"/>
    </row>
    <row r="1126" spans="1:13" x14ac:dyDescent="0.25">
      <c r="A1126" s="374"/>
      <c r="B1126" s="354"/>
      <c r="C1126" s="354"/>
      <c r="D1126" s="354"/>
      <c r="E1126" s="354"/>
      <c r="F1126" s="354"/>
      <c r="G1126" s="354"/>
      <c r="H1126" s="354"/>
      <c r="I1126" s="354"/>
      <c r="J1126" s="354"/>
      <c r="K1126" s="354"/>
      <c r="L1126" s="352"/>
      <c r="M1126" s="352"/>
    </row>
    <row r="1127" spans="1:13" x14ac:dyDescent="0.25">
      <c r="A1127" s="354"/>
      <c r="B1127" s="515"/>
      <c r="C1127" s="515"/>
      <c r="D1127" s="515"/>
      <c r="E1127" s="369"/>
      <c r="F1127" s="515"/>
      <c r="G1127" s="515"/>
      <c r="H1127" s="515"/>
      <c r="I1127" s="369"/>
      <c r="J1127" s="515"/>
      <c r="K1127" s="515"/>
      <c r="L1127" s="515"/>
      <c r="M1127" s="352"/>
    </row>
    <row r="1128" spans="1:13" x14ac:dyDescent="0.25">
      <c r="A1128" s="374"/>
      <c r="B1128" s="375"/>
      <c r="C1128" s="375"/>
      <c r="D1128" s="375"/>
      <c r="E1128" s="375"/>
      <c r="F1128" s="375"/>
      <c r="G1128" s="375"/>
      <c r="H1128" s="375"/>
      <c r="I1128" s="375"/>
      <c r="J1128" s="375"/>
      <c r="K1128" s="375"/>
      <c r="L1128" s="375"/>
      <c r="M1128" s="352"/>
    </row>
    <row r="1129" spans="1:13" x14ac:dyDescent="0.25">
      <c r="A1129" s="374"/>
      <c r="B1129" s="375"/>
      <c r="C1129" s="375"/>
      <c r="D1129" s="375"/>
      <c r="E1129" s="375"/>
      <c r="F1129" s="375"/>
      <c r="G1129" s="375"/>
      <c r="H1129" s="375"/>
      <c r="I1129" s="375"/>
      <c r="J1129" s="375"/>
      <c r="K1129" s="375"/>
      <c r="L1129" s="375"/>
      <c r="M1129" s="352"/>
    </row>
    <row r="1130" spans="1:13" x14ac:dyDescent="0.25">
      <c r="A1130" s="348"/>
      <c r="B1130" s="466"/>
      <c r="C1130" s="466"/>
      <c r="D1130" s="466"/>
      <c r="E1130" s="467"/>
      <c r="F1130" s="466"/>
      <c r="G1130" s="466"/>
      <c r="H1130" s="466"/>
      <c r="I1130" s="467"/>
      <c r="J1130" s="466"/>
      <c r="K1130" s="466"/>
      <c r="L1130" s="466"/>
      <c r="M1130" s="352"/>
    </row>
    <row r="1131" spans="1:13" x14ac:dyDescent="0.25">
      <c r="A1131" s="348"/>
      <c r="B1131" s="466"/>
      <c r="C1131" s="466"/>
      <c r="D1131" s="466"/>
      <c r="E1131" s="467"/>
      <c r="F1131" s="466"/>
      <c r="G1131" s="466"/>
      <c r="H1131" s="466"/>
      <c r="I1131" s="467"/>
      <c r="J1131" s="466"/>
      <c r="K1131" s="466"/>
      <c r="L1131" s="466"/>
      <c r="M1131" s="352"/>
    </row>
    <row r="1132" spans="1:13" x14ac:dyDescent="0.25">
      <c r="A1132" s="348"/>
      <c r="B1132" s="466"/>
      <c r="C1132" s="466"/>
      <c r="D1132" s="466"/>
      <c r="E1132" s="467"/>
      <c r="F1132" s="466"/>
      <c r="G1132" s="466"/>
      <c r="H1132" s="466"/>
      <c r="I1132" s="467"/>
      <c r="J1132" s="466"/>
      <c r="K1132" s="466"/>
      <c r="L1132" s="466"/>
      <c r="M1132" s="352"/>
    </row>
    <row r="1133" spans="1:13" x14ac:dyDescent="0.25">
      <c r="A1133" s="348"/>
      <c r="B1133" s="466"/>
      <c r="C1133" s="466"/>
      <c r="D1133" s="466"/>
      <c r="E1133" s="467"/>
      <c r="F1133" s="466"/>
      <c r="G1133" s="466"/>
      <c r="H1133" s="466"/>
      <c r="I1133" s="467"/>
      <c r="J1133" s="466"/>
      <c r="K1133" s="466"/>
      <c r="L1133" s="466"/>
      <c r="M1133" s="352"/>
    </row>
    <row r="1134" spans="1:13" x14ac:dyDescent="0.25">
      <c r="A1134" s="348"/>
      <c r="B1134" s="466"/>
      <c r="C1134" s="466"/>
      <c r="D1134" s="466"/>
      <c r="E1134" s="467"/>
      <c r="F1134" s="466"/>
      <c r="G1134" s="466"/>
      <c r="H1134" s="466"/>
      <c r="I1134" s="467"/>
      <c r="J1134" s="466"/>
      <c r="K1134" s="466"/>
      <c r="L1134" s="466"/>
      <c r="M1134" s="352"/>
    </row>
    <row r="1135" spans="1:13" x14ac:dyDescent="0.25">
      <c r="A1135" s="348"/>
      <c r="B1135" s="466"/>
      <c r="C1135" s="466"/>
      <c r="D1135" s="466"/>
      <c r="E1135" s="467"/>
      <c r="F1135" s="466"/>
      <c r="G1135" s="466"/>
      <c r="H1135" s="466"/>
      <c r="I1135" s="467"/>
      <c r="J1135" s="466"/>
      <c r="K1135" s="466"/>
      <c r="L1135" s="466"/>
      <c r="M1135" s="352"/>
    </row>
    <row r="1136" spans="1:13" x14ac:dyDescent="0.25">
      <c r="A1136" s="348"/>
      <c r="B1136" s="466"/>
      <c r="C1136" s="466"/>
      <c r="D1136" s="466"/>
      <c r="E1136" s="467"/>
      <c r="F1136" s="466"/>
      <c r="G1136" s="466"/>
      <c r="H1136" s="466"/>
      <c r="I1136" s="467"/>
      <c r="J1136" s="466"/>
      <c r="K1136" s="466"/>
      <c r="L1136" s="466"/>
      <c r="M1136" s="352"/>
    </row>
    <row r="1137" spans="1:13" x14ac:dyDescent="0.25">
      <c r="A1137" s="348"/>
      <c r="B1137" s="466"/>
      <c r="C1137" s="466"/>
      <c r="D1137" s="466"/>
      <c r="E1137" s="467"/>
      <c r="F1137" s="466"/>
      <c r="G1137" s="466"/>
      <c r="H1137" s="466"/>
      <c r="I1137" s="467"/>
      <c r="J1137" s="466"/>
      <c r="K1137" s="466"/>
      <c r="L1137" s="466"/>
      <c r="M1137" s="352"/>
    </row>
    <row r="1138" spans="1:13" x14ac:dyDescent="0.25">
      <c r="A1138" s="348"/>
      <c r="B1138" s="466"/>
      <c r="C1138" s="466"/>
      <c r="D1138" s="466"/>
      <c r="E1138" s="467"/>
      <c r="F1138" s="466"/>
      <c r="G1138" s="466"/>
      <c r="H1138" s="466"/>
      <c r="I1138" s="467"/>
      <c r="J1138" s="466"/>
      <c r="K1138" s="466"/>
      <c r="L1138" s="466"/>
      <c r="M1138" s="352"/>
    </row>
    <row r="1139" spans="1:13" x14ac:dyDescent="0.25">
      <c r="A1139" s="348"/>
      <c r="B1139" s="466"/>
      <c r="C1139" s="466"/>
      <c r="D1139" s="466"/>
      <c r="E1139" s="467"/>
      <c r="F1139" s="466"/>
      <c r="G1139" s="466"/>
      <c r="H1139" s="466"/>
      <c r="I1139" s="467"/>
      <c r="J1139" s="466"/>
      <c r="K1139" s="466"/>
      <c r="L1139" s="466"/>
      <c r="M1139" s="352"/>
    </row>
    <row r="1140" spans="1:13" x14ac:dyDescent="0.25">
      <c r="A1140" s="348"/>
      <c r="B1140" s="467"/>
      <c r="C1140" s="467"/>
      <c r="D1140" s="467"/>
      <c r="E1140" s="467"/>
      <c r="F1140" s="467"/>
      <c r="G1140" s="467"/>
      <c r="H1140" s="467"/>
      <c r="I1140" s="467"/>
      <c r="J1140" s="467"/>
      <c r="K1140" s="467"/>
      <c r="L1140" s="467"/>
      <c r="M1140" s="352"/>
    </row>
    <row r="1141" spans="1:13" x14ac:dyDescent="0.25">
      <c r="A1141" s="348"/>
      <c r="B1141" s="348"/>
      <c r="C1141" s="348"/>
      <c r="D1141" s="348"/>
      <c r="E1141" s="348"/>
      <c r="F1141" s="348"/>
      <c r="G1141" s="348"/>
      <c r="H1141" s="348"/>
      <c r="I1141" s="348"/>
      <c r="J1141" s="348"/>
      <c r="K1141" s="348"/>
      <c r="L1141" s="353"/>
      <c r="M1141" s="352"/>
    </row>
    <row r="1142" spans="1:13" x14ac:dyDescent="0.25">
      <c r="A1142" s="348"/>
      <c r="B1142" s="348"/>
      <c r="C1142" s="348"/>
      <c r="D1142" s="348"/>
      <c r="E1142" s="348"/>
      <c r="F1142" s="348"/>
      <c r="G1142" s="348"/>
      <c r="H1142" s="348"/>
      <c r="I1142" s="348"/>
      <c r="J1142" s="348"/>
      <c r="K1142" s="348"/>
      <c r="L1142" s="410"/>
      <c r="M1142" s="352"/>
    </row>
    <row r="1143" spans="1:13" x14ac:dyDescent="0.25">
      <c r="A1143" s="374"/>
      <c r="B1143" s="354"/>
      <c r="C1143" s="354"/>
      <c r="D1143" s="354"/>
      <c r="E1143" s="354"/>
      <c r="F1143" s="354"/>
      <c r="G1143" s="354"/>
      <c r="H1143" s="354"/>
      <c r="I1143" s="354"/>
      <c r="J1143" s="354"/>
      <c r="K1143" s="354"/>
      <c r="L1143" s="352"/>
      <c r="M1143" s="352"/>
    </row>
    <row r="1144" spans="1:13" x14ac:dyDescent="0.25">
      <c r="A1144" s="354"/>
      <c r="B1144" s="515"/>
      <c r="C1144" s="515"/>
      <c r="D1144" s="515"/>
      <c r="E1144" s="369"/>
      <c r="F1144" s="515"/>
      <c r="G1144" s="515"/>
      <c r="H1144" s="515"/>
      <c r="I1144" s="369"/>
      <c r="J1144" s="515"/>
      <c r="K1144" s="515"/>
      <c r="L1144" s="515"/>
      <c r="M1144" s="352"/>
    </row>
    <row r="1145" spans="1:13" x14ac:dyDescent="0.25">
      <c r="A1145" s="374"/>
      <c r="B1145" s="375"/>
      <c r="C1145" s="375"/>
      <c r="D1145" s="375"/>
      <c r="E1145" s="375"/>
      <c r="F1145" s="375"/>
      <c r="G1145" s="375"/>
      <c r="H1145" s="375"/>
      <c r="I1145" s="375"/>
      <c r="J1145" s="375"/>
      <c r="K1145" s="375"/>
      <c r="L1145" s="375"/>
      <c r="M1145" s="352"/>
    </row>
    <row r="1146" spans="1:13" x14ac:dyDescent="0.25">
      <c r="A1146" s="374"/>
      <c r="B1146" s="375"/>
      <c r="C1146" s="375"/>
      <c r="D1146" s="375"/>
      <c r="E1146" s="375"/>
      <c r="F1146" s="375"/>
      <c r="G1146" s="375"/>
      <c r="H1146" s="375"/>
      <c r="I1146" s="375"/>
      <c r="J1146" s="375"/>
      <c r="K1146" s="375"/>
      <c r="L1146" s="375"/>
      <c r="M1146" s="352"/>
    </row>
    <row r="1147" spans="1:13" x14ac:dyDescent="0.25">
      <c r="A1147" s="348"/>
      <c r="B1147" s="466"/>
      <c r="C1147" s="466"/>
      <c r="D1147" s="466"/>
      <c r="E1147" s="467"/>
      <c r="F1147" s="466"/>
      <c r="G1147" s="466"/>
      <c r="H1147" s="466"/>
      <c r="I1147" s="467"/>
      <c r="J1147" s="466"/>
      <c r="K1147" s="466"/>
      <c r="L1147" s="466"/>
      <c r="M1147" s="352"/>
    </row>
    <row r="1148" spans="1:13" x14ac:dyDescent="0.25">
      <c r="A1148" s="348"/>
      <c r="B1148" s="466"/>
      <c r="C1148" s="466"/>
      <c r="D1148" s="466"/>
      <c r="E1148" s="467"/>
      <c r="F1148" s="466"/>
      <c r="G1148" s="466"/>
      <c r="H1148" s="466"/>
      <c r="I1148" s="467"/>
      <c r="J1148" s="466"/>
      <c r="K1148" s="466"/>
      <c r="L1148" s="466"/>
      <c r="M1148" s="352"/>
    </row>
    <row r="1149" spans="1:13" x14ac:dyDescent="0.25">
      <c r="A1149" s="348"/>
      <c r="B1149" s="466"/>
      <c r="C1149" s="466"/>
      <c r="D1149" s="466"/>
      <c r="E1149" s="467"/>
      <c r="F1149" s="466"/>
      <c r="G1149" s="466"/>
      <c r="H1149" s="466"/>
      <c r="I1149" s="467"/>
      <c r="J1149" s="466"/>
      <c r="K1149" s="466"/>
      <c r="L1149" s="466"/>
      <c r="M1149" s="352"/>
    </row>
    <row r="1150" spans="1:13" x14ac:dyDescent="0.25">
      <c r="A1150" s="348"/>
      <c r="B1150" s="466"/>
      <c r="C1150" s="466"/>
      <c r="D1150" s="466"/>
      <c r="E1150" s="467"/>
      <c r="F1150" s="466"/>
      <c r="G1150" s="466"/>
      <c r="H1150" s="466"/>
      <c r="I1150" s="467"/>
      <c r="J1150" s="466"/>
      <c r="K1150" s="466"/>
      <c r="L1150" s="466"/>
      <c r="M1150" s="352"/>
    </row>
    <row r="1151" spans="1:13" x14ac:dyDescent="0.25">
      <c r="A1151" s="348"/>
      <c r="B1151" s="466"/>
      <c r="C1151" s="466"/>
      <c r="D1151" s="466"/>
      <c r="E1151" s="467"/>
      <c r="F1151" s="466"/>
      <c r="G1151" s="466"/>
      <c r="H1151" s="466"/>
      <c r="I1151" s="467"/>
      <c r="J1151" s="466"/>
      <c r="K1151" s="466"/>
      <c r="L1151" s="466"/>
      <c r="M1151" s="352"/>
    </row>
    <row r="1152" spans="1:13" x14ac:dyDescent="0.25">
      <c r="A1152" s="348"/>
      <c r="B1152" s="466"/>
      <c r="C1152" s="466"/>
      <c r="D1152" s="466"/>
      <c r="E1152" s="467"/>
      <c r="F1152" s="466"/>
      <c r="G1152" s="466"/>
      <c r="H1152" s="466"/>
      <c r="I1152" s="467"/>
      <c r="J1152" s="466"/>
      <c r="K1152" s="466"/>
      <c r="L1152" s="466"/>
      <c r="M1152" s="352"/>
    </row>
    <row r="1153" spans="1:13" x14ac:dyDescent="0.25">
      <c r="A1153" s="348"/>
      <c r="B1153" s="466"/>
      <c r="C1153" s="466"/>
      <c r="D1153" s="466"/>
      <c r="E1153" s="467"/>
      <c r="F1153" s="466"/>
      <c r="G1153" s="466"/>
      <c r="H1153" s="466"/>
      <c r="I1153" s="467"/>
      <c r="J1153" s="466"/>
      <c r="K1153" s="466"/>
      <c r="L1153" s="466"/>
      <c r="M1153" s="352"/>
    </row>
    <row r="1154" spans="1:13" x14ac:dyDescent="0.25">
      <c r="A1154" s="348"/>
      <c r="B1154" s="466"/>
      <c r="C1154" s="466"/>
      <c r="D1154" s="466"/>
      <c r="E1154" s="467"/>
      <c r="F1154" s="466"/>
      <c r="G1154" s="466"/>
      <c r="H1154" s="466"/>
      <c r="I1154" s="467"/>
      <c r="J1154" s="466"/>
      <c r="K1154" s="466"/>
      <c r="L1154" s="466"/>
      <c r="M1154" s="352"/>
    </row>
    <row r="1155" spans="1:13" x14ac:dyDescent="0.25">
      <c r="A1155" s="348"/>
      <c r="B1155" s="466"/>
      <c r="C1155" s="466"/>
      <c r="D1155" s="466"/>
      <c r="E1155" s="467"/>
      <c r="F1155" s="466"/>
      <c r="G1155" s="466"/>
      <c r="H1155" s="466"/>
      <c r="I1155" s="467"/>
      <c r="J1155" s="466"/>
      <c r="K1155" s="466"/>
      <c r="L1155" s="466"/>
      <c r="M1155" s="352"/>
    </row>
    <row r="1156" spans="1:13" x14ac:dyDescent="0.25">
      <c r="A1156" s="348"/>
      <c r="B1156" s="466"/>
      <c r="C1156" s="466"/>
      <c r="D1156" s="466"/>
      <c r="E1156" s="467"/>
      <c r="F1156" s="466"/>
      <c r="G1156" s="466"/>
      <c r="H1156" s="466"/>
      <c r="I1156" s="467"/>
      <c r="J1156" s="466"/>
      <c r="K1156" s="466"/>
      <c r="L1156" s="466"/>
      <c r="M1156" s="352"/>
    </row>
    <row r="1157" spans="1:13" x14ac:dyDescent="0.25">
      <c r="A1157" s="348"/>
      <c r="B1157" s="467"/>
      <c r="C1157" s="467"/>
      <c r="D1157" s="467"/>
      <c r="E1157" s="467"/>
      <c r="F1157" s="467"/>
      <c r="G1157" s="467"/>
      <c r="H1157" s="467"/>
      <c r="I1157" s="467"/>
      <c r="J1157" s="467"/>
      <c r="K1157" s="467"/>
      <c r="L1157" s="467"/>
      <c r="M1157" s="352"/>
    </row>
    <row r="1158" spans="1:13" x14ac:dyDescent="0.25">
      <c r="A1158" s="348"/>
      <c r="B1158" s="348"/>
      <c r="C1158" s="348"/>
      <c r="D1158" s="348"/>
      <c r="E1158" s="348"/>
      <c r="F1158" s="348"/>
      <c r="G1158" s="348"/>
      <c r="H1158" s="348"/>
      <c r="I1158" s="348"/>
      <c r="J1158" s="348"/>
      <c r="K1158" s="348"/>
      <c r="L1158" s="353"/>
      <c r="M1158" s="352"/>
    </row>
    <row r="1159" spans="1:13" x14ac:dyDescent="0.25">
      <c r="A1159" s="348"/>
      <c r="B1159" s="348"/>
      <c r="C1159" s="348"/>
      <c r="D1159" s="348"/>
      <c r="E1159" s="348"/>
      <c r="F1159" s="348"/>
      <c r="G1159" s="348"/>
      <c r="H1159" s="348"/>
      <c r="I1159" s="348"/>
      <c r="J1159" s="348"/>
      <c r="K1159" s="348"/>
      <c r="L1159" s="410"/>
      <c r="M1159" s="352"/>
    </row>
    <row r="1160" spans="1:13" x14ac:dyDescent="0.25">
      <c r="A1160" s="374"/>
      <c r="B1160" s="354"/>
      <c r="C1160" s="354"/>
      <c r="D1160" s="354"/>
      <c r="E1160" s="354"/>
      <c r="F1160" s="354"/>
      <c r="G1160" s="354"/>
      <c r="H1160" s="354"/>
      <c r="I1160" s="354"/>
      <c r="J1160" s="354"/>
      <c r="K1160" s="354"/>
      <c r="L1160" s="352"/>
      <c r="M1160" s="352"/>
    </row>
    <row r="1161" spans="1:13" x14ac:dyDescent="0.25">
      <c r="A1161" s="354"/>
      <c r="B1161" s="515"/>
      <c r="C1161" s="515"/>
      <c r="D1161" s="515"/>
      <c r="E1161" s="369"/>
      <c r="F1161" s="515"/>
      <c r="G1161" s="515"/>
      <c r="H1161" s="515"/>
      <c r="I1161" s="369"/>
      <c r="J1161" s="515"/>
      <c r="K1161" s="515"/>
      <c r="L1161" s="515"/>
      <c r="M1161" s="352"/>
    </row>
    <row r="1162" spans="1:13" x14ac:dyDescent="0.25">
      <c r="A1162" s="374"/>
      <c r="B1162" s="375"/>
      <c r="C1162" s="375"/>
      <c r="D1162" s="375"/>
      <c r="E1162" s="375"/>
      <c r="F1162" s="375"/>
      <c r="G1162" s="375"/>
      <c r="H1162" s="375"/>
      <c r="I1162" s="375"/>
      <c r="J1162" s="375"/>
      <c r="K1162" s="375"/>
      <c r="L1162" s="375"/>
      <c r="M1162" s="352"/>
    </row>
    <row r="1163" spans="1:13" x14ac:dyDescent="0.25">
      <c r="A1163" s="374"/>
      <c r="B1163" s="375"/>
      <c r="C1163" s="375"/>
      <c r="D1163" s="375"/>
      <c r="E1163" s="375"/>
      <c r="F1163" s="375"/>
      <c r="G1163" s="375"/>
      <c r="H1163" s="375"/>
      <c r="I1163" s="375"/>
      <c r="J1163" s="375"/>
      <c r="K1163" s="375"/>
      <c r="L1163" s="375"/>
      <c r="M1163" s="352"/>
    </row>
    <row r="1164" spans="1:13" x14ac:dyDescent="0.25">
      <c r="A1164" s="348"/>
      <c r="B1164" s="466"/>
      <c r="C1164" s="466"/>
      <c r="D1164" s="466"/>
      <c r="E1164" s="467"/>
      <c r="F1164" s="466"/>
      <c r="G1164" s="466"/>
      <c r="H1164" s="466"/>
      <c r="I1164" s="467"/>
      <c r="J1164" s="466"/>
      <c r="K1164" s="466"/>
      <c r="L1164" s="466"/>
      <c r="M1164" s="352"/>
    </row>
    <row r="1165" spans="1:13" x14ac:dyDescent="0.25">
      <c r="A1165" s="348"/>
      <c r="B1165" s="466"/>
      <c r="C1165" s="466"/>
      <c r="D1165" s="466"/>
      <c r="E1165" s="467"/>
      <c r="F1165" s="466"/>
      <c r="G1165" s="466"/>
      <c r="H1165" s="466"/>
      <c r="I1165" s="467"/>
      <c r="J1165" s="466"/>
      <c r="K1165" s="466"/>
      <c r="L1165" s="466"/>
      <c r="M1165" s="352"/>
    </row>
    <row r="1166" spans="1:13" x14ac:dyDescent="0.25">
      <c r="A1166" s="348"/>
      <c r="B1166" s="466"/>
      <c r="C1166" s="466"/>
      <c r="D1166" s="466"/>
      <c r="E1166" s="467"/>
      <c r="F1166" s="466"/>
      <c r="G1166" s="466"/>
      <c r="H1166" s="466"/>
      <c r="I1166" s="467"/>
      <c r="J1166" s="466"/>
      <c r="K1166" s="466"/>
      <c r="L1166" s="466"/>
      <c r="M1166" s="352"/>
    </row>
    <row r="1167" spans="1:13" x14ac:dyDescent="0.25">
      <c r="A1167" s="348"/>
      <c r="B1167" s="466"/>
      <c r="C1167" s="466"/>
      <c r="D1167" s="466"/>
      <c r="E1167" s="467"/>
      <c r="F1167" s="466"/>
      <c r="G1167" s="466"/>
      <c r="H1167" s="466"/>
      <c r="I1167" s="467"/>
      <c r="J1167" s="466"/>
      <c r="K1167" s="466"/>
      <c r="L1167" s="466"/>
      <c r="M1167" s="352"/>
    </row>
    <row r="1168" spans="1:13" x14ac:dyDescent="0.25">
      <c r="A1168" s="348"/>
      <c r="B1168" s="466"/>
      <c r="C1168" s="466"/>
      <c r="D1168" s="466"/>
      <c r="E1168" s="467"/>
      <c r="F1168" s="466"/>
      <c r="G1168" s="466"/>
      <c r="H1168" s="466"/>
      <c r="I1168" s="467"/>
      <c r="J1168" s="466"/>
      <c r="K1168" s="466"/>
      <c r="L1168" s="466"/>
      <c r="M1168" s="352"/>
    </row>
    <row r="1169" spans="1:13" x14ac:dyDescent="0.25">
      <c r="A1169" s="348"/>
      <c r="B1169" s="466"/>
      <c r="C1169" s="466"/>
      <c r="D1169" s="466"/>
      <c r="E1169" s="467"/>
      <c r="F1169" s="466"/>
      <c r="G1169" s="466"/>
      <c r="H1169" s="466"/>
      <c r="I1169" s="467"/>
      <c r="J1169" s="466"/>
      <c r="K1169" s="466"/>
      <c r="L1169" s="466"/>
      <c r="M1169" s="352"/>
    </row>
    <row r="1170" spans="1:13" x14ac:dyDescent="0.25">
      <c r="A1170" s="348"/>
      <c r="B1170" s="466"/>
      <c r="C1170" s="466"/>
      <c r="D1170" s="466"/>
      <c r="E1170" s="467"/>
      <c r="F1170" s="466"/>
      <c r="G1170" s="466"/>
      <c r="H1170" s="466"/>
      <c r="I1170" s="467"/>
      <c r="J1170" s="466"/>
      <c r="K1170" s="466"/>
      <c r="L1170" s="466"/>
      <c r="M1170" s="352"/>
    </row>
    <row r="1171" spans="1:13" x14ac:dyDescent="0.25">
      <c r="A1171" s="348"/>
      <c r="B1171" s="466"/>
      <c r="C1171" s="466"/>
      <c r="D1171" s="466"/>
      <c r="E1171" s="467"/>
      <c r="F1171" s="466"/>
      <c r="G1171" s="466"/>
      <c r="H1171" s="466"/>
      <c r="I1171" s="467"/>
      <c r="J1171" s="466"/>
      <c r="K1171" s="466"/>
      <c r="L1171" s="466"/>
      <c r="M1171" s="352"/>
    </row>
    <row r="1172" spans="1:13" x14ac:dyDescent="0.25">
      <c r="A1172" s="348"/>
      <c r="B1172" s="466"/>
      <c r="C1172" s="466"/>
      <c r="D1172" s="466"/>
      <c r="E1172" s="467"/>
      <c r="F1172" s="466"/>
      <c r="G1172" s="466"/>
      <c r="H1172" s="466"/>
      <c r="I1172" s="467"/>
      <c r="J1172" s="466"/>
      <c r="K1172" s="466"/>
      <c r="L1172" s="466"/>
      <c r="M1172" s="352"/>
    </row>
    <row r="1173" spans="1:13" x14ac:dyDescent="0.25">
      <c r="A1173" s="348"/>
      <c r="B1173" s="466"/>
      <c r="C1173" s="466"/>
      <c r="D1173" s="466"/>
      <c r="E1173" s="467"/>
      <c r="F1173" s="466"/>
      <c r="G1173" s="466"/>
      <c r="H1173" s="466"/>
      <c r="I1173" s="467"/>
      <c r="J1173" s="466"/>
      <c r="K1173" s="466"/>
      <c r="L1173" s="466"/>
      <c r="M1173" s="352"/>
    </row>
    <row r="1174" spans="1:13" x14ac:dyDescent="0.25">
      <c r="A1174" s="348"/>
      <c r="B1174" s="467"/>
      <c r="C1174" s="467"/>
      <c r="D1174" s="467"/>
      <c r="E1174" s="467"/>
      <c r="F1174" s="467"/>
      <c r="G1174" s="467"/>
      <c r="H1174" s="467"/>
      <c r="I1174" s="467"/>
      <c r="J1174" s="467"/>
      <c r="K1174" s="467"/>
      <c r="L1174" s="467"/>
      <c r="M1174" s="352"/>
    </row>
    <row r="1175" spans="1:13" x14ac:dyDescent="0.25">
      <c r="A1175" s="348"/>
      <c r="B1175" s="348"/>
      <c r="C1175" s="348"/>
      <c r="D1175" s="348"/>
      <c r="E1175" s="348"/>
      <c r="F1175" s="348"/>
      <c r="G1175" s="348"/>
      <c r="H1175" s="348"/>
      <c r="I1175" s="348"/>
      <c r="J1175" s="348"/>
      <c r="K1175" s="348"/>
      <c r="L1175" s="353"/>
      <c r="M1175" s="352"/>
    </row>
    <row r="1176" spans="1:13" x14ac:dyDescent="0.25">
      <c r="A1176" s="348"/>
      <c r="B1176" s="348"/>
      <c r="C1176" s="348"/>
      <c r="D1176" s="348"/>
      <c r="E1176" s="348"/>
      <c r="F1176" s="348"/>
      <c r="G1176" s="348"/>
      <c r="H1176" s="348"/>
      <c r="I1176" s="348"/>
      <c r="J1176" s="348"/>
      <c r="K1176" s="348"/>
      <c r="L1176" s="410"/>
      <c r="M1176" s="352"/>
    </row>
    <row r="1177" spans="1:13" x14ac:dyDescent="0.25">
      <c r="A1177" s="374"/>
      <c r="B1177" s="354"/>
      <c r="C1177" s="354"/>
      <c r="D1177" s="354"/>
      <c r="E1177" s="354"/>
      <c r="F1177" s="354"/>
      <c r="G1177" s="354"/>
      <c r="H1177" s="354"/>
      <c r="I1177" s="354"/>
      <c r="J1177" s="354"/>
      <c r="K1177" s="354"/>
      <c r="L1177" s="352"/>
      <c r="M1177" s="352"/>
    </row>
    <row r="1178" spans="1:13" x14ac:dyDescent="0.25">
      <c r="A1178" s="354"/>
      <c r="B1178" s="515"/>
      <c r="C1178" s="515"/>
      <c r="D1178" s="515"/>
      <c r="E1178" s="369"/>
      <c r="F1178" s="515"/>
      <c r="G1178" s="515"/>
      <c r="H1178" s="515"/>
      <c r="I1178" s="369"/>
      <c r="J1178" s="515"/>
      <c r="K1178" s="515"/>
      <c r="L1178" s="515"/>
      <c r="M1178" s="352"/>
    </row>
    <row r="1179" spans="1:13" x14ac:dyDescent="0.25">
      <c r="A1179" s="374"/>
      <c r="B1179" s="375"/>
      <c r="C1179" s="375"/>
      <c r="D1179" s="375"/>
      <c r="E1179" s="375"/>
      <c r="F1179" s="375"/>
      <c r="G1179" s="375"/>
      <c r="H1179" s="375"/>
      <c r="I1179" s="375"/>
      <c r="J1179" s="375"/>
      <c r="K1179" s="375"/>
      <c r="L1179" s="375"/>
      <c r="M1179" s="352"/>
    </row>
    <row r="1180" spans="1:13" x14ac:dyDescent="0.25">
      <c r="A1180" s="374"/>
      <c r="B1180" s="375"/>
      <c r="C1180" s="375"/>
      <c r="D1180" s="375"/>
      <c r="E1180" s="375"/>
      <c r="F1180" s="375"/>
      <c r="G1180" s="375"/>
      <c r="H1180" s="375"/>
      <c r="I1180" s="375"/>
      <c r="J1180" s="375"/>
      <c r="K1180" s="375"/>
      <c r="L1180" s="375"/>
      <c r="M1180" s="352"/>
    </row>
    <row r="1181" spans="1:13" x14ac:dyDescent="0.25">
      <c r="A1181" s="348"/>
      <c r="B1181" s="466"/>
      <c r="C1181" s="466"/>
      <c r="D1181" s="466"/>
      <c r="E1181" s="467"/>
      <c r="F1181" s="466"/>
      <c r="G1181" s="466"/>
      <c r="H1181" s="466"/>
      <c r="I1181" s="467"/>
      <c r="J1181" s="466"/>
      <c r="K1181" s="466"/>
      <c r="L1181" s="466"/>
      <c r="M1181" s="352"/>
    </row>
    <row r="1182" spans="1:13" x14ac:dyDescent="0.25">
      <c r="A1182" s="348"/>
      <c r="B1182" s="466"/>
      <c r="C1182" s="466"/>
      <c r="D1182" s="466"/>
      <c r="E1182" s="467"/>
      <c r="F1182" s="466"/>
      <c r="G1182" s="466"/>
      <c r="H1182" s="466"/>
      <c r="I1182" s="467"/>
      <c r="J1182" s="466"/>
      <c r="K1182" s="466"/>
      <c r="L1182" s="466"/>
      <c r="M1182" s="352"/>
    </row>
    <row r="1183" spans="1:13" x14ac:dyDescent="0.25">
      <c r="A1183" s="348"/>
      <c r="B1183" s="466"/>
      <c r="C1183" s="466"/>
      <c r="D1183" s="466"/>
      <c r="E1183" s="467"/>
      <c r="F1183" s="466"/>
      <c r="G1183" s="466"/>
      <c r="H1183" s="466"/>
      <c r="I1183" s="467"/>
      <c r="J1183" s="466"/>
      <c r="K1183" s="466"/>
      <c r="L1183" s="466"/>
      <c r="M1183" s="352"/>
    </row>
    <row r="1184" spans="1:13" x14ac:dyDescent="0.25">
      <c r="A1184" s="348"/>
      <c r="B1184" s="466"/>
      <c r="C1184" s="466"/>
      <c r="D1184" s="466"/>
      <c r="E1184" s="467"/>
      <c r="F1184" s="466"/>
      <c r="G1184" s="466"/>
      <c r="H1184" s="466"/>
      <c r="I1184" s="467"/>
      <c r="J1184" s="466"/>
      <c r="K1184" s="466"/>
      <c r="L1184" s="466"/>
      <c r="M1184" s="352"/>
    </row>
    <row r="1185" spans="1:13" x14ac:dyDescent="0.25">
      <c r="A1185" s="348"/>
      <c r="B1185" s="466"/>
      <c r="C1185" s="466"/>
      <c r="D1185" s="466"/>
      <c r="E1185" s="467"/>
      <c r="F1185" s="466"/>
      <c r="G1185" s="466"/>
      <c r="H1185" s="466"/>
      <c r="I1185" s="467"/>
      <c r="J1185" s="466"/>
      <c r="K1185" s="466"/>
      <c r="L1185" s="466"/>
      <c r="M1185" s="352"/>
    </row>
    <row r="1186" spans="1:13" x14ac:dyDescent="0.25">
      <c r="A1186" s="348"/>
      <c r="B1186" s="466"/>
      <c r="C1186" s="466"/>
      <c r="D1186" s="466"/>
      <c r="E1186" s="467"/>
      <c r="F1186" s="466"/>
      <c r="G1186" s="466"/>
      <c r="H1186" s="466"/>
      <c r="I1186" s="467"/>
      <c r="J1186" s="466"/>
      <c r="K1186" s="466"/>
      <c r="L1186" s="466"/>
      <c r="M1186" s="352"/>
    </row>
    <row r="1187" spans="1:13" x14ac:dyDescent="0.25">
      <c r="A1187" s="348"/>
      <c r="B1187" s="466"/>
      <c r="C1187" s="466"/>
      <c r="D1187" s="466"/>
      <c r="E1187" s="467"/>
      <c r="F1187" s="466"/>
      <c r="G1187" s="466"/>
      <c r="H1187" s="466"/>
      <c r="I1187" s="467"/>
      <c r="J1187" s="466"/>
      <c r="K1187" s="466"/>
      <c r="L1187" s="466"/>
      <c r="M1187" s="352"/>
    </row>
    <row r="1188" spans="1:13" x14ac:dyDescent="0.25">
      <c r="A1188" s="348"/>
      <c r="B1188" s="466"/>
      <c r="C1188" s="466"/>
      <c r="D1188" s="466"/>
      <c r="E1188" s="467"/>
      <c r="F1188" s="466"/>
      <c r="G1188" s="466"/>
      <c r="H1188" s="466"/>
      <c r="I1188" s="467"/>
      <c r="J1188" s="466"/>
      <c r="K1188" s="466"/>
      <c r="L1188" s="466"/>
      <c r="M1188" s="352"/>
    </row>
    <row r="1189" spans="1:13" x14ac:dyDescent="0.25">
      <c r="A1189" s="348"/>
      <c r="B1189" s="466"/>
      <c r="C1189" s="466"/>
      <c r="D1189" s="466"/>
      <c r="E1189" s="467"/>
      <c r="F1189" s="466"/>
      <c r="G1189" s="466"/>
      <c r="H1189" s="466"/>
      <c r="I1189" s="467"/>
      <c r="J1189" s="466"/>
      <c r="K1189" s="466"/>
      <c r="L1189" s="466"/>
      <c r="M1189" s="352"/>
    </row>
    <row r="1190" spans="1:13" x14ac:dyDescent="0.25">
      <c r="A1190" s="348"/>
      <c r="B1190" s="466"/>
      <c r="C1190" s="466"/>
      <c r="D1190" s="466"/>
      <c r="E1190" s="467"/>
      <c r="F1190" s="466"/>
      <c r="G1190" s="466"/>
      <c r="H1190" s="466"/>
      <c r="I1190" s="467"/>
      <c r="J1190" s="466"/>
      <c r="K1190" s="466"/>
      <c r="L1190" s="466"/>
      <c r="M1190" s="352"/>
    </row>
    <row r="1191" spans="1:13" x14ac:dyDescent="0.25">
      <c r="A1191" s="348"/>
      <c r="B1191" s="467"/>
      <c r="C1191" s="467"/>
      <c r="D1191" s="467"/>
      <c r="E1191" s="467"/>
      <c r="F1191" s="467"/>
      <c r="G1191" s="467"/>
      <c r="H1191" s="467"/>
      <c r="I1191" s="467"/>
      <c r="J1191" s="467"/>
      <c r="K1191" s="467"/>
      <c r="L1191" s="467"/>
      <c r="M1191" s="352"/>
    </row>
    <row r="1192" spans="1:13" x14ac:dyDescent="0.25">
      <c r="A1192" s="348"/>
      <c r="B1192" s="348"/>
      <c r="C1192" s="348"/>
      <c r="D1192" s="348"/>
      <c r="E1192" s="348"/>
      <c r="F1192" s="348"/>
      <c r="G1192" s="348"/>
      <c r="H1192" s="348"/>
      <c r="I1192" s="348"/>
      <c r="J1192" s="348"/>
      <c r="K1192" s="348"/>
      <c r="L1192" s="353"/>
      <c r="M1192" s="352"/>
    </row>
    <row r="1193" spans="1:13" x14ac:dyDescent="0.25">
      <c r="A1193" s="348"/>
      <c r="B1193" s="348"/>
      <c r="C1193" s="348"/>
      <c r="D1193" s="348"/>
      <c r="E1193" s="348"/>
      <c r="F1193" s="348"/>
      <c r="G1193" s="348"/>
      <c r="H1193" s="348"/>
      <c r="I1193" s="348"/>
      <c r="J1193" s="348"/>
      <c r="K1193" s="348"/>
      <c r="L1193" s="410"/>
      <c r="M1193" s="352"/>
    </row>
    <row r="1194" spans="1:13" x14ac:dyDescent="0.25">
      <c r="A1194" s="374"/>
      <c r="B1194" s="354"/>
      <c r="C1194" s="354"/>
      <c r="D1194" s="354"/>
      <c r="E1194" s="354"/>
      <c r="F1194" s="354"/>
      <c r="G1194" s="354"/>
      <c r="H1194" s="354"/>
      <c r="I1194" s="354"/>
      <c r="J1194" s="354"/>
      <c r="K1194" s="354"/>
      <c r="L1194" s="352"/>
      <c r="M1194" s="352"/>
    </row>
    <row r="1195" spans="1:13" x14ac:dyDescent="0.25">
      <c r="A1195" s="354"/>
      <c r="B1195" s="515"/>
      <c r="C1195" s="515"/>
      <c r="D1195" s="515"/>
      <c r="E1195" s="369"/>
      <c r="F1195" s="515"/>
      <c r="G1195" s="515"/>
      <c r="H1195" s="515"/>
      <c r="I1195" s="369"/>
      <c r="J1195" s="515"/>
      <c r="K1195" s="515"/>
      <c r="L1195" s="515"/>
      <c r="M1195" s="352"/>
    </row>
    <row r="1196" spans="1:13" x14ac:dyDescent="0.25">
      <c r="A1196" s="374"/>
      <c r="B1196" s="375"/>
      <c r="C1196" s="375"/>
      <c r="D1196" s="375"/>
      <c r="E1196" s="375"/>
      <c r="F1196" s="375"/>
      <c r="G1196" s="375"/>
      <c r="H1196" s="375"/>
      <c r="I1196" s="375"/>
      <c r="J1196" s="375"/>
      <c r="K1196" s="375"/>
      <c r="L1196" s="375"/>
      <c r="M1196" s="352"/>
    </row>
    <row r="1197" spans="1:13" x14ac:dyDescent="0.25">
      <c r="A1197" s="374"/>
      <c r="B1197" s="375"/>
      <c r="C1197" s="375"/>
      <c r="D1197" s="375"/>
      <c r="E1197" s="375"/>
      <c r="F1197" s="375"/>
      <c r="G1197" s="375"/>
      <c r="H1197" s="375"/>
      <c r="I1197" s="375"/>
      <c r="J1197" s="375"/>
      <c r="K1197" s="375"/>
      <c r="L1197" s="375"/>
      <c r="M1197" s="352"/>
    </row>
    <row r="1198" spans="1:13" x14ac:dyDescent="0.25">
      <c r="A1198" s="348"/>
      <c r="B1198" s="466"/>
      <c r="C1198" s="466"/>
      <c r="D1198" s="466"/>
      <c r="E1198" s="467"/>
      <c r="F1198" s="466"/>
      <c r="G1198" s="466"/>
      <c r="H1198" s="466"/>
      <c r="I1198" s="467"/>
      <c r="J1198" s="466"/>
      <c r="K1198" s="466"/>
      <c r="L1198" s="466"/>
      <c r="M1198" s="352"/>
    </row>
    <row r="1199" spans="1:13" x14ac:dyDescent="0.25">
      <c r="A1199" s="348"/>
      <c r="B1199" s="466"/>
      <c r="C1199" s="466"/>
      <c r="D1199" s="466"/>
      <c r="E1199" s="467"/>
      <c r="F1199" s="466"/>
      <c r="G1199" s="466"/>
      <c r="H1199" s="466"/>
      <c r="I1199" s="467"/>
      <c r="J1199" s="466"/>
      <c r="K1199" s="466"/>
      <c r="L1199" s="466"/>
      <c r="M1199" s="352"/>
    </row>
    <row r="1200" spans="1:13" x14ac:dyDescent="0.25">
      <c r="A1200" s="348"/>
      <c r="B1200" s="466"/>
      <c r="C1200" s="466"/>
      <c r="D1200" s="466"/>
      <c r="E1200" s="467"/>
      <c r="F1200" s="466"/>
      <c r="G1200" s="466"/>
      <c r="H1200" s="466"/>
      <c r="I1200" s="467"/>
      <c r="J1200" s="466"/>
      <c r="K1200" s="466"/>
      <c r="L1200" s="466"/>
      <c r="M1200" s="352"/>
    </row>
    <row r="1201" spans="1:13" x14ac:dyDescent="0.25">
      <c r="A1201" s="348"/>
      <c r="B1201" s="466"/>
      <c r="C1201" s="466"/>
      <c r="D1201" s="466"/>
      <c r="E1201" s="467"/>
      <c r="F1201" s="466"/>
      <c r="G1201" s="466"/>
      <c r="H1201" s="466"/>
      <c r="I1201" s="467"/>
      <c r="J1201" s="466"/>
      <c r="K1201" s="466"/>
      <c r="L1201" s="466"/>
      <c r="M1201" s="352"/>
    </row>
    <row r="1202" spans="1:13" x14ac:dyDescent="0.25">
      <c r="A1202" s="348"/>
      <c r="B1202" s="466"/>
      <c r="C1202" s="466"/>
      <c r="D1202" s="466"/>
      <c r="E1202" s="467"/>
      <c r="F1202" s="466"/>
      <c r="G1202" s="466"/>
      <c r="H1202" s="466"/>
      <c r="I1202" s="467"/>
      <c r="J1202" s="466"/>
      <c r="K1202" s="466"/>
      <c r="L1202" s="466"/>
      <c r="M1202" s="352"/>
    </row>
    <row r="1203" spans="1:13" x14ac:dyDescent="0.25">
      <c r="A1203" s="348"/>
      <c r="B1203" s="466"/>
      <c r="C1203" s="466"/>
      <c r="D1203" s="466"/>
      <c r="E1203" s="467"/>
      <c r="F1203" s="466"/>
      <c r="G1203" s="466"/>
      <c r="H1203" s="466"/>
      <c r="I1203" s="467"/>
      <c r="J1203" s="466"/>
      <c r="K1203" s="466"/>
      <c r="L1203" s="466"/>
      <c r="M1203" s="352"/>
    </row>
    <row r="1204" spans="1:13" x14ac:dyDescent="0.25">
      <c r="A1204" s="348"/>
      <c r="B1204" s="466"/>
      <c r="C1204" s="466"/>
      <c r="D1204" s="466"/>
      <c r="E1204" s="467"/>
      <c r="F1204" s="466"/>
      <c r="G1204" s="466"/>
      <c r="H1204" s="466"/>
      <c r="I1204" s="467"/>
      <c r="J1204" s="466"/>
      <c r="K1204" s="466"/>
      <c r="L1204" s="466"/>
      <c r="M1204" s="352"/>
    </row>
    <row r="1205" spans="1:13" x14ac:dyDescent="0.25">
      <c r="A1205" s="348"/>
      <c r="B1205" s="466"/>
      <c r="C1205" s="466"/>
      <c r="D1205" s="466"/>
      <c r="E1205" s="467"/>
      <c r="F1205" s="466"/>
      <c r="G1205" s="466"/>
      <c r="H1205" s="466"/>
      <c r="I1205" s="467"/>
      <c r="J1205" s="466"/>
      <c r="K1205" s="466"/>
      <c r="L1205" s="466"/>
      <c r="M1205" s="352"/>
    </row>
    <row r="1206" spans="1:13" x14ac:dyDescent="0.25">
      <c r="A1206" s="348"/>
      <c r="B1206" s="466"/>
      <c r="C1206" s="466"/>
      <c r="D1206" s="466"/>
      <c r="E1206" s="467"/>
      <c r="F1206" s="466"/>
      <c r="G1206" s="466"/>
      <c r="H1206" s="466"/>
      <c r="I1206" s="467"/>
      <c r="J1206" s="466"/>
      <c r="K1206" s="466"/>
      <c r="L1206" s="466"/>
      <c r="M1206" s="352"/>
    </row>
    <row r="1207" spans="1:13" x14ac:dyDescent="0.25">
      <c r="A1207" s="348"/>
      <c r="B1207" s="466"/>
      <c r="C1207" s="466"/>
      <c r="D1207" s="466"/>
      <c r="E1207" s="467"/>
      <c r="F1207" s="466"/>
      <c r="G1207" s="466"/>
      <c r="H1207" s="466"/>
      <c r="I1207" s="467"/>
      <c r="J1207" s="466"/>
      <c r="K1207" s="466"/>
      <c r="L1207" s="466"/>
      <c r="M1207" s="352"/>
    </row>
    <row r="1208" spans="1:13" x14ac:dyDescent="0.25">
      <c r="A1208" s="348"/>
      <c r="B1208" s="467"/>
      <c r="C1208" s="467"/>
      <c r="D1208" s="467"/>
      <c r="E1208" s="467"/>
      <c r="F1208" s="467"/>
      <c r="G1208" s="467"/>
      <c r="H1208" s="467"/>
      <c r="I1208" s="467"/>
      <c r="J1208" s="467"/>
      <c r="K1208" s="467"/>
      <c r="L1208" s="467"/>
      <c r="M1208" s="352"/>
    </row>
    <row r="1209" spans="1:13" x14ac:dyDescent="0.25">
      <c r="A1209" s="348"/>
      <c r="B1209" s="348"/>
      <c r="C1209" s="348"/>
      <c r="D1209" s="348"/>
      <c r="E1209" s="348"/>
      <c r="F1209" s="348"/>
      <c r="G1209" s="348"/>
      <c r="H1209" s="348"/>
      <c r="I1209" s="348"/>
      <c r="J1209" s="348"/>
      <c r="K1209" s="348"/>
      <c r="L1209" s="353"/>
      <c r="M1209" s="352"/>
    </row>
    <row r="1210" spans="1:13" x14ac:dyDescent="0.25">
      <c r="A1210" s="348"/>
      <c r="B1210" s="348"/>
      <c r="C1210" s="348"/>
      <c r="D1210" s="348"/>
      <c r="E1210" s="348"/>
      <c r="F1210" s="348"/>
      <c r="G1210" s="348"/>
      <c r="H1210" s="348"/>
      <c r="I1210" s="348"/>
      <c r="J1210" s="348"/>
      <c r="K1210" s="348"/>
      <c r="L1210" s="410"/>
      <c r="M1210" s="352"/>
    </row>
    <row r="1211" spans="1:13" x14ac:dyDescent="0.25">
      <c r="A1211" s="374"/>
      <c r="B1211" s="354"/>
      <c r="C1211" s="354"/>
      <c r="D1211" s="354"/>
      <c r="E1211" s="354"/>
      <c r="F1211" s="354"/>
      <c r="G1211" s="354"/>
      <c r="H1211" s="354"/>
      <c r="I1211" s="354"/>
      <c r="J1211" s="354"/>
      <c r="K1211" s="354"/>
      <c r="L1211" s="352"/>
      <c r="M1211" s="352"/>
    </row>
    <row r="1212" spans="1:13" x14ac:dyDescent="0.25">
      <c r="A1212" s="354"/>
      <c r="B1212" s="515"/>
      <c r="C1212" s="515"/>
      <c r="D1212" s="515"/>
      <c r="E1212" s="369"/>
      <c r="F1212" s="515"/>
      <c r="G1212" s="515"/>
      <c r="H1212" s="515"/>
      <c r="I1212" s="369"/>
      <c r="J1212" s="515"/>
      <c r="K1212" s="515"/>
      <c r="L1212" s="515"/>
      <c r="M1212" s="352"/>
    </row>
    <row r="1213" spans="1:13" x14ac:dyDescent="0.25">
      <c r="A1213" s="374"/>
      <c r="B1213" s="375"/>
      <c r="C1213" s="375"/>
      <c r="D1213" s="375"/>
      <c r="E1213" s="375"/>
      <c r="F1213" s="375"/>
      <c r="G1213" s="375"/>
      <c r="H1213" s="375"/>
      <c r="I1213" s="375"/>
      <c r="J1213" s="375"/>
      <c r="K1213" s="375"/>
      <c r="L1213" s="375"/>
      <c r="M1213" s="352"/>
    </row>
    <row r="1214" spans="1:13" x14ac:dyDescent="0.25">
      <c r="A1214" s="374"/>
      <c r="B1214" s="375"/>
      <c r="C1214" s="375"/>
      <c r="D1214" s="375"/>
      <c r="E1214" s="375"/>
      <c r="F1214" s="375"/>
      <c r="G1214" s="375"/>
      <c r="H1214" s="375"/>
      <c r="I1214" s="375"/>
      <c r="J1214" s="375"/>
      <c r="K1214" s="375"/>
      <c r="L1214" s="375"/>
      <c r="M1214" s="352"/>
    </row>
    <row r="1215" spans="1:13" x14ac:dyDescent="0.25">
      <c r="A1215" s="348"/>
      <c r="B1215" s="466"/>
      <c r="C1215" s="466"/>
      <c r="D1215" s="466"/>
      <c r="E1215" s="467"/>
      <c r="F1215" s="466"/>
      <c r="G1215" s="466"/>
      <c r="H1215" s="466"/>
      <c r="I1215" s="467"/>
      <c r="J1215" s="466"/>
      <c r="K1215" s="466"/>
      <c r="L1215" s="466"/>
      <c r="M1215" s="352"/>
    </row>
    <row r="1216" spans="1:13" x14ac:dyDescent="0.25">
      <c r="A1216" s="348"/>
      <c r="B1216" s="466"/>
      <c r="C1216" s="466"/>
      <c r="D1216" s="466"/>
      <c r="E1216" s="467"/>
      <c r="F1216" s="466"/>
      <c r="G1216" s="466"/>
      <c r="H1216" s="466"/>
      <c r="I1216" s="467"/>
      <c r="J1216" s="466"/>
      <c r="K1216" s="466"/>
      <c r="L1216" s="466"/>
      <c r="M1216" s="352"/>
    </row>
    <row r="1217" spans="1:13" x14ac:dyDescent="0.25">
      <c r="A1217" s="348"/>
      <c r="B1217" s="466"/>
      <c r="C1217" s="466"/>
      <c r="D1217" s="466"/>
      <c r="E1217" s="467"/>
      <c r="F1217" s="466"/>
      <c r="G1217" s="466"/>
      <c r="H1217" s="466"/>
      <c r="I1217" s="467"/>
      <c r="J1217" s="466"/>
      <c r="K1217" s="466"/>
      <c r="L1217" s="466"/>
      <c r="M1217" s="352"/>
    </row>
    <row r="1218" spans="1:13" x14ac:dyDescent="0.25">
      <c r="A1218" s="348"/>
      <c r="B1218" s="466"/>
      <c r="C1218" s="466"/>
      <c r="D1218" s="466"/>
      <c r="E1218" s="467"/>
      <c r="F1218" s="466"/>
      <c r="G1218" s="466"/>
      <c r="H1218" s="466"/>
      <c r="I1218" s="467"/>
      <c r="J1218" s="466"/>
      <c r="K1218" s="466"/>
      <c r="L1218" s="466"/>
      <c r="M1218" s="352"/>
    </row>
    <row r="1219" spans="1:13" x14ac:dyDescent="0.25">
      <c r="A1219" s="348"/>
      <c r="B1219" s="466"/>
      <c r="C1219" s="466"/>
      <c r="D1219" s="466"/>
      <c r="E1219" s="467"/>
      <c r="F1219" s="466"/>
      <c r="G1219" s="466"/>
      <c r="H1219" s="466"/>
      <c r="I1219" s="467"/>
      <c r="J1219" s="466"/>
      <c r="K1219" s="466"/>
      <c r="L1219" s="466"/>
      <c r="M1219" s="352"/>
    </row>
    <row r="1220" spans="1:13" x14ac:dyDescent="0.25">
      <c r="A1220" s="348"/>
      <c r="B1220" s="466"/>
      <c r="C1220" s="466"/>
      <c r="D1220" s="466"/>
      <c r="E1220" s="467"/>
      <c r="F1220" s="466"/>
      <c r="G1220" s="466"/>
      <c r="H1220" s="466"/>
      <c r="I1220" s="467"/>
      <c r="J1220" s="466"/>
      <c r="K1220" s="466"/>
      <c r="L1220" s="466"/>
      <c r="M1220" s="352"/>
    </row>
    <row r="1221" spans="1:13" x14ac:dyDescent="0.25">
      <c r="A1221" s="348"/>
      <c r="B1221" s="466"/>
      <c r="C1221" s="466"/>
      <c r="D1221" s="466"/>
      <c r="E1221" s="467"/>
      <c r="F1221" s="466"/>
      <c r="G1221" s="466"/>
      <c r="H1221" s="466"/>
      <c r="I1221" s="467"/>
      <c r="J1221" s="466"/>
      <c r="K1221" s="466"/>
      <c r="L1221" s="466"/>
      <c r="M1221" s="352"/>
    </row>
    <row r="1222" spans="1:13" x14ac:dyDescent="0.25">
      <c r="A1222" s="348"/>
      <c r="B1222" s="466"/>
      <c r="C1222" s="466"/>
      <c r="D1222" s="466"/>
      <c r="E1222" s="467"/>
      <c r="F1222" s="466"/>
      <c r="G1222" s="466"/>
      <c r="H1222" s="466"/>
      <c r="I1222" s="467"/>
      <c r="J1222" s="466"/>
      <c r="K1222" s="466"/>
      <c r="L1222" s="466"/>
      <c r="M1222" s="352"/>
    </row>
    <row r="1223" spans="1:13" ht="13.5" customHeight="1" x14ac:dyDescent="0.25">
      <c r="A1223" s="348"/>
      <c r="B1223" s="466"/>
      <c r="C1223" s="466"/>
      <c r="D1223" s="466"/>
      <c r="E1223" s="467"/>
      <c r="F1223" s="466"/>
      <c r="G1223" s="466"/>
      <c r="H1223" s="466"/>
      <c r="I1223" s="467"/>
      <c r="J1223" s="466"/>
      <c r="K1223" s="466"/>
      <c r="L1223" s="466"/>
      <c r="M1223" s="352"/>
    </row>
    <row r="1224" spans="1:13" ht="13.5" customHeight="1" x14ac:dyDescent="0.25">
      <c r="A1224" s="348"/>
      <c r="B1224" s="466"/>
      <c r="C1224" s="466"/>
      <c r="D1224" s="466"/>
      <c r="E1224" s="467"/>
      <c r="F1224" s="466"/>
      <c r="G1224" s="466"/>
      <c r="H1224" s="466"/>
      <c r="I1224" s="467"/>
      <c r="J1224" s="466"/>
      <c r="K1224" s="466"/>
      <c r="L1224" s="466"/>
      <c r="M1224" s="352"/>
    </row>
    <row r="1225" spans="1:13" x14ac:dyDescent="0.25">
      <c r="A1225" s="348"/>
      <c r="B1225" s="467"/>
      <c r="C1225" s="467"/>
      <c r="D1225" s="467"/>
      <c r="E1225" s="467"/>
      <c r="F1225" s="467"/>
      <c r="G1225" s="467"/>
      <c r="H1225" s="467"/>
      <c r="I1225" s="467"/>
      <c r="J1225" s="467"/>
      <c r="K1225" s="467"/>
      <c r="L1225" s="467"/>
      <c r="M1225" s="352"/>
    </row>
    <row r="1226" spans="1:13" x14ac:dyDescent="0.25">
      <c r="A1226" s="348"/>
      <c r="B1226" s="348"/>
      <c r="C1226" s="348"/>
      <c r="D1226" s="348"/>
      <c r="E1226" s="348"/>
      <c r="F1226" s="348"/>
      <c r="G1226" s="348"/>
      <c r="H1226" s="348"/>
      <c r="I1226" s="348"/>
      <c r="J1226" s="348"/>
      <c r="K1226" s="348"/>
      <c r="L1226" s="353"/>
      <c r="M1226" s="352"/>
    </row>
    <row r="1227" spans="1:13" x14ac:dyDescent="0.25">
      <c r="A1227" s="348"/>
      <c r="B1227" s="348"/>
      <c r="C1227" s="348"/>
      <c r="D1227" s="348"/>
      <c r="E1227" s="348"/>
      <c r="F1227" s="348"/>
      <c r="G1227" s="348"/>
      <c r="H1227" s="348"/>
      <c r="I1227" s="348"/>
      <c r="J1227" s="348"/>
      <c r="K1227" s="348"/>
      <c r="L1227" s="410"/>
      <c r="M1227" s="352"/>
    </row>
    <row r="1228" spans="1:13" x14ac:dyDescent="0.25">
      <c r="A1228" s="374"/>
      <c r="B1228" s="354"/>
      <c r="C1228" s="354"/>
      <c r="D1228" s="354"/>
      <c r="E1228" s="354"/>
      <c r="F1228" s="354"/>
      <c r="G1228" s="354"/>
      <c r="H1228" s="354"/>
      <c r="I1228" s="354"/>
      <c r="J1228" s="354"/>
      <c r="K1228" s="354"/>
      <c r="L1228" s="352"/>
      <c r="M1228" s="352"/>
    </row>
    <row r="1229" spans="1:13" x14ac:dyDescent="0.25">
      <c r="A1229" s="354"/>
      <c r="B1229" s="515"/>
      <c r="C1229" s="515"/>
      <c r="D1229" s="515"/>
      <c r="E1229" s="369"/>
      <c r="F1229" s="515"/>
      <c r="G1229" s="515"/>
      <c r="H1229" s="515"/>
      <c r="I1229" s="369"/>
      <c r="J1229" s="515"/>
      <c r="K1229" s="515"/>
      <c r="L1229" s="515"/>
      <c r="M1229" s="352"/>
    </row>
    <row r="1230" spans="1:13" x14ac:dyDescent="0.25">
      <c r="A1230" s="374"/>
      <c r="B1230" s="375"/>
      <c r="C1230" s="375"/>
      <c r="D1230" s="375"/>
      <c r="E1230" s="375"/>
      <c r="F1230" s="375"/>
      <c r="G1230" s="375"/>
      <c r="H1230" s="375"/>
      <c r="I1230" s="375"/>
      <c r="J1230" s="375"/>
      <c r="K1230" s="375"/>
      <c r="L1230" s="375"/>
      <c r="M1230" s="352"/>
    </row>
    <row r="1231" spans="1:13" x14ac:dyDescent="0.25">
      <c r="A1231" s="374"/>
      <c r="B1231" s="375"/>
      <c r="C1231" s="375"/>
      <c r="D1231" s="375"/>
      <c r="E1231" s="375"/>
      <c r="F1231" s="375"/>
      <c r="G1231" s="375"/>
      <c r="H1231" s="375"/>
      <c r="I1231" s="375"/>
      <c r="J1231" s="375"/>
      <c r="K1231" s="375"/>
      <c r="L1231" s="375"/>
      <c r="M1231" s="352"/>
    </row>
    <row r="1232" spans="1:13" x14ac:dyDescent="0.25">
      <c r="A1232" s="348"/>
      <c r="B1232" s="466"/>
      <c r="C1232" s="466"/>
      <c r="D1232" s="466"/>
      <c r="E1232" s="467"/>
      <c r="F1232" s="466"/>
      <c r="G1232" s="466"/>
      <c r="H1232" s="466"/>
      <c r="I1232" s="467"/>
      <c r="J1232" s="466"/>
      <c r="K1232" s="466"/>
      <c r="L1232" s="466"/>
      <c r="M1232" s="352"/>
    </row>
    <row r="1233" spans="1:13" x14ac:dyDescent="0.25">
      <c r="A1233" s="348"/>
      <c r="B1233" s="466"/>
      <c r="C1233" s="466"/>
      <c r="D1233" s="466"/>
      <c r="E1233" s="467"/>
      <c r="F1233" s="466"/>
      <c r="G1233" s="466"/>
      <c r="H1233" s="466"/>
      <c r="I1233" s="467"/>
      <c r="J1233" s="466"/>
      <c r="K1233" s="466"/>
      <c r="L1233" s="466"/>
      <c r="M1233" s="352"/>
    </row>
    <row r="1234" spans="1:13" x14ac:dyDescent="0.25">
      <c r="A1234" s="348"/>
      <c r="B1234" s="466"/>
      <c r="C1234" s="466"/>
      <c r="D1234" s="466"/>
      <c r="E1234" s="467"/>
      <c r="F1234" s="466"/>
      <c r="G1234" s="466"/>
      <c r="H1234" s="466"/>
      <c r="I1234" s="467"/>
      <c r="J1234" s="466"/>
      <c r="K1234" s="466"/>
      <c r="L1234" s="466"/>
      <c r="M1234" s="352"/>
    </row>
    <row r="1235" spans="1:13" x14ac:dyDescent="0.25">
      <c r="A1235" s="348"/>
      <c r="B1235" s="466"/>
      <c r="C1235" s="466"/>
      <c r="D1235" s="466"/>
      <c r="E1235" s="467"/>
      <c r="F1235" s="466"/>
      <c r="G1235" s="466"/>
      <c r="H1235" s="466"/>
      <c r="I1235" s="467"/>
      <c r="J1235" s="466"/>
      <c r="K1235" s="466"/>
      <c r="L1235" s="466"/>
      <c r="M1235" s="352"/>
    </row>
    <row r="1236" spans="1:13" x14ac:dyDescent="0.25">
      <c r="A1236" s="348"/>
      <c r="B1236" s="466"/>
      <c r="C1236" s="466"/>
      <c r="D1236" s="466"/>
      <c r="E1236" s="467"/>
      <c r="F1236" s="466"/>
      <c r="G1236" s="466"/>
      <c r="H1236" s="466"/>
      <c r="I1236" s="467"/>
      <c r="J1236" s="466"/>
      <c r="K1236" s="466"/>
      <c r="L1236" s="466"/>
      <c r="M1236" s="352"/>
    </row>
    <row r="1237" spans="1:13" x14ac:dyDescent="0.25">
      <c r="A1237" s="348"/>
      <c r="B1237" s="466"/>
      <c r="C1237" s="466"/>
      <c r="D1237" s="466"/>
      <c r="E1237" s="467"/>
      <c r="F1237" s="466"/>
      <c r="G1237" s="466"/>
      <c r="H1237" s="466"/>
      <c r="I1237" s="467"/>
      <c r="J1237" s="466"/>
      <c r="K1237" s="466"/>
      <c r="L1237" s="466"/>
      <c r="M1237" s="352"/>
    </row>
    <row r="1238" spans="1:13" x14ac:dyDescent="0.25">
      <c r="A1238" s="348"/>
      <c r="B1238" s="466"/>
      <c r="C1238" s="466"/>
      <c r="D1238" s="466"/>
      <c r="E1238" s="467"/>
      <c r="F1238" s="466"/>
      <c r="G1238" s="466"/>
      <c r="H1238" s="466"/>
      <c r="I1238" s="467"/>
      <c r="J1238" s="466"/>
      <c r="K1238" s="466"/>
      <c r="L1238" s="466"/>
      <c r="M1238" s="352"/>
    </row>
    <row r="1239" spans="1:13" x14ac:dyDescent="0.25">
      <c r="A1239" s="348"/>
      <c r="B1239" s="466"/>
      <c r="C1239" s="466"/>
      <c r="D1239" s="466"/>
      <c r="E1239" s="467"/>
      <c r="F1239" s="466"/>
      <c r="G1239" s="466"/>
      <c r="H1239" s="466"/>
      <c r="I1239" s="467"/>
      <c r="J1239" s="466"/>
      <c r="K1239" s="466"/>
      <c r="L1239" s="466"/>
      <c r="M1239" s="352"/>
    </row>
    <row r="1240" spans="1:13" x14ac:dyDescent="0.25">
      <c r="A1240" s="348"/>
      <c r="B1240" s="466"/>
      <c r="C1240" s="466"/>
      <c r="D1240" s="466"/>
      <c r="E1240" s="467"/>
      <c r="F1240" s="466"/>
      <c r="G1240" s="466"/>
      <c r="H1240" s="466"/>
      <c r="I1240" s="467"/>
      <c r="J1240" s="466"/>
      <c r="K1240" s="466"/>
      <c r="L1240" s="466"/>
      <c r="M1240" s="352"/>
    </row>
    <row r="1241" spans="1:13" x14ac:dyDescent="0.25">
      <c r="A1241" s="348"/>
      <c r="B1241" s="466"/>
      <c r="C1241" s="466"/>
      <c r="D1241" s="466"/>
      <c r="E1241" s="467"/>
      <c r="F1241" s="466"/>
      <c r="G1241" s="466"/>
      <c r="H1241" s="466"/>
      <c r="I1241" s="467"/>
      <c r="J1241" s="466"/>
      <c r="K1241" s="466"/>
      <c r="L1241" s="466"/>
      <c r="M1241" s="352"/>
    </row>
    <row r="1242" spans="1:13" x14ac:dyDescent="0.25">
      <c r="A1242" s="348"/>
      <c r="B1242" s="467"/>
      <c r="C1242" s="467"/>
      <c r="D1242" s="467"/>
      <c r="E1242" s="467"/>
      <c r="F1242" s="467"/>
      <c r="G1242" s="467"/>
      <c r="H1242" s="467"/>
      <c r="I1242" s="467"/>
      <c r="J1242" s="467"/>
      <c r="K1242" s="467"/>
      <c r="L1242" s="467"/>
      <c r="M1242" s="352"/>
    </row>
    <row r="1243" spans="1:13" x14ac:dyDescent="0.25">
      <c r="A1243" s="348"/>
      <c r="B1243" s="348"/>
      <c r="C1243" s="348"/>
      <c r="D1243" s="348"/>
      <c r="E1243" s="348"/>
      <c r="F1243" s="348"/>
      <c r="G1243" s="348"/>
      <c r="H1243" s="348"/>
      <c r="I1243" s="348"/>
      <c r="J1243" s="348"/>
      <c r="K1243" s="348"/>
      <c r="L1243" s="353"/>
      <c r="M1243" s="352"/>
    </row>
    <row r="1244" spans="1:13" x14ac:dyDescent="0.25">
      <c r="A1244" s="348"/>
      <c r="B1244" s="348"/>
      <c r="C1244" s="348"/>
      <c r="D1244" s="348"/>
      <c r="E1244" s="348"/>
      <c r="F1244" s="348"/>
      <c r="G1244" s="348"/>
      <c r="H1244" s="348"/>
      <c r="I1244" s="348"/>
      <c r="J1244" s="348"/>
      <c r="K1244" s="348"/>
      <c r="L1244" s="410"/>
      <c r="M1244" s="352"/>
    </row>
    <row r="1245" spans="1:13" x14ac:dyDescent="0.25">
      <c r="A1245" s="374"/>
      <c r="B1245" s="354"/>
      <c r="C1245" s="354"/>
      <c r="D1245" s="354"/>
      <c r="E1245" s="354"/>
      <c r="F1245" s="354"/>
      <c r="G1245" s="354"/>
      <c r="H1245" s="354"/>
      <c r="I1245" s="354"/>
      <c r="J1245" s="354"/>
      <c r="K1245" s="354"/>
      <c r="L1245" s="352"/>
      <c r="M1245" s="352"/>
    </row>
    <row r="1246" spans="1:13" x14ac:dyDescent="0.25">
      <c r="A1246" s="354"/>
      <c r="B1246" s="515"/>
      <c r="C1246" s="515"/>
      <c r="D1246" s="515"/>
      <c r="E1246" s="369"/>
      <c r="F1246" s="515"/>
      <c r="G1246" s="515"/>
      <c r="H1246" s="515"/>
      <c r="I1246" s="369"/>
      <c r="J1246" s="515"/>
      <c r="K1246" s="515"/>
      <c r="L1246" s="515"/>
      <c r="M1246" s="352"/>
    </row>
    <row r="1247" spans="1:13" x14ac:dyDescent="0.25">
      <c r="A1247" s="374"/>
      <c r="B1247" s="375"/>
      <c r="C1247" s="375"/>
      <c r="D1247" s="375"/>
      <c r="E1247" s="375"/>
      <c r="F1247" s="375"/>
      <c r="G1247" s="375"/>
      <c r="H1247" s="375"/>
      <c r="I1247" s="375"/>
      <c r="J1247" s="375"/>
      <c r="K1247" s="375"/>
      <c r="L1247" s="375"/>
      <c r="M1247" s="352"/>
    </row>
    <row r="1248" spans="1:13" x14ac:dyDescent="0.25">
      <c r="A1248" s="374"/>
      <c r="B1248" s="375"/>
      <c r="C1248" s="375"/>
      <c r="D1248" s="375"/>
      <c r="E1248" s="375"/>
      <c r="F1248" s="375"/>
      <c r="G1248" s="375"/>
      <c r="H1248" s="375"/>
      <c r="I1248" s="375"/>
      <c r="J1248" s="375"/>
      <c r="K1248" s="375"/>
      <c r="L1248" s="375"/>
      <c r="M1248" s="352"/>
    </row>
    <row r="1249" spans="1:13" x14ac:dyDescent="0.25">
      <c r="A1249" s="348"/>
      <c r="B1249" s="466"/>
      <c r="C1249" s="466"/>
      <c r="D1249" s="466"/>
      <c r="E1249" s="467"/>
      <c r="F1249" s="466"/>
      <c r="G1249" s="466"/>
      <c r="H1249" s="466"/>
      <c r="I1249" s="467"/>
      <c r="J1249" s="466"/>
      <c r="K1249" s="466"/>
      <c r="L1249" s="466"/>
      <c r="M1249" s="352"/>
    </row>
    <row r="1250" spans="1:13" x14ac:dyDescent="0.25">
      <c r="A1250" s="348"/>
      <c r="B1250" s="466"/>
      <c r="C1250" s="466"/>
      <c r="D1250" s="466"/>
      <c r="E1250" s="467"/>
      <c r="F1250" s="466"/>
      <c r="G1250" s="466"/>
      <c r="H1250" s="466"/>
      <c r="I1250" s="467"/>
      <c r="J1250" s="466"/>
      <c r="K1250" s="466"/>
      <c r="L1250" s="466"/>
      <c r="M1250" s="352"/>
    </row>
    <row r="1251" spans="1:13" x14ac:dyDescent="0.25">
      <c r="A1251" s="348"/>
      <c r="B1251" s="466"/>
      <c r="C1251" s="466"/>
      <c r="D1251" s="466"/>
      <c r="E1251" s="467"/>
      <c r="F1251" s="466"/>
      <c r="G1251" s="466"/>
      <c r="H1251" s="466"/>
      <c r="I1251" s="467"/>
      <c r="J1251" s="466"/>
      <c r="K1251" s="466"/>
      <c r="L1251" s="466"/>
      <c r="M1251" s="352"/>
    </row>
    <row r="1252" spans="1:13" x14ac:dyDescent="0.25">
      <c r="A1252" s="348"/>
      <c r="B1252" s="466"/>
      <c r="C1252" s="466"/>
      <c r="D1252" s="466"/>
      <c r="E1252" s="467"/>
      <c r="F1252" s="466"/>
      <c r="G1252" s="466"/>
      <c r="H1252" s="466"/>
      <c r="I1252" s="467"/>
      <c r="J1252" s="466"/>
      <c r="K1252" s="466"/>
      <c r="L1252" s="466"/>
      <c r="M1252" s="352"/>
    </row>
    <row r="1253" spans="1:13" x14ac:dyDescent="0.25">
      <c r="A1253" s="348"/>
      <c r="B1253" s="466"/>
      <c r="C1253" s="466"/>
      <c r="D1253" s="466"/>
      <c r="E1253" s="467"/>
      <c r="F1253" s="466"/>
      <c r="G1253" s="466"/>
      <c r="H1253" s="466"/>
      <c r="I1253" s="467"/>
      <c r="J1253" s="466"/>
      <c r="K1253" s="466"/>
      <c r="L1253" s="466"/>
      <c r="M1253" s="352"/>
    </row>
    <row r="1254" spans="1:13" x14ac:dyDescent="0.25">
      <c r="A1254" s="348"/>
      <c r="B1254" s="466"/>
      <c r="C1254" s="466"/>
      <c r="D1254" s="466"/>
      <c r="E1254" s="467"/>
      <c r="F1254" s="466"/>
      <c r="G1254" s="466"/>
      <c r="H1254" s="466"/>
      <c r="I1254" s="467"/>
      <c r="J1254" s="466"/>
      <c r="K1254" s="466"/>
      <c r="L1254" s="466"/>
      <c r="M1254" s="352"/>
    </row>
    <row r="1255" spans="1:13" x14ac:dyDescent="0.25">
      <c r="A1255" s="348"/>
      <c r="B1255" s="466"/>
      <c r="C1255" s="466"/>
      <c r="D1255" s="466"/>
      <c r="E1255" s="467"/>
      <c r="F1255" s="466"/>
      <c r="G1255" s="466"/>
      <c r="H1255" s="466"/>
      <c r="I1255" s="467"/>
      <c r="J1255" s="466"/>
      <c r="K1255" s="466"/>
      <c r="L1255" s="466"/>
      <c r="M1255" s="352"/>
    </row>
    <row r="1256" spans="1:13" x14ac:dyDescent="0.25">
      <c r="A1256" s="348"/>
      <c r="B1256" s="466"/>
      <c r="C1256" s="466"/>
      <c r="D1256" s="466"/>
      <c r="E1256" s="467"/>
      <c r="F1256" s="466"/>
      <c r="G1256" s="466"/>
      <c r="H1256" s="466"/>
      <c r="I1256" s="467"/>
      <c r="J1256" s="466"/>
      <c r="K1256" s="466"/>
      <c r="L1256" s="466"/>
      <c r="M1256" s="352"/>
    </row>
    <row r="1257" spans="1:13" x14ac:dyDescent="0.25">
      <c r="A1257" s="348"/>
      <c r="B1257" s="466"/>
      <c r="C1257" s="466"/>
      <c r="D1257" s="466"/>
      <c r="E1257" s="467"/>
      <c r="F1257" s="466"/>
      <c r="G1257" s="466"/>
      <c r="H1257" s="466"/>
      <c r="I1257" s="467"/>
      <c r="J1257" s="466"/>
      <c r="K1257" s="466"/>
      <c r="L1257" s="466"/>
      <c r="M1257" s="352"/>
    </row>
    <row r="1258" spans="1:13" x14ac:dyDescent="0.25">
      <c r="A1258" s="348"/>
      <c r="B1258" s="466"/>
      <c r="C1258" s="466"/>
      <c r="D1258" s="466"/>
      <c r="E1258" s="467"/>
      <c r="F1258" s="466"/>
      <c r="G1258" s="466"/>
      <c r="H1258" s="466"/>
      <c r="I1258" s="467"/>
      <c r="J1258" s="466"/>
      <c r="K1258" s="466"/>
      <c r="L1258" s="466"/>
      <c r="M1258" s="352"/>
    </row>
    <row r="1259" spans="1:13" x14ac:dyDescent="0.25">
      <c r="A1259" s="348"/>
      <c r="B1259" s="467"/>
      <c r="C1259" s="467"/>
      <c r="D1259" s="467"/>
      <c r="E1259" s="467"/>
      <c r="F1259" s="467"/>
      <c r="G1259" s="467"/>
      <c r="H1259" s="467"/>
      <c r="I1259" s="467"/>
      <c r="J1259" s="467"/>
      <c r="K1259" s="467"/>
      <c r="L1259" s="467"/>
      <c r="M1259" s="352"/>
    </row>
    <row r="1260" spans="1:13" x14ac:dyDescent="0.25">
      <c r="A1260" s="348"/>
      <c r="B1260" s="348"/>
      <c r="C1260" s="348"/>
      <c r="D1260" s="348"/>
      <c r="E1260" s="348"/>
      <c r="F1260" s="348"/>
      <c r="G1260" s="348"/>
      <c r="H1260" s="348"/>
      <c r="I1260" s="348"/>
      <c r="J1260" s="348"/>
      <c r="K1260" s="348"/>
      <c r="L1260" s="353"/>
      <c r="M1260" s="352"/>
    </row>
    <row r="1261" spans="1:13" x14ac:dyDescent="0.25">
      <c r="A1261" s="348"/>
      <c r="B1261" s="348"/>
      <c r="C1261" s="348"/>
      <c r="D1261" s="348"/>
      <c r="E1261" s="348"/>
      <c r="F1261" s="348"/>
      <c r="G1261" s="348"/>
      <c r="H1261" s="348"/>
      <c r="I1261" s="348"/>
      <c r="J1261" s="348"/>
      <c r="K1261" s="348"/>
      <c r="L1261" s="410"/>
      <c r="M1261" s="352"/>
    </row>
    <row r="1262" spans="1:13" x14ac:dyDescent="0.25">
      <c r="A1262" s="374"/>
      <c r="B1262" s="354"/>
      <c r="C1262" s="354"/>
      <c r="D1262" s="354"/>
      <c r="E1262" s="354"/>
      <c r="F1262" s="354"/>
      <c r="G1262" s="354"/>
      <c r="H1262" s="354"/>
      <c r="I1262" s="354"/>
      <c r="J1262" s="354"/>
      <c r="K1262" s="354"/>
      <c r="L1262" s="352"/>
      <c r="M1262" s="352"/>
    </row>
    <row r="1263" spans="1:13" x14ac:dyDescent="0.25">
      <c r="A1263" s="354"/>
      <c r="B1263" s="515"/>
      <c r="C1263" s="515"/>
      <c r="D1263" s="515"/>
      <c r="E1263" s="369"/>
      <c r="F1263" s="515"/>
      <c r="G1263" s="515"/>
      <c r="H1263" s="515"/>
      <c r="I1263" s="369"/>
      <c r="J1263" s="515"/>
      <c r="K1263" s="515"/>
      <c r="L1263" s="515"/>
      <c r="M1263" s="352"/>
    </row>
    <row r="1264" spans="1:13" x14ac:dyDescent="0.25">
      <c r="A1264" s="374"/>
      <c r="B1264" s="375"/>
      <c r="C1264" s="375"/>
      <c r="D1264" s="375"/>
      <c r="E1264" s="375"/>
      <c r="F1264" s="375"/>
      <c r="G1264" s="375"/>
      <c r="H1264" s="375"/>
      <c r="I1264" s="375"/>
      <c r="J1264" s="375"/>
      <c r="K1264" s="375"/>
      <c r="L1264" s="375"/>
      <c r="M1264" s="352"/>
    </row>
    <row r="1265" spans="1:13" x14ac:dyDescent="0.25">
      <c r="A1265" s="374"/>
      <c r="B1265" s="375"/>
      <c r="C1265" s="375"/>
      <c r="D1265" s="375"/>
      <c r="E1265" s="375"/>
      <c r="F1265" s="375"/>
      <c r="G1265" s="375"/>
      <c r="H1265" s="375"/>
      <c r="I1265" s="375"/>
      <c r="J1265" s="375"/>
      <c r="K1265" s="375"/>
      <c r="L1265" s="375"/>
      <c r="M1265" s="352"/>
    </row>
    <row r="1266" spans="1:13" x14ac:dyDescent="0.25">
      <c r="A1266" s="348"/>
      <c r="B1266" s="466"/>
      <c r="C1266" s="466"/>
      <c r="D1266" s="466"/>
      <c r="E1266" s="467"/>
      <c r="F1266" s="466"/>
      <c r="G1266" s="466"/>
      <c r="H1266" s="466"/>
      <c r="I1266" s="467"/>
      <c r="J1266" s="466"/>
      <c r="K1266" s="466"/>
      <c r="L1266" s="466"/>
      <c r="M1266" s="352"/>
    </row>
    <row r="1267" spans="1:13" x14ac:dyDescent="0.25">
      <c r="A1267" s="348"/>
      <c r="B1267" s="466"/>
      <c r="C1267" s="466"/>
      <c r="D1267" s="466"/>
      <c r="E1267" s="467"/>
      <c r="F1267" s="466"/>
      <c r="G1267" s="466"/>
      <c r="H1267" s="466"/>
      <c r="I1267" s="467"/>
      <c r="J1267" s="466"/>
      <c r="K1267" s="466"/>
      <c r="L1267" s="466"/>
      <c r="M1267" s="352"/>
    </row>
    <row r="1268" spans="1:13" x14ac:dyDescent="0.25">
      <c r="A1268" s="348"/>
      <c r="B1268" s="466"/>
      <c r="C1268" s="466"/>
      <c r="D1268" s="466"/>
      <c r="E1268" s="467"/>
      <c r="F1268" s="466"/>
      <c r="G1268" s="466"/>
      <c r="H1268" s="466"/>
      <c r="I1268" s="467"/>
      <c r="J1268" s="466"/>
      <c r="K1268" s="466"/>
      <c r="L1268" s="466"/>
      <c r="M1268" s="352"/>
    </row>
    <row r="1269" spans="1:13" x14ac:dyDescent="0.25">
      <c r="A1269" s="348"/>
      <c r="B1269" s="466"/>
      <c r="C1269" s="466"/>
      <c r="D1269" s="466"/>
      <c r="E1269" s="467"/>
      <c r="F1269" s="466"/>
      <c r="G1269" s="466"/>
      <c r="H1269" s="466"/>
      <c r="I1269" s="467"/>
      <c r="J1269" s="466"/>
      <c r="K1269" s="466"/>
      <c r="L1269" s="466"/>
      <c r="M1269" s="352"/>
    </row>
    <row r="1270" spans="1:13" x14ac:dyDescent="0.25">
      <c r="A1270" s="348"/>
      <c r="B1270" s="466"/>
      <c r="C1270" s="466"/>
      <c r="D1270" s="466"/>
      <c r="E1270" s="467"/>
      <c r="F1270" s="466"/>
      <c r="G1270" s="466"/>
      <c r="H1270" s="466"/>
      <c r="I1270" s="467"/>
      <c r="J1270" s="466"/>
      <c r="K1270" s="466"/>
      <c r="L1270" s="466"/>
      <c r="M1270" s="352"/>
    </row>
    <row r="1271" spans="1:13" x14ac:dyDescent="0.25">
      <c r="A1271" s="348"/>
      <c r="B1271" s="466"/>
      <c r="C1271" s="466"/>
      <c r="D1271" s="466"/>
      <c r="E1271" s="467"/>
      <c r="F1271" s="466"/>
      <c r="G1271" s="466"/>
      <c r="H1271" s="466"/>
      <c r="I1271" s="467"/>
      <c r="J1271" s="466"/>
      <c r="K1271" s="466"/>
      <c r="L1271" s="466"/>
      <c r="M1271" s="352"/>
    </row>
    <row r="1272" spans="1:13" x14ac:dyDescent="0.25">
      <c r="A1272" s="348"/>
      <c r="B1272" s="466"/>
      <c r="C1272" s="466"/>
      <c r="D1272" s="466"/>
      <c r="E1272" s="467"/>
      <c r="F1272" s="466"/>
      <c r="G1272" s="466"/>
      <c r="H1272" s="466"/>
      <c r="I1272" s="467"/>
      <c r="J1272" s="466"/>
      <c r="K1272" s="466"/>
      <c r="L1272" s="466"/>
      <c r="M1272" s="352"/>
    </row>
    <row r="1273" spans="1:13" x14ac:dyDescent="0.25">
      <c r="A1273" s="348"/>
      <c r="B1273" s="466"/>
      <c r="C1273" s="466"/>
      <c r="D1273" s="466"/>
      <c r="E1273" s="467"/>
      <c r="F1273" s="466"/>
      <c r="G1273" s="466"/>
      <c r="H1273" s="466"/>
      <c r="I1273" s="467"/>
      <c r="J1273" s="466"/>
      <c r="K1273" s="466"/>
      <c r="L1273" s="466"/>
      <c r="M1273" s="352"/>
    </row>
    <row r="1274" spans="1:13" x14ac:dyDescent="0.25">
      <c r="A1274" s="348"/>
      <c r="B1274" s="466"/>
      <c r="C1274" s="466"/>
      <c r="D1274" s="466"/>
      <c r="E1274" s="467"/>
      <c r="F1274" s="466"/>
      <c r="G1274" s="466"/>
      <c r="H1274" s="466"/>
      <c r="I1274" s="467"/>
      <c r="J1274" s="466"/>
      <c r="K1274" s="466"/>
      <c r="L1274" s="466"/>
      <c r="M1274" s="352"/>
    </row>
    <row r="1275" spans="1:13" x14ac:dyDescent="0.25">
      <c r="A1275" s="348"/>
      <c r="B1275" s="466"/>
      <c r="C1275" s="466"/>
      <c r="D1275" s="466"/>
      <c r="E1275" s="467"/>
      <c r="F1275" s="466"/>
      <c r="G1275" s="466"/>
      <c r="H1275" s="466"/>
      <c r="I1275" s="467"/>
      <c r="J1275" s="466"/>
      <c r="K1275" s="466"/>
      <c r="L1275" s="466"/>
      <c r="M1275" s="352"/>
    </row>
    <row r="1276" spans="1:13" x14ac:dyDescent="0.25">
      <c r="A1276" s="348"/>
      <c r="B1276" s="467"/>
      <c r="C1276" s="467"/>
      <c r="D1276" s="467"/>
      <c r="E1276" s="467"/>
      <c r="F1276" s="467"/>
      <c r="G1276" s="467"/>
      <c r="H1276" s="467"/>
      <c r="I1276" s="467"/>
      <c r="J1276" s="467"/>
      <c r="K1276" s="467"/>
      <c r="L1276" s="467"/>
      <c r="M1276" s="352"/>
    </row>
    <row r="1277" spans="1:13" x14ac:dyDescent="0.25">
      <c r="A1277" s="348"/>
      <c r="B1277" s="348"/>
      <c r="C1277" s="348"/>
      <c r="D1277" s="348"/>
      <c r="E1277" s="348"/>
      <c r="F1277" s="348"/>
      <c r="G1277" s="348"/>
      <c r="H1277" s="348"/>
      <c r="I1277" s="348"/>
      <c r="J1277" s="348"/>
      <c r="K1277" s="348"/>
      <c r="L1277" s="353"/>
      <c r="M1277" s="352"/>
    </row>
    <row r="1278" spans="1:13" x14ac:dyDescent="0.25">
      <c r="A1278" s="348"/>
      <c r="B1278" s="348"/>
      <c r="C1278" s="348"/>
      <c r="D1278" s="348"/>
      <c r="E1278" s="348"/>
      <c r="F1278" s="348"/>
      <c r="G1278" s="348"/>
      <c r="H1278" s="348"/>
      <c r="I1278" s="348"/>
      <c r="J1278" s="348"/>
      <c r="K1278" s="348"/>
      <c r="L1278" s="410"/>
      <c r="M1278" s="352"/>
    </row>
    <row r="1279" spans="1:13" x14ac:dyDescent="0.25">
      <c r="A1279" s="374"/>
      <c r="B1279" s="354"/>
      <c r="C1279" s="354"/>
      <c r="D1279" s="354"/>
      <c r="E1279" s="354"/>
      <c r="F1279" s="354"/>
      <c r="G1279" s="354"/>
      <c r="H1279" s="354"/>
      <c r="I1279" s="354"/>
      <c r="J1279" s="354"/>
      <c r="K1279" s="354"/>
      <c r="L1279" s="352"/>
      <c r="M1279" s="352"/>
    </row>
    <row r="1280" spans="1:13" x14ac:dyDescent="0.25">
      <c r="A1280" s="354"/>
      <c r="B1280" s="515"/>
      <c r="C1280" s="515"/>
      <c r="D1280" s="515"/>
      <c r="E1280" s="369"/>
      <c r="F1280" s="515"/>
      <c r="G1280" s="515"/>
      <c r="H1280" s="515"/>
      <c r="I1280" s="369"/>
      <c r="J1280" s="515"/>
      <c r="K1280" s="515"/>
      <c r="L1280" s="515"/>
      <c r="M1280" s="352"/>
    </row>
    <row r="1281" spans="1:13" x14ac:dyDescent="0.25">
      <c r="A1281" s="374"/>
      <c r="B1281" s="375"/>
      <c r="C1281" s="375"/>
      <c r="D1281" s="375"/>
      <c r="E1281" s="375"/>
      <c r="F1281" s="375"/>
      <c r="G1281" s="375"/>
      <c r="H1281" s="375"/>
      <c r="I1281" s="375"/>
      <c r="J1281" s="375"/>
      <c r="K1281" s="375"/>
      <c r="L1281" s="375"/>
      <c r="M1281" s="352"/>
    </row>
    <row r="1282" spans="1:13" x14ac:dyDescent="0.25">
      <c r="A1282" s="374"/>
      <c r="B1282" s="375"/>
      <c r="C1282" s="375"/>
      <c r="D1282" s="375"/>
      <c r="E1282" s="375"/>
      <c r="F1282" s="375"/>
      <c r="G1282" s="375"/>
      <c r="H1282" s="375"/>
      <c r="I1282" s="375"/>
      <c r="J1282" s="375"/>
      <c r="K1282" s="375"/>
      <c r="L1282" s="375"/>
      <c r="M1282" s="352"/>
    </row>
    <row r="1283" spans="1:13" x14ac:dyDescent="0.25">
      <c r="A1283" s="348"/>
      <c r="B1283" s="466"/>
      <c r="C1283" s="466"/>
      <c r="D1283" s="466"/>
      <c r="E1283" s="467"/>
      <c r="F1283" s="466"/>
      <c r="G1283" s="466"/>
      <c r="H1283" s="466"/>
      <c r="I1283" s="467"/>
      <c r="J1283" s="466"/>
      <c r="K1283" s="466"/>
      <c r="L1283" s="466"/>
      <c r="M1283" s="352"/>
    </row>
    <row r="1284" spans="1:13" x14ac:dyDescent="0.25">
      <c r="A1284" s="348"/>
      <c r="B1284" s="466"/>
      <c r="C1284" s="466"/>
      <c r="D1284" s="466"/>
      <c r="E1284" s="467"/>
      <c r="F1284" s="466"/>
      <c r="G1284" s="466"/>
      <c r="H1284" s="466"/>
      <c r="I1284" s="467"/>
      <c r="J1284" s="466"/>
      <c r="K1284" s="466"/>
      <c r="L1284" s="466"/>
      <c r="M1284" s="352"/>
    </row>
    <row r="1285" spans="1:13" x14ac:dyDescent="0.25">
      <c r="A1285" s="348"/>
      <c r="B1285" s="466"/>
      <c r="C1285" s="466"/>
      <c r="D1285" s="466"/>
      <c r="E1285" s="467"/>
      <c r="F1285" s="466"/>
      <c r="G1285" s="466"/>
      <c r="H1285" s="466"/>
      <c r="I1285" s="467"/>
      <c r="J1285" s="466"/>
      <c r="K1285" s="466"/>
      <c r="L1285" s="466"/>
      <c r="M1285" s="352"/>
    </row>
    <row r="1286" spans="1:13" x14ac:dyDescent="0.25">
      <c r="A1286" s="348"/>
      <c r="B1286" s="466"/>
      <c r="C1286" s="466"/>
      <c r="D1286" s="466"/>
      <c r="E1286" s="467"/>
      <c r="F1286" s="466"/>
      <c r="G1286" s="466"/>
      <c r="H1286" s="466"/>
      <c r="I1286" s="467"/>
      <c r="J1286" s="466"/>
      <c r="K1286" s="466"/>
      <c r="L1286" s="466"/>
      <c r="M1286" s="352"/>
    </row>
    <row r="1287" spans="1:13" x14ac:dyDescent="0.25">
      <c r="A1287" s="348"/>
      <c r="B1287" s="466"/>
      <c r="C1287" s="466"/>
      <c r="D1287" s="466"/>
      <c r="E1287" s="467"/>
      <c r="F1287" s="466"/>
      <c r="G1287" s="466"/>
      <c r="H1287" s="466"/>
      <c r="I1287" s="467"/>
      <c r="J1287" s="466"/>
      <c r="K1287" s="466"/>
      <c r="L1287" s="466"/>
      <c r="M1287" s="352"/>
    </row>
    <row r="1288" spans="1:13" x14ac:dyDescent="0.25">
      <c r="A1288" s="348"/>
      <c r="B1288" s="466"/>
      <c r="C1288" s="466"/>
      <c r="D1288" s="466"/>
      <c r="E1288" s="467"/>
      <c r="F1288" s="466"/>
      <c r="G1288" s="466"/>
      <c r="H1288" s="466"/>
      <c r="I1288" s="467"/>
      <c r="J1288" s="466"/>
      <c r="K1288" s="466"/>
      <c r="L1288" s="466"/>
      <c r="M1288" s="352"/>
    </row>
    <row r="1289" spans="1:13" x14ac:dyDescent="0.25">
      <c r="A1289" s="348"/>
      <c r="B1289" s="466"/>
      <c r="C1289" s="466"/>
      <c r="D1289" s="466"/>
      <c r="E1289" s="467"/>
      <c r="F1289" s="466"/>
      <c r="G1289" s="466"/>
      <c r="H1289" s="466"/>
      <c r="I1289" s="467"/>
      <c r="J1289" s="466"/>
      <c r="K1289" s="466"/>
      <c r="L1289" s="466"/>
      <c r="M1289" s="352"/>
    </row>
    <row r="1290" spans="1:13" x14ac:dyDescent="0.25">
      <c r="A1290" s="348"/>
      <c r="B1290" s="466"/>
      <c r="C1290" s="466"/>
      <c r="D1290" s="466"/>
      <c r="E1290" s="467"/>
      <c r="F1290" s="466"/>
      <c r="G1290" s="466"/>
      <c r="H1290" s="466"/>
      <c r="I1290" s="467"/>
      <c r="J1290" s="466"/>
      <c r="K1290" s="466"/>
      <c r="L1290" s="466"/>
      <c r="M1290" s="352"/>
    </row>
    <row r="1291" spans="1:13" x14ac:dyDescent="0.25">
      <c r="A1291" s="348"/>
      <c r="B1291" s="466"/>
      <c r="C1291" s="466"/>
      <c r="D1291" s="466"/>
      <c r="E1291" s="467"/>
      <c r="F1291" s="466"/>
      <c r="G1291" s="466"/>
      <c r="H1291" s="466"/>
      <c r="I1291" s="467"/>
      <c r="J1291" s="466"/>
      <c r="K1291" s="466"/>
      <c r="L1291" s="466"/>
      <c r="M1291" s="352"/>
    </row>
    <row r="1292" spans="1:13" x14ac:dyDescent="0.25">
      <c r="A1292" s="348"/>
      <c r="B1292" s="466"/>
      <c r="C1292" s="466"/>
      <c r="D1292" s="466"/>
      <c r="E1292" s="467"/>
      <c r="F1292" s="466"/>
      <c r="G1292" s="466"/>
      <c r="H1292" s="466"/>
      <c r="I1292" s="467"/>
      <c r="J1292" s="466"/>
      <c r="K1292" s="466"/>
      <c r="L1292" s="466"/>
      <c r="M1292" s="352"/>
    </row>
    <row r="1293" spans="1:13" x14ac:dyDescent="0.25">
      <c r="A1293" s="348"/>
      <c r="B1293" s="467"/>
      <c r="C1293" s="467"/>
      <c r="D1293" s="467"/>
      <c r="E1293" s="467"/>
      <c r="F1293" s="467"/>
      <c r="G1293" s="467"/>
      <c r="H1293" s="467"/>
      <c r="I1293" s="467"/>
      <c r="J1293" s="467"/>
      <c r="K1293" s="467"/>
      <c r="L1293" s="467"/>
      <c r="M1293" s="352"/>
    </row>
    <row r="1294" spans="1:13" x14ac:dyDescent="0.25">
      <c r="A1294" s="348"/>
      <c r="B1294" s="348"/>
      <c r="C1294" s="348"/>
      <c r="D1294" s="348"/>
      <c r="E1294" s="348"/>
      <c r="F1294" s="348"/>
      <c r="G1294" s="348"/>
      <c r="H1294" s="348"/>
      <c r="I1294" s="348"/>
      <c r="J1294" s="348"/>
      <c r="K1294" s="348"/>
      <c r="L1294" s="353"/>
      <c r="M1294" s="352"/>
    </row>
    <row r="1295" spans="1:13" x14ac:dyDescent="0.25">
      <c r="A1295" s="348"/>
      <c r="B1295" s="348"/>
      <c r="C1295" s="348"/>
      <c r="D1295" s="348"/>
      <c r="E1295" s="348"/>
      <c r="F1295" s="348"/>
      <c r="G1295" s="348"/>
      <c r="H1295" s="348"/>
      <c r="I1295" s="348"/>
      <c r="J1295" s="348"/>
      <c r="K1295" s="348"/>
      <c r="L1295" s="410"/>
      <c r="M1295" s="352"/>
    </row>
    <row r="1296" spans="1:13" x14ac:dyDescent="0.25">
      <c r="A1296" s="374"/>
      <c r="B1296" s="354"/>
      <c r="C1296" s="354"/>
      <c r="D1296" s="354"/>
      <c r="E1296" s="354"/>
      <c r="F1296" s="354"/>
      <c r="G1296" s="354"/>
      <c r="H1296" s="354"/>
      <c r="I1296" s="354"/>
      <c r="J1296" s="354"/>
      <c r="K1296" s="354"/>
      <c r="L1296" s="352"/>
      <c r="M1296" s="352"/>
    </row>
    <row r="1297" spans="1:13" x14ac:dyDescent="0.25">
      <c r="A1297" s="354"/>
      <c r="B1297" s="515"/>
      <c r="C1297" s="515"/>
      <c r="D1297" s="515"/>
      <c r="E1297" s="369"/>
      <c r="F1297" s="515"/>
      <c r="G1297" s="515"/>
      <c r="H1297" s="515"/>
      <c r="I1297" s="369"/>
      <c r="J1297" s="515"/>
      <c r="K1297" s="515"/>
      <c r="L1297" s="515"/>
      <c r="M1297" s="352"/>
    </row>
    <row r="1298" spans="1:13" x14ac:dyDescent="0.25">
      <c r="A1298" s="374"/>
      <c r="B1298" s="375"/>
      <c r="C1298" s="375"/>
      <c r="D1298" s="375"/>
      <c r="E1298" s="375"/>
      <c r="F1298" s="375"/>
      <c r="G1298" s="375"/>
      <c r="H1298" s="375"/>
      <c r="I1298" s="375"/>
      <c r="J1298" s="375"/>
      <c r="K1298" s="375"/>
      <c r="L1298" s="375"/>
      <c r="M1298" s="352"/>
    </row>
    <row r="1299" spans="1:13" x14ac:dyDescent="0.25">
      <c r="A1299" s="374"/>
      <c r="B1299" s="375"/>
      <c r="C1299" s="375"/>
      <c r="D1299" s="375"/>
      <c r="E1299" s="375"/>
      <c r="F1299" s="375"/>
      <c r="G1299" s="375"/>
      <c r="H1299" s="375"/>
      <c r="I1299" s="375"/>
      <c r="J1299" s="375"/>
      <c r="K1299" s="375"/>
      <c r="L1299" s="375"/>
      <c r="M1299" s="352"/>
    </row>
    <row r="1300" spans="1:13" x14ac:dyDescent="0.25">
      <c r="A1300" s="348"/>
      <c r="B1300" s="466"/>
      <c r="C1300" s="466"/>
      <c r="D1300" s="466"/>
      <c r="E1300" s="467"/>
      <c r="F1300" s="466"/>
      <c r="G1300" s="466"/>
      <c r="H1300" s="466"/>
      <c r="I1300" s="467"/>
      <c r="J1300" s="466"/>
      <c r="K1300" s="466"/>
      <c r="L1300" s="466"/>
      <c r="M1300" s="352"/>
    </row>
    <row r="1301" spans="1:13" x14ac:dyDescent="0.25">
      <c r="A1301" s="348"/>
      <c r="B1301" s="466"/>
      <c r="C1301" s="466"/>
      <c r="D1301" s="466"/>
      <c r="E1301" s="467"/>
      <c r="F1301" s="466"/>
      <c r="G1301" s="466"/>
      <c r="H1301" s="466"/>
      <c r="I1301" s="467"/>
      <c r="J1301" s="466"/>
      <c r="K1301" s="466"/>
      <c r="L1301" s="466"/>
      <c r="M1301" s="352"/>
    </row>
    <row r="1302" spans="1:13" x14ac:dyDescent="0.25">
      <c r="A1302" s="348"/>
      <c r="B1302" s="466"/>
      <c r="C1302" s="466"/>
      <c r="D1302" s="466"/>
      <c r="E1302" s="467"/>
      <c r="F1302" s="466"/>
      <c r="G1302" s="466"/>
      <c r="H1302" s="466"/>
      <c r="I1302" s="467"/>
      <c r="J1302" s="466"/>
      <c r="K1302" s="466"/>
      <c r="L1302" s="466"/>
      <c r="M1302" s="352"/>
    </row>
    <row r="1303" spans="1:13" x14ac:dyDescent="0.25">
      <c r="A1303" s="348"/>
      <c r="B1303" s="466"/>
      <c r="C1303" s="466"/>
      <c r="D1303" s="466"/>
      <c r="E1303" s="467"/>
      <c r="F1303" s="466"/>
      <c r="G1303" s="466"/>
      <c r="H1303" s="466"/>
      <c r="I1303" s="467"/>
      <c r="J1303" s="466"/>
      <c r="K1303" s="466"/>
      <c r="L1303" s="466"/>
      <c r="M1303" s="352"/>
    </row>
    <row r="1304" spans="1:13" x14ac:dyDescent="0.25">
      <c r="A1304" s="348"/>
      <c r="B1304" s="466"/>
      <c r="C1304" s="466"/>
      <c r="D1304" s="466"/>
      <c r="E1304" s="467"/>
      <c r="F1304" s="466"/>
      <c r="G1304" s="466"/>
      <c r="H1304" s="466"/>
      <c r="I1304" s="467"/>
      <c r="J1304" s="466"/>
      <c r="K1304" s="466"/>
      <c r="L1304" s="466"/>
      <c r="M1304" s="352"/>
    </row>
    <row r="1305" spans="1:13" x14ac:dyDescent="0.25">
      <c r="A1305" s="348"/>
      <c r="B1305" s="466"/>
      <c r="C1305" s="466"/>
      <c r="D1305" s="466"/>
      <c r="E1305" s="467"/>
      <c r="F1305" s="466"/>
      <c r="G1305" s="466"/>
      <c r="H1305" s="466"/>
      <c r="I1305" s="467"/>
      <c r="J1305" s="466"/>
      <c r="K1305" s="466"/>
      <c r="L1305" s="466"/>
      <c r="M1305" s="352"/>
    </row>
    <row r="1306" spans="1:13" x14ac:dyDescent="0.25">
      <c r="A1306" s="348"/>
      <c r="B1306" s="466"/>
      <c r="C1306" s="466"/>
      <c r="D1306" s="466"/>
      <c r="E1306" s="467"/>
      <c r="F1306" s="466"/>
      <c r="G1306" s="466"/>
      <c r="H1306" s="466"/>
      <c r="I1306" s="467"/>
      <c r="J1306" s="466"/>
      <c r="K1306" s="466"/>
      <c r="L1306" s="466"/>
      <c r="M1306" s="352"/>
    </row>
    <row r="1307" spans="1:13" x14ac:dyDescent="0.25">
      <c r="A1307" s="348"/>
      <c r="B1307" s="466"/>
      <c r="C1307" s="466"/>
      <c r="D1307" s="466"/>
      <c r="E1307" s="467"/>
      <c r="F1307" s="466"/>
      <c r="G1307" s="466"/>
      <c r="H1307" s="466"/>
      <c r="I1307" s="467"/>
      <c r="J1307" s="466"/>
      <c r="K1307" s="466"/>
      <c r="L1307" s="466"/>
      <c r="M1307" s="352"/>
    </row>
    <row r="1308" spans="1:13" x14ac:dyDescent="0.25">
      <c r="A1308" s="348"/>
      <c r="B1308" s="466"/>
      <c r="C1308" s="466"/>
      <c r="D1308" s="466"/>
      <c r="E1308" s="467"/>
      <c r="F1308" s="466"/>
      <c r="G1308" s="466"/>
      <c r="H1308" s="466"/>
      <c r="I1308" s="467"/>
      <c r="J1308" s="466"/>
      <c r="K1308" s="466"/>
      <c r="L1308" s="466"/>
      <c r="M1308" s="352"/>
    </row>
    <row r="1309" spans="1:13" x14ac:dyDescent="0.25">
      <c r="A1309" s="348"/>
      <c r="B1309" s="466"/>
      <c r="C1309" s="466"/>
      <c r="D1309" s="466"/>
      <c r="E1309" s="467"/>
      <c r="F1309" s="466"/>
      <c r="G1309" s="466"/>
      <c r="H1309" s="466"/>
      <c r="I1309" s="467"/>
      <c r="J1309" s="466"/>
      <c r="K1309" s="466"/>
      <c r="L1309" s="466"/>
      <c r="M1309" s="352"/>
    </row>
    <row r="1310" spans="1:13" x14ac:dyDescent="0.25">
      <c r="A1310" s="348"/>
      <c r="B1310" s="467"/>
      <c r="C1310" s="467"/>
      <c r="D1310" s="467"/>
      <c r="E1310" s="467"/>
      <c r="F1310" s="467"/>
      <c r="G1310" s="467"/>
      <c r="H1310" s="467"/>
      <c r="I1310" s="467"/>
      <c r="J1310" s="467"/>
      <c r="K1310" s="467"/>
      <c r="L1310" s="467"/>
      <c r="M1310" s="352"/>
    </row>
    <row r="1311" spans="1:13" x14ac:dyDescent="0.25">
      <c r="A1311" s="348"/>
      <c r="B1311" s="348"/>
      <c r="C1311" s="348"/>
      <c r="D1311" s="348"/>
      <c r="E1311" s="348"/>
      <c r="F1311" s="348"/>
      <c r="G1311" s="348"/>
      <c r="H1311" s="348"/>
      <c r="I1311" s="348"/>
      <c r="J1311" s="348"/>
      <c r="K1311" s="348"/>
      <c r="L1311" s="353"/>
      <c r="M1311" s="352"/>
    </row>
  </sheetData>
  <mergeCells count="231">
    <mergeCell ref="B6:D6"/>
    <mergeCell ref="F6:H6"/>
    <mergeCell ref="J6:L6"/>
    <mergeCell ref="N6:O6"/>
    <mergeCell ref="Q6:R6"/>
    <mergeCell ref="T6:U6"/>
    <mergeCell ref="B73:D73"/>
    <mergeCell ref="F73:H73"/>
    <mergeCell ref="J73:L73"/>
    <mergeCell ref="B90:D90"/>
    <mergeCell ref="F90:H90"/>
    <mergeCell ref="J90:L90"/>
    <mergeCell ref="B39:D39"/>
    <mergeCell ref="F39:H39"/>
    <mergeCell ref="J39:L39"/>
    <mergeCell ref="B56:D56"/>
    <mergeCell ref="F56:H56"/>
    <mergeCell ref="J56:L56"/>
    <mergeCell ref="B141:D141"/>
    <mergeCell ref="F141:H141"/>
    <mergeCell ref="J141:L141"/>
    <mergeCell ref="B158:D158"/>
    <mergeCell ref="F158:H158"/>
    <mergeCell ref="J158:L158"/>
    <mergeCell ref="B107:D107"/>
    <mergeCell ref="F107:H107"/>
    <mergeCell ref="J107:L107"/>
    <mergeCell ref="B124:D124"/>
    <mergeCell ref="F124:H124"/>
    <mergeCell ref="J124:L124"/>
    <mergeCell ref="B209:D209"/>
    <mergeCell ref="F209:H209"/>
    <mergeCell ref="J209:L209"/>
    <mergeCell ref="B226:D226"/>
    <mergeCell ref="F226:H226"/>
    <mergeCell ref="J226:L226"/>
    <mergeCell ref="B175:D175"/>
    <mergeCell ref="F175:H175"/>
    <mergeCell ref="J175:L175"/>
    <mergeCell ref="B192:D192"/>
    <mergeCell ref="F192:H192"/>
    <mergeCell ref="J192:L192"/>
    <mergeCell ref="B277:D277"/>
    <mergeCell ref="F277:H277"/>
    <mergeCell ref="J277:L277"/>
    <mergeCell ref="B294:D294"/>
    <mergeCell ref="F294:H294"/>
    <mergeCell ref="J294:L294"/>
    <mergeCell ref="B243:D243"/>
    <mergeCell ref="F243:H243"/>
    <mergeCell ref="J243:L243"/>
    <mergeCell ref="B260:D260"/>
    <mergeCell ref="F260:H260"/>
    <mergeCell ref="J260:L260"/>
    <mergeCell ref="B345:D345"/>
    <mergeCell ref="F345:H345"/>
    <mergeCell ref="J345:L345"/>
    <mergeCell ref="B362:D362"/>
    <mergeCell ref="F362:H362"/>
    <mergeCell ref="J362:L362"/>
    <mergeCell ref="B311:D311"/>
    <mergeCell ref="F311:H311"/>
    <mergeCell ref="J311:L311"/>
    <mergeCell ref="B328:D328"/>
    <mergeCell ref="F328:H328"/>
    <mergeCell ref="J328:L328"/>
    <mergeCell ref="B413:D413"/>
    <mergeCell ref="F413:H413"/>
    <mergeCell ref="J413:L413"/>
    <mergeCell ref="B430:D430"/>
    <mergeCell ref="F430:H430"/>
    <mergeCell ref="J430:L430"/>
    <mergeCell ref="B379:D379"/>
    <mergeCell ref="F379:H379"/>
    <mergeCell ref="J379:L379"/>
    <mergeCell ref="B396:D396"/>
    <mergeCell ref="F396:H396"/>
    <mergeCell ref="J396:L396"/>
    <mergeCell ref="B481:D481"/>
    <mergeCell ref="F481:H481"/>
    <mergeCell ref="J481:L481"/>
    <mergeCell ref="B498:D498"/>
    <mergeCell ref="F498:H498"/>
    <mergeCell ref="J498:L498"/>
    <mergeCell ref="B447:D447"/>
    <mergeCell ref="F447:H447"/>
    <mergeCell ref="J447:L447"/>
    <mergeCell ref="B464:D464"/>
    <mergeCell ref="F464:H464"/>
    <mergeCell ref="J464:L464"/>
    <mergeCell ref="B549:D549"/>
    <mergeCell ref="F549:H549"/>
    <mergeCell ref="J549:L549"/>
    <mergeCell ref="B566:D566"/>
    <mergeCell ref="F566:H566"/>
    <mergeCell ref="J566:L566"/>
    <mergeCell ref="B515:D515"/>
    <mergeCell ref="F515:H515"/>
    <mergeCell ref="J515:L515"/>
    <mergeCell ref="B532:D532"/>
    <mergeCell ref="F532:H532"/>
    <mergeCell ref="J532:L532"/>
    <mergeCell ref="B617:D617"/>
    <mergeCell ref="F617:H617"/>
    <mergeCell ref="J617:L617"/>
    <mergeCell ref="B634:D634"/>
    <mergeCell ref="F634:H634"/>
    <mergeCell ref="J634:L634"/>
    <mergeCell ref="B583:D583"/>
    <mergeCell ref="F583:H583"/>
    <mergeCell ref="J583:L583"/>
    <mergeCell ref="B600:D600"/>
    <mergeCell ref="F600:H600"/>
    <mergeCell ref="J600:L600"/>
    <mergeCell ref="B685:D685"/>
    <mergeCell ref="F685:H685"/>
    <mergeCell ref="J685:L685"/>
    <mergeCell ref="B702:D702"/>
    <mergeCell ref="F702:H702"/>
    <mergeCell ref="J702:L702"/>
    <mergeCell ref="B651:D651"/>
    <mergeCell ref="F651:H651"/>
    <mergeCell ref="J651:L651"/>
    <mergeCell ref="B668:D668"/>
    <mergeCell ref="F668:H668"/>
    <mergeCell ref="J668:L668"/>
    <mergeCell ref="B753:D753"/>
    <mergeCell ref="F753:H753"/>
    <mergeCell ref="J753:L753"/>
    <mergeCell ref="B770:D770"/>
    <mergeCell ref="F770:H770"/>
    <mergeCell ref="J770:L770"/>
    <mergeCell ref="B719:D719"/>
    <mergeCell ref="F719:H719"/>
    <mergeCell ref="J719:L719"/>
    <mergeCell ref="B736:D736"/>
    <mergeCell ref="F736:H736"/>
    <mergeCell ref="J736:L736"/>
    <mergeCell ref="B821:D821"/>
    <mergeCell ref="F821:H821"/>
    <mergeCell ref="J821:L821"/>
    <mergeCell ref="B838:D838"/>
    <mergeCell ref="F838:H838"/>
    <mergeCell ref="J838:L838"/>
    <mergeCell ref="B787:D787"/>
    <mergeCell ref="F787:H787"/>
    <mergeCell ref="J787:L787"/>
    <mergeCell ref="B804:D804"/>
    <mergeCell ref="F804:H804"/>
    <mergeCell ref="J804:L804"/>
    <mergeCell ref="B889:D889"/>
    <mergeCell ref="F889:H889"/>
    <mergeCell ref="J889:L889"/>
    <mergeCell ref="B906:D906"/>
    <mergeCell ref="F906:H906"/>
    <mergeCell ref="J906:L906"/>
    <mergeCell ref="B855:D855"/>
    <mergeCell ref="F855:H855"/>
    <mergeCell ref="J855:L855"/>
    <mergeCell ref="B872:D872"/>
    <mergeCell ref="F872:H872"/>
    <mergeCell ref="J872:L872"/>
    <mergeCell ref="B957:D957"/>
    <mergeCell ref="F957:H957"/>
    <mergeCell ref="J957:L957"/>
    <mergeCell ref="B974:D974"/>
    <mergeCell ref="F974:H974"/>
    <mergeCell ref="J974:L974"/>
    <mergeCell ref="B923:D923"/>
    <mergeCell ref="F923:H923"/>
    <mergeCell ref="J923:L923"/>
    <mergeCell ref="B940:D940"/>
    <mergeCell ref="F940:H940"/>
    <mergeCell ref="J940:L940"/>
    <mergeCell ref="B1025:D1025"/>
    <mergeCell ref="F1025:H1025"/>
    <mergeCell ref="J1025:L1025"/>
    <mergeCell ref="B1042:D1042"/>
    <mergeCell ref="F1042:H1042"/>
    <mergeCell ref="J1042:L1042"/>
    <mergeCell ref="B991:D991"/>
    <mergeCell ref="F991:H991"/>
    <mergeCell ref="J991:L991"/>
    <mergeCell ref="B1008:D1008"/>
    <mergeCell ref="F1008:H1008"/>
    <mergeCell ref="J1008:L1008"/>
    <mergeCell ref="B1093:D1093"/>
    <mergeCell ref="F1093:H1093"/>
    <mergeCell ref="J1093:L1093"/>
    <mergeCell ref="B1110:D1110"/>
    <mergeCell ref="F1110:H1110"/>
    <mergeCell ref="J1110:L1110"/>
    <mergeCell ref="B1059:D1059"/>
    <mergeCell ref="F1059:H1059"/>
    <mergeCell ref="J1059:L1059"/>
    <mergeCell ref="B1076:D1076"/>
    <mergeCell ref="F1076:H1076"/>
    <mergeCell ref="J1076:L1076"/>
    <mergeCell ref="B1161:D1161"/>
    <mergeCell ref="F1161:H1161"/>
    <mergeCell ref="J1161:L1161"/>
    <mergeCell ref="B1178:D1178"/>
    <mergeCell ref="F1178:H1178"/>
    <mergeCell ref="J1178:L1178"/>
    <mergeCell ref="B1127:D1127"/>
    <mergeCell ref="F1127:H1127"/>
    <mergeCell ref="J1127:L1127"/>
    <mergeCell ref="B1144:D1144"/>
    <mergeCell ref="F1144:H1144"/>
    <mergeCell ref="J1144:L1144"/>
    <mergeCell ref="B1229:D1229"/>
    <mergeCell ref="F1229:H1229"/>
    <mergeCell ref="J1229:L1229"/>
    <mergeCell ref="B1246:D1246"/>
    <mergeCell ref="F1246:H1246"/>
    <mergeCell ref="J1246:L1246"/>
    <mergeCell ref="B1195:D1195"/>
    <mergeCell ref="F1195:H1195"/>
    <mergeCell ref="J1195:L1195"/>
    <mergeCell ref="B1212:D1212"/>
    <mergeCell ref="F1212:H1212"/>
    <mergeCell ref="J1212:L1212"/>
    <mergeCell ref="B1297:D1297"/>
    <mergeCell ref="F1297:H1297"/>
    <mergeCell ref="J1297:L1297"/>
    <mergeCell ref="B1263:D1263"/>
    <mergeCell ref="F1263:H1263"/>
    <mergeCell ref="J1263:L1263"/>
    <mergeCell ref="B1280:D1280"/>
    <mergeCell ref="F1280:H1280"/>
    <mergeCell ref="J1280:L1280"/>
  </mergeCells>
  <pageMargins left="0.7" right="0.7" top="0.75" bottom="0.75" header="0.3" footer="0.3"/>
  <pageSetup paperSize="9" scale="78" orientation="landscape" r:id="rId1"/>
  <colBreaks count="1" manualBreakCount="1">
    <brk id="21" max="1048575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U54"/>
  <sheetViews>
    <sheetView showGridLines="0" zoomScale="85" zoomScaleNormal="85" workbookViewId="0"/>
  </sheetViews>
  <sheetFormatPr defaultColWidth="9.109375" defaultRowHeight="13.2" x14ac:dyDescent="0.25"/>
  <cols>
    <col min="1" max="1" width="39.33203125" style="286" customWidth="1"/>
    <col min="2" max="2" width="6.6640625" style="286" customWidth="1"/>
    <col min="3" max="4" width="5.5546875" style="286" customWidth="1"/>
    <col min="5" max="5" width="6.6640625" style="286" customWidth="1"/>
    <col min="6" max="6" width="2.88671875" style="286" customWidth="1"/>
    <col min="7" max="7" width="6.6640625" style="286" customWidth="1"/>
    <col min="8" max="9" width="5.5546875" style="286" customWidth="1"/>
    <col min="10" max="10" width="6.6640625" style="286" customWidth="1"/>
    <col min="11" max="11" width="2.88671875" style="286" customWidth="1"/>
    <col min="12" max="13" width="6.6640625" style="286" customWidth="1"/>
    <col min="14" max="14" width="5.5546875" style="286" customWidth="1"/>
    <col min="15" max="16" width="6.6640625" style="286" customWidth="1"/>
    <col min="17" max="17" width="39.33203125" style="286" customWidth="1"/>
    <col min="18" max="18" width="6.6640625" style="286" customWidth="1"/>
    <col min="19" max="20" width="5.6640625" style="286" customWidth="1"/>
    <col min="21" max="21" width="6.6640625" style="286" customWidth="1"/>
    <col min="22" max="22" width="2.88671875" style="286" customWidth="1"/>
    <col min="23" max="23" width="6.6640625" style="286" customWidth="1"/>
    <col min="24" max="25" width="5.6640625" style="286" customWidth="1"/>
    <col min="26" max="26" width="6.6640625" style="286" customWidth="1"/>
    <col min="27" max="27" width="2.88671875" style="286" customWidth="1"/>
    <col min="28" max="29" width="6.6640625" style="286" customWidth="1"/>
    <col min="30" max="30" width="5.6640625" style="286" customWidth="1"/>
    <col min="31" max="31" width="6.6640625" style="286" customWidth="1"/>
    <col min="32" max="32" width="6.88671875" style="286" customWidth="1"/>
    <col min="33" max="33" width="39.33203125" style="286" customWidth="1"/>
    <col min="34" max="34" width="6.6640625" style="286" customWidth="1"/>
    <col min="35" max="36" width="5.6640625" style="286" customWidth="1"/>
    <col min="37" max="37" width="6.6640625" style="286" customWidth="1"/>
    <col min="38" max="38" width="2.88671875" style="286" customWidth="1"/>
    <col min="39" max="39" width="6.6640625" style="286" customWidth="1"/>
    <col min="40" max="41" width="5.6640625" style="286" customWidth="1"/>
    <col min="42" max="42" width="6.6640625" style="286" customWidth="1"/>
    <col min="43" max="43" width="2.88671875" style="286" customWidth="1"/>
    <col min="44" max="45" width="6.6640625" style="286" customWidth="1"/>
    <col min="46" max="46" width="5.6640625" style="286" customWidth="1"/>
    <col min="47" max="47" width="6.6640625" style="286" customWidth="1"/>
    <col min="48" max="16384" width="9.109375" style="286"/>
  </cols>
  <sheetData>
    <row r="1" spans="1:47" ht="15.6" x14ac:dyDescent="0.3">
      <c r="A1" s="23" t="str">
        <f>CONCATENATE("Occupation Table 5  Employment Change by Status (SOC 2010), ",B$5,"-",L$5)</f>
        <v>Occupation Table 5  Employment Change by Status (SOC 2010), 2007-2027</v>
      </c>
      <c r="Q1" s="23" t="str">
        <f>CONCATENATE("Occupation Table 5.1  Males: Employment Change by Status (SOC 2010), ",B$5,"-",L$5)</f>
        <v>Occupation Table 5.1  Males: Employment Change by Status (SOC 2010), 2007-2027</v>
      </c>
      <c r="AG1" s="23" t="str">
        <f>CONCATENATE("Occupation Table 5.2  Females: Employment Change by Status (SOC 2010), ",R$5,"-",AB$5)</f>
        <v>Occupation Table 5.2  Females: Employment Change by Status (SOC 2010), 2007-2027</v>
      </c>
    </row>
    <row r="3" spans="1:47" x14ac:dyDescent="0.25">
      <c r="O3" s="19" t="s">
        <v>35</v>
      </c>
      <c r="AE3" s="19" t="s">
        <v>35</v>
      </c>
      <c r="AU3" s="19" t="s">
        <v>35</v>
      </c>
    </row>
    <row r="4" spans="1:47" x14ac:dyDescent="0.25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</row>
    <row r="5" spans="1:47" x14ac:dyDescent="0.25">
      <c r="A5" s="2"/>
      <c r="B5" s="519">
        <v>2007</v>
      </c>
      <c r="C5" s="519"/>
      <c r="D5" s="519"/>
      <c r="E5" s="519"/>
      <c r="F5" s="57"/>
      <c r="G5" s="519">
        <v>2017</v>
      </c>
      <c r="H5" s="519"/>
      <c r="I5" s="519"/>
      <c r="J5" s="519"/>
      <c r="K5" s="57"/>
      <c r="L5" s="519">
        <v>2027</v>
      </c>
      <c r="M5" s="519"/>
      <c r="N5" s="519"/>
      <c r="O5" s="519"/>
      <c r="Q5" s="2"/>
      <c r="R5" s="519">
        <v>2007</v>
      </c>
      <c r="S5" s="519"/>
      <c r="T5" s="519"/>
      <c r="U5" s="519"/>
      <c r="V5" s="57"/>
      <c r="W5" s="519">
        <v>2017</v>
      </c>
      <c r="X5" s="519"/>
      <c r="Y5" s="519"/>
      <c r="Z5" s="519"/>
      <c r="AA5" s="57"/>
      <c r="AB5" s="519">
        <v>2027</v>
      </c>
      <c r="AC5" s="519"/>
      <c r="AD5" s="519"/>
      <c r="AE5" s="519"/>
      <c r="AG5" s="2"/>
      <c r="AH5" s="519">
        <v>2007</v>
      </c>
      <c r="AI5" s="519"/>
      <c r="AJ5" s="519"/>
      <c r="AK5" s="519"/>
      <c r="AL5" s="57"/>
      <c r="AM5" s="519">
        <v>2017</v>
      </c>
      <c r="AN5" s="519"/>
      <c r="AO5" s="519"/>
      <c r="AP5" s="519"/>
      <c r="AQ5" s="57"/>
      <c r="AR5" s="519">
        <v>2027</v>
      </c>
      <c r="AS5" s="519"/>
      <c r="AT5" s="519"/>
      <c r="AU5" s="519"/>
    </row>
    <row r="6" spans="1:47" x14ac:dyDescent="0.25">
      <c r="A6" s="78" t="s">
        <v>13</v>
      </c>
      <c r="B6" s="485" t="s">
        <v>371</v>
      </c>
      <c r="C6" s="485" t="s">
        <v>373</v>
      </c>
      <c r="D6" s="485" t="s">
        <v>369</v>
      </c>
      <c r="E6" s="485" t="s">
        <v>32</v>
      </c>
      <c r="F6" s="486"/>
      <c r="G6" s="485" t="s">
        <v>371</v>
      </c>
      <c r="H6" s="485" t="s">
        <v>373</v>
      </c>
      <c r="I6" s="485" t="s">
        <v>369</v>
      </c>
      <c r="J6" s="485" t="s">
        <v>32</v>
      </c>
      <c r="K6" s="486"/>
      <c r="L6" s="485" t="s">
        <v>371</v>
      </c>
      <c r="M6" s="485" t="s">
        <v>373</v>
      </c>
      <c r="N6" s="485" t="s">
        <v>369</v>
      </c>
      <c r="O6" s="485" t="s">
        <v>32</v>
      </c>
      <c r="Q6" s="78" t="s">
        <v>13</v>
      </c>
      <c r="R6" s="485" t="s">
        <v>371</v>
      </c>
      <c r="S6" s="485" t="s">
        <v>373</v>
      </c>
      <c r="T6" s="485" t="s">
        <v>369</v>
      </c>
      <c r="U6" s="485" t="s">
        <v>32</v>
      </c>
      <c r="V6" s="486"/>
      <c r="W6" s="485" t="s">
        <v>371</v>
      </c>
      <c r="X6" s="485" t="s">
        <v>373</v>
      </c>
      <c r="Y6" s="485" t="s">
        <v>369</v>
      </c>
      <c r="Z6" s="485" t="s">
        <v>32</v>
      </c>
      <c r="AA6" s="486"/>
      <c r="AB6" s="485" t="s">
        <v>371</v>
      </c>
      <c r="AC6" s="485" t="s">
        <v>373</v>
      </c>
      <c r="AD6" s="485" t="s">
        <v>369</v>
      </c>
      <c r="AE6" s="485" t="s">
        <v>32</v>
      </c>
      <c r="AG6" s="78" t="s">
        <v>13</v>
      </c>
      <c r="AH6" s="485" t="s">
        <v>371</v>
      </c>
      <c r="AI6" s="485" t="s">
        <v>373</v>
      </c>
      <c r="AJ6" s="485" t="s">
        <v>369</v>
      </c>
      <c r="AK6" s="485" t="s">
        <v>32</v>
      </c>
      <c r="AL6" s="486"/>
      <c r="AM6" s="485" t="s">
        <v>371</v>
      </c>
      <c r="AN6" s="485" t="s">
        <v>373</v>
      </c>
      <c r="AO6" s="485" t="s">
        <v>369</v>
      </c>
      <c r="AP6" s="485" t="s">
        <v>32</v>
      </c>
      <c r="AQ6" s="486"/>
      <c r="AR6" s="485" t="s">
        <v>371</v>
      </c>
      <c r="AS6" s="485" t="s">
        <v>373</v>
      </c>
      <c r="AT6" s="485" t="s">
        <v>369</v>
      </c>
      <c r="AU6" s="485" t="s">
        <v>32</v>
      </c>
    </row>
    <row r="7" spans="1:47" x14ac:dyDescent="0.25">
      <c r="B7" s="18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R7" s="18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H7" s="18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</row>
    <row r="8" spans="1:47" x14ac:dyDescent="0.25">
      <c r="A8" s="18" t="str">
        <f>name!E4</f>
        <v>Managers, directors and senior officials</v>
      </c>
      <c r="B8" s="13">
        <v>1856.6974708726236</v>
      </c>
      <c r="C8" s="13">
        <v>260.32344628019445</v>
      </c>
      <c r="D8" s="13">
        <v>658.65130742367614</v>
      </c>
      <c r="E8" s="13">
        <f>SUM(B8:D8)</f>
        <v>2775.672224576494</v>
      </c>
      <c r="F8" s="13"/>
      <c r="G8" s="13">
        <v>2392.0335118479866</v>
      </c>
      <c r="H8" s="13">
        <v>390.19968652945636</v>
      </c>
      <c r="I8" s="13">
        <v>784.19115839074277</v>
      </c>
      <c r="J8" s="13">
        <f>SUM(G8:I8)</f>
        <v>3566.4243567681856</v>
      </c>
      <c r="K8" s="13"/>
      <c r="L8" s="13">
        <v>2726.8131620003142</v>
      </c>
      <c r="M8" s="13">
        <v>507.93395657203195</v>
      </c>
      <c r="N8" s="13">
        <v>770.22429338493237</v>
      </c>
      <c r="O8" s="13">
        <f>SUM(L8:N8)</f>
        <v>4004.9714119572786</v>
      </c>
      <c r="Q8" s="12" t="str">
        <f>name!E4</f>
        <v>Managers, directors and senior officials</v>
      </c>
      <c r="R8" s="13">
        <v>1393.5809486153173</v>
      </c>
      <c r="S8" s="13">
        <v>107.6600966529401</v>
      </c>
      <c r="T8" s="13">
        <v>438.48420435984735</v>
      </c>
      <c r="U8" s="13">
        <f>SUM(R8:T8)</f>
        <v>1939.7252496281048</v>
      </c>
      <c r="V8" s="13"/>
      <c r="W8" s="13">
        <v>1667.8572829039081</v>
      </c>
      <c r="X8" s="13">
        <v>143.19969070392003</v>
      </c>
      <c r="Y8" s="13">
        <v>476.27654002513208</v>
      </c>
      <c r="Z8" s="13">
        <f>SUM(W8:Y8)</f>
        <v>2287.3335136329601</v>
      </c>
      <c r="AA8" s="13"/>
      <c r="AB8" s="13">
        <v>1802.4095036717897</v>
      </c>
      <c r="AC8" s="13">
        <v>174.4033337644326</v>
      </c>
      <c r="AD8" s="13">
        <v>459.51058808024436</v>
      </c>
      <c r="AE8" s="13">
        <f>SUM(AB8:AD8)</f>
        <v>2436.3234255164666</v>
      </c>
      <c r="AG8" s="12" t="str">
        <f>name!E4</f>
        <v>Managers, directors and senior officials</v>
      </c>
      <c r="AH8" s="13">
        <v>463.11652225730904</v>
      </c>
      <c r="AI8" s="13">
        <v>152.66334962725438</v>
      </c>
      <c r="AJ8" s="13">
        <v>220.16710306382865</v>
      </c>
      <c r="AK8" s="13">
        <f>SUM(AH8:AJ8)</f>
        <v>835.94697494839204</v>
      </c>
      <c r="AL8" s="13"/>
      <c r="AM8" s="13">
        <v>724.17622894407839</v>
      </c>
      <c r="AN8" s="13">
        <v>246.99999582553585</v>
      </c>
      <c r="AO8" s="13">
        <v>307.91461836561098</v>
      </c>
      <c r="AP8" s="13">
        <f>SUM(AM8:AO8)</f>
        <v>1279.0908431352252</v>
      </c>
      <c r="AQ8" s="13"/>
      <c r="AR8" s="13">
        <v>924.40365832852638</v>
      </c>
      <c r="AS8" s="13">
        <v>333.53062280759912</v>
      </c>
      <c r="AT8" s="13">
        <v>310.71370530468818</v>
      </c>
      <c r="AU8" s="13">
        <f>SUM(AR8:AT8)</f>
        <v>1568.6479864408136</v>
      </c>
    </row>
    <row r="9" spans="1:47" x14ac:dyDescent="0.25">
      <c r="A9" s="18" t="str">
        <f>name!E5</f>
        <v>Professional occupations</v>
      </c>
      <c r="B9" s="13">
        <v>3850.5506304057699</v>
      </c>
      <c r="C9" s="13">
        <v>1061.0971995323391</v>
      </c>
      <c r="D9" s="13">
        <v>514.40391368412759</v>
      </c>
      <c r="E9" s="13">
        <f t="shared" ref="E9:E18" si="0">SUM(B9:D9)</f>
        <v>5426.0517436222362</v>
      </c>
      <c r="F9" s="13"/>
      <c r="G9" s="13">
        <v>4764.9738254608419</v>
      </c>
      <c r="H9" s="13">
        <v>1392.0197612293641</v>
      </c>
      <c r="I9" s="13">
        <v>716.49825187397516</v>
      </c>
      <c r="J9" s="13">
        <f t="shared" ref="J9:J16" si="1">SUM(G9:I9)</f>
        <v>6873.4918385641813</v>
      </c>
      <c r="K9" s="13"/>
      <c r="L9" s="13">
        <v>5198.6650524179768</v>
      </c>
      <c r="M9" s="13">
        <v>1746.9701721775591</v>
      </c>
      <c r="N9" s="13">
        <v>748.9836590723861</v>
      </c>
      <c r="O9" s="13">
        <f t="shared" ref="O9:O16" si="2">SUM(L9:N9)</f>
        <v>7694.6188836679221</v>
      </c>
      <c r="Q9" s="12" t="str">
        <f>name!E5</f>
        <v>Professional occupations</v>
      </c>
      <c r="R9" s="13">
        <v>2136.5415106686755</v>
      </c>
      <c r="S9" s="13">
        <v>248.8263455517459</v>
      </c>
      <c r="T9" s="13">
        <v>349.4816896195947</v>
      </c>
      <c r="U9" s="13">
        <f t="shared" ref="U9:U16" si="3">SUM(R9:T9)</f>
        <v>2734.8495458400162</v>
      </c>
      <c r="V9" s="13"/>
      <c r="W9" s="13">
        <v>2673.8467230011693</v>
      </c>
      <c r="X9" s="13">
        <v>299.60821495075913</v>
      </c>
      <c r="Y9" s="13">
        <v>412.59296545288618</v>
      </c>
      <c r="Z9" s="13">
        <f t="shared" ref="Z9:Z16" si="4">SUM(W9:Y9)</f>
        <v>3386.0479034048149</v>
      </c>
      <c r="AA9" s="13"/>
      <c r="AB9" s="13">
        <v>2770.9940005931085</v>
      </c>
      <c r="AC9" s="13">
        <v>362.7932244532459</v>
      </c>
      <c r="AD9" s="13">
        <v>406.15788131082229</v>
      </c>
      <c r="AE9" s="13">
        <f t="shared" ref="AE9:AE16" si="5">SUM(AB9:AD9)</f>
        <v>3539.9451063571764</v>
      </c>
      <c r="AG9" s="12" t="str">
        <f>name!E5</f>
        <v>Professional occupations</v>
      </c>
      <c r="AH9" s="13">
        <v>1714.0091197370957</v>
      </c>
      <c r="AI9" s="13">
        <v>812.27085398059319</v>
      </c>
      <c r="AJ9" s="13">
        <v>164.92222406453308</v>
      </c>
      <c r="AK9" s="13">
        <f t="shared" ref="AK9:AK18" si="6">SUM(AH9:AJ9)</f>
        <v>2691.2021977822219</v>
      </c>
      <c r="AL9" s="13"/>
      <c r="AM9" s="13">
        <v>2091.1271024596731</v>
      </c>
      <c r="AN9" s="13">
        <v>1092.4115462786051</v>
      </c>
      <c r="AO9" s="13">
        <v>303.90528642108882</v>
      </c>
      <c r="AP9" s="13">
        <f t="shared" ref="AP9:AP18" si="7">SUM(AM9:AO9)</f>
        <v>3487.4439351593674</v>
      </c>
      <c r="AQ9" s="13"/>
      <c r="AR9" s="13">
        <v>2427.6710518248669</v>
      </c>
      <c r="AS9" s="13">
        <v>1384.1769477243135</v>
      </c>
      <c r="AT9" s="13">
        <v>342.82577776156393</v>
      </c>
      <c r="AU9" s="13">
        <f t="shared" ref="AU9:AU18" si="8">SUM(AR9:AT9)</f>
        <v>4154.6737773107443</v>
      </c>
    </row>
    <row r="10" spans="1:47" x14ac:dyDescent="0.25">
      <c r="A10" s="18" t="str">
        <f>name!E6</f>
        <v>Associate professional and technical</v>
      </c>
      <c r="B10" s="13">
        <v>3057.6092461663766</v>
      </c>
      <c r="C10" s="13">
        <v>629.24020215491066</v>
      </c>
      <c r="D10" s="13">
        <v>505.33950327333508</v>
      </c>
      <c r="E10" s="13">
        <f t="shared" si="0"/>
        <v>4192.1889515946223</v>
      </c>
      <c r="F10" s="13"/>
      <c r="G10" s="13">
        <v>3400.9323994350821</v>
      </c>
      <c r="H10" s="13">
        <v>778.62632658876953</v>
      </c>
      <c r="I10" s="13">
        <v>704.82495589820803</v>
      </c>
      <c r="J10" s="13">
        <f t="shared" si="1"/>
        <v>4884.3836819220596</v>
      </c>
      <c r="K10" s="13"/>
      <c r="L10" s="13">
        <v>3634.7076028763558</v>
      </c>
      <c r="M10" s="13">
        <v>957.74507638025636</v>
      </c>
      <c r="N10" s="13">
        <v>717.06928014547054</v>
      </c>
      <c r="O10" s="13">
        <f t="shared" si="2"/>
        <v>5309.5219594020828</v>
      </c>
      <c r="Q10" s="12" t="str">
        <f>name!E6</f>
        <v>Associate professional and technical</v>
      </c>
      <c r="R10" s="13">
        <v>1996.2253920401056</v>
      </c>
      <c r="S10" s="13">
        <v>198.71956809469148</v>
      </c>
      <c r="T10" s="13">
        <v>288.78530906799568</v>
      </c>
      <c r="U10" s="13">
        <f t="shared" si="3"/>
        <v>2483.7302692027924</v>
      </c>
      <c r="V10" s="13"/>
      <c r="W10" s="13">
        <v>2151.7481239823173</v>
      </c>
      <c r="X10" s="13">
        <v>229.74186901325683</v>
      </c>
      <c r="Y10" s="13">
        <v>368.37198539531357</v>
      </c>
      <c r="Z10" s="13">
        <f t="shared" si="4"/>
        <v>2749.8619783908875</v>
      </c>
      <c r="AA10" s="13"/>
      <c r="AB10" s="13">
        <v>2173.9524430078309</v>
      </c>
      <c r="AC10" s="13">
        <v>272.75066339510749</v>
      </c>
      <c r="AD10" s="13">
        <v>369.85558551105225</v>
      </c>
      <c r="AE10" s="13">
        <f t="shared" si="5"/>
        <v>2816.5586919139905</v>
      </c>
      <c r="AG10" s="12" t="str">
        <f>name!E6</f>
        <v>Associate professional and technical</v>
      </c>
      <c r="AH10" s="13">
        <v>1061.3838541262708</v>
      </c>
      <c r="AI10" s="13">
        <v>430.52063406021938</v>
      </c>
      <c r="AJ10" s="13">
        <v>216.55419420533929</v>
      </c>
      <c r="AK10" s="13">
        <f t="shared" si="6"/>
        <v>1708.4586823918294</v>
      </c>
      <c r="AL10" s="13"/>
      <c r="AM10" s="13">
        <v>1249.1842754527647</v>
      </c>
      <c r="AN10" s="13">
        <v>548.88445757551256</v>
      </c>
      <c r="AO10" s="13">
        <v>336.45297050289503</v>
      </c>
      <c r="AP10" s="13">
        <f t="shared" si="7"/>
        <v>2134.5217035311721</v>
      </c>
      <c r="AQ10" s="13"/>
      <c r="AR10" s="13">
        <v>1460.7551598685234</v>
      </c>
      <c r="AS10" s="13">
        <v>684.99441298514887</v>
      </c>
      <c r="AT10" s="13">
        <v>347.21369463441806</v>
      </c>
      <c r="AU10" s="13">
        <f t="shared" si="8"/>
        <v>2492.9632674880904</v>
      </c>
    </row>
    <row r="11" spans="1:47" x14ac:dyDescent="0.25">
      <c r="A11" s="18" t="str">
        <f>name!E7</f>
        <v>Administrative and secretarial</v>
      </c>
      <c r="B11" s="13">
        <v>2380.5906574484707</v>
      </c>
      <c r="C11" s="13">
        <v>1542.8888989521083</v>
      </c>
      <c r="D11" s="13">
        <v>99.897936311659777</v>
      </c>
      <c r="E11" s="13">
        <f t="shared" si="0"/>
        <v>4023.3774927122386</v>
      </c>
      <c r="F11" s="13"/>
      <c r="G11" s="13">
        <v>2128.5740630191062</v>
      </c>
      <c r="H11" s="13">
        <v>1420.3942953796493</v>
      </c>
      <c r="I11" s="13">
        <v>131.81803914330175</v>
      </c>
      <c r="J11" s="13">
        <f t="shared" si="1"/>
        <v>3680.7863975420569</v>
      </c>
      <c r="K11" s="13"/>
      <c r="L11" s="13">
        <v>1767.3248954274311</v>
      </c>
      <c r="M11" s="13">
        <v>1213.5107225809093</v>
      </c>
      <c r="N11" s="13">
        <v>96.319458941829282</v>
      </c>
      <c r="O11" s="13">
        <f t="shared" si="2"/>
        <v>3077.1550769501696</v>
      </c>
      <c r="Q11" s="12" t="str">
        <f>name!E7</f>
        <v>Administrative and secretarial</v>
      </c>
      <c r="R11" s="13">
        <v>705.44593067570077</v>
      </c>
      <c r="S11" s="13">
        <v>146.82777402951277</v>
      </c>
      <c r="T11" s="13">
        <v>24.743909471318524</v>
      </c>
      <c r="U11" s="13">
        <f t="shared" si="3"/>
        <v>877.01761417653199</v>
      </c>
      <c r="V11" s="13"/>
      <c r="W11" s="13">
        <v>745.4026073241555</v>
      </c>
      <c r="X11" s="13">
        <v>147.5114405108018</v>
      </c>
      <c r="Y11" s="13">
        <v>31.959221562955541</v>
      </c>
      <c r="Z11" s="13">
        <f t="shared" si="4"/>
        <v>924.87326939791285</v>
      </c>
      <c r="AA11" s="13"/>
      <c r="AB11" s="13">
        <v>723.75562452661745</v>
      </c>
      <c r="AC11" s="13">
        <v>156.91540347030255</v>
      </c>
      <c r="AD11" s="13">
        <v>30.781401325013455</v>
      </c>
      <c r="AE11" s="13">
        <f t="shared" si="5"/>
        <v>911.45242932193344</v>
      </c>
      <c r="AG11" s="12" t="str">
        <f>name!E7</f>
        <v>Administrative and secretarial</v>
      </c>
      <c r="AH11" s="13">
        <v>1675.1447267727676</v>
      </c>
      <c r="AI11" s="13">
        <v>1396.0611249225951</v>
      </c>
      <c r="AJ11" s="13">
        <v>75.154026840341302</v>
      </c>
      <c r="AK11" s="13">
        <f t="shared" si="6"/>
        <v>3146.3598785357044</v>
      </c>
      <c r="AL11" s="13"/>
      <c r="AM11" s="13">
        <v>1383.1714556949496</v>
      </c>
      <c r="AN11" s="13">
        <v>1272.8828548688468</v>
      </c>
      <c r="AO11" s="13">
        <v>99.858817580346212</v>
      </c>
      <c r="AP11" s="13">
        <f t="shared" si="7"/>
        <v>2755.9131281441423</v>
      </c>
      <c r="AQ11" s="13"/>
      <c r="AR11" s="13">
        <v>1043.5692709008124</v>
      </c>
      <c r="AS11" s="13">
        <v>1056.5953191106062</v>
      </c>
      <c r="AT11" s="13">
        <v>65.538057616815877</v>
      </c>
      <c r="AU11" s="13">
        <f t="shared" si="8"/>
        <v>2165.7026476282344</v>
      </c>
    </row>
    <row r="12" spans="1:47" x14ac:dyDescent="0.25">
      <c r="A12" s="18" t="str">
        <f>name!E8</f>
        <v>Skilled trades occupations</v>
      </c>
      <c r="B12" s="13">
        <v>2215.056106388472</v>
      </c>
      <c r="C12" s="13">
        <v>288.69605673688585</v>
      </c>
      <c r="D12" s="13">
        <v>1079.8631646031072</v>
      </c>
      <c r="E12" s="13">
        <f t="shared" si="0"/>
        <v>3583.6153277284652</v>
      </c>
      <c r="F12" s="13"/>
      <c r="G12" s="13">
        <v>2013.2322444781178</v>
      </c>
      <c r="H12" s="13">
        <v>293.27315678610995</v>
      </c>
      <c r="I12" s="13">
        <v>1126.3309576079644</v>
      </c>
      <c r="J12" s="13">
        <f t="shared" si="1"/>
        <v>3432.8363588721922</v>
      </c>
      <c r="K12" s="13"/>
      <c r="L12" s="13">
        <v>1779.9695640723839</v>
      </c>
      <c r="M12" s="13">
        <v>283.11509355402507</v>
      </c>
      <c r="N12" s="13">
        <v>1063.1008945491951</v>
      </c>
      <c r="O12" s="13">
        <f t="shared" si="2"/>
        <v>3126.1855521756042</v>
      </c>
      <c r="Q12" s="12" t="str">
        <f>name!E8</f>
        <v>Skilled trades occupations</v>
      </c>
      <c r="R12" s="13">
        <v>2057.2057999380786</v>
      </c>
      <c r="S12" s="13">
        <v>163.14787730669406</v>
      </c>
      <c r="T12" s="13">
        <v>998.10991344851777</v>
      </c>
      <c r="U12" s="13">
        <f t="shared" si="3"/>
        <v>3218.4635906932908</v>
      </c>
      <c r="V12" s="13"/>
      <c r="W12" s="13">
        <v>1855.7220128920908</v>
      </c>
      <c r="X12" s="13">
        <v>191.00171694803132</v>
      </c>
      <c r="Y12" s="13">
        <v>1024.6163328238945</v>
      </c>
      <c r="Z12" s="13">
        <f t="shared" si="4"/>
        <v>3071.3400626640168</v>
      </c>
      <c r="AA12" s="13"/>
      <c r="AB12" s="13">
        <v>1626.0994922371885</v>
      </c>
      <c r="AC12" s="13">
        <v>187.92595738274233</v>
      </c>
      <c r="AD12" s="13">
        <v>966.77526635393292</v>
      </c>
      <c r="AE12" s="13">
        <f t="shared" si="5"/>
        <v>2780.8007159738636</v>
      </c>
      <c r="AG12" s="12" t="str">
        <f>name!E8</f>
        <v>Skilled trades occupations</v>
      </c>
      <c r="AH12" s="13">
        <v>157.85030645039359</v>
      </c>
      <c r="AI12" s="13">
        <v>125.54817943019184</v>
      </c>
      <c r="AJ12" s="13">
        <v>81.753251154590046</v>
      </c>
      <c r="AK12" s="13">
        <f t="shared" si="6"/>
        <v>365.15173703517547</v>
      </c>
      <c r="AL12" s="13"/>
      <c r="AM12" s="13">
        <v>157.51023158602885</v>
      </c>
      <c r="AN12" s="13">
        <v>102.27143983807866</v>
      </c>
      <c r="AO12" s="13">
        <v>101.71462478407059</v>
      </c>
      <c r="AP12" s="13">
        <f t="shared" si="7"/>
        <v>361.49629620817814</v>
      </c>
      <c r="AQ12" s="13"/>
      <c r="AR12" s="13">
        <v>153.87007183519586</v>
      </c>
      <c r="AS12" s="13">
        <v>95.189136171283053</v>
      </c>
      <c r="AT12" s="13">
        <v>96.325628195261501</v>
      </c>
      <c r="AU12" s="13">
        <f t="shared" si="8"/>
        <v>345.38483620174043</v>
      </c>
    </row>
    <row r="13" spans="1:47" x14ac:dyDescent="0.25">
      <c r="A13" s="18" t="str">
        <f>name!E9</f>
        <v>Caring, leisure and other service</v>
      </c>
      <c r="B13" s="13">
        <v>1344.4800029843821</v>
      </c>
      <c r="C13" s="13">
        <v>1069.1494167612116</v>
      </c>
      <c r="D13" s="13">
        <v>231.92140297680768</v>
      </c>
      <c r="E13" s="13">
        <f t="shared" si="0"/>
        <v>2645.5508227224013</v>
      </c>
      <c r="F13" s="13"/>
      <c r="G13" s="13">
        <v>1591.2265056445428</v>
      </c>
      <c r="H13" s="13">
        <v>1413.1622689286121</v>
      </c>
      <c r="I13" s="13">
        <v>340.69735115209232</v>
      </c>
      <c r="J13" s="13">
        <f t="shared" si="1"/>
        <v>3345.0861257252473</v>
      </c>
      <c r="K13" s="13"/>
      <c r="L13" s="13">
        <v>1735.0839553683643</v>
      </c>
      <c r="M13" s="13">
        <v>1742.1274499544593</v>
      </c>
      <c r="N13" s="13">
        <v>333.59778831955884</v>
      </c>
      <c r="O13" s="13">
        <f t="shared" si="2"/>
        <v>3810.8091936423821</v>
      </c>
      <c r="Q13" s="12" t="str">
        <f>name!E9</f>
        <v>Caring, leisure and other service</v>
      </c>
      <c r="R13" s="13">
        <v>302.43275143086942</v>
      </c>
      <c r="S13" s="13">
        <v>178.71314926983473</v>
      </c>
      <c r="T13" s="13">
        <v>41.68173982410292</v>
      </c>
      <c r="U13" s="13">
        <f t="shared" si="3"/>
        <v>522.82764052480707</v>
      </c>
      <c r="V13" s="13"/>
      <c r="W13" s="13">
        <v>368.40268069811606</v>
      </c>
      <c r="X13" s="13">
        <v>210.52218425431914</v>
      </c>
      <c r="Y13" s="13">
        <v>58.063826893993131</v>
      </c>
      <c r="Z13" s="13">
        <f t="shared" si="4"/>
        <v>636.98869184642831</v>
      </c>
      <c r="AA13" s="13"/>
      <c r="AB13" s="13">
        <v>410.25919283616815</v>
      </c>
      <c r="AC13" s="13">
        <v>280.04053440910241</v>
      </c>
      <c r="AD13" s="13">
        <v>59.20396222724483</v>
      </c>
      <c r="AE13" s="13">
        <f t="shared" si="5"/>
        <v>749.50368947251536</v>
      </c>
      <c r="AG13" s="12" t="str">
        <f>name!E9</f>
        <v>Caring, leisure and other service</v>
      </c>
      <c r="AH13" s="13">
        <v>1042.0472515535118</v>
      </c>
      <c r="AI13" s="13">
        <v>890.43626749137673</v>
      </c>
      <c r="AJ13" s="13">
        <v>190.23966315270471</v>
      </c>
      <c r="AK13" s="13">
        <f t="shared" si="6"/>
        <v>2122.7231821975934</v>
      </c>
      <c r="AL13" s="13"/>
      <c r="AM13" s="13">
        <v>1222.8238249464287</v>
      </c>
      <c r="AN13" s="13">
        <v>1202.6400846742924</v>
      </c>
      <c r="AO13" s="13">
        <v>282.63352425809916</v>
      </c>
      <c r="AP13" s="13">
        <f t="shared" si="7"/>
        <v>2708.0974338788201</v>
      </c>
      <c r="AQ13" s="13"/>
      <c r="AR13" s="13">
        <v>1324.824762532196</v>
      </c>
      <c r="AS13" s="13">
        <v>1462.0869155453574</v>
      </c>
      <c r="AT13" s="13">
        <v>274.39382609231399</v>
      </c>
      <c r="AU13" s="13">
        <f t="shared" si="8"/>
        <v>3061.3055041698676</v>
      </c>
    </row>
    <row r="14" spans="1:47" x14ac:dyDescent="0.25">
      <c r="A14" s="18" t="str">
        <f>name!E10</f>
        <v>Sales and customer service</v>
      </c>
      <c r="B14" s="13">
        <v>1147.1458795992214</v>
      </c>
      <c r="C14" s="13">
        <v>1564.2612632970172</v>
      </c>
      <c r="D14" s="13">
        <v>80.77676591873464</v>
      </c>
      <c r="E14" s="13">
        <f t="shared" si="0"/>
        <v>2792.1839088149736</v>
      </c>
      <c r="F14" s="13"/>
      <c r="G14" s="13">
        <v>1192.2685104396228</v>
      </c>
      <c r="H14" s="13">
        <v>1643.2115128172445</v>
      </c>
      <c r="I14" s="13">
        <v>93.553567518957564</v>
      </c>
      <c r="J14" s="13">
        <f t="shared" si="1"/>
        <v>2929.0335907758249</v>
      </c>
      <c r="K14" s="13"/>
      <c r="L14" s="13">
        <v>1112.2688085692162</v>
      </c>
      <c r="M14" s="13">
        <v>1689.9680630195401</v>
      </c>
      <c r="N14" s="13">
        <v>74.37687430727992</v>
      </c>
      <c r="O14" s="13">
        <f t="shared" si="2"/>
        <v>2876.6137458960361</v>
      </c>
      <c r="Q14" s="12" t="str">
        <f>name!E10</f>
        <v>Sales and customer service</v>
      </c>
      <c r="R14" s="13">
        <v>533.59665872845949</v>
      </c>
      <c r="S14" s="13">
        <v>458.83255519690613</v>
      </c>
      <c r="T14" s="13">
        <v>40.904059769747128</v>
      </c>
      <c r="U14" s="13">
        <f t="shared" si="3"/>
        <v>1033.3332736951127</v>
      </c>
      <c r="V14" s="13"/>
      <c r="W14" s="13">
        <v>623.41357638328827</v>
      </c>
      <c r="X14" s="13">
        <v>484.73987251800321</v>
      </c>
      <c r="Y14" s="13">
        <v>42.824367027160449</v>
      </c>
      <c r="Z14" s="13">
        <f t="shared" si="4"/>
        <v>1150.9778159284519</v>
      </c>
      <c r="AA14" s="13"/>
      <c r="AB14" s="13">
        <v>592.22025226556582</v>
      </c>
      <c r="AC14" s="13">
        <v>555.48261756308523</v>
      </c>
      <c r="AD14" s="13">
        <v>34.364997113273716</v>
      </c>
      <c r="AE14" s="13">
        <f t="shared" si="5"/>
        <v>1182.0678669419249</v>
      </c>
      <c r="AG14" s="12" t="str">
        <f>name!E10</f>
        <v>Sales and customer service</v>
      </c>
      <c r="AH14" s="13">
        <v>613.54922087076113</v>
      </c>
      <c r="AI14" s="13">
        <v>1105.4287081001107</v>
      </c>
      <c r="AJ14" s="13">
        <v>39.87270614898749</v>
      </c>
      <c r="AK14" s="13">
        <f t="shared" si="6"/>
        <v>1758.8506351198591</v>
      </c>
      <c r="AL14" s="13"/>
      <c r="AM14" s="13">
        <v>568.85493405633531</v>
      </c>
      <c r="AN14" s="13">
        <v>1158.4716402992403</v>
      </c>
      <c r="AO14" s="13">
        <v>50.729200491797009</v>
      </c>
      <c r="AP14" s="13">
        <f t="shared" si="7"/>
        <v>1778.0557748473727</v>
      </c>
      <c r="AQ14" s="13"/>
      <c r="AR14" s="13">
        <v>520.04855630364978</v>
      </c>
      <c r="AS14" s="13">
        <v>1134.4854454564547</v>
      </c>
      <c r="AT14" s="13">
        <v>40.01187719400626</v>
      </c>
      <c r="AU14" s="13">
        <f t="shared" si="8"/>
        <v>1694.5458789541108</v>
      </c>
    </row>
    <row r="15" spans="1:47" x14ac:dyDescent="0.25">
      <c r="A15" s="18" t="str">
        <f>name!E11</f>
        <v>Process, plant and machine operatives</v>
      </c>
      <c r="B15" s="13">
        <v>1729.3246245512453</v>
      </c>
      <c r="C15" s="13">
        <v>273.28140337834157</v>
      </c>
      <c r="D15" s="13">
        <v>311.54312342634739</v>
      </c>
      <c r="E15" s="13">
        <f t="shared" si="0"/>
        <v>2314.149151355934</v>
      </c>
      <c r="F15" s="13"/>
      <c r="G15" s="13">
        <v>1530.4449194461306</v>
      </c>
      <c r="H15" s="13">
        <v>291.11900982577214</v>
      </c>
      <c r="I15" s="13">
        <v>358.39260941386584</v>
      </c>
      <c r="J15" s="13">
        <f t="shared" si="1"/>
        <v>2179.9565386857685</v>
      </c>
      <c r="K15" s="13"/>
      <c r="L15" s="13">
        <v>1328.4753867664133</v>
      </c>
      <c r="M15" s="13">
        <v>318.86195248360485</v>
      </c>
      <c r="N15" s="13">
        <v>326.78857453140517</v>
      </c>
      <c r="O15" s="13">
        <f t="shared" si="2"/>
        <v>1974.1259137814234</v>
      </c>
      <c r="Q15" s="12" t="str">
        <f>name!E11</f>
        <v>Process, plant and machine operatives</v>
      </c>
      <c r="R15" s="13">
        <v>1536.4066435113355</v>
      </c>
      <c r="S15" s="13">
        <v>188.30887796219204</v>
      </c>
      <c r="T15" s="13">
        <v>296.2274017268071</v>
      </c>
      <c r="U15" s="13">
        <f t="shared" si="3"/>
        <v>2020.9429232003347</v>
      </c>
      <c r="V15" s="13"/>
      <c r="W15" s="13">
        <v>1373.4197818889447</v>
      </c>
      <c r="X15" s="13">
        <v>225.80609739167429</v>
      </c>
      <c r="Y15" s="13">
        <v>330.02541892143034</v>
      </c>
      <c r="Z15" s="13">
        <f t="shared" si="4"/>
        <v>1929.2512982020494</v>
      </c>
      <c r="AA15" s="13"/>
      <c r="AB15" s="13">
        <v>1214.4422894616216</v>
      </c>
      <c r="AC15" s="13">
        <v>263.65477161579793</v>
      </c>
      <c r="AD15" s="13">
        <v>304.31339560140447</v>
      </c>
      <c r="AE15" s="13">
        <f t="shared" si="5"/>
        <v>1782.4104566788239</v>
      </c>
      <c r="AG15" s="12" t="str">
        <f>name!E11</f>
        <v>Process, plant and machine operatives</v>
      </c>
      <c r="AH15" s="13">
        <v>192.91798103991226</v>
      </c>
      <c r="AI15" s="13">
        <v>84.97252541614948</v>
      </c>
      <c r="AJ15" s="13">
        <v>15.315721699540296</v>
      </c>
      <c r="AK15" s="13">
        <f t="shared" si="6"/>
        <v>293.20622815560205</v>
      </c>
      <c r="AL15" s="13"/>
      <c r="AM15" s="13">
        <v>157.02513755718533</v>
      </c>
      <c r="AN15" s="13">
        <v>65.312912434098095</v>
      </c>
      <c r="AO15" s="13">
        <v>28.367190492435114</v>
      </c>
      <c r="AP15" s="13">
        <f t="shared" si="7"/>
        <v>250.70524048371851</v>
      </c>
      <c r="AQ15" s="13"/>
      <c r="AR15" s="13">
        <v>114.03309730479272</v>
      </c>
      <c r="AS15" s="13">
        <v>55.207180867806919</v>
      </c>
      <c r="AT15" s="13">
        <v>22.475178930000563</v>
      </c>
      <c r="AU15" s="13">
        <f t="shared" si="8"/>
        <v>191.7154571026002</v>
      </c>
    </row>
    <row r="16" spans="1:47" x14ac:dyDescent="0.25">
      <c r="A16" s="18" t="str">
        <f>name!E12</f>
        <v>Elementary occupations</v>
      </c>
      <c r="B16" s="13">
        <v>1609.1513815860976</v>
      </c>
      <c r="C16" s="13">
        <v>2213.47111290576</v>
      </c>
      <c r="D16" s="13">
        <v>214.5948823808516</v>
      </c>
      <c r="E16" s="13">
        <f t="shared" si="0"/>
        <v>4037.2173768727093</v>
      </c>
      <c r="F16" s="13"/>
      <c r="G16" s="13">
        <v>1662.8700202069847</v>
      </c>
      <c r="H16" s="13">
        <v>2001.5869819367144</v>
      </c>
      <c r="I16" s="13">
        <v>291.53610900077871</v>
      </c>
      <c r="J16" s="13">
        <f t="shared" si="1"/>
        <v>3955.993111144478</v>
      </c>
      <c r="K16" s="13"/>
      <c r="L16" s="13">
        <v>1637.1895725018542</v>
      </c>
      <c r="M16" s="13">
        <v>2025.4535132717353</v>
      </c>
      <c r="N16" s="13">
        <v>284.30817675365921</v>
      </c>
      <c r="O16" s="13">
        <f t="shared" si="2"/>
        <v>3946.9512625272487</v>
      </c>
      <c r="Q16" s="12" t="str">
        <f>name!E12</f>
        <v>Elementary occupations</v>
      </c>
      <c r="R16" s="13">
        <v>1159.7903643946602</v>
      </c>
      <c r="S16" s="13">
        <v>654.26575593318046</v>
      </c>
      <c r="T16" s="13">
        <v>141.16277271117477</v>
      </c>
      <c r="U16" s="13">
        <f t="shared" si="3"/>
        <v>1955.2188930390155</v>
      </c>
      <c r="V16" s="13"/>
      <c r="W16" s="13">
        <v>1209.798210917957</v>
      </c>
      <c r="X16" s="13">
        <v>718.4079137141706</v>
      </c>
      <c r="Y16" s="13">
        <v>167.01134190039966</v>
      </c>
      <c r="Z16" s="13">
        <f t="shared" si="4"/>
        <v>2095.2174665325274</v>
      </c>
      <c r="AA16" s="13"/>
      <c r="AB16" s="13">
        <v>1220.02620139701</v>
      </c>
      <c r="AC16" s="13">
        <v>831.74249394793321</v>
      </c>
      <c r="AD16" s="13">
        <v>163.15392247848999</v>
      </c>
      <c r="AE16" s="13">
        <f t="shared" si="5"/>
        <v>2214.9226178234335</v>
      </c>
      <c r="AG16" s="12" t="str">
        <f>name!E12</f>
        <v>Elementary occupations</v>
      </c>
      <c r="AH16" s="13">
        <v>449.36101719143795</v>
      </c>
      <c r="AI16" s="13">
        <v>1559.2053569725781</v>
      </c>
      <c r="AJ16" s="13">
        <v>73.432109669676848</v>
      </c>
      <c r="AK16" s="13">
        <f t="shared" si="6"/>
        <v>2081.9984838336927</v>
      </c>
      <c r="AL16" s="13"/>
      <c r="AM16" s="13">
        <v>453.07180928902721</v>
      </c>
      <c r="AN16" s="13">
        <v>1283.1790682225444</v>
      </c>
      <c r="AO16" s="13">
        <v>124.52476710037934</v>
      </c>
      <c r="AP16" s="13">
        <f t="shared" si="7"/>
        <v>1860.7756446119511</v>
      </c>
      <c r="AQ16" s="13"/>
      <c r="AR16" s="13">
        <v>417.16337110484358</v>
      </c>
      <c r="AS16" s="13">
        <v>1193.7110193238027</v>
      </c>
      <c r="AT16" s="13">
        <v>121.15425427516918</v>
      </c>
      <c r="AU16" s="13">
        <f t="shared" si="8"/>
        <v>1732.0286447038154</v>
      </c>
    </row>
    <row r="17" spans="1:47" x14ac:dyDescent="0.25">
      <c r="A17" s="18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Q17" s="12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G17" s="18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</row>
    <row r="18" spans="1:47" x14ac:dyDescent="0.25">
      <c r="A18" s="28" t="str">
        <f>name!E3</f>
        <v>All occupations</v>
      </c>
      <c r="B18" s="39">
        <f>SUM(B8:B16)</f>
        <v>19190.606000002659</v>
      </c>
      <c r="C18" s="39">
        <f t="shared" ref="C18:D18" si="9">SUM(C8:C16)</f>
        <v>8902.4089999987682</v>
      </c>
      <c r="D18" s="39">
        <f t="shared" si="9"/>
        <v>3696.9919999986473</v>
      </c>
      <c r="E18" s="39">
        <f t="shared" si="0"/>
        <v>31790.007000000074</v>
      </c>
      <c r="F18" s="39"/>
      <c r="G18" s="39">
        <f>SUM(G8:G16)</f>
        <v>20676.555999978416</v>
      </c>
      <c r="H18" s="39">
        <f t="shared" ref="H18:I18" si="10">SUM(H8:H16)</f>
        <v>9623.593000021694</v>
      </c>
      <c r="I18" s="39">
        <f t="shared" si="10"/>
        <v>4547.8429999998862</v>
      </c>
      <c r="J18" s="39">
        <f t="shared" ref="J18" si="11">SUM(G18:I18)</f>
        <v>34847.991999999998</v>
      </c>
      <c r="K18" s="39"/>
      <c r="L18" s="39">
        <f>SUM(L8:L16)</f>
        <v>20920.498000000312</v>
      </c>
      <c r="M18" s="39">
        <f t="shared" ref="M18:N18" si="12">SUM(M8:M16)</f>
        <v>10485.685999994121</v>
      </c>
      <c r="N18" s="39">
        <f t="shared" si="12"/>
        <v>4414.7690000057173</v>
      </c>
      <c r="O18" s="39">
        <f t="shared" ref="O18" si="13">SUM(L18:N18)</f>
        <v>35820.953000000154</v>
      </c>
      <c r="Q18" s="336" t="str">
        <f>name!E3</f>
        <v>All occupations</v>
      </c>
      <c r="R18" s="39">
        <f>SUM(R8:R16)</f>
        <v>11821.226000003204</v>
      </c>
      <c r="S18" s="39">
        <f t="shared" ref="S18:T18" si="14">SUM(S8:S16)</f>
        <v>2345.3019999976977</v>
      </c>
      <c r="T18" s="39">
        <f t="shared" si="14"/>
        <v>2619.5809999991056</v>
      </c>
      <c r="U18" s="39">
        <f t="shared" ref="U18" si="15">SUM(R18:T18)</f>
        <v>16786.109000000008</v>
      </c>
      <c r="V18" s="39"/>
      <c r="W18" s="39">
        <f>SUM(W8:W16)</f>
        <v>12669.61099999195</v>
      </c>
      <c r="X18" s="39">
        <f t="shared" ref="X18:Y18" si="16">SUM(X8:X16)</f>
        <v>2650.5390000049365</v>
      </c>
      <c r="Y18" s="39">
        <f t="shared" si="16"/>
        <v>2911.7420000031652</v>
      </c>
      <c r="Z18" s="39">
        <f t="shared" ref="Z18" si="17">SUM(W18:Y18)</f>
        <v>18231.892000000051</v>
      </c>
      <c r="AA18" s="39"/>
      <c r="AB18" s="39">
        <f>SUM(AB8:AB16)</f>
        <v>12534.158999996902</v>
      </c>
      <c r="AC18" s="39">
        <f t="shared" ref="AC18:AD18" si="18">SUM(AC8:AC16)</f>
        <v>3085.7090000017497</v>
      </c>
      <c r="AD18" s="39">
        <f t="shared" si="18"/>
        <v>2794.1170000014781</v>
      </c>
      <c r="AE18" s="39">
        <f t="shared" ref="AE18" si="19">SUM(AB18:AD18)</f>
        <v>18413.985000000132</v>
      </c>
      <c r="AG18" s="336" t="str">
        <f>name!E3</f>
        <v>All occupations</v>
      </c>
      <c r="AH18" s="39">
        <f>SUM(AH8:AH16)</f>
        <v>7369.3799999994599</v>
      </c>
      <c r="AI18" s="39">
        <f t="shared" ref="AI18:AJ18" si="20">SUM(AI8:AI16)</f>
        <v>6557.1070000010695</v>
      </c>
      <c r="AJ18" s="39">
        <f t="shared" si="20"/>
        <v>1077.4109999995419</v>
      </c>
      <c r="AK18" s="39">
        <f t="shared" si="6"/>
        <v>15003.89800000007</v>
      </c>
      <c r="AL18" s="39"/>
      <c r="AM18" s="39">
        <f>SUM(AM8:AM16)</f>
        <v>8006.9449999864701</v>
      </c>
      <c r="AN18" s="39">
        <f t="shared" ref="AN18:AO18" si="21">SUM(AN8:AN16)</f>
        <v>6973.0540000167548</v>
      </c>
      <c r="AO18" s="39">
        <f t="shared" si="21"/>
        <v>1636.1009999967223</v>
      </c>
      <c r="AP18" s="39">
        <f t="shared" si="7"/>
        <v>16616.099999999948</v>
      </c>
      <c r="AQ18" s="39"/>
      <c r="AR18" s="39">
        <f>SUM(AR8:AR16)</f>
        <v>8386.3390000034087</v>
      </c>
      <c r="AS18" s="39">
        <f t="shared" ref="AS18:AT18" si="22">SUM(AS8:AS16)</f>
        <v>7399.9769999923719</v>
      </c>
      <c r="AT18" s="39">
        <f t="shared" si="22"/>
        <v>1620.6520000042376</v>
      </c>
      <c r="AU18" s="39">
        <f t="shared" si="8"/>
        <v>17406.968000000019</v>
      </c>
    </row>
    <row r="19" spans="1:47" x14ac:dyDescent="0.25">
      <c r="A19" s="18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Q19" s="18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G19" s="18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</row>
    <row r="20" spans="1:47" x14ac:dyDescent="0.25">
      <c r="A20" s="18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Q20" s="18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G20" s="18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</row>
    <row r="21" spans="1:47" x14ac:dyDescent="0.25">
      <c r="A21" s="18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9" t="s">
        <v>34</v>
      </c>
      <c r="Q21" s="18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9" t="s">
        <v>34</v>
      </c>
      <c r="AG21" s="18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9" t="s">
        <v>34</v>
      </c>
    </row>
    <row r="22" spans="1:47" x14ac:dyDescent="0.25">
      <c r="A22" s="79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Q22" s="79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G22" s="79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</row>
    <row r="23" spans="1:47" x14ac:dyDescent="0.25">
      <c r="A23" s="44"/>
      <c r="B23" s="519">
        <f>B5</f>
        <v>2007</v>
      </c>
      <c r="C23" s="519"/>
      <c r="D23" s="519"/>
      <c r="E23" s="519"/>
      <c r="F23" s="57"/>
      <c r="G23" s="519">
        <f>G5</f>
        <v>2017</v>
      </c>
      <c r="H23" s="519"/>
      <c r="I23" s="519"/>
      <c r="J23" s="519"/>
      <c r="K23" s="57"/>
      <c r="L23" s="519">
        <f>L5</f>
        <v>2027</v>
      </c>
      <c r="M23" s="519"/>
      <c r="N23" s="519"/>
      <c r="O23" s="519"/>
      <c r="Q23" s="44"/>
      <c r="R23" s="519">
        <f>R5</f>
        <v>2007</v>
      </c>
      <c r="S23" s="519"/>
      <c r="T23" s="519"/>
      <c r="U23" s="519"/>
      <c r="V23" s="57"/>
      <c r="W23" s="519">
        <f>W5</f>
        <v>2017</v>
      </c>
      <c r="X23" s="519"/>
      <c r="Y23" s="519"/>
      <c r="Z23" s="519"/>
      <c r="AA23" s="57"/>
      <c r="AB23" s="519">
        <f>AB5</f>
        <v>2027</v>
      </c>
      <c r="AC23" s="519"/>
      <c r="AD23" s="519"/>
      <c r="AE23" s="519"/>
      <c r="AG23" s="44"/>
      <c r="AH23" s="519">
        <f>AH5</f>
        <v>2007</v>
      </c>
      <c r="AI23" s="519"/>
      <c r="AJ23" s="519"/>
      <c r="AK23" s="519"/>
      <c r="AL23" s="57"/>
      <c r="AM23" s="519">
        <f>AM5</f>
        <v>2017</v>
      </c>
      <c r="AN23" s="519"/>
      <c r="AO23" s="519"/>
      <c r="AP23" s="519"/>
      <c r="AQ23" s="57"/>
      <c r="AR23" s="519">
        <f>AR5</f>
        <v>2027</v>
      </c>
      <c r="AS23" s="519"/>
      <c r="AT23" s="519"/>
      <c r="AU23" s="519"/>
    </row>
    <row r="24" spans="1:47" x14ac:dyDescent="0.25">
      <c r="A24" s="78" t="s">
        <v>515</v>
      </c>
      <c r="B24" s="485" t="s">
        <v>371</v>
      </c>
      <c r="C24" s="485" t="s">
        <v>373</v>
      </c>
      <c r="D24" s="485" t="s">
        <v>369</v>
      </c>
      <c r="E24" s="485" t="s">
        <v>32</v>
      </c>
      <c r="F24" s="486"/>
      <c r="G24" s="485" t="s">
        <v>371</v>
      </c>
      <c r="H24" s="485" t="s">
        <v>373</v>
      </c>
      <c r="I24" s="485" t="s">
        <v>369</v>
      </c>
      <c r="J24" s="485" t="s">
        <v>32</v>
      </c>
      <c r="K24" s="486"/>
      <c r="L24" s="485" t="s">
        <v>371</v>
      </c>
      <c r="M24" s="485" t="s">
        <v>373</v>
      </c>
      <c r="N24" s="485" t="s">
        <v>369</v>
      </c>
      <c r="O24" s="485" t="s">
        <v>32</v>
      </c>
      <c r="Q24" s="78" t="s">
        <v>515</v>
      </c>
      <c r="R24" s="485" t="s">
        <v>371</v>
      </c>
      <c r="S24" s="485" t="s">
        <v>373</v>
      </c>
      <c r="T24" s="485" t="s">
        <v>369</v>
      </c>
      <c r="U24" s="485" t="s">
        <v>32</v>
      </c>
      <c r="V24" s="486"/>
      <c r="W24" s="485" t="s">
        <v>371</v>
      </c>
      <c r="X24" s="485" t="s">
        <v>373</v>
      </c>
      <c r="Y24" s="485" t="s">
        <v>369</v>
      </c>
      <c r="Z24" s="485" t="s">
        <v>32</v>
      </c>
      <c r="AA24" s="486"/>
      <c r="AB24" s="485" t="s">
        <v>371</v>
      </c>
      <c r="AC24" s="485" t="s">
        <v>373</v>
      </c>
      <c r="AD24" s="485" t="s">
        <v>369</v>
      </c>
      <c r="AE24" s="485" t="s">
        <v>32</v>
      </c>
      <c r="AG24" s="78" t="s">
        <v>515</v>
      </c>
      <c r="AH24" s="485" t="s">
        <v>371</v>
      </c>
      <c r="AI24" s="485" t="s">
        <v>373</v>
      </c>
      <c r="AJ24" s="485" t="s">
        <v>369</v>
      </c>
      <c r="AK24" s="485" t="s">
        <v>32</v>
      </c>
      <c r="AL24" s="486"/>
      <c r="AM24" s="485" t="s">
        <v>371</v>
      </c>
      <c r="AN24" s="485" t="s">
        <v>373</v>
      </c>
      <c r="AO24" s="485" t="s">
        <v>369</v>
      </c>
      <c r="AP24" s="485" t="s">
        <v>32</v>
      </c>
      <c r="AQ24" s="486"/>
      <c r="AR24" s="485" t="s">
        <v>371</v>
      </c>
      <c r="AS24" s="485" t="s">
        <v>373</v>
      </c>
      <c r="AT24" s="485" t="s">
        <v>369</v>
      </c>
      <c r="AU24" s="485" t="s">
        <v>32</v>
      </c>
    </row>
    <row r="25" spans="1:47" x14ac:dyDescent="0.25">
      <c r="A25" s="21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Q25" s="21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G25" s="21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</row>
    <row r="26" spans="1:47" x14ac:dyDescent="0.25">
      <c r="A26" s="18" t="str">
        <f>$A$8</f>
        <v>Managers, directors and senior officials</v>
      </c>
      <c r="B26" s="22">
        <f>B8/B$18*100</f>
        <v>9.6750330389377304</v>
      </c>
      <c r="C26" s="22">
        <f t="shared" ref="C26:O26" si="23">C8/C$18*100</f>
        <v>2.9241910395290809</v>
      </c>
      <c r="D26" s="22">
        <f t="shared" si="23"/>
        <v>17.815870508346169</v>
      </c>
      <c r="E26" s="22">
        <f t="shared" si="23"/>
        <v>8.7312727693846917</v>
      </c>
      <c r="F26" s="22"/>
      <c r="G26" s="22">
        <f t="shared" si="23"/>
        <v>11.568819835617129</v>
      </c>
      <c r="H26" s="22">
        <f t="shared" si="23"/>
        <v>4.054615428235345</v>
      </c>
      <c r="I26" s="22">
        <f t="shared" si="23"/>
        <v>17.24314490167674</v>
      </c>
      <c r="J26" s="22">
        <f t="shared" si="23"/>
        <v>10.234232023377949</v>
      </c>
      <c r="K26" s="22"/>
      <c r="L26" s="22">
        <f t="shared" si="23"/>
        <v>13.034169463844854</v>
      </c>
      <c r="M26" s="22">
        <f t="shared" si="23"/>
        <v>4.8440698736574488</v>
      </c>
      <c r="N26" s="22">
        <f t="shared" si="23"/>
        <v>17.4465366904573</v>
      </c>
      <c r="O26" s="22">
        <f t="shared" si="23"/>
        <v>11.180527251626335</v>
      </c>
      <c r="Q26" s="18" t="str">
        <f>$A$8</f>
        <v>Managers, directors and senior officials</v>
      </c>
      <c r="R26" s="22">
        <f>R8/R$18*100</f>
        <v>11.788802181896697</v>
      </c>
      <c r="S26" s="22">
        <f t="shared" ref="S26:U26" si="24">S8/S$18*100</f>
        <v>4.5904577173023249</v>
      </c>
      <c r="T26" s="22">
        <f t="shared" si="24"/>
        <v>16.738715251026672</v>
      </c>
      <c r="U26" s="22">
        <f t="shared" si="24"/>
        <v>11.555538270531331</v>
      </c>
      <c r="V26" s="22"/>
      <c r="W26" s="22">
        <f t="shared" ref="W26:Z26" si="25">W8/W$18*100</f>
        <v>13.164234347092171</v>
      </c>
      <c r="X26" s="22">
        <f t="shared" si="25"/>
        <v>5.402663032072093</v>
      </c>
      <c r="Y26" s="22">
        <f t="shared" si="25"/>
        <v>16.357099633985921</v>
      </c>
      <c r="Z26" s="22">
        <f t="shared" si="25"/>
        <v>12.54578248726437</v>
      </c>
      <c r="AA26" s="22"/>
      <c r="AB26" s="22">
        <f t="shared" ref="AB26:AE26" si="26">AB8/AB$18*100</f>
        <v>14.379979571602972</v>
      </c>
      <c r="AC26" s="22">
        <f t="shared" si="26"/>
        <v>5.6519695721253598</v>
      </c>
      <c r="AD26" s="22">
        <f t="shared" si="26"/>
        <v>16.445645908170679</v>
      </c>
      <c r="AE26" s="22">
        <f t="shared" si="26"/>
        <v>13.230832030744292</v>
      </c>
      <c r="AG26" s="18" t="str">
        <f>$A$8</f>
        <v>Managers, directors and senior officials</v>
      </c>
      <c r="AH26" s="22">
        <f>AH8/AH$18*100</f>
        <v>6.2843349407595079</v>
      </c>
      <c r="AI26" s="22">
        <f t="shared" ref="AI26:AK26" si="27">AI8/AI$18*100</f>
        <v>2.3282119634044323</v>
      </c>
      <c r="AJ26" s="22">
        <f t="shared" si="27"/>
        <v>20.434829704163246</v>
      </c>
      <c r="AK26" s="22">
        <f t="shared" si="27"/>
        <v>5.5715319775460221</v>
      </c>
      <c r="AL26" s="22"/>
      <c r="AM26" s="22">
        <f t="shared" ref="AM26:AP26" si="28">AM8/AM$18*100</f>
        <v>9.0443512344009118</v>
      </c>
      <c r="AN26" s="22">
        <f t="shared" si="28"/>
        <v>3.5422068411479728</v>
      </c>
      <c r="AO26" s="22">
        <f t="shared" si="28"/>
        <v>18.820025069737618</v>
      </c>
      <c r="AP26" s="22">
        <f t="shared" si="28"/>
        <v>7.6979004888946818</v>
      </c>
      <c r="AQ26" s="22"/>
      <c r="AR26" s="22">
        <f t="shared" ref="AR26:AU26" si="29">AR8/AR$18*100</f>
        <v>11.022731830041103</v>
      </c>
      <c r="AS26" s="22">
        <f t="shared" si="29"/>
        <v>4.5071845873026755</v>
      </c>
      <c r="AT26" s="22">
        <f t="shared" si="29"/>
        <v>19.172142156605844</v>
      </c>
      <c r="AU26" s="22">
        <f t="shared" si="29"/>
        <v>9.0116095257991624</v>
      </c>
    </row>
    <row r="27" spans="1:47" x14ac:dyDescent="0.25">
      <c r="A27" s="18" t="str">
        <f>$A$9</f>
        <v>Professional occupations</v>
      </c>
      <c r="B27" s="22">
        <f t="shared" ref="B27:B34" si="30">B9/B$18*100</f>
        <v>20.064768305936958</v>
      </c>
      <c r="C27" s="22">
        <f t="shared" ref="C27:O27" si="31">C9/C$18*100</f>
        <v>11.919214220920269</v>
      </c>
      <c r="D27" s="22">
        <f t="shared" si="31"/>
        <v>13.914120281686188</v>
      </c>
      <c r="E27" s="22">
        <f t="shared" si="31"/>
        <v>17.068419467860522</v>
      </c>
      <c r="F27" s="22"/>
      <c r="G27" s="22">
        <f t="shared" si="31"/>
        <v>23.045297415419743</v>
      </c>
      <c r="H27" s="22">
        <f t="shared" si="31"/>
        <v>14.464657443703471</v>
      </c>
      <c r="I27" s="22">
        <f t="shared" si="31"/>
        <v>15.754683085453767</v>
      </c>
      <c r="J27" s="22">
        <f t="shared" si="31"/>
        <v>19.724212053779688</v>
      </c>
      <c r="K27" s="22"/>
      <c r="L27" s="22">
        <f t="shared" si="31"/>
        <v>24.849623811143974</v>
      </c>
      <c r="M27" s="22">
        <f t="shared" si="31"/>
        <v>16.660523423823093</v>
      </c>
      <c r="N27" s="22">
        <f t="shared" si="31"/>
        <v>16.965409947188995</v>
      </c>
      <c r="O27" s="22">
        <f t="shared" si="31"/>
        <v>21.480776582543431</v>
      </c>
      <c r="Q27" s="18" t="str">
        <f>$A$9</f>
        <v>Professional occupations</v>
      </c>
      <c r="R27" s="22">
        <f t="shared" ref="R27:U27" si="32">R9/R$18*100</f>
        <v>18.073772641417197</v>
      </c>
      <c r="S27" s="22">
        <f t="shared" si="32"/>
        <v>10.609565230916537</v>
      </c>
      <c r="T27" s="22">
        <f t="shared" si="32"/>
        <v>13.341129349301054</v>
      </c>
      <c r="U27" s="22">
        <f t="shared" si="32"/>
        <v>16.292337586036258</v>
      </c>
      <c r="V27" s="22"/>
      <c r="W27" s="22">
        <f t="shared" ref="W27:Z27" si="33">W9/W$18*100</f>
        <v>21.104410569534203</v>
      </c>
      <c r="X27" s="22">
        <f t="shared" si="33"/>
        <v>11.303671251402116</v>
      </c>
      <c r="Y27" s="22">
        <f t="shared" si="33"/>
        <v>14.169969916717815</v>
      </c>
      <c r="Z27" s="22">
        <f t="shared" si="33"/>
        <v>18.572114750377004</v>
      </c>
      <c r="AA27" s="22"/>
      <c r="AB27" s="22">
        <f t="shared" ref="AB27:AE27" si="34">AB9/AB$18*100</f>
        <v>22.107538292707101</v>
      </c>
      <c r="AC27" s="22">
        <f t="shared" si="34"/>
        <v>11.757207969158472</v>
      </c>
      <c r="AD27" s="22">
        <f t="shared" si="34"/>
        <v>14.53618017107399</v>
      </c>
      <c r="AE27" s="22">
        <f t="shared" si="34"/>
        <v>19.224220647280593</v>
      </c>
      <c r="AG27" s="18" t="str">
        <f>$A$9</f>
        <v>Professional occupations</v>
      </c>
      <c r="AH27" s="22">
        <f t="shared" ref="AH27:AK27" si="35">AH9/AH$18*100</f>
        <v>23.258525408341292</v>
      </c>
      <c r="AI27" s="22">
        <f t="shared" si="35"/>
        <v>12.387640677214215</v>
      </c>
      <c r="AJ27" s="22">
        <f t="shared" si="35"/>
        <v>15.307271233039499</v>
      </c>
      <c r="AK27" s="22">
        <f t="shared" si="35"/>
        <v>17.936686838195044</v>
      </c>
      <c r="AL27" s="22"/>
      <c r="AM27" s="22">
        <f t="shared" ref="AM27:AP27" si="36">AM9/AM$18*100</f>
        <v>26.116416466744891</v>
      </c>
      <c r="AN27" s="22">
        <f t="shared" si="36"/>
        <v>15.666185093016349</v>
      </c>
      <c r="AO27" s="22">
        <f t="shared" si="36"/>
        <v>18.574971008617293</v>
      </c>
      <c r="AP27" s="22">
        <f t="shared" si="36"/>
        <v>20.988342241316424</v>
      </c>
      <c r="AQ27" s="22"/>
      <c r="AR27" s="22">
        <f t="shared" ref="AR27:AU27" si="37">AR9/AR$18*100</f>
        <v>28.947924139769217</v>
      </c>
      <c r="AS27" s="22">
        <f t="shared" si="37"/>
        <v>18.705152025820357</v>
      </c>
      <c r="AT27" s="22">
        <f t="shared" si="37"/>
        <v>21.153571387359378</v>
      </c>
      <c r="AU27" s="22">
        <f t="shared" si="37"/>
        <v>23.867877377098296</v>
      </c>
    </row>
    <row r="28" spans="1:47" x14ac:dyDescent="0.25">
      <c r="A28" s="18" t="str">
        <f>$A$10</f>
        <v>Associate professional and technical</v>
      </c>
      <c r="B28" s="22">
        <f t="shared" si="30"/>
        <v>15.932843632795926</v>
      </c>
      <c r="C28" s="22">
        <f t="shared" ref="C28:O28" si="38">C10/C$18*100</f>
        <v>7.0682014514834997</v>
      </c>
      <c r="D28" s="22">
        <f t="shared" si="38"/>
        <v>13.668936889057914</v>
      </c>
      <c r="E28" s="22">
        <f t="shared" si="38"/>
        <v>13.187128117318794</v>
      </c>
      <c r="F28" s="22"/>
      <c r="G28" s="22">
        <f t="shared" si="38"/>
        <v>16.448253758694786</v>
      </c>
      <c r="H28" s="22">
        <f t="shared" si="38"/>
        <v>8.0908069011959896</v>
      </c>
      <c r="I28" s="22">
        <f t="shared" si="38"/>
        <v>15.498005447818356</v>
      </c>
      <c r="J28" s="22">
        <f t="shared" si="38"/>
        <v>14.016255748457644</v>
      </c>
      <c r="K28" s="22"/>
      <c r="L28" s="22">
        <f t="shared" si="38"/>
        <v>17.373905740084684</v>
      </c>
      <c r="M28" s="22">
        <f t="shared" si="38"/>
        <v>9.1338332692853221</v>
      </c>
      <c r="N28" s="22">
        <f t="shared" si="38"/>
        <v>16.242509634015775</v>
      </c>
      <c r="O28" s="22">
        <f t="shared" si="38"/>
        <v>14.822391686234756</v>
      </c>
      <c r="Q28" s="18" t="str">
        <f>$A$10</f>
        <v>Associate professional and technical</v>
      </c>
      <c r="R28" s="22">
        <f t="shared" ref="R28:U28" si="39">R10/R$18*100</f>
        <v>16.886788155810272</v>
      </c>
      <c r="S28" s="22">
        <f t="shared" si="39"/>
        <v>8.4730908042924344</v>
      </c>
      <c r="T28" s="22">
        <f t="shared" si="39"/>
        <v>11.024103055721287</v>
      </c>
      <c r="U28" s="22">
        <f t="shared" si="39"/>
        <v>14.796343031031142</v>
      </c>
      <c r="V28" s="22"/>
      <c r="W28" s="22">
        <f t="shared" ref="W28:Z28" si="40">W10/W$18*100</f>
        <v>16.983537410767262</v>
      </c>
      <c r="X28" s="22">
        <f t="shared" si="40"/>
        <v>8.6677415051364637</v>
      </c>
      <c r="Y28" s="22">
        <f t="shared" si="40"/>
        <v>12.651257748623095</v>
      </c>
      <c r="Z28" s="22">
        <f t="shared" si="40"/>
        <v>15.082702214289553</v>
      </c>
      <c r="AA28" s="22"/>
      <c r="AB28" s="22">
        <f t="shared" ref="AB28:AE28" si="41">AB10/AB$18*100</f>
        <v>17.344222639974234</v>
      </c>
      <c r="AC28" s="22">
        <f t="shared" si="41"/>
        <v>8.8391570104294619</v>
      </c>
      <c r="AD28" s="22">
        <f t="shared" si="41"/>
        <v>13.236939809995665</v>
      </c>
      <c r="AE28" s="22">
        <f t="shared" si="41"/>
        <v>15.295758587366995</v>
      </c>
      <c r="AG28" s="18" t="str">
        <f>$A$10</f>
        <v>Associate professional and technical</v>
      </c>
      <c r="AH28" s="22">
        <f t="shared" ref="AH28:AK28" si="42">AH10/AH$18*100</f>
        <v>14.40262076492661</v>
      </c>
      <c r="AI28" s="22">
        <f t="shared" si="42"/>
        <v>6.5657100617718944</v>
      </c>
      <c r="AJ28" s="22">
        <f t="shared" si="42"/>
        <v>20.099497239719231</v>
      </c>
      <c r="AK28" s="22">
        <f t="shared" si="42"/>
        <v>11.386765508482005</v>
      </c>
      <c r="AL28" s="22"/>
      <c r="AM28" s="22">
        <f t="shared" ref="AM28:AP28" si="43">AM10/AM$18*100</f>
        <v>15.601259599695958</v>
      </c>
      <c r="AN28" s="22">
        <f t="shared" si="43"/>
        <v>7.8715073420368418</v>
      </c>
      <c r="AO28" s="22">
        <f t="shared" si="43"/>
        <v>20.564315436734596</v>
      </c>
      <c r="AP28" s="22">
        <f t="shared" si="43"/>
        <v>12.846105304681476</v>
      </c>
      <c r="AQ28" s="22"/>
      <c r="AR28" s="22">
        <f t="shared" ref="AR28:AU28" si="44">AR10/AR$18*100</f>
        <v>17.418269877570292</v>
      </c>
      <c r="AS28" s="22">
        <f t="shared" si="44"/>
        <v>9.2567100274210983</v>
      </c>
      <c r="AT28" s="22">
        <f t="shared" si="44"/>
        <v>21.424321485026407</v>
      </c>
      <c r="AU28" s="22">
        <f t="shared" si="44"/>
        <v>14.321639859900287</v>
      </c>
    </row>
    <row r="29" spans="1:47" x14ac:dyDescent="0.25">
      <c r="A29" s="18" t="str">
        <f>$A$11</f>
        <v>Administrative and secretarial</v>
      </c>
      <c r="B29" s="22">
        <f t="shared" si="30"/>
        <v>12.404979068655472</v>
      </c>
      <c r="C29" s="22">
        <f t="shared" ref="C29:O29" si="45">C11/C$18*100</f>
        <v>17.331139233799771</v>
      </c>
      <c r="D29" s="22">
        <f t="shared" si="45"/>
        <v>2.7021409922362918</v>
      </c>
      <c r="E29" s="22">
        <f t="shared" si="45"/>
        <v>12.656107602342551</v>
      </c>
      <c r="F29" s="22"/>
      <c r="G29" s="22">
        <f t="shared" si="45"/>
        <v>10.294625773370228</v>
      </c>
      <c r="H29" s="22">
        <f t="shared" si="45"/>
        <v>14.759500899263376</v>
      </c>
      <c r="I29" s="22">
        <f t="shared" si="45"/>
        <v>2.8984738290944749</v>
      </c>
      <c r="J29" s="22">
        <f t="shared" si="45"/>
        <v>10.562405999008657</v>
      </c>
      <c r="K29" s="22"/>
      <c r="L29" s="22">
        <f t="shared" si="45"/>
        <v>8.4478146525355395</v>
      </c>
      <c r="M29" s="22">
        <f t="shared" si="45"/>
        <v>11.573021761109285</v>
      </c>
      <c r="N29" s="22">
        <f t="shared" si="45"/>
        <v>2.1817553521306445</v>
      </c>
      <c r="O29" s="22">
        <f t="shared" si="45"/>
        <v>8.5903774725093331</v>
      </c>
      <c r="Q29" s="18" t="str">
        <f>$A$11</f>
        <v>Administrative and secretarial</v>
      </c>
      <c r="R29" s="22">
        <f t="shared" ref="R29:U29" si="46">R11/R$18*100</f>
        <v>5.967620707661875</v>
      </c>
      <c r="S29" s="22">
        <f t="shared" si="46"/>
        <v>6.2605060682870226</v>
      </c>
      <c r="T29" s="22">
        <f t="shared" si="46"/>
        <v>0.94457508553188363</v>
      </c>
      <c r="U29" s="22">
        <f t="shared" si="46"/>
        <v>5.2246629291906279</v>
      </c>
      <c r="V29" s="22"/>
      <c r="W29" s="22">
        <f t="shared" ref="W29:Z29" si="47">W11/W$18*100</f>
        <v>5.883389847759565</v>
      </c>
      <c r="X29" s="22">
        <f t="shared" si="47"/>
        <v>5.5653374845843455</v>
      </c>
      <c r="Y29" s="22">
        <f t="shared" si="47"/>
        <v>1.0975979864603662</v>
      </c>
      <c r="Z29" s="22">
        <f t="shared" si="47"/>
        <v>5.0728320977214558</v>
      </c>
      <c r="AA29" s="22"/>
      <c r="AB29" s="22">
        <f t="shared" ref="AB29:AE29" si="48">AB11/AB$18*100</f>
        <v>5.774265545273491</v>
      </c>
      <c r="AC29" s="22">
        <f t="shared" si="48"/>
        <v>5.0852301195677736</v>
      </c>
      <c r="AD29" s="22">
        <f t="shared" si="48"/>
        <v>1.1016504078031513</v>
      </c>
      <c r="AE29" s="22">
        <f t="shared" si="48"/>
        <v>4.9497837069049799</v>
      </c>
      <c r="AG29" s="18" t="str">
        <f>$A$11</f>
        <v>Administrative and secretarial</v>
      </c>
      <c r="AH29" s="22">
        <f t="shared" ref="AH29:AK29" si="49">AH11/AH$18*100</f>
        <v>22.731148709564312</v>
      </c>
      <c r="AI29" s="22">
        <f t="shared" si="49"/>
        <v>21.290808963806253</v>
      </c>
      <c r="AJ29" s="22">
        <f t="shared" si="49"/>
        <v>6.9754278395499263</v>
      </c>
      <c r="AK29" s="22">
        <f t="shared" si="49"/>
        <v>20.970283046017041</v>
      </c>
      <c r="AL29" s="22"/>
      <c r="AM29" s="22">
        <f t="shared" ref="AM29:AP29" si="50">AM11/AM$18*100</f>
        <v>17.274646643598611</v>
      </c>
      <c r="AN29" s="22">
        <f t="shared" si="50"/>
        <v>18.254309444122882</v>
      </c>
      <c r="AO29" s="22">
        <f t="shared" si="50"/>
        <v>6.1034629023847717</v>
      </c>
      <c r="AP29" s="22">
        <f t="shared" si="50"/>
        <v>16.58580008632682</v>
      </c>
      <c r="AQ29" s="22"/>
      <c r="AR29" s="22">
        <f t="shared" ref="AR29:AU29" si="51">AR11/AR$18*100</f>
        <v>12.443680978080998</v>
      </c>
      <c r="AS29" s="22">
        <f t="shared" si="51"/>
        <v>14.278359501815958</v>
      </c>
      <c r="AT29" s="22">
        <f t="shared" si="51"/>
        <v>4.0439315545005661</v>
      </c>
      <c r="AU29" s="22">
        <f t="shared" si="51"/>
        <v>12.441584586288847</v>
      </c>
    </row>
    <row r="30" spans="1:47" x14ac:dyDescent="0.25">
      <c r="A30" s="18" t="str">
        <f>$A$12</f>
        <v>Skilled trades occupations</v>
      </c>
      <c r="B30" s="22">
        <f t="shared" si="30"/>
        <v>11.542397912750463</v>
      </c>
      <c r="C30" s="22">
        <f t="shared" ref="C30:O30" si="52">C12/C$18*100</f>
        <v>3.2428981496685423</v>
      </c>
      <c r="D30" s="22">
        <f t="shared" si="52"/>
        <v>29.209237255679817</v>
      </c>
      <c r="E30" s="22">
        <f t="shared" si="52"/>
        <v>11.272773006084764</v>
      </c>
      <c r="F30" s="22"/>
      <c r="G30" s="22">
        <f t="shared" si="52"/>
        <v>9.7367871345702799</v>
      </c>
      <c r="H30" s="22">
        <f t="shared" si="52"/>
        <v>3.047439316952087</v>
      </c>
      <c r="I30" s="22">
        <f t="shared" si="52"/>
        <v>24.76626738451597</v>
      </c>
      <c r="J30" s="22">
        <f t="shared" si="52"/>
        <v>9.8508871296578349</v>
      </c>
      <c r="K30" s="22"/>
      <c r="L30" s="22">
        <f t="shared" si="52"/>
        <v>8.5082561804807781</v>
      </c>
      <c r="M30" s="22">
        <f t="shared" si="52"/>
        <v>2.7000149876143897</v>
      </c>
      <c r="N30" s="22">
        <f t="shared" si="52"/>
        <v>24.080555393675603</v>
      </c>
      <c r="O30" s="22">
        <f t="shared" si="52"/>
        <v>8.7272539962172164</v>
      </c>
      <c r="Q30" s="18" t="str">
        <f>$A$12</f>
        <v>Skilled trades occupations</v>
      </c>
      <c r="R30" s="22">
        <f t="shared" ref="R30:U30" si="53">R12/R$18*100</f>
        <v>17.402643346278303</v>
      </c>
      <c r="S30" s="22">
        <f t="shared" si="53"/>
        <v>6.9563696831731772</v>
      </c>
      <c r="T30" s="22">
        <f t="shared" si="53"/>
        <v>38.101891617356308</v>
      </c>
      <c r="U30" s="22">
        <f t="shared" si="53"/>
        <v>19.173374786815035</v>
      </c>
      <c r="V30" s="22"/>
      <c r="W30" s="22">
        <f t="shared" ref="W30:Z30" si="54">W12/W$18*100</f>
        <v>14.647032279785622</v>
      </c>
      <c r="X30" s="22">
        <f t="shared" si="54"/>
        <v>7.2061462573339075</v>
      </c>
      <c r="Y30" s="22">
        <f t="shared" si="54"/>
        <v>35.18911815754214</v>
      </c>
      <c r="Z30" s="22">
        <f t="shared" si="54"/>
        <v>16.845975517318816</v>
      </c>
      <c r="AA30" s="22"/>
      <c r="AB30" s="22">
        <f t="shared" ref="AB30:AE30" si="55">AB12/AB$18*100</f>
        <v>12.973343422862198</v>
      </c>
      <c r="AC30" s="22">
        <f t="shared" si="55"/>
        <v>6.0902034956191837</v>
      </c>
      <c r="AD30" s="22">
        <f t="shared" si="55"/>
        <v>34.600385966422358</v>
      </c>
      <c r="AE30" s="22">
        <f t="shared" si="55"/>
        <v>15.101569355975059</v>
      </c>
      <c r="AG30" s="18" t="str">
        <f>$A$12</f>
        <v>Skilled trades occupations</v>
      </c>
      <c r="AH30" s="22">
        <f t="shared" ref="AH30:AK30" si="56">AH12/AH$18*100</f>
        <v>2.1419753961717971</v>
      </c>
      <c r="AI30" s="22">
        <f t="shared" si="56"/>
        <v>1.9146885879728877</v>
      </c>
      <c r="AJ30" s="22">
        <f t="shared" si="56"/>
        <v>7.5879354447490153</v>
      </c>
      <c r="AK30" s="22">
        <f t="shared" si="56"/>
        <v>2.433712472819888</v>
      </c>
      <c r="AL30" s="22"/>
      <c r="AM30" s="22">
        <f t="shared" ref="AM30:AP30" si="57">AM12/AM$18*100</f>
        <v>1.9671701452463455</v>
      </c>
      <c r="AN30" s="22">
        <f t="shared" si="57"/>
        <v>1.4666663966438942</v>
      </c>
      <c r="AO30" s="22">
        <f t="shared" si="57"/>
        <v>6.2168915479102065</v>
      </c>
      <c r="AP30" s="22">
        <f t="shared" si="57"/>
        <v>2.1755784823645699</v>
      </c>
      <c r="AQ30" s="22"/>
      <c r="AR30" s="22">
        <f t="shared" ref="AR30:AU30" si="58">AR12/AR$18*100</f>
        <v>1.834770474162007</v>
      </c>
      <c r="AS30" s="22">
        <f t="shared" si="58"/>
        <v>1.286343676086847</v>
      </c>
      <c r="AT30" s="22">
        <f t="shared" si="58"/>
        <v>5.9436343024294933</v>
      </c>
      <c r="AU30" s="22">
        <f t="shared" si="58"/>
        <v>1.9841757404376228</v>
      </c>
    </row>
    <row r="31" spans="1:47" x14ac:dyDescent="0.25">
      <c r="A31" s="18" t="str">
        <f>$A$13</f>
        <v>Caring, leisure and other service</v>
      </c>
      <c r="B31" s="22">
        <f t="shared" si="30"/>
        <v>7.0059278116813815</v>
      </c>
      <c r="C31" s="22">
        <f t="shared" ref="C31:O31" si="59">C13/C$18*100</f>
        <v>12.00966408936457</v>
      </c>
      <c r="D31" s="22">
        <f t="shared" si="59"/>
        <v>6.2732460058580743</v>
      </c>
      <c r="E31" s="22">
        <f t="shared" si="59"/>
        <v>8.3219573456602109</v>
      </c>
      <c r="F31" s="22"/>
      <c r="G31" s="22">
        <f t="shared" si="59"/>
        <v>7.6958005271584096</v>
      </c>
      <c r="H31" s="22">
        <f t="shared" si="59"/>
        <v>14.684351976703777</v>
      </c>
      <c r="I31" s="22">
        <f t="shared" si="59"/>
        <v>7.4914052915217351</v>
      </c>
      <c r="J31" s="22">
        <f t="shared" si="59"/>
        <v>9.5990785515711998</v>
      </c>
      <c r="K31" s="22"/>
      <c r="L31" s="22">
        <f t="shared" si="59"/>
        <v>8.2937029289089494</v>
      </c>
      <c r="M31" s="22">
        <f t="shared" si="59"/>
        <v>16.614339299836331</v>
      </c>
      <c r="N31" s="22">
        <f t="shared" si="59"/>
        <v>7.5564041588388156</v>
      </c>
      <c r="O31" s="22">
        <f t="shared" si="59"/>
        <v>10.638491928571431</v>
      </c>
      <c r="Q31" s="18" t="str">
        <f>$A$13</f>
        <v>Caring, leisure and other service</v>
      </c>
      <c r="R31" s="22">
        <f t="shared" ref="R31:U31" si="60">R13/R$18*100</f>
        <v>2.5583873570371418</v>
      </c>
      <c r="S31" s="22">
        <f t="shared" si="60"/>
        <v>7.6200484743546957</v>
      </c>
      <c r="T31" s="22">
        <f t="shared" si="60"/>
        <v>1.5911605643848061</v>
      </c>
      <c r="U31" s="22">
        <f t="shared" si="60"/>
        <v>3.1146446179088128</v>
      </c>
      <c r="V31" s="22"/>
      <c r="W31" s="22">
        <f t="shared" ref="W31:Z31" si="61">W13/W$18*100</f>
        <v>2.9077663134120706</v>
      </c>
      <c r="X31" s="22">
        <f t="shared" si="61"/>
        <v>7.9426178695701912</v>
      </c>
      <c r="Y31" s="22">
        <f t="shared" si="61"/>
        <v>1.9941267768205428</v>
      </c>
      <c r="Z31" s="22">
        <f t="shared" si="61"/>
        <v>3.4938156272888552</v>
      </c>
      <c r="AA31" s="22"/>
      <c r="AB31" s="22">
        <f t="shared" ref="AB31:AE31" si="62">AB13/AB$18*100</f>
        <v>3.2731289976157916</v>
      </c>
      <c r="AC31" s="22">
        <f t="shared" si="62"/>
        <v>9.0754032350083431</v>
      </c>
      <c r="AD31" s="22">
        <f t="shared" si="62"/>
        <v>2.1188791388196524</v>
      </c>
      <c r="AE31" s="22">
        <f t="shared" si="62"/>
        <v>4.0702959705490693</v>
      </c>
      <c r="AG31" s="18" t="str">
        <f>$A$13</f>
        <v>Caring, leisure and other service</v>
      </c>
      <c r="AH31" s="22">
        <f t="shared" ref="AH31:AK31" si="63">AH13/AH$18*100</f>
        <v>14.14022959263314</v>
      </c>
      <c r="AI31" s="22">
        <f t="shared" si="63"/>
        <v>13.579712325744135</v>
      </c>
      <c r="AJ31" s="22">
        <f t="shared" si="63"/>
        <v>17.657111645675197</v>
      </c>
      <c r="AK31" s="22">
        <f t="shared" si="63"/>
        <v>14.147811336744514</v>
      </c>
      <c r="AL31" s="22"/>
      <c r="AM31" s="22">
        <f t="shared" ref="AM31:AP31" si="64">AM13/AM$18*100</f>
        <v>15.272039772328833</v>
      </c>
      <c r="AN31" s="22">
        <f t="shared" si="64"/>
        <v>17.246963592586585</v>
      </c>
      <c r="AO31" s="22">
        <f t="shared" si="64"/>
        <v>17.274821313517037</v>
      </c>
      <c r="AP31" s="22">
        <f t="shared" si="64"/>
        <v>16.298032834894041</v>
      </c>
      <c r="AQ31" s="22"/>
      <c r="AR31" s="22">
        <f t="shared" ref="AR31:AU31" si="65">AR13/AR$18*100</f>
        <v>15.797414849693741</v>
      </c>
      <c r="AS31" s="22">
        <f t="shared" si="65"/>
        <v>19.75799270115116</v>
      </c>
      <c r="AT31" s="22">
        <f t="shared" si="65"/>
        <v>16.93107626384915</v>
      </c>
      <c r="AU31" s="22">
        <f t="shared" si="65"/>
        <v>17.586667041439178</v>
      </c>
    </row>
    <row r="32" spans="1:47" x14ac:dyDescent="0.25">
      <c r="A32" s="18" t="str">
        <f>$A$14</f>
        <v>Sales and customer service</v>
      </c>
      <c r="B32" s="22">
        <f t="shared" si="30"/>
        <v>5.9776428091904057</v>
      </c>
      <c r="C32" s="22">
        <f t="shared" ref="C32:O32" si="66">C14/C$18*100</f>
        <v>17.571213177211177</v>
      </c>
      <c r="D32" s="22">
        <f t="shared" si="66"/>
        <v>2.1849321264088264</v>
      </c>
      <c r="E32" s="22">
        <f t="shared" si="66"/>
        <v>8.7832126265809478</v>
      </c>
      <c r="F32" s="22"/>
      <c r="G32" s="22">
        <f t="shared" si="66"/>
        <v>5.7662819206490061</v>
      </c>
      <c r="H32" s="22">
        <f t="shared" si="66"/>
        <v>17.074823434589767</v>
      </c>
      <c r="I32" s="22">
        <f t="shared" si="66"/>
        <v>2.0570975629317001</v>
      </c>
      <c r="J32" s="22">
        <f t="shared" si="66"/>
        <v>8.4051717837166198</v>
      </c>
      <c r="K32" s="22"/>
      <c r="L32" s="22">
        <f t="shared" si="66"/>
        <v>5.3166459448967212</v>
      </c>
      <c r="M32" s="22">
        <f t="shared" si="66"/>
        <v>16.116905112555227</v>
      </c>
      <c r="N32" s="22">
        <f t="shared" si="66"/>
        <v>1.6847285624045922</v>
      </c>
      <c r="O32" s="22">
        <f t="shared" si="66"/>
        <v>8.0305338216323374</v>
      </c>
      <c r="Q32" s="18" t="str">
        <f>$A$14</f>
        <v>Sales and customer service</v>
      </c>
      <c r="R32" s="22">
        <f t="shared" ref="R32:U32" si="67">R14/R$18*100</f>
        <v>4.513885943203479</v>
      </c>
      <c r="S32" s="22">
        <f t="shared" si="67"/>
        <v>19.563900734206364</v>
      </c>
      <c r="T32" s="22">
        <f t="shared" si="67"/>
        <v>1.5614733718774527</v>
      </c>
      <c r="U32" s="22">
        <f t="shared" si="67"/>
        <v>6.1558832585628522</v>
      </c>
      <c r="V32" s="22"/>
      <c r="W32" s="22">
        <f t="shared" ref="W32:Z32" si="68">W14/W$18*100</f>
        <v>4.9205423622215738</v>
      </c>
      <c r="X32" s="22">
        <f t="shared" si="68"/>
        <v>18.288350879466421</v>
      </c>
      <c r="Y32" s="22">
        <f t="shared" si="68"/>
        <v>1.470747306152602</v>
      </c>
      <c r="Z32" s="22">
        <f t="shared" si="68"/>
        <v>6.3129916298782858</v>
      </c>
      <c r="AA32" s="22"/>
      <c r="AB32" s="22">
        <f t="shared" ref="AB32:AE32" si="69">AB14/AB$18*100</f>
        <v>4.7248503251451668</v>
      </c>
      <c r="AC32" s="22">
        <f t="shared" si="69"/>
        <v>18.001782331476175</v>
      </c>
      <c r="AD32" s="22">
        <f t="shared" si="69"/>
        <v>1.229905444663038</v>
      </c>
      <c r="AE32" s="22">
        <f t="shared" si="69"/>
        <v>6.4194027905524882</v>
      </c>
      <c r="AG32" s="18" t="str">
        <f>$A$14</f>
        <v>Sales and customer service</v>
      </c>
      <c r="AH32" s="22">
        <f t="shared" ref="AH32:AK32" si="70">AH14/AH$18*100</f>
        <v>8.3256559014571927</v>
      </c>
      <c r="AI32" s="22">
        <f t="shared" si="70"/>
        <v>16.858482072961909</v>
      </c>
      <c r="AJ32" s="22">
        <f t="shared" si="70"/>
        <v>3.700788849288196</v>
      </c>
      <c r="AK32" s="22">
        <f t="shared" si="70"/>
        <v>11.722624581424448</v>
      </c>
      <c r="AL32" s="22"/>
      <c r="AM32" s="22">
        <f t="shared" ref="AM32:AP32" si="71">AM14/AM$18*100</f>
        <v>7.1045190651028145</v>
      </c>
      <c r="AN32" s="22">
        <f t="shared" si="71"/>
        <v>16.613547525896927</v>
      </c>
      <c r="AO32" s="22">
        <f t="shared" si="71"/>
        <v>3.1006154566190371</v>
      </c>
      <c r="AP32" s="22">
        <f t="shared" si="71"/>
        <v>10.700800878951007</v>
      </c>
      <c r="AQ32" s="22"/>
      <c r="AR32" s="22">
        <f t="shared" ref="AR32:AU32" si="72">AR14/AR$18*100</f>
        <v>6.2011392134689336</v>
      </c>
      <c r="AS32" s="22">
        <f t="shared" si="72"/>
        <v>15.330932048270206</v>
      </c>
      <c r="AT32" s="22">
        <f t="shared" si="72"/>
        <v>2.4688753164714963</v>
      </c>
      <c r="AU32" s="22">
        <f t="shared" si="72"/>
        <v>9.7348709950757026</v>
      </c>
    </row>
    <row r="33" spans="1:47" x14ac:dyDescent="0.25">
      <c r="A33" s="18" t="str">
        <f>$A$15</f>
        <v>Process, plant and machine operatives</v>
      </c>
      <c r="B33" s="22">
        <f t="shared" si="30"/>
        <v>9.0113080564053352</v>
      </c>
      <c r="C33" s="22">
        <f t="shared" ref="C33:O33" si="73">C15/C$18*100</f>
        <v>3.0697466649575347</v>
      </c>
      <c r="D33" s="22">
        <f t="shared" si="73"/>
        <v>8.4269352875651702</v>
      </c>
      <c r="E33" s="22">
        <f t="shared" si="73"/>
        <v>7.2794861333497929</v>
      </c>
      <c r="F33" s="22"/>
      <c r="G33" s="22">
        <f t="shared" si="73"/>
        <v>7.4018367442224324</v>
      </c>
      <c r="H33" s="22">
        <f t="shared" si="73"/>
        <v>3.0250552971755549</v>
      </c>
      <c r="I33" s="22">
        <f t="shared" si="73"/>
        <v>7.8804965214031091</v>
      </c>
      <c r="J33" s="22">
        <f t="shared" si="73"/>
        <v>6.255615929565665</v>
      </c>
      <c r="K33" s="22"/>
      <c r="L33" s="22">
        <f t="shared" si="73"/>
        <v>6.350113590825579</v>
      </c>
      <c r="M33" s="22">
        <f t="shared" si="73"/>
        <v>3.0409260060217673</v>
      </c>
      <c r="N33" s="22">
        <f t="shared" si="73"/>
        <v>7.4021670110255373</v>
      </c>
      <c r="O33" s="22">
        <f t="shared" si="73"/>
        <v>5.5110926662990094</v>
      </c>
      <c r="Q33" s="18" t="str">
        <f>$A$15</f>
        <v>Process, plant and machine operatives</v>
      </c>
      <c r="R33" s="22">
        <f t="shared" ref="R33:U33" si="74">R15/R$18*100</f>
        <v>12.997016075243964</v>
      </c>
      <c r="S33" s="22">
        <f t="shared" si="74"/>
        <v>8.0291953003228116</v>
      </c>
      <c r="T33" s="22">
        <f t="shared" si="74"/>
        <v>11.308197827320789</v>
      </c>
      <c r="U33" s="22">
        <f t="shared" si="74"/>
        <v>12.039376863335832</v>
      </c>
      <c r="V33" s="22"/>
      <c r="W33" s="22">
        <f t="shared" ref="W33:Z33" si="75">W15/W$18*100</f>
        <v>10.840267960001434</v>
      </c>
      <c r="X33" s="22">
        <f t="shared" si="75"/>
        <v>8.5192520235036628</v>
      </c>
      <c r="Y33" s="22">
        <f t="shared" si="75"/>
        <v>11.334294690981261</v>
      </c>
      <c r="Z33" s="22">
        <f t="shared" si="75"/>
        <v>10.581739394913287</v>
      </c>
      <c r="AA33" s="22"/>
      <c r="AB33" s="22">
        <f t="shared" ref="AB33:AE33" si="76">AB15/AB$18*100</f>
        <v>9.6890608253965969</v>
      </c>
      <c r="AC33" s="22">
        <f t="shared" si="76"/>
        <v>8.5443822348655836</v>
      </c>
      <c r="AD33" s="22">
        <f t="shared" si="76"/>
        <v>10.891218785800433</v>
      </c>
      <c r="AE33" s="22">
        <f t="shared" si="76"/>
        <v>9.6796562866691325</v>
      </c>
      <c r="AG33" s="18" t="str">
        <f>$A$15</f>
        <v>Process, plant and machine operatives</v>
      </c>
      <c r="AH33" s="22">
        <f t="shared" ref="AH33:AK33" si="77">AH15/AH$18*100</f>
        <v>2.6178319077035845</v>
      </c>
      <c r="AI33" s="22">
        <f t="shared" si="77"/>
        <v>1.2958843803545621</v>
      </c>
      <c r="AJ33" s="22">
        <f t="shared" si="77"/>
        <v>1.4215301031404737</v>
      </c>
      <c r="AK33" s="22">
        <f t="shared" si="77"/>
        <v>1.9542003561714476</v>
      </c>
      <c r="AL33" s="22"/>
      <c r="AM33" s="22">
        <f t="shared" ref="AM33:AP33" si="78">AM15/AM$18*100</f>
        <v>1.9611117293480931</v>
      </c>
      <c r="AN33" s="22">
        <f t="shared" si="78"/>
        <v>0.93664716254801927</v>
      </c>
      <c r="AO33" s="22">
        <f t="shared" si="78"/>
        <v>1.733828809620674</v>
      </c>
      <c r="AP33" s="22">
        <f t="shared" si="78"/>
        <v>1.5088091699238648</v>
      </c>
      <c r="AQ33" s="22"/>
      <c r="AR33" s="22">
        <f t="shared" ref="AR33:AU33" si="79">AR15/AR$18*100</f>
        <v>1.3597482441950697</v>
      </c>
      <c r="AS33" s="22">
        <f t="shared" si="79"/>
        <v>0.74604530349031928</v>
      </c>
      <c r="AT33" s="22">
        <f t="shared" si="79"/>
        <v>1.3867985804442777</v>
      </c>
      <c r="AU33" s="22">
        <f t="shared" si="79"/>
        <v>1.1013719167094462</v>
      </c>
    </row>
    <row r="34" spans="1:47" x14ac:dyDescent="0.25">
      <c r="A34" s="18" t="str">
        <f>$A$16</f>
        <v>Elementary occupations</v>
      </c>
      <c r="B34" s="22">
        <f t="shared" si="30"/>
        <v>8.3850993636463311</v>
      </c>
      <c r="C34" s="22">
        <f t="shared" ref="C34:O34" si="80">C16/C$18*100</f>
        <v>24.863731973065565</v>
      </c>
      <c r="D34" s="22">
        <f t="shared" si="80"/>
        <v>5.8045806531615467</v>
      </c>
      <c r="E34" s="22">
        <f t="shared" si="80"/>
        <v>12.699642931417726</v>
      </c>
      <c r="F34" s="22"/>
      <c r="G34" s="22">
        <f t="shared" si="80"/>
        <v>8.0422968902979797</v>
      </c>
      <c r="H34" s="22">
        <f t="shared" si="80"/>
        <v>20.798749302180614</v>
      </c>
      <c r="I34" s="22">
        <f t="shared" si="80"/>
        <v>6.4104259755841619</v>
      </c>
      <c r="J34" s="22">
        <f t="shared" si="80"/>
        <v>11.35214078086473</v>
      </c>
      <c r="K34" s="22"/>
      <c r="L34" s="22">
        <f t="shared" si="80"/>
        <v>7.8257676872789066</v>
      </c>
      <c r="M34" s="22">
        <f t="shared" si="80"/>
        <v>19.316366266097145</v>
      </c>
      <c r="N34" s="22">
        <f t="shared" si="80"/>
        <v>6.4399332502627207</v>
      </c>
      <c r="O34" s="22">
        <f t="shared" si="80"/>
        <v>11.018554594366128</v>
      </c>
      <c r="Q34" s="18" t="str">
        <f>$A$16</f>
        <v>Elementary occupations</v>
      </c>
      <c r="R34" s="22">
        <f t="shared" ref="R34:U34" si="81">R16/R$18*100</f>
        <v>9.8110835914510552</v>
      </c>
      <c r="S34" s="22">
        <f t="shared" si="81"/>
        <v>27.896865987144633</v>
      </c>
      <c r="T34" s="22">
        <f t="shared" si="81"/>
        <v>5.3887538774797559</v>
      </c>
      <c r="U34" s="22">
        <f t="shared" si="81"/>
        <v>11.647838656588103</v>
      </c>
      <c r="V34" s="22"/>
      <c r="W34" s="22">
        <f t="shared" ref="W34:Z34" si="82">W16/W$18*100</f>
        <v>9.5488189094260729</v>
      </c>
      <c r="X34" s="22">
        <f t="shared" si="82"/>
        <v>27.104219696930798</v>
      </c>
      <c r="Y34" s="22">
        <f t="shared" si="82"/>
        <v>5.7357877827162609</v>
      </c>
      <c r="Z34" s="22">
        <f t="shared" si="82"/>
        <v>11.49204628094836</v>
      </c>
      <c r="AA34" s="22"/>
      <c r="AB34" s="22">
        <f t="shared" ref="AB34:AE34" si="83">AB16/AB$18*100</f>
        <v>9.7336103794224371</v>
      </c>
      <c r="AC34" s="22">
        <f t="shared" si="83"/>
        <v>26.954664031749644</v>
      </c>
      <c r="AD34" s="22">
        <f t="shared" si="83"/>
        <v>5.8391943672510376</v>
      </c>
      <c r="AE34" s="22">
        <f t="shared" si="83"/>
        <v>12.028480623957376</v>
      </c>
      <c r="AG34" s="18" t="str">
        <f>$A$16</f>
        <v>Elementary occupations</v>
      </c>
      <c r="AH34" s="22">
        <f t="shared" ref="AH34:AK34" si="84">AH16/AH$18*100</f>
        <v>6.0976773784425671</v>
      </c>
      <c r="AI34" s="22">
        <f t="shared" si="84"/>
        <v>23.778860966769702</v>
      </c>
      <c r="AJ34" s="22">
        <f t="shared" si="84"/>
        <v>6.815607940675199</v>
      </c>
      <c r="AK34" s="22">
        <f t="shared" si="84"/>
        <v>13.876383882599594</v>
      </c>
      <c r="AL34" s="22"/>
      <c r="AM34" s="22">
        <f t="shared" ref="AM34:AP34" si="85">AM16/AM$18*100</f>
        <v>5.6584853435335551</v>
      </c>
      <c r="AN34" s="22">
        <f t="shared" si="85"/>
        <v>18.40196660200052</v>
      </c>
      <c r="AO34" s="22">
        <f t="shared" si="85"/>
        <v>7.6110684548587644</v>
      </c>
      <c r="AP34" s="22">
        <f t="shared" si="85"/>
        <v>11.198630512647114</v>
      </c>
      <c r="AQ34" s="22"/>
      <c r="AR34" s="22">
        <f t="shared" ref="AR34:AU34" si="86">AR16/AR$18*100</f>
        <v>4.9743203930186226</v>
      </c>
      <c r="AS34" s="22">
        <f t="shared" si="86"/>
        <v>16.131280128641389</v>
      </c>
      <c r="AT34" s="22">
        <f t="shared" si="86"/>
        <v>7.4756489533133825</v>
      </c>
      <c r="AU34" s="22">
        <f t="shared" si="86"/>
        <v>9.9502029572514505</v>
      </c>
    </row>
    <row r="35" spans="1:47" x14ac:dyDescent="0.25">
      <c r="A35" s="18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Q35" s="18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G35" s="18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</row>
    <row r="36" spans="1:47" x14ac:dyDescent="0.25">
      <c r="A36" s="28" t="str">
        <f>$A$18</f>
        <v>All occupations</v>
      </c>
      <c r="B36" s="30">
        <f>B18/B$18*100</f>
        <v>100</v>
      </c>
      <c r="C36" s="30">
        <f t="shared" ref="C36:O36" si="87">C18/C$18*100</f>
        <v>100</v>
      </c>
      <c r="D36" s="30">
        <f t="shared" si="87"/>
        <v>100</v>
      </c>
      <c r="E36" s="30">
        <f t="shared" si="87"/>
        <v>100</v>
      </c>
      <c r="F36" s="30"/>
      <c r="G36" s="30">
        <f t="shared" si="87"/>
        <v>100</v>
      </c>
      <c r="H36" s="30">
        <f t="shared" si="87"/>
        <v>100</v>
      </c>
      <c r="I36" s="30">
        <f t="shared" si="87"/>
        <v>100</v>
      </c>
      <c r="J36" s="30">
        <f t="shared" si="87"/>
        <v>100</v>
      </c>
      <c r="K36" s="30"/>
      <c r="L36" s="30">
        <f t="shared" si="87"/>
        <v>100</v>
      </c>
      <c r="M36" s="30">
        <f t="shared" si="87"/>
        <v>100</v>
      </c>
      <c r="N36" s="30">
        <f t="shared" si="87"/>
        <v>100</v>
      </c>
      <c r="O36" s="30">
        <f t="shared" si="87"/>
        <v>100</v>
      </c>
      <c r="Q36" s="28" t="str">
        <f>$A$18</f>
        <v>All occupations</v>
      </c>
      <c r="R36" s="30">
        <f>R18/R$18*100</f>
        <v>100</v>
      </c>
      <c r="S36" s="30">
        <f t="shared" ref="S36:U36" si="88">S18/S$18*100</f>
        <v>100</v>
      </c>
      <c r="T36" s="30">
        <f t="shared" si="88"/>
        <v>100</v>
      </c>
      <c r="U36" s="30">
        <f t="shared" si="88"/>
        <v>100</v>
      </c>
      <c r="V36" s="30"/>
      <c r="W36" s="30">
        <f t="shared" ref="W36:Z36" si="89">W18/W$18*100</f>
        <v>100</v>
      </c>
      <c r="X36" s="30">
        <f t="shared" si="89"/>
        <v>100</v>
      </c>
      <c r="Y36" s="30">
        <f t="shared" si="89"/>
        <v>100</v>
      </c>
      <c r="Z36" s="30">
        <f t="shared" si="89"/>
        <v>100</v>
      </c>
      <c r="AA36" s="30"/>
      <c r="AB36" s="30">
        <f t="shared" ref="AB36:AE36" si="90">AB18/AB$18*100</f>
        <v>100</v>
      </c>
      <c r="AC36" s="30">
        <f t="shared" si="90"/>
        <v>100</v>
      </c>
      <c r="AD36" s="30">
        <f t="shared" si="90"/>
        <v>100</v>
      </c>
      <c r="AE36" s="30">
        <f t="shared" si="90"/>
        <v>100</v>
      </c>
      <c r="AG36" s="28" t="str">
        <f>$A$18</f>
        <v>All occupations</v>
      </c>
      <c r="AH36" s="30">
        <f>AH18/AH$18*100</f>
        <v>100</v>
      </c>
      <c r="AI36" s="30">
        <f t="shared" ref="AI36:AK36" si="91">AI18/AI$18*100</f>
        <v>100</v>
      </c>
      <c r="AJ36" s="30">
        <f t="shared" si="91"/>
        <v>100</v>
      </c>
      <c r="AK36" s="30">
        <f t="shared" si="91"/>
        <v>100</v>
      </c>
      <c r="AL36" s="30"/>
      <c r="AM36" s="30">
        <f t="shared" ref="AM36:AP36" si="92">AM18/AM$18*100</f>
        <v>100</v>
      </c>
      <c r="AN36" s="30">
        <f t="shared" si="92"/>
        <v>100</v>
      </c>
      <c r="AO36" s="30">
        <f t="shared" si="92"/>
        <v>100</v>
      </c>
      <c r="AP36" s="30">
        <f t="shared" si="92"/>
        <v>100</v>
      </c>
      <c r="AQ36" s="30"/>
      <c r="AR36" s="30">
        <f t="shared" ref="AR36:AU36" si="93">AR18/AR$18*100</f>
        <v>100</v>
      </c>
      <c r="AS36" s="30">
        <f t="shared" si="93"/>
        <v>100</v>
      </c>
      <c r="AT36" s="30">
        <f t="shared" si="93"/>
        <v>100</v>
      </c>
      <c r="AU36" s="30">
        <f t="shared" si="93"/>
        <v>100</v>
      </c>
    </row>
    <row r="37" spans="1:47" x14ac:dyDescent="0.25">
      <c r="A37" s="18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Q37" s="18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G37" s="18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</row>
    <row r="38" spans="1:47" x14ac:dyDescent="0.25">
      <c r="A38" s="18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Q38" s="18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G38" s="18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</row>
    <row r="39" spans="1:47" x14ac:dyDescent="0.25">
      <c r="A39" s="18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Q39" s="18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G39" s="18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</row>
    <row r="40" spans="1:47" x14ac:dyDescent="0.25">
      <c r="A40" s="79"/>
      <c r="B40" s="81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Q40" s="79"/>
      <c r="R40" s="81"/>
      <c r="S40" s="81"/>
      <c r="T40" s="81"/>
      <c r="U40" s="81"/>
      <c r="V40" s="81"/>
      <c r="W40" s="81"/>
      <c r="X40" s="81"/>
      <c r="Y40" s="81"/>
      <c r="Z40" s="81"/>
      <c r="AA40" s="81"/>
      <c r="AB40" s="81"/>
      <c r="AC40" s="81"/>
      <c r="AD40" s="81"/>
      <c r="AE40" s="81"/>
      <c r="AG40" s="79"/>
      <c r="AH40" s="81"/>
      <c r="AI40" s="81"/>
      <c r="AJ40" s="81"/>
      <c r="AK40" s="81"/>
      <c r="AL40" s="81"/>
      <c r="AM40" s="81"/>
      <c r="AN40" s="81"/>
      <c r="AO40" s="81"/>
      <c r="AP40" s="81"/>
      <c r="AQ40" s="81"/>
      <c r="AR40" s="81"/>
      <c r="AS40" s="81"/>
      <c r="AT40" s="81"/>
      <c r="AU40" s="81"/>
    </row>
    <row r="41" spans="1:47" x14ac:dyDescent="0.25">
      <c r="A41" s="2"/>
      <c r="B41" s="519" t="str">
        <f>B5&amp;"-"&amp;G5</f>
        <v>2007-2017</v>
      </c>
      <c r="C41" s="519"/>
      <c r="D41" s="519"/>
      <c r="E41" s="519"/>
      <c r="F41" s="57"/>
      <c r="G41" s="519" t="str">
        <f>G5&amp;"-"&amp;L5</f>
        <v>2017-2027</v>
      </c>
      <c r="H41" s="519"/>
      <c r="I41" s="519"/>
      <c r="J41" s="519"/>
      <c r="K41" s="57"/>
      <c r="L41" s="519" t="str">
        <f>B5&amp;"-"&amp;L5</f>
        <v>2007-2027</v>
      </c>
      <c r="M41" s="519"/>
      <c r="N41" s="519"/>
      <c r="O41" s="519"/>
      <c r="Q41" s="2"/>
      <c r="R41" s="519" t="str">
        <f>R5&amp;"-"&amp;W5</f>
        <v>2007-2017</v>
      </c>
      <c r="S41" s="519"/>
      <c r="T41" s="519"/>
      <c r="U41" s="519"/>
      <c r="V41" s="57"/>
      <c r="W41" s="519" t="str">
        <f>W5&amp;"-"&amp;AB5</f>
        <v>2017-2027</v>
      </c>
      <c r="X41" s="519"/>
      <c r="Y41" s="519"/>
      <c r="Z41" s="519"/>
      <c r="AA41" s="57"/>
      <c r="AB41" s="519" t="str">
        <f>R5&amp;"-"&amp;AB5</f>
        <v>2007-2027</v>
      </c>
      <c r="AC41" s="519"/>
      <c r="AD41" s="519"/>
      <c r="AE41" s="519"/>
      <c r="AG41" s="2"/>
      <c r="AH41" s="519" t="str">
        <f>AH5&amp;"-"&amp;AM5</f>
        <v>2007-2017</v>
      </c>
      <c r="AI41" s="519"/>
      <c r="AJ41" s="519"/>
      <c r="AK41" s="519"/>
      <c r="AL41" s="57"/>
      <c r="AM41" s="519" t="str">
        <f>AM5&amp;"-"&amp;AR5</f>
        <v>2017-2027</v>
      </c>
      <c r="AN41" s="519"/>
      <c r="AO41" s="519"/>
      <c r="AP41" s="519"/>
      <c r="AQ41" s="57"/>
      <c r="AR41" s="519" t="str">
        <f>AH5&amp;"-"&amp;AR5</f>
        <v>2007-2027</v>
      </c>
      <c r="AS41" s="519"/>
      <c r="AT41" s="519"/>
      <c r="AU41" s="519"/>
    </row>
    <row r="42" spans="1:47" x14ac:dyDescent="0.25">
      <c r="A42" s="50" t="s">
        <v>15</v>
      </c>
      <c r="B42" s="485" t="s">
        <v>371</v>
      </c>
      <c r="C42" s="485" t="s">
        <v>373</v>
      </c>
      <c r="D42" s="485" t="s">
        <v>369</v>
      </c>
      <c r="E42" s="485" t="s">
        <v>32</v>
      </c>
      <c r="F42" s="486"/>
      <c r="G42" s="485" t="s">
        <v>371</v>
      </c>
      <c r="H42" s="485" t="s">
        <v>373</v>
      </c>
      <c r="I42" s="485" t="s">
        <v>369</v>
      </c>
      <c r="J42" s="485" t="s">
        <v>32</v>
      </c>
      <c r="K42" s="486"/>
      <c r="L42" s="485" t="s">
        <v>371</v>
      </c>
      <c r="M42" s="485" t="s">
        <v>373</v>
      </c>
      <c r="N42" s="485" t="s">
        <v>369</v>
      </c>
      <c r="O42" s="485" t="s">
        <v>32</v>
      </c>
      <c r="Q42" s="50" t="s">
        <v>15</v>
      </c>
      <c r="R42" s="485" t="s">
        <v>371</v>
      </c>
      <c r="S42" s="485" t="s">
        <v>373</v>
      </c>
      <c r="T42" s="485" t="s">
        <v>369</v>
      </c>
      <c r="U42" s="485" t="s">
        <v>32</v>
      </c>
      <c r="V42" s="486"/>
      <c r="W42" s="485" t="s">
        <v>371</v>
      </c>
      <c r="X42" s="485" t="s">
        <v>373</v>
      </c>
      <c r="Y42" s="485" t="s">
        <v>369</v>
      </c>
      <c r="Z42" s="485" t="s">
        <v>32</v>
      </c>
      <c r="AA42" s="486"/>
      <c r="AB42" s="485" t="s">
        <v>371</v>
      </c>
      <c r="AC42" s="485" t="s">
        <v>373</v>
      </c>
      <c r="AD42" s="485" t="s">
        <v>369</v>
      </c>
      <c r="AE42" s="485" t="s">
        <v>32</v>
      </c>
      <c r="AG42" s="50" t="s">
        <v>15</v>
      </c>
      <c r="AH42" s="485" t="s">
        <v>371</v>
      </c>
      <c r="AI42" s="485" t="s">
        <v>373</v>
      </c>
      <c r="AJ42" s="485" t="s">
        <v>369</v>
      </c>
      <c r="AK42" s="485" t="s">
        <v>32</v>
      </c>
      <c r="AL42" s="486"/>
      <c r="AM42" s="485" t="s">
        <v>371</v>
      </c>
      <c r="AN42" s="485" t="s">
        <v>373</v>
      </c>
      <c r="AO42" s="485" t="s">
        <v>369</v>
      </c>
      <c r="AP42" s="485" t="s">
        <v>32</v>
      </c>
      <c r="AQ42" s="486"/>
      <c r="AR42" s="485" t="s">
        <v>371</v>
      </c>
      <c r="AS42" s="485" t="s">
        <v>373</v>
      </c>
      <c r="AT42" s="485" t="s">
        <v>369</v>
      </c>
      <c r="AU42" s="485" t="s">
        <v>32</v>
      </c>
    </row>
    <row r="43" spans="1:47" x14ac:dyDescent="0.25">
      <c r="A43" s="1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Q43" s="1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G43" s="1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</row>
    <row r="44" spans="1:47" x14ac:dyDescent="0.25">
      <c r="A44" s="18" t="str">
        <f>$A$8</f>
        <v>Managers, directors and senior officials</v>
      </c>
      <c r="B44" s="31">
        <f>G8-B8</f>
        <v>535.33604097536295</v>
      </c>
      <c r="C44" s="31">
        <f t="shared" ref="C44:E44" si="94">H8-C8</f>
        <v>129.87624024926191</v>
      </c>
      <c r="D44" s="31">
        <f t="shared" si="94"/>
        <v>125.53985096706663</v>
      </c>
      <c r="E44" s="31">
        <f t="shared" si="94"/>
        <v>790.75213219169154</v>
      </c>
      <c r="F44" s="31"/>
      <c r="G44" s="31">
        <f>L8-G8</f>
        <v>334.77965015232758</v>
      </c>
      <c r="H44" s="31">
        <f t="shared" ref="H44:J44" si="95">M8-H8</f>
        <v>117.73427004257559</v>
      </c>
      <c r="I44" s="31">
        <f t="shared" si="95"/>
        <v>-13.966865005810405</v>
      </c>
      <c r="J44" s="31">
        <f t="shared" si="95"/>
        <v>438.54705518909304</v>
      </c>
      <c r="K44" s="31"/>
      <c r="L44" s="31">
        <f>L8-B8</f>
        <v>870.11569112769052</v>
      </c>
      <c r="M44" s="31">
        <f t="shared" ref="M44:O44" si="96">M8-C8</f>
        <v>247.6105102918375</v>
      </c>
      <c r="N44" s="31">
        <f t="shared" si="96"/>
        <v>111.57298596125622</v>
      </c>
      <c r="O44" s="31">
        <f t="shared" si="96"/>
        <v>1229.2991873807846</v>
      </c>
      <c r="Q44" s="18" t="str">
        <f>$A$8</f>
        <v>Managers, directors and senior officials</v>
      </c>
      <c r="R44" s="31">
        <f>W8-R8</f>
        <v>274.27633428859076</v>
      </c>
      <c r="S44" s="31">
        <f t="shared" ref="S44:S52" si="97">X8-S8</f>
        <v>35.539594050979929</v>
      </c>
      <c r="T44" s="31">
        <f t="shared" ref="T44:T52" si="98">Y8-T8</f>
        <v>37.792335665284725</v>
      </c>
      <c r="U44" s="31">
        <f t="shared" ref="U44:U52" si="99">Z8-U8</f>
        <v>347.6082640048553</v>
      </c>
      <c r="V44" s="31"/>
      <c r="W44" s="31">
        <f>AB8-W8</f>
        <v>134.55222076788164</v>
      </c>
      <c r="X44" s="31">
        <f t="shared" ref="X44:X52" si="100">AC8-X8</f>
        <v>31.203643060512576</v>
      </c>
      <c r="Y44" s="31">
        <f t="shared" ref="Y44:Y52" si="101">AD8-Y8</f>
        <v>-16.765951944887718</v>
      </c>
      <c r="Z44" s="31">
        <f t="shared" ref="Z44:Z52" si="102">AE8-Z8</f>
        <v>148.98991188350647</v>
      </c>
      <c r="AA44" s="31"/>
      <c r="AB44" s="31">
        <f>AB8-R8</f>
        <v>408.8285550564724</v>
      </c>
      <c r="AC44" s="31">
        <f t="shared" ref="AC44:AC52" si="103">AC8-S8</f>
        <v>66.743237111492505</v>
      </c>
      <c r="AD44" s="31">
        <f t="shared" ref="AD44:AD52" si="104">AD8-T8</f>
        <v>21.026383720397007</v>
      </c>
      <c r="AE44" s="31">
        <f t="shared" ref="AE44:AE52" si="105">AE8-U8</f>
        <v>496.59817588836177</v>
      </c>
      <c r="AG44" s="18" t="str">
        <f>$A$8</f>
        <v>Managers, directors and senior officials</v>
      </c>
      <c r="AH44" s="31">
        <f>AM8-AH8</f>
        <v>261.05970668676935</v>
      </c>
      <c r="AI44" s="31">
        <f t="shared" ref="AI44:AI52" si="106">AN8-AI8</f>
        <v>94.336646198281471</v>
      </c>
      <c r="AJ44" s="31">
        <f t="shared" ref="AJ44:AJ52" si="107">AO8-AJ8</f>
        <v>87.747515301782329</v>
      </c>
      <c r="AK44" s="31">
        <f t="shared" ref="AK44:AK52" si="108">AP8-AK8</f>
        <v>443.14386818683317</v>
      </c>
      <c r="AL44" s="31"/>
      <c r="AM44" s="31">
        <f>AR8-AM8</f>
        <v>200.22742938444799</v>
      </c>
      <c r="AN44" s="31">
        <f t="shared" ref="AN44:AN52" si="109">AS8-AN8</f>
        <v>86.530626982063268</v>
      </c>
      <c r="AO44" s="31">
        <f t="shared" ref="AO44:AO52" si="110">AT8-AO8</f>
        <v>2.7990869390771991</v>
      </c>
      <c r="AP44" s="31">
        <f t="shared" ref="AP44:AP52" si="111">AU8-AP8</f>
        <v>289.5571433055884</v>
      </c>
      <c r="AQ44" s="31"/>
      <c r="AR44" s="31">
        <f>AR8-AH8</f>
        <v>461.28713607121733</v>
      </c>
      <c r="AS44" s="31">
        <f t="shared" ref="AS44:AS52" si="112">AS8-AI8</f>
        <v>180.86727318034474</v>
      </c>
      <c r="AT44" s="31">
        <f t="shared" ref="AT44:AT52" si="113">AT8-AJ8</f>
        <v>90.546602240859528</v>
      </c>
      <c r="AU44" s="31">
        <f t="shared" ref="AU44:AU52" si="114">AU8-AK8</f>
        <v>732.70101149242157</v>
      </c>
    </row>
    <row r="45" spans="1:47" x14ac:dyDescent="0.25">
      <c r="A45" s="18" t="str">
        <f>$A$9</f>
        <v>Professional occupations</v>
      </c>
      <c r="B45" s="31">
        <f t="shared" ref="B45:B54" si="115">G9-B9</f>
        <v>914.42319505507203</v>
      </c>
      <c r="C45" s="31">
        <f t="shared" ref="C45:C54" si="116">H9-C9</f>
        <v>330.922561697025</v>
      </c>
      <c r="D45" s="31">
        <f t="shared" ref="D45:D54" si="117">I9-D9</f>
        <v>202.09433818984758</v>
      </c>
      <c r="E45" s="31">
        <f t="shared" ref="E45:E54" si="118">J9-E9</f>
        <v>1447.4400949419451</v>
      </c>
      <c r="F45" s="31"/>
      <c r="G45" s="31">
        <f t="shared" ref="G45:G54" si="119">L9-G9</f>
        <v>433.69122695713486</v>
      </c>
      <c r="H45" s="31">
        <f t="shared" ref="H45:H54" si="120">M9-H9</f>
        <v>354.95041094819499</v>
      </c>
      <c r="I45" s="31">
        <f t="shared" ref="I45:I54" si="121">N9-I9</f>
        <v>32.48540719841094</v>
      </c>
      <c r="J45" s="31">
        <f t="shared" ref="J45:J54" si="122">O9-J9</f>
        <v>821.12704510374078</v>
      </c>
      <c r="K45" s="31"/>
      <c r="L45" s="31">
        <f t="shared" ref="L45:L54" si="123">L9-B9</f>
        <v>1348.1144220122069</v>
      </c>
      <c r="M45" s="31">
        <f t="shared" ref="M45:M54" si="124">M9-C9</f>
        <v>685.87297264521999</v>
      </c>
      <c r="N45" s="31">
        <f t="shared" ref="N45:N54" si="125">N9-D9</f>
        <v>234.57974538825852</v>
      </c>
      <c r="O45" s="31">
        <f t="shared" ref="O45:O54" si="126">O9-E9</f>
        <v>2268.5671400456858</v>
      </c>
      <c r="Q45" s="18" t="str">
        <f>$A$9</f>
        <v>Professional occupations</v>
      </c>
      <c r="R45" s="31">
        <f t="shared" ref="R45:R52" si="127">W9-R9</f>
        <v>537.30521233249374</v>
      </c>
      <c r="S45" s="31">
        <f t="shared" si="97"/>
        <v>50.781869399013232</v>
      </c>
      <c r="T45" s="31">
        <f t="shared" si="98"/>
        <v>63.111275833291472</v>
      </c>
      <c r="U45" s="31">
        <f t="shared" si="99"/>
        <v>651.1983575647987</v>
      </c>
      <c r="V45" s="31"/>
      <c r="W45" s="31">
        <f t="shared" ref="W45:W52" si="128">AB9-W9</f>
        <v>97.147277591939201</v>
      </c>
      <c r="X45" s="31">
        <f t="shared" si="100"/>
        <v>63.185009502486764</v>
      </c>
      <c r="Y45" s="31">
        <f t="shared" si="101"/>
        <v>-6.4350841420638858</v>
      </c>
      <c r="Z45" s="31">
        <f t="shared" si="102"/>
        <v>153.89720295236157</v>
      </c>
      <c r="AA45" s="31"/>
      <c r="AB45" s="31">
        <f t="shared" ref="AB45:AB52" si="129">AB9-R9</f>
        <v>634.45248992443294</v>
      </c>
      <c r="AC45" s="31">
        <f t="shared" si="103"/>
        <v>113.9668789015</v>
      </c>
      <c r="AD45" s="31">
        <f t="shared" si="104"/>
        <v>56.676191691227586</v>
      </c>
      <c r="AE45" s="31">
        <f t="shared" si="105"/>
        <v>805.09556051716027</v>
      </c>
      <c r="AG45" s="18" t="str">
        <f>$A$9</f>
        <v>Professional occupations</v>
      </c>
      <c r="AH45" s="31">
        <f t="shared" ref="AH45:AH52" si="130">AM9-AH9</f>
        <v>377.11798272257738</v>
      </c>
      <c r="AI45" s="31">
        <f t="shared" si="106"/>
        <v>280.14069229801191</v>
      </c>
      <c r="AJ45" s="31">
        <f t="shared" si="107"/>
        <v>138.98306235655573</v>
      </c>
      <c r="AK45" s="31">
        <f t="shared" si="108"/>
        <v>796.24173737714545</v>
      </c>
      <c r="AL45" s="31"/>
      <c r="AM45" s="31">
        <f t="shared" ref="AM45:AM52" si="131">AR9-AM9</f>
        <v>336.54394936519384</v>
      </c>
      <c r="AN45" s="31">
        <f t="shared" si="109"/>
        <v>291.76540144570845</v>
      </c>
      <c r="AO45" s="31">
        <f t="shared" si="110"/>
        <v>38.92049134047511</v>
      </c>
      <c r="AP45" s="31">
        <f t="shared" si="111"/>
        <v>667.22984215137694</v>
      </c>
      <c r="AQ45" s="31"/>
      <c r="AR45" s="31">
        <f t="shared" ref="AR45:AR52" si="132">AR9-AH9</f>
        <v>713.66193208777122</v>
      </c>
      <c r="AS45" s="31">
        <f t="shared" si="112"/>
        <v>571.90609374372036</v>
      </c>
      <c r="AT45" s="31">
        <f t="shared" si="113"/>
        <v>177.90355369703084</v>
      </c>
      <c r="AU45" s="31">
        <f t="shared" si="114"/>
        <v>1463.4715795285224</v>
      </c>
    </row>
    <row r="46" spans="1:47" x14ac:dyDescent="0.25">
      <c r="A46" s="18" t="str">
        <f>$A$10</f>
        <v>Associate professional and technical</v>
      </c>
      <c r="B46" s="31">
        <f t="shared" si="115"/>
        <v>343.32315326870548</v>
      </c>
      <c r="C46" s="31">
        <f t="shared" si="116"/>
        <v>149.38612443385887</v>
      </c>
      <c r="D46" s="31">
        <f t="shared" si="117"/>
        <v>199.48545262487295</v>
      </c>
      <c r="E46" s="31">
        <f t="shared" si="118"/>
        <v>692.19473032743736</v>
      </c>
      <c r="F46" s="31"/>
      <c r="G46" s="31">
        <f t="shared" si="119"/>
        <v>233.77520344127379</v>
      </c>
      <c r="H46" s="31">
        <f t="shared" si="120"/>
        <v>179.11874979148683</v>
      </c>
      <c r="I46" s="31">
        <f t="shared" si="121"/>
        <v>12.244324247262512</v>
      </c>
      <c r="J46" s="31">
        <f t="shared" si="122"/>
        <v>425.13827748002313</v>
      </c>
      <c r="K46" s="31"/>
      <c r="L46" s="31">
        <f t="shared" si="123"/>
        <v>577.09835670997927</v>
      </c>
      <c r="M46" s="31">
        <f t="shared" si="124"/>
        <v>328.5048742253457</v>
      </c>
      <c r="N46" s="31">
        <f t="shared" si="125"/>
        <v>211.72977687213546</v>
      </c>
      <c r="O46" s="31">
        <f t="shared" si="126"/>
        <v>1117.3330078074605</v>
      </c>
      <c r="Q46" s="18" t="str">
        <f>$A$10</f>
        <v>Associate professional and technical</v>
      </c>
      <c r="R46" s="31">
        <f t="shared" si="127"/>
        <v>155.52273194221175</v>
      </c>
      <c r="S46" s="31">
        <f t="shared" si="97"/>
        <v>31.02230091856535</v>
      </c>
      <c r="T46" s="31">
        <f t="shared" si="98"/>
        <v>79.586676327317889</v>
      </c>
      <c r="U46" s="31">
        <f t="shared" si="99"/>
        <v>266.1317091880951</v>
      </c>
      <c r="V46" s="31"/>
      <c r="W46" s="31">
        <f t="shared" si="128"/>
        <v>22.204319025513541</v>
      </c>
      <c r="X46" s="31">
        <f t="shared" si="100"/>
        <v>43.008794381850663</v>
      </c>
      <c r="Y46" s="31">
        <f t="shared" si="101"/>
        <v>1.4836001157386818</v>
      </c>
      <c r="Z46" s="31">
        <f t="shared" si="102"/>
        <v>66.696713523102972</v>
      </c>
      <c r="AA46" s="31"/>
      <c r="AB46" s="31">
        <f t="shared" si="129"/>
        <v>177.72705096772529</v>
      </c>
      <c r="AC46" s="31">
        <f t="shared" si="103"/>
        <v>74.031095300416013</v>
      </c>
      <c r="AD46" s="31">
        <f t="shared" si="104"/>
        <v>81.070276443056571</v>
      </c>
      <c r="AE46" s="31">
        <f t="shared" si="105"/>
        <v>332.82842271119807</v>
      </c>
      <c r="AG46" s="18" t="str">
        <f>$A$10</f>
        <v>Associate professional and technical</v>
      </c>
      <c r="AH46" s="31">
        <f t="shared" si="130"/>
        <v>187.80042132649396</v>
      </c>
      <c r="AI46" s="31">
        <f t="shared" si="106"/>
        <v>118.36382351529318</v>
      </c>
      <c r="AJ46" s="31">
        <f t="shared" si="107"/>
        <v>119.89877629755574</v>
      </c>
      <c r="AK46" s="31">
        <f t="shared" si="108"/>
        <v>426.06302113934271</v>
      </c>
      <c r="AL46" s="31"/>
      <c r="AM46" s="31">
        <f t="shared" si="131"/>
        <v>211.57088441575866</v>
      </c>
      <c r="AN46" s="31">
        <f t="shared" si="109"/>
        <v>136.10995540963631</v>
      </c>
      <c r="AO46" s="31">
        <f t="shared" si="110"/>
        <v>10.760724131523034</v>
      </c>
      <c r="AP46" s="31">
        <f t="shared" si="111"/>
        <v>358.44156395691834</v>
      </c>
      <c r="AQ46" s="31"/>
      <c r="AR46" s="31">
        <f t="shared" si="132"/>
        <v>399.37130574225262</v>
      </c>
      <c r="AS46" s="31">
        <f t="shared" si="112"/>
        <v>254.47377892492949</v>
      </c>
      <c r="AT46" s="31">
        <f t="shared" si="113"/>
        <v>130.65950042907878</v>
      </c>
      <c r="AU46" s="31">
        <f t="shared" si="114"/>
        <v>784.50458509626105</v>
      </c>
    </row>
    <row r="47" spans="1:47" x14ac:dyDescent="0.25">
      <c r="A47" s="18" t="str">
        <f>$A$11</f>
        <v>Administrative and secretarial</v>
      </c>
      <c r="B47" s="31">
        <f t="shared" si="115"/>
        <v>-252.01659442936443</v>
      </c>
      <c r="C47" s="31">
        <f t="shared" si="116"/>
        <v>-122.49460357245903</v>
      </c>
      <c r="D47" s="31">
        <f t="shared" si="117"/>
        <v>31.920102831641969</v>
      </c>
      <c r="E47" s="31">
        <f t="shared" si="118"/>
        <v>-342.59109517018169</v>
      </c>
      <c r="F47" s="31"/>
      <c r="G47" s="31">
        <f t="shared" si="119"/>
        <v>-361.24916759167513</v>
      </c>
      <c r="H47" s="31">
        <f t="shared" si="120"/>
        <v>-206.88357279874003</v>
      </c>
      <c r="I47" s="31">
        <f t="shared" si="121"/>
        <v>-35.498580201472464</v>
      </c>
      <c r="J47" s="31">
        <f t="shared" si="122"/>
        <v>-603.63132059188729</v>
      </c>
      <c r="K47" s="31"/>
      <c r="L47" s="31">
        <f t="shared" si="123"/>
        <v>-613.26576202103956</v>
      </c>
      <c r="M47" s="31">
        <f t="shared" si="124"/>
        <v>-329.37817637119906</v>
      </c>
      <c r="N47" s="31">
        <f t="shared" si="125"/>
        <v>-3.5784773698304946</v>
      </c>
      <c r="O47" s="31">
        <f t="shared" si="126"/>
        <v>-946.22241576206898</v>
      </c>
      <c r="Q47" s="18" t="str">
        <f>$A$11</f>
        <v>Administrative and secretarial</v>
      </c>
      <c r="R47" s="31">
        <f t="shared" si="127"/>
        <v>39.956676648454732</v>
      </c>
      <c r="S47" s="31">
        <f t="shared" si="97"/>
        <v>0.68366648128903762</v>
      </c>
      <c r="T47" s="31">
        <f t="shared" si="98"/>
        <v>7.215312091637017</v>
      </c>
      <c r="U47" s="31">
        <f t="shared" si="99"/>
        <v>47.855655221380857</v>
      </c>
      <c r="V47" s="31"/>
      <c r="W47" s="31">
        <f t="shared" si="128"/>
        <v>-21.646982797538044</v>
      </c>
      <c r="X47" s="31">
        <f t="shared" si="100"/>
        <v>9.4039629595007455</v>
      </c>
      <c r="Y47" s="31">
        <f t="shared" si="101"/>
        <v>-1.1778202379420861</v>
      </c>
      <c r="Z47" s="31">
        <f t="shared" si="102"/>
        <v>-13.420840075979413</v>
      </c>
      <c r="AA47" s="31"/>
      <c r="AB47" s="31">
        <f t="shared" si="129"/>
        <v>18.309693850916688</v>
      </c>
      <c r="AC47" s="31">
        <f t="shared" si="103"/>
        <v>10.087629440789783</v>
      </c>
      <c r="AD47" s="31">
        <f t="shared" si="104"/>
        <v>6.0374918536949309</v>
      </c>
      <c r="AE47" s="31">
        <f t="shared" si="105"/>
        <v>34.434815145401444</v>
      </c>
      <c r="AG47" s="18" t="str">
        <f>$A$11</f>
        <v>Administrative and secretarial</v>
      </c>
      <c r="AH47" s="31">
        <f t="shared" si="130"/>
        <v>-291.97327107781803</v>
      </c>
      <c r="AI47" s="31">
        <f t="shared" si="106"/>
        <v>-123.17827005374829</v>
      </c>
      <c r="AJ47" s="31">
        <f t="shared" si="107"/>
        <v>24.70479074000491</v>
      </c>
      <c r="AK47" s="31">
        <f t="shared" si="108"/>
        <v>-390.44675039156209</v>
      </c>
      <c r="AL47" s="31"/>
      <c r="AM47" s="31">
        <f t="shared" si="131"/>
        <v>-339.6021847941372</v>
      </c>
      <c r="AN47" s="31">
        <f t="shared" si="109"/>
        <v>-216.28753575824067</v>
      </c>
      <c r="AO47" s="31">
        <f t="shared" si="110"/>
        <v>-34.320759963530335</v>
      </c>
      <c r="AP47" s="31">
        <f t="shared" si="111"/>
        <v>-590.21048051590788</v>
      </c>
      <c r="AQ47" s="31"/>
      <c r="AR47" s="31">
        <f t="shared" si="132"/>
        <v>-631.57545587195523</v>
      </c>
      <c r="AS47" s="31">
        <f t="shared" si="112"/>
        <v>-339.46580581198896</v>
      </c>
      <c r="AT47" s="31">
        <f t="shared" si="113"/>
        <v>-9.6159692235254255</v>
      </c>
      <c r="AU47" s="31">
        <f t="shared" si="114"/>
        <v>-980.65723090746997</v>
      </c>
    </row>
    <row r="48" spans="1:47" x14ac:dyDescent="0.25">
      <c r="A48" s="18" t="str">
        <f>$A$12</f>
        <v>Skilled trades occupations</v>
      </c>
      <c r="B48" s="31">
        <f t="shared" si="115"/>
        <v>-201.82386191035425</v>
      </c>
      <c r="C48" s="31">
        <f t="shared" si="116"/>
        <v>4.5771000492241001</v>
      </c>
      <c r="D48" s="31">
        <f t="shared" si="117"/>
        <v>46.467793004857185</v>
      </c>
      <c r="E48" s="31">
        <f t="shared" si="118"/>
        <v>-150.77896885627297</v>
      </c>
      <c r="F48" s="31"/>
      <c r="G48" s="31">
        <f t="shared" si="119"/>
        <v>-233.26268040573382</v>
      </c>
      <c r="H48" s="31">
        <f t="shared" si="120"/>
        <v>-10.158063232084885</v>
      </c>
      <c r="I48" s="31">
        <f t="shared" si="121"/>
        <v>-63.230063058769247</v>
      </c>
      <c r="J48" s="31">
        <f t="shared" si="122"/>
        <v>-306.65080669658801</v>
      </c>
      <c r="K48" s="31"/>
      <c r="L48" s="31">
        <f t="shared" si="123"/>
        <v>-435.08654231608807</v>
      </c>
      <c r="M48" s="31">
        <f t="shared" si="124"/>
        <v>-5.5809631828607849</v>
      </c>
      <c r="N48" s="31">
        <f t="shared" si="125"/>
        <v>-16.762270053912061</v>
      </c>
      <c r="O48" s="31">
        <f t="shared" si="126"/>
        <v>-457.42977555286097</v>
      </c>
      <c r="Q48" s="18" t="str">
        <f>$A$12</f>
        <v>Skilled trades occupations</v>
      </c>
      <c r="R48" s="31">
        <f t="shared" si="127"/>
        <v>-201.48378704598781</v>
      </c>
      <c r="S48" s="31">
        <f t="shared" si="97"/>
        <v>27.85383964133726</v>
      </c>
      <c r="T48" s="31">
        <f t="shared" si="98"/>
        <v>26.506419375376709</v>
      </c>
      <c r="U48" s="31">
        <f t="shared" si="99"/>
        <v>-147.12352802927398</v>
      </c>
      <c r="V48" s="31"/>
      <c r="W48" s="31">
        <f t="shared" si="128"/>
        <v>-229.62252065490225</v>
      </c>
      <c r="X48" s="31">
        <f t="shared" si="100"/>
        <v>-3.0757595652889904</v>
      </c>
      <c r="Y48" s="31">
        <f t="shared" si="101"/>
        <v>-57.841066469961561</v>
      </c>
      <c r="Z48" s="31">
        <f t="shared" si="102"/>
        <v>-290.53934669015325</v>
      </c>
      <c r="AA48" s="31"/>
      <c r="AB48" s="31">
        <f t="shared" si="129"/>
        <v>-431.10630770089006</v>
      </c>
      <c r="AC48" s="31">
        <f t="shared" si="103"/>
        <v>24.778080076048269</v>
      </c>
      <c r="AD48" s="31">
        <f t="shared" si="104"/>
        <v>-31.334647094584852</v>
      </c>
      <c r="AE48" s="31">
        <f t="shared" si="105"/>
        <v>-437.66287471942724</v>
      </c>
      <c r="AG48" s="18" t="str">
        <f>$A$12</f>
        <v>Skilled trades occupations</v>
      </c>
      <c r="AH48" s="31">
        <f t="shared" si="130"/>
        <v>-0.34007486436473755</v>
      </c>
      <c r="AI48" s="31">
        <f t="shared" si="106"/>
        <v>-23.276739592113174</v>
      </c>
      <c r="AJ48" s="31">
        <f t="shared" si="107"/>
        <v>19.961373629480548</v>
      </c>
      <c r="AK48" s="31">
        <f t="shared" si="108"/>
        <v>-3.6554408269973351</v>
      </c>
      <c r="AL48" s="31"/>
      <c r="AM48" s="31">
        <f t="shared" si="131"/>
        <v>-3.6401597508329928</v>
      </c>
      <c r="AN48" s="31">
        <f t="shared" si="109"/>
        <v>-7.0823036667956103</v>
      </c>
      <c r="AO48" s="31">
        <f t="shared" si="110"/>
        <v>-5.3889965888090927</v>
      </c>
      <c r="AP48" s="31">
        <f t="shared" si="111"/>
        <v>-16.11146000643771</v>
      </c>
      <c r="AQ48" s="31"/>
      <c r="AR48" s="31">
        <f t="shared" si="132"/>
        <v>-3.9802346151977304</v>
      </c>
      <c r="AS48" s="31">
        <f t="shared" si="112"/>
        <v>-30.359043258908784</v>
      </c>
      <c r="AT48" s="31">
        <f t="shared" si="113"/>
        <v>14.572377040671455</v>
      </c>
      <c r="AU48" s="31">
        <f t="shared" si="114"/>
        <v>-19.766900833435045</v>
      </c>
    </row>
    <row r="49" spans="1:47" x14ac:dyDescent="0.25">
      <c r="A49" s="18" t="str">
        <f>$A$13</f>
        <v>Caring, leisure and other service</v>
      </c>
      <c r="B49" s="31">
        <f t="shared" si="115"/>
        <v>246.74650266016079</v>
      </c>
      <c r="C49" s="31">
        <f t="shared" si="116"/>
        <v>344.01285216740052</v>
      </c>
      <c r="D49" s="31">
        <f t="shared" si="117"/>
        <v>108.77594817528464</v>
      </c>
      <c r="E49" s="31">
        <f t="shared" si="118"/>
        <v>699.53530300284592</v>
      </c>
      <c r="F49" s="31"/>
      <c r="G49" s="31">
        <f t="shared" si="119"/>
        <v>143.85744972382145</v>
      </c>
      <c r="H49" s="31">
        <f t="shared" si="120"/>
        <v>328.96518102584719</v>
      </c>
      <c r="I49" s="31">
        <f t="shared" si="121"/>
        <v>-7.0995628325334792</v>
      </c>
      <c r="J49" s="31">
        <f t="shared" si="122"/>
        <v>465.72306791713481</v>
      </c>
      <c r="K49" s="31"/>
      <c r="L49" s="31">
        <f t="shared" si="123"/>
        <v>390.60395238398223</v>
      </c>
      <c r="M49" s="31">
        <f t="shared" si="124"/>
        <v>672.97803319324771</v>
      </c>
      <c r="N49" s="31">
        <f t="shared" si="125"/>
        <v>101.67638534275116</v>
      </c>
      <c r="O49" s="31">
        <f t="shared" si="126"/>
        <v>1165.2583709199807</v>
      </c>
      <c r="Q49" s="18" t="str">
        <f>$A$13</f>
        <v>Caring, leisure and other service</v>
      </c>
      <c r="R49" s="31">
        <f t="shared" si="127"/>
        <v>65.969929267246641</v>
      </c>
      <c r="S49" s="31">
        <f t="shared" si="97"/>
        <v>31.809034984484413</v>
      </c>
      <c r="T49" s="31">
        <f t="shared" si="98"/>
        <v>16.382087069890211</v>
      </c>
      <c r="U49" s="31">
        <f t="shared" si="99"/>
        <v>114.16105132162124</v>
      </c>
      <c r="V49" s="31"/>
      <c r="W49" s="31">
        <f t="shared" si="128"/>
        <v>41.856512138052096</v>
      </c>
      <c r="X49" s="31">
        <f t="shared" si="100"/>
        <v>69.518350154783263</v>
      </c>
      <c r="Y49" s="31">
        <f t="shared" si="101"/>
        <v>1.140135333251699</v>
      </c>
      <c r="Z49" s="31">
        <f t="shared" si="102"/>
        <v>112.51499762608705</v>
      </c>
      <c r="AA49" s="31"/>
      <c r="AB49" s="31">
        <f t="shared" si="129"/>
        <v>107.82644140529874</v>
      </c>
      <c r="AC49" s="31">
        <f t="shared" si="103"/>
        <v>101.32738513926768</v>
      </c>
      <c r="AD49" s="31">
        <f t="shared" si="104"/>
        <v>17.52222240314191</v>
      </c>
      <c r="AE49" s="31">
        <f t="shared" si="105"/>
        <v>226.6760489477083</v>
      </c>
      <c r="AG49" s="18" t="str">
        <f>$A$13</f>
        <v>Caring, leisure and other service</v>
      </c>
      <c r="AH49" s="31">
        <f t="shared" si="130"/>
        <v>180.77657339291682</v>
      </c>
      <c r="AI49" s="31">
        <f t="shared" si="106"/>
        <v>312.20381718291571</v>
      </c>
      <c r="AJ49" s="31">
        <f t="shared" si="107"/>
        <v>92.39386110539445</v>
      </c>
      <c r="AK49" s="31">
        <f t="shared" si="108"/>
        <v>585.37425168122672</v>
      </c>
      <c r="AL49" s="31"/>
      <c r="AM49" s="31">
        <f t="shared" si="131"/>
        <v>102.00093758576736</v>
      </c>
      <c r="AN49" s="31">
        <f t="shared" si="109"/>
        <v>259.446830871065</v>
      </c>
      <c r="AO49" s="31">
        <f t="shared" si="110"/>
        <v>-8.2396981657851711</v>
      </c>
      <c r="AP49" s="31">
        <f t="shared" si="111"/>
        <v>353.20807029104753</v>
      </c>
      <c r="AQ49" s="31"/>
      <c r="AR49" s="31">
        <f t="shared" si="132"/>
        <v>282.77751097868418</v>
      </c>
      <c r="AS49" s="31">
        <f t="shared" si="112"/>
        <v>571.65064805398072</v>
      </c>
      <c r="AT49" s="31">
        <f t="shared" si="113"/>
        <v>84.154162939609279</v>
      </c>
      <c r="AU49" s="31">
        <f t="shared" si="114"/>
        <v>938.58232197227426</v>
      </c>
    </row>
    <row r="50" spans="1:47" x14ac:dyDescent="0.25">
      <c r="A50" s="18" t="str">
        <f>$A$14</f>
        <v>Sales and customer service</v>
      </c>
      <c r="B50" s="31">
        <f t="shared" si="115"/>
        <v>45.122630840401371</v>
      </c>
      <c r="C50" s="31">
        <f t="shared" si="116"/>
        <v>78.950249520227317</v>
      </c>
      <c r="D50" s="31">
        <f t="shared" si="117"/>
        <v>12.776801600222925</v>
      </c>
      <c r="E50" s="31">
        <f t="shared" si="118"/>
        <v>136.84968196085129</v>
      </c>
      <c r="F50" s="31"/>
      <c r="G50" s="31">
        <f t="shared" si="119"/>
        <v>-79.999701870406625</v>
      </c>
      <c r="H50" s="31">
        <f t="shared" si="120"/>
        <v>46.756550202295557</v>
      </c>
      <c r="I50" s="31">
        <f t="shared" si="121"/>
        <v>-19.176693211677645</v>
      </c>
      <c r="J50" s="31">
        <f t="shared" si="122"/>
        <v>-52.419844879788798</v>
      </c>
      <c r="K50" s="31"/>
      <c r="L50" s="31">
        <f t="shared" si="123"/>
        <v>-34.877071030005254</v>
      </c>
      <c r="M50" s="31">
        <f t="shared" si="124"/>
        <v>125.70679972252287</v>
      </c>
      <c r="N50" s="31">
        <f t="shared" si="125"/>
        <v>-6.39989161145472</v>
      </c>
      <c r="O50" s="31">
        <f t="shared" si="126"/>
        <v>84.429837081062487</v>
      </c>
      <c r="Q50" s="18" t="str">
        <f>$A$14</f>
        <v>Sales and customer service</v>
      </c>
      <c r="R50" s="31">
        <f t="shared" si="127"/>
        <v>89.816917654828785</v>
      </c>
      <c r="S50" s="31">
        <f t="shared" si="97"/>
        <v>25.907317321097082</v>
      </c>
      <c r="T50" s="31">
        <f t="shared" si="98"/>
        <v>1.9203072574133202</v>
      </c>
      <c r="U50" s="31">
        <f t="shared" si="99"/>
        <v>117.64454223333928</v>
      </c>
      <c r="V50" s="31"/>
      <c r="W50" s="31">
        <f t="shared" si="128"/>
        <v>-31.193324117722455</v>
      </c>
      <c r="X50" s="31">
        <f t="shared" si="100"/>
        <v>70.742745045082017</v>
      </c>
      <c r="Y50" s="31">
        <f t="shared" si="101"/>
        <v>-8.4593699138867322</v>
      </c>
      <c r="Z50" s="31">
        <f t="shared" si="102"/>
        <v>31.09005101347293</v>
      </c>
      <c r="AA50" s="31"/>
      <c r="AB50" s="31">
        <f t="shared" si="129"/>
        <v>58.623593537106331</v>
      </c>
      <c r="AC50" s="31">
        <f t="shared" si="103"/>
        <v>96.6500623661791</v>
      </c>
      <c r="AD50" s="31">
        <f t="shared" si="104"/>
        <v>-6.539062656473412</v>
      </c>
      <c r="AE50" s="31">
        <f t="shared" si="105"/>
        <v>148.73459324681221</v>
      </c>
      <c r="AG50" s="18" t="str">
        <f>$A$14</f>
        <v>Sales and customer service</v>
      </c>
      <c r="AH50" s="31">
        <f t="shared" si="130"/>
        <v>-44.694286814425823</v>
      </c>
      <c r="AI50" s="31">
        <f t="shared" si="106"/>
        <v>53.042932199129609</v>
      </c>
      <c r="AJ50" s="31">
        <f t="shared" si="107"/>
        <v>10.856494342809519</v>
      </c>
      <c r="AK50" s="31">
        <f t="shared" si="108"/>
        <v>19.205139727513597</v>
      </c>
      <c r="AL50" s="31"/>
      <c r="AM50" s="31">
        <f t="shared" si="131"/>
        <v>-48.806377752685535</v>
      </c>
      <c r="AN50" s="31">
        <f t="shared" si="109"/>
        <v>-23.986194842785608</v>
      </c>
      <c r="AO50" s="31">
        <f t="shared" si="110"/>
        <v>-10.717323297790749</v>
      </c>
      <c r="AP50" s="31">
        <f t="shared" si="111"/>
        <v>-83.509895893261955</v>
      </c>
      <c r="AQ50" s="31"/>
      <c r="AR50" s="31">
        <f t="shared" si="132"/>
        <v>-93.500664567111357</v>
      </c>
      <c r="AS50" s="31">
        <f t="shared" si="112"/>
        <v>29.056737356344001</v>
      </c>
      <c r="AT50" s="31">
        <f t="shared" si="113"/>
        <v>0.1391710450187702</v>
      </c>
      <c r="AU50" s="31">
        <f t="shared" si="114"/>
        <v>-64.304756165748358</v>
      </c>
    </row>
    <row r="51" spans="1:47" x14ac:dyDescent="0.25">
      <c r="A51" s="18" t="str">
        <f>$A$15</f>
        <v>Process, plant and machine operatives</v>
      </c>
      <c r="B51" s="31">
        <f t="shared" si="115"/>
        <v>-198.87970510511468</v>
      </c>
      <c r="C51" s="31">
        <f t="shared" si="116"/>
        <v>17.837606447430574</v>
      </c>
      <c r="D51" s="31">
        <f t="shared" si="117"/>
        <v>46.849485987518449</v>
      </c>
      <c r="E51" s="31">
        <f t="shared" si="118"/>
        <v>-134.19261267016554</v>
      </c>
      <c r="F51" s="31"/>
      <c r="G51" s="31">
        <f t="shared" si="119"/>
        <v>-201.9695326797173</v>
      </c>
      <c r="H51" s="31">
        <f t="shared" si="120"/>
        <v>27.742942657832714</v>
      </c>
      <c r="I51" s="31">
        <f t="shared" si="121"/>
        <v>-31.604034882460667</v>
      </c>
      <c r="J51" s="31">
        <f t="shared" si="122"/>
        <v>-205.83062490434509</v>
      </c>
      <c r="K51" s="31"/>
      <c r="L51" s="31">
        <f t="shared" si="123"/>
        <v>-400.84923778483198</v>
      </c>
      <c r="M51" s="31">
        <f t="shared" si="124"/>
        <v>45.580549105263287</v>
      </c>
      <c r="N51" s="31">
        <f t="shared" si="125"/>
        <v>15.245451105057782</v>
      </c>
      <c r="O51" s="31">
        <f t="shared" si="126"/>
        <v>-340.02323757451063</v>
      </c>
      <c r="Q51" s="18" t="str">
        <f>$A$15</f>
        <v>Process, plant and machine operatives</v>
      </c>
      <c r="R51" s="31">
        <f t="shared" si="127"/>
        <v>-162.98686162239073</v>
      </c>
      <c r="S51" s="31">
        <f t="shared" si="97"/>
        <v>37.497219429482243</v>
      </c>
      <c r="T51" s="31">
        <f t="shared" si="98"/>
        <v>33.798017194623242</v>
      </c>
      <c r="U51" s="31">
        <f t="shared" si="99"/>
        <v>-91.691624998285306</v>
      </c>
      <c r="V51" s="31"/>
      <c r="W51" s="31">
        <f t="shared" si="128"/>
        <v>-158.97749242732311</v>
      </c>
      <c r="X51" s="31">
        <f t="shared" si="100"/>
        <v>37.848674224123641</v>
      </c>
      <c r="Y51" s="31">
        <f t="shared" si="101"/>
        <v>-25.712023320025878</v>
      </c>
      <c r="Z51" s="31">
        <f t="shared" si="102"/>
        <v>-146.84084152322544</v>
      </c>
      <c r="AA51" s="31"/>
      <c r="AB51" s="31">
        <f t="shared" si="129"/>
        <v>-321.96435404971385</v>
      </c>
      <c r="AC51" s="31">
        <f t="shared" si="103"/>
        <v>75.345893653605884</v>
      </c>
      <c r="AD51" s="31">
        <f t="shared" si="104"/>
        <v>8.0859938745973636</v>
      </c>
      <c r="AE51" s="31">
        <f t="shared" si="105"/>
        <v>-238.53246652151074</v>
      </c>
      <c r="AG51" s="18" t="str">
        <f>$A$15</f>
        <v>Process, plant and machine operatives</v>
      </c>
      <c r="AH51" s="31">
        <f t="shared" si="130"/>
        <v>-35.892843482726931</v>
      </c>
      <c r="AI51" s="31">
        <f t="shared" si="106"/>
        <v>-19.659612982051385</v>
      </c>
      <c r="AJ51" s="31">
        <f t="shared" si="107"/>
        <v>13.051468792894818</v>
      </c>
      <c r="AK51" s="31">
        <f t="shared" si="108"/>
        <v>-42.500987671883536</v>
      </c>
      <c r="AL51" s="31"/>
      <c r="AM51" s="31">
        <f t="shared" si="131"/>
        <v>-42.992040252392613</v>
      </c>
      <c r="AN51" s="31">
        <f t="shared" si="109"/>
        <v>-10.105731566291176</v>
      </c>
      <c r="AO51" s="31">
        <f t="shared" si="110"/>
        <v>-5.8920115624345506</v>
      </c>
      <c r="AP51" s="31">
        <f t="shared" si="111"/>
        <v>-58.989783381118315</v>
      </c>
      <c r="AQ51" s="31"/>
      <c r="AR51" s="31">
        <f t="shared" si="132"/>
        <v>-78.884883735119544</v>
      </c>
      <c r="AS51" s="31">
        <f t="shared" si="112"/>
        <v>-29.765344548342561</v>
      </c>
      <c r="AT51" s="31">
        <f t="shared" si="113"/>
        <v>7.1594572304602675</v>
      </c>
      <c r="AU51" s="31">
        <f t="shared" si="114"/>
        <v>-101.49077105300185</v>
      </c>
    </row>
    <row r="52" spans="1:47" x14ac:dyDescent="0.25">
      <c r="A52" s="18" t="str">
        <f>$A$16</f>
        <v>Elementary occupations</v>
      </c>
      <c r="B52" s="31">
        <f t="shared" si="115"/>
        <v>53.718638620887077</v>
      </c>
      <c r="C52" s="31">
        <f t="shared" si="116"/>
        <v>-211.8841309690456</v>
      </c>
      <c r="D52" s="31">
        <f t="shared" si="117"/>
        <v>76.941226619927107</v>
      </c>
      <c r="E52" s="31">
        <f t="shared" si="118"/>
        <v>-81.22426572823133</v>
      </c>
      <c r="F52" s="31"/>
      <c r="G52" s="31">
        <f t="shared" si="119"/>
        <v>-25.680447705130518</v>
      </c>
      <c r="H52" s="31">
        <f t="shared" si="120"/>
        <v>23.866531335020909</v>
      </c>
      <c r="I52" s="31">
        <f t="shared" si="121"/>
        <v>-7.2279322471194973</v>
      </c>
      <c r="J52" s="31">
        <f t="shared" si="122"/>
        <v>-9.0418486172293342</v>
      </c>
      <c r="K52" s="31"/>
      <c r="L52" s="31">
        <f t="shared" si="123"/>
        <v>28.038190915756559</v>
      </c>
      <c r="M52" s="31">
        <f t="shared" si="124"/>
        <v>-188.01759963402469</v>
      </c>
      <c r="N52" s="31">
        <f t="shared" si="125"/>
        <v>69.71329437280761</v>
      </c>
      <c r="O52" s="31">
        <f t="shared" si="126"/>
        <v>-90.266114345460664</v>
      </c>
      <c r="Q52" s="18" t="str">
        <f>$A$16</f>
        <v>Elementary occupations</v>
      </c>
      <c r="R52" s="31">
        <f t="shared" si="127"/>
        <v>50.007846523296848</v>
      </c>
      <c r="S52" s="31">
        <f t="shared" si="97"/>
        <v>64.142157780990146</v>
      </c>
      <c r="T52" s="31">
        <f t="shared" si="98"/>
        <v>25.848569189224889</v>
      </c>
      <c r="U52" s="31">
        <f t="shared" si="99"/>
        <v>139.99857349351191</v>
      </c>
      <c r="V52" s="31"/>
      <c r="W52" s="31">
        <f t="shared" si="128"/>
        <v>10.227990479053005</v>
      </c>
      <c r="X52" s="31">
        <f t="shared" si="100"/>
        <v>113.33458023376261</v>
      </c>
      <c r="Y52" s="31">
        <f t="shared" si="101"/>
        <v>-3.8574194219096682</v>
      </c>
      <c r="Z52" s="31">
        <f t="shared" si="102"/>
        <v>119.70515129090609</v>
      </c>
      <c r="AA52" s="31"/>
      <c r="AB52" s="31">
        <f t="shared" si="129"/>
        <v>60.235837002349854</v>
      </c>
      <c r="AC52" s="31">
        <f t="shared" si="103"/>
        <v>177.47673801475275</v>
      </c>
      <c r="AD52" s="31">
        <f t="shared" si="104"/>
        <v>21.991149767315221</v>
      </c>
      <c r="AE52" s="31">
        <f t="shared" si="105"/>
        <v>259.703724784418</v>
      </c>
      <c r="AG52" s="18" t="str">
        <f>$A$16</f>
        <v>Elementary occupations</v>
      </c>
      <c r="AH52" s="31">
        <f t="shared" si="130"/>
        <v>3.7107920975892625</v>
      </c>
      <c r="AI52" s="31">
        <f t="shared" si="106"/>
        <v>-276.0262887500337</v>
      </c>
      <c r="AJ52" s="31">
        <f t="shared" si="107"/>
        <v>51.092657430702488</v>
      </c>
      <c r="AK52" s="31">
        <f t="shared" si="108"/>
        <v>-221.22283922174165</v>
      </c>
      <c r="AL52" s="31"/>
      <c r="AM52" s="31">
        <f t="shared" si="131"/>
        <v>-35.908438184183638</v>
      </c>
      <c r="AN52" s="31">
        <f t="shared" si="109"/>
        <v>-89.468048898741699</v>
      </c>
      <c r="AO52" s="31">
        <f t="shared" si="110"/>
        <v>-3.3705128252101559</v>
      </c>
      <c r="AP52" s="31">
        <f t="shared" si="111"/>
        <v>-128.74699990813565</v>
      </c>
      <c r="AQ52" s="31"/>
      <c r="AR52" s="31">
        <f t="shared" si="132"/>
        <v>-32.197646086594375</v>
      </c>
      <c r="AS52" s="31">
        <f t="shared" si="112"/>
        <v>-365.4943376487754</v>
      </c>
      <c r="AT52" s="31">
        <f t="shared" si="113"/>
        <v>47.722144605492332</v>
      </c>
      <c r="AU52" s="31">
        <f t="shared" si="114"/>
        <v>-349.9698391298773</v>
      </c>
    </row>
    <row r="53" spans="1:47" x14ac:dyDescent="0.25">
      <c r="A53" s="18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Q53" s="18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G53" s="18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</row>
    <row r="54" spans="1:47" x14ac:dyDescent="0.25">
      <c r="A54" s="28" t="str">
        <f>$A$18</f>
        <v>All occupations</v>
      </c>
      <c r="B54" s="33">
        <f t="shared" si="115"/>
        <v>1485.9499999757572</v>
      </c>
      <c r="C54" s="33">
        <f t="shared" si="116"/>
        <v>721.18400002292583</v>
      </c>
      <c r="D54" s="33">
        <f t="shared" si="117"/>
        <v>850.85100000123884</v>
      </c>
      <c r="E54" s="33">
        <f t="shared" si="118"/>
        <v>3057.9849999999242</v>
      </c>
      <c r="F54" s="33"/>
      <c r="G54" s="33">
        <f t="shared" si="119"/>
        <v>243.94200002189609</v>
      </c>
      <c r="H54" s="33">
        <f t="shared" si="120"/>
        <v>862.0929999724267</v>
      </c>
      <c r="I54" s="33">
        <f t="shared" si="121"/>
        <v>-133.07399999416884</v>
      </c>
      <c r="J54" s="33">
        <f t="shared" si="122"/>
        <v>972.96100000015576</v>
      </c>
      <c r="K54" s="33"/>
      <c r="L54" s="33">
        <f t="shared" si="123"/>
        <v>1729.8919999976533</v>
      </c>
      <c r="M54" s="33">
        <f t="shared" si="124"/>
        <v>1583.2769999953525</v>
      </c>
      <c r="N54" s="33">
        <f t="shared" si="125"/>
        <v>717.77700000707</v>
      </c>
      <c r="O54" s="33">
        <f t="shared" si="126"/>
        <v>4030.9460000000799</v>
      </c>
      <c r="Q54" s="28" t="str">
        <f>$A$18</f>
        <v>All occupations</v>
      </c>
      <c r="R54" s="33">
        <f t="shared" ref="R54" si="133">W18-R18</f>
        <v>848.38499998874613</v>
      </c>
      <c r="S54" s="33">
        <f t="shared" ref="S54" si="134">X18-S18</f>
        <v>305.23700000723875</v>
      </c>
      <c r="T54" s="33">
        <f t="shared" ref="T54" si="135">Y18-T18</f>
        <v>292.16100000405959</v>
      </c>
      <c r="U54" s="33">
        <f t="shared" ref="U54" si="136">Z18-U18</f>
        <v>1445.7830000000431</v>
      </c>
      <c r="V54" s="33"/>
      <c r="W54" s="33">
        <f t="shared" ref="W54" si="137">AB18-W18</f>
        <v>-135.45199999504803</v>
      </c>
      <c r="X54" s="33">
        <f t="shared" ref="X54" si="138">AC18-X18</f>
        <v>435.1699999968132</v>
      </c>
      <c r="Y54" s="33">
        <f t="shared" ref="Y54" si="139">AD18-Y18</f>
        <v>-117.62500000168711</v>
      </c>
      <c r="Z54" s="33">
        <f t="shared" ref="Z54" si="140">AE18-Z18</f>
        <v>182.09300000008079</v>
      </c>
      <c r="AA54" s="33"/>
      <c r="AB54" s="33">
        <f t="shared" ref="AB54" si="141">AB18-R18</f>
        <v>712.9329999936981</v>
      </c>
      <c r="AC54" s="33">
        <f t="shared" ref="AC54" si="142">AC18-S18</f>
        <v>740.40700000405195</v>
      </c>
      <c r="AD54" s="33">
        <f t="shared" ref="AD54" si="143">AD18-T18</f>
        <v>174.53600000237248</v>
      </c>
      <c r="AE54" s="33">
        <f t="shared" ref="AE54" si="144">AE18-U18</f>
        <v>1627.8760000001239</v>
      </c>
      <c r="AG54" s="28" t="str">
        <f>$A$18</f>
        <v>All occupations</v>
      </c>
      <c r="AH54" s="33">
        <f t="shared" ref="AH54" si="145">AM18-AH18</f>
        <v>637.5649999870102</v>
      </c>
      <c r="AI54" s="33">
        <f t="shared" ref="AI54" si="146">AN18-AI18</f>
        <v>415.94700001568526</v>
      </c>
      <c r="AJ54" s="33">
        <f t="shared" ref="AJ54" si="147">AO18-AJ18</f>
        <v>558.68999999718039</v>
      </c>
      <c r="AK54" s="33">
        <f t="shared" ref="AK54" si="148">AP18-AK18</f>
        <v>1612.2019999998774</v>
      </c>
      <c r="AL54" s="33"/>
      <c r="AM54" s="33">
        <f t="shared" ref="AM54" si="149">AR18-AM18</f>
        <v>379.39400001693866</v>
      </c>
      <c r="AN54" s="33">
        <f t="shared" ref="AN54" si="150">AS18-AN18</f>
        <v>426.92299997561713</v>
      </c>
      <c r="AO54" s="33">
        <f t="shared" ref="AO54" si="151">AT18-AO18</f>
        <v>-15.448999992484687</v>
      </c>
      <c r="AP54" s="33">
        <f t="shared" ref="AP54" si="152">AU18-AP18</f>
        <v>790.86800000007133</v>
      </c>
      <c r="AQ54" s="33"/>
      <c r="AR54" s="33">
        <f t="shared" ref="AR54" si="153">AR18-AH18</f>
        <v>1016.9590000039489</v>
      </c>
      <c r="AS54" s="33">
        <f t="shared" ref="AS54" si="154">AS18-AI18</f>
        <v>842.86999999130239</v>
      </c>
      <c r="AT54" s="33">
        <f t="shared" ref="AT54" si="155">AT18-AJ18</f>
        <v>543.24100000469571</v>
      </c>
      <c r="AU54" s="33">
        <f t="shared" ref="AU54" si="156">AU18-AK18</f>
        <v>2403.0699999999488</v>
      </c>
    </row>
  </sheetData>
  <mergeCells count="27">
    <mergeCell ref="AB5:AE5"/>
    <mergeCell ref="R23:U23"/>
    <mergeCell ref="W23:Z23"/>
    <mergeCell ref="AB23:AE23"/>
    <mergeCell ref="R41: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H41:AK41"/>
    <mergeCell ref="W41:Z41"/>
    <mergeCell ref="AB41:AE41"/>
    <mergeCell ref="AM41:AP41"/>
    <mergeCell ref="AR41:AU41"/>
    <mergeCell ref="AH5:AK5"/>
    <mergeCell ref="AM5:AP5"/>
    <mergeCell ref="AR5:AU5"/>
    <mergeCell ref="AH23:AK23"/>
    <mergeCell ref="AM23:AP23"/>
    <mergeCell ref="AR23:AU23"/>
  </mergeCells>
  <pageMargins left="0.39370078740157483" right="0.39370078740157483" top="0.78740157480314965" bottom="0.78740157480314965" header="0.51181102362204722" footer="0.51181102362204722"/>
  <pageSetup paperSize="9" scale="76" orientation="portrait" r:id="rId1"/>
  <headerFooter alignWithMargins="0"/>
  <colBreaks count="2" manualBreakCount="2">
    <brk id="15" max="1048575" man="1"/>
    <brk id="31" max="1048575" man="1"/>
  </col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P162"/>
  <sheetViews>
    <sheetView zoomScale="75" zoomScaleNormal="75" workbookViewId="0"/>
  </sheetViews>
  <sheetFormatPr defaultColWidth="9.109375" defaultRowHeight="13.2" x14ac:dyDescent="0.25"/>
  <cols>
    <col min="1" max="1" width="11" style="222" bestFit="1" customWidth="1"/>
    <col min="2" max="9" width="9.109375" style="222"/>
    <col min="10" max="10" width="17.5546875" style="222" customWidth="1"/>
    <col min="11" max="11" width="8.33203125" style="222" customWidth="1"/>
    <col min="12" max="12" width="52.6640625" style="123" customWidth="1"/>
    <col min="13" max="13" width="12.44140625" style="123" customWidth="1"/>
    <col min="14" max="14" width="10.109375" style="123" customWidth="1"/>
    <col min="15" max="16384" width="9.109375" style="123"/>
  </cols>
  <sheetData>
    <row r="1" spans="1:14" ht="15.6" x14ac:dyDescent="0.3">
      <c r="A1" s="221" t="str">
        <f>CONCATENATE("Occupation Figure 1  Growth in Employment by Occupation (SOC 2010), ",M6," and ",N6)</f>
        <v>Occupation Figure 1  Growth in Employment by Occupation (SOC 2010), 2007-2017 and 2017-2027</v>
      </c>
    </row>
    <row r="3" spans="1:14" x14ac:dyDescent="0.25">
      <c r="L3" s="223" t="s">
        <v>486</v>
      </c>
    </row>
    <row r="5" spans="1:14" x14ac:dyDescent="0.25">
      <c r="L5" s="164" t="s">
        <v>468</v>
      </c>
    </row>
    <row r="6" spans="1:14" x14ac:dyDescent="0.25">
      <c r="L6" s="168"/>
      <c r="M6" s="260" t="str">
        <f>'Occ T2'!H147</f>
        <v>2007-2017</v>
      </c>
      <c r="N6" s="260" t="str">
        <f>'Occ T2'!I147</f>
        <v>2017-2027</v>
      </c>
    </row>
    <row r="7" spans="1:14" x14ac:dyDescent="0.25">
      <c r="L7" s="224" t="str">
        <f>'Occ T3'!A50</f>
        <v>All occupations</v>
      </c>
      <c r="M7" s="168">
        <f>'Occ T2'!H175</f>
        <v>0.92266577864263954</v>
      </c>
      <c r="N7" s="168">
        <f>'Occ T2'!I175</f>
        <v>0.27575434824573808</v>
      </c>
    </row>
    <row r="8" spans="1:14" x14ac:dyDescent="0.25">
      <c r="L8" s="224"/>
      <c r="M8" s="168"/>
      <c r="N8" s="168"/>
    </row>
    <row r="9" spans="1:14" x14ac:dyDescent="0.25">
      <c r="L9" s="168" t="str">
        <f>'Occ T3'!A48</f>
        <v xml:space="preserve"> 92 Elementary administration and service occupations</v>
      </c>
      <c r="M9" s="168">
        <f>'Occ T2'!H173</f>
        <v>-0.24147280601504173</v>
      </c>
      <c r="N9" s="168">
        <f>'Occ T2'!I173</f>
        <v>4.4360767386986133E-2</v>
      </c>
    </row>
    <row r="10" spans="1:14" x14ac:dyDescent="0.25">
      <c r="L10" s="168" t="str">
        <f>'Occ T3'!A47</f>
        <v xml:space="preserve"> 91 Elementary trades and related occupations</v>
      </c>
      <c r="M10" s="168">
        <f>'Occ T2'!H172</f>
        <v>3.6072017062260819E-2</v>
      </c>
      <c r="N10" s="168">
        <f>'Occ T2'!I172</f>
        <v>-0.44394774823381944</v>
      </c>
    </row>
    <row r="11" spans="1:14" x14ac:dyDescent="0.25">
      <c r="L11" s="224" t="str">
        <f>"["&amp;'Occ T3'!A46&amp;"]"</f>
        <v>[Elementary occupations]</v>
      </c>
      <c r="M11" s="168">
        <f>'Occ T1'!H88</f>
        <v>-0.20303374879716563</v>
      </c>
      <c r="N11" s="168">
        <f>'Occ T1'!I88</f>
        <v>-2.2879619860127764E-2</v>
      </c>
    </row>
    <row r="12" spans="1:14" x14ac:dyDescent="0.25">
      <c r="L12" s="224"/>
      <c r="M12" s="168"/>
      <c r="N12" s="168"/>
    </row>
    <row r="13" spans="1:14" x14ac:dyDescent="0.25">
      <c r="L13" s="168" t="str">
        <f>'Occ T3'!A44</f>
        <v xml:space="preserve"> 82 Transport and mobile machine drivers and operatives</v>
      </c>
      <c r="M13" s="168">
        <f>'Occ T2'!H171</f>
        <v>0.14596698061850599</v>
      </c>
      <c r="N13" s="168">
        <f>'Occ T2'!I171</f>
        <v>-3.4907562645791756E-2</v>
      </c>
    </row>
    <row r="14" spans="1:14" x14ac:dyDescent="0.25">
      <c r="L14" s="168" t="str">
        <f>'Occ T3'!A43</f>
        <v xml:space="preserve"> 81 Process, plant and machine operatives</v>
      </c>
      <c r="M14" s="168">
        <f>'Occ T2'!H170</f>
        <v>-1.5375546294480791</v>
      </c>
      <c r="N14" s="168">
        <f>'Occ T2'!I170</f>
        <v>-2.4694724998169493</v>
      </c>
    </row>
    <row r="15" spans="1:14" x14ac:dyDescent="0.25">
      <c r="L15" s="224" t="str">
        <f>"["&amp;'Occ T3'!A42&amp;"]"</f>
        <v>[Process, plant and machine operatives]</v>
      </c>
      <c r="M15" s="168">
        <f>'Occ T1'!H87</f>
        <v>-0.5955907099829516</v>
      </c>
      <c r="N15" s="168">
        <f>'Occ T1'!I87</f>
        <v>-0.98689011236473556</v>
      </c>
    </row>
    <row r="16" spans="1:14" x14ac:dyDescent="0.25">
      <c r="L16" s="224"/>
      <c r="M16" s="168"/>
      <c r="N16" s="168"/>
    </row>
    <row r="17" spans="12:14" x14ac:dyDescent="0.25">
      <c r="L17" s="168" t="str">
        <f>'Occ T3'!A40</f>
        <v xml:space="preserve"> 72 Customer service occupations</v>
      </c>
      <c r="M17" s="168">
        <f>'Occ T2'!H169</f>
        <v>2.8619643120719074</v>
      </c>
      <c r="N17" s="168">
        <f>'Occ T2'!I169</f>
        <v>1.3729415871159834</v>
      </c>
    </row>
    <row r="18" spans="12:14" x14ac:dyDescent="0.25">
      <c r="L18" s="168" t="str">
        <f>'Occ T3'!A39</f>
        <v xml:space="preserve"> 71 Sales occupations</v>
      </c>
      <c r="M18" s="168">
        <f>'Occ T2'!H168</f>
        <v>-0.15325572366615692</v>
      </c>
      <c r="N18" s="168">
        <f>'Occ T2'!I168</f>
        <v>-0.71347596011757108</v>
      </c>
    </row>
    <row r="19" spans="12:14" x14ac:dyDescent="0.25">
      <c r="L19" s="224" t="str">
        <f>"["&amp;'Occ T3'!A38&amp;"]"</f>
        <v>[Sales and customer service]</v>
      </c>
      <c r="M19" s="168">
        <f>'Occ T1'!H86</f>
        <v>0.47963140139530847</v>
      </c>
      <c r="N19" s="168">
        <f>'Occ T1'!I86</f>
        <v>-0.18042420373500789</v>
      </c>
    </row>
    <row r="20" spans="12:14" x14ac:dyDescent="0.25">
      <c r="L20" s="224"/>
      <c r="M20" s="168"/>
      <c r="N20" s="168"/>
    </row>
    <row r="21" spans="12:14" x14ac:dyDescent="0.25">
      <c r="L21" s="168" t="str">
        <f>'Occ T3'!A36</f>
        <v xml:space="preserve"> 62 Leisure, travel and related personal service occupations</v>
      </c>
      <c r="M21" s="168">
        <f>'Occ T2'!H167</f>
        <v>1.1288841796051274</v>
      </c>
      <c r="N21" s="168">
        <f>'Occ T2'!I167</f>
        <v>-0.16212512534019563</v>
      </c>
    </row>
    <row r="22" spans="12:14" x14ac:dyDescent="0.25">
      <c r="L22" s="168" t="str">
        <f>'Occ T3'!A35</f>
        <v xml:space="preserve"> 61 Caring personal service occupations</v>
      </c>
      <c r="M22" s="168">
        <f>'Occ T2'!H166</f>
        <v>2.7787045747224459</v>
      </c>
      <c r="N22" s="168">
        <f>'Occ T2'!I166</f>
        <v>1.7153963393924609</v>
      </c>
    </row>
    <row r="23" spans="12:14" x14ac:dyDescent="0.25">
      <c r="L23" s="224" t="str">
        <f>"["&amp;'Occ T3'!A34&amp;"]"</f>
        <v>[Caring, leisure and other service]</v>
      </c>
      <c r="M23" s="168">
        <f>'Occ T1'!H85</f>
        <v>2.3738696307582297</v>
      </c>
      <c r="N23" s="168">
        <f>'Occ T1'!I85</f>
        <v>1.312023603837198</v>
      </c>
    </row>
    <row r="24" spans="12:14" x14ac:dyDescent="0.25">
      <c r="L24" s="224"/>
      <c r="M24" s="168"/>
      <c r="N24" s="168"/>
    </row>
    <row r="25" spans="12:14" x14ac:dyDescent="0.25">
      <c r="L25" s="168" t="str">
        <f>'Occ T3'!A32</f>
        <v xml:space="preserve"> 54 Textiles, printing and other skilled trades</v>
      </c>
      <c r="M25" s="168">
        <f>'Occ T2'!H165</f>
        <v>-0.77385128630326205</v>
      </c>
      <c r="N25" s="168">
        <f>'Occ T2'!I165</f>
        <v>-1.6946439879990227</v>
      </c>
    </row>
    <row r="26" spans="12:14" x14ac:dyDescent="0.25">
      <c r="L26" s="168" t="str">
        <f>'Occ T3'!A31</f>
        <v xml:space="preserve"> 53 Skilled construction and building trades</v>
      </c>
      <c r="M26" s="168">
        <f>'Occ T2'!H164</f>
        <v>-0.58780005332923491</v>
      </c>
      <c r="N26" s="168">
        <f>'Occ T2'!I164</f>
        <v>-4.9001160231676444E-2</v>
      </c>
    </row>
    <row r="27" spans="12:14" x14ac:dyDescent="0.25">
      <c r="L27" s="168" t="str">
        <f>'Occ T3'!A30</f>
        <v xml:space="preserve"> 52 Skilled metal, electrical and electronic trades</v>
      </c>
      <c r="M27" s="168">
        <f>'Occ T2'!H163</f>
        <v>-0.4072618666006611</v>
      </c>
      <c r="N27" s="168">
        <f>'Occ T2'!I163</f>
        <v>-1.6122982698044575</v>
      </c>
    </row>
    <row r="28" spans="12:14" x14ac:dyDescent="0.25">
      <c r="L28" s="168" t="str">
        <f>'Occ T3'!A29</f>
        <v xml:space="preserve"> 51 Skilled agricultural and related trades</v>
      </c>
      <c r="M28" s="168">
        <f>'Occ T2'!H162</f>
        <v>0.83633153109474723</v>
      </c>
      <c r="N28" s="168">
        <f>'Occ T2'!I162</f>
        <v>0.1529715457261327</v>
      </c>
    </row>
    <row r="29" spans="12:14" x14ac:dyDescent="0.25">
      <c r="L29" s="224" t="str">
        <f>"["&amp;'Occ T3'!A28&amp;"]"</f>
        <v>[Skilled trades occupations]</v>
      </c>
      <c r="M29" s="168">
        <f>'Occ T1'!H84</f>
        <v>-0.4289305805081467</v>
      </c>
      <c r="N29" s="168">
        <f>'Occ T1'!I84</f>
        <v>-0.93136822924430041</v>
      </c>
    </row>
    <row r="30" spans="12:14" x14ac:dyDescent="0.25">
      <c r="L30" s="224"/>
      <c r="M30" s="168"/>
      <c r="N30" s="168"/>
    </row>
    <row r="31" spans="12:14" x14ac:dyDescent="0.25">
      <c r="L31" s="168" t="str">
        <f>'Occ T3'!A26</f>
        <v xml:space="preserve"> 42 Secretarial and related occupations</v>
      </c>
      <c r="M31" s="168">
        <f>'Occ T2'!H161</f>
        <v>-2.7840312676019163</v>
      </c>
      <c r="N31" s="168">
        <f>'Occ T2'!I161</f>
        <v>-6.3433809569029886</v>
      </c>
    </row>
    <row r="32" spans="12:14" x14ac:dyDescent="0.25">
      <c r="L32" s="168" t="str">
        <f>'Occ T3'!A25</f>
        <v xml:space="preserve"> 41 Administrative occupations</v>
      </c>
      <c r="M32" s="168">
        <f>'Occ T2'!H160</f>
        <v>-0.32904436896877831</v>
      </c>
      <c r="N32" s="168">
        <f>'Occ T2'!I160</f>
        <v>-0.86356455770552065</v>
      </c>
    </row>
    <row r="33" spans="12:14" x14ac:dyDescent="0.25">
      <c r="L33" s="224" t="str">
        <f>"["&amp;'Occ T3'!A24&amp;"]"</f>
        <v>[Administrative and secretarial]</v>
      </c>
      <c r="M33" s="168">
        <f>'Occ T1'!H83</f>
        <v>-0.88600461865590008</v>
      </c>
      <c r="N33" s="168">
        <f>'Occ T1'!I83</f>
        <v>-1.7752625067586125</v>
      </c>
    </row>
    <row r="34" spans="12:14" x14ac:dyDescent="0.25">
      <c r="L34" s="224"/>
      <c r="M34" s="168"/>
      <c r="N34" s="168"/>
    </row>
    <row r="35" spans="12:14" x14ac:dyDescent="0.25">
      <c r="L35" s="168" t="str">
        <f>'Occ T3'!A22</f>
        <v xml:space="preserve"> 35 Business and public service associate professionals</v>
      </c>
      <c r="M35" s="168">
        <f>'Occ T2'!H159</f>
        <v>1.786660714302335</v>
      </c>
      <c r="N35" s="168">
        <f>'Occ T2'!I159</f>
        <v>1.1287507341667613</v>
      </c>
    </row>
    <row r="36" spans="12:14" x14ac:dyDescent="0.25">
      <c r="L36" s="168" t="str">
        <f>'Occ T3'!A21</f>
        <v xml:space="preserve"> 34 Culture, media and sports occupations</v>
      </c>
      <c r="M36" s="168">
        <f>'Occ T2'!H158</f>
        <v>1.7590862738696034</v>
      </c>
      <c r="N36" s="168">
        <f>'Occ T2'!I158</f>
        <v>0.60522889919270018</v>
      </c>
    </row>
    <row r="37" spans="12:14" x14ac:dyDescent="0.25">
      <c r="L37" s="168" t="str">
        <f>'Occ T3'!A20</f>
        <v xml:space="preserve"> 33 Protective service occupations</v>
      </c>
      <c r="M37" s="168">
        <f>'Occ T2'!H157</f>
        <v>-0.35882375449247661</v>
      </c>
      <c r="N37" s="168">
        <f>'Occ T2'!I157</f>
        <v>-0.28527861551368439</v>
      </c>
    </row>
    <row r="38" spans="12:14" x14ac:dyDescent="0.25">
      <c r="L38" s="168" t="str">
        <f>'Occ T3'!A19</f>
        <v xml:space="preserve"> 32 Health and social care associate professionals</v>
      </c>
      <c r="M38" s="168">
        <f>'Occ T2'!H156</f>
        <v>2.3939540269230841</v>
      </c>
      <c r="N38" s="168">
        <f>'Occ T2'!I156</f>
        <v>1.4645547303753226</v>
      </c>
    </row>
    <row r="39" spans="12:14" x14ac:dyDescent="0.25">
      <c r="L39" s="168" t="str">
        <f>'Occ T3'!A18</f>
        <v xml:space="preserve"> 31 Science, engineering and technology associate professionals</v>
      </c>
      <c r="M39" s="168">
        <f>'Occ T2'!H155</f>
        <v>0.96581586242052708</v>
      </c>
      <c r="N39" s="168">
        <f>'Occ T2'!I155</f>
        <v>0.13275478030772003</v>
      </c>
    </row>
    <row r="40" spans="12:14" x14ac:dyDescent="0.25">
      <c r="L40" s="224" t="str">
        <f>"["&amp;'Occ T3'!A17&amp;"]"</f>
        <v>[Associate professional and technical]</v>
      </c>
      <c r="M40" s="168">
        <f>'Occ T1'!H82</f>
        <v>1.5399376186124192</v>
      </c>
      <c r="N40" s="168">
        <f>'Occ T1'!I82</f>
        <v>0.83807931167261263</v>
      </c>
    </row>
    <row r="41" spans="12:14" x14ac:dyDescent="0.25">
      <c r="L41" s="224"/>
      <c r="M41" s="168"/>
      <c r="N41" s="168"/>
    </row>
    <row r="42" spans="12:14" x14ac:dyDescent="0.25">
      <c r="L42" s="168" t="str">
        <f>'Occ T3'!A15</f>
        <v xml:space="preserve"> 24 Business, media and public service professionals</v>
      </c>
      <c r="M42" s="168">
        <f>'Occ T2'!H154</f>
        <v>2.3971079465689105</v>
      </c>
      <c r="N42" s="168">
        <f>'Occ T2'!I154</f>
        <v>1.1223079424341531</v>
      </c>
    </row>
    <row r="43" spans="12:14" x14ac:dyDescent="0.25">
      <c r="L43" s="168" t="str">
        <f>'Occ T3'!A14</f>
        <v xml:space="preserve"> 23 Teaching and educational professionals</v>
      </c>
      <c r="M43" s="168">
        <f>'Occ T2'!H153</f>
        <v>1.946885294256484</v>
      </c>
      <c r="N43" s="168">
        <f>'Occ T2'!I153</f>
        <v>1.169363565197723</v>
      </c>
    </row>
    <row r="44" spans="12:14" x14ac:dyDescent="0.25">
      <c r="L44" s="168" t="str">
        <f>'Occ T3'!A13</f>
        <v xml:space="preserve"> 22 Health professionals</v>
      </c>
      <c r="M44" s="168">
        <f>'Occ T2'!H152</f>
        <v>2.2623145152797175</v>
      </c>
      <c r="N44" s="168">
        <f>'Occ T2'!I152</f>
        <v>1.4014956518611621</v>
      </c>
    </row>
    <row r="45" spans="12:14" x14ac:dyDescent="0.25">
      <c r="L45" s="168" t="str">
        <f>'Occ T3'!A12</f>
        <v xml:space="preserve"> 21 Science, research, engineering and technology professionals</v>
      </c>
      <c r="M45" s="168">
        <f>'Occ T2'!H151</f>
        <v>2.9693441245920216</v>
      </c>
      <c r="N45" s="168">
        <f>'Occ T2'!I151</f>
        <v>0.87395006575243794</v>
      </c>
    </row>
    <row r="46" spans="12:14" x14ac:dyDescent="0.25">
      <c r="L46" s="224" t="str">
        <f>"["&amp;'Occ T3'!A11&amp;"]"</f>
        <v>[Professional occupations]</v>
      </c>
      <c r="M46" s="168">
        <f>'Occ T1'!H81</f>
        <v>2.3927834499514855</v>
      </c>
      <c r="N46" s="168">
        <f>'Occ T1'!I81</f>
        <v>1.1348813439825411</v>
      </c>
    </row>
    <row r="48" spans="12:14" x14ac:dyDescent="0.25">
      <c r="L48" s="337" t="str">
        <f>'Occ T3'!A9</f>
        <v xml:space="preserve"> 12 Other managers and proprietors</v>
      </c>
      <c r="M48" s="168">
        <f>'Occ T2'!H150</f>
        <v>2.4618076104744535</v>
      </c>
      <c r="N48" s="168">
        <f>'Occ T2'!I150</f>
        <v>0.83024972864795821</v>
      </c>
    </row>
    <row r="49" spans="12:14" x14ac:dyDescent="0.25">
      <c r="L49" s="337" t="str">
        <f>'Occ T3'!A8</f>
        <v xml:space="preserve"> 11 Corporate managers and directors</v>
      </c>
      <c r="M49" s="168">
        <f>'Occ T2'!H149</f>
        <v>2.5701136269341562</v>
      </c>
      <c r="N49" s="168">
        <f>'Occ T2'!I149</f>
        <v>1.302094841177559</v>
      </c>
    </row>
    <row r="50" spans="12:14" x14ac:dyDescent="0.25">
      <c r="L50" s="224" t="str">
        <f>"["&amp;'Occ T3'!A7&amp;"]"</f>
        <v>[Managers, directors and senior officials]</v>
      </c>
      <c r="M50" s="168">
        <f>'Occ T1'!H80</f>
        <v>2.5383875558960156</v>
      </c>
      <c r="N50" s="168">
        <f>'Occ T1'!I80</f>
        <v>1.1664802251299955</v>
      </c>
    </row>
    <row r="80" spans="1:14" ht="15.6" x14ac:dyDescent="0.3">
      <c r="A80" s="221" t="str">
        <f>CONCATENATE("Occupation Figure 1.1  Change in Employment by Occupation (SOC 2010), ",M80," and ",N80)</f>
        <v>Occupation Figure 1.1  Change in Employment by Occupation (SOC 2010), 2007-2017 and 2017-2027</v>
      </c>
      <c r="M80" s="145" t="str">
        <f>'Occ F1'!M6</f>
        <v>2007-2017</v>
      </c>
      <c r="N80" s="145" t="str">
        <f>'Occ F1'!N6</f>
        <v>2017-2027</v>
      </c>
    </row>
    <row r="81" spans="12:14" x14ac:dyDescent="0.25">
      <c r="L81" s="12" t="str">
        <f>name!D4</f>
        <v xml:space="preserve"> 11 Corporate managers and directors</v>
      </c>
      <c r="M81" s="127">
        <f>'Occ T2'!D8-'Occ T2'!B8</f>
        <v>566.14041950479736</v>
      </c>
      <c r="N81" s="127">
        <f>'Occ T2'!F116</f>
        <v>348.86608245571779</v>
      </c>
    </row>
    <row r="82" spans="12:14" x14ac:dyDescent="0.25">
      <c r="L82" s="12" t="str">
        <f>name!D5</f>
        <v xml:space="preserve"> 12 Other managers and proprietors</v>
      </c>
      <c r="M82" s="127">
        <f>'Occ T2'!D9-'Occ T2'!B9</f>
        <v>224.61171268690873</v>
      </c>
      <c r="N82" s="127">
        <f>'Occ T2'!F117</f>
        <v>89.680972733368208</v>
      </c>
    </row>
    <row r="83" spans="12:14" x14ac:dyDescent="0.25">
      <c r="L83" s="12" t="str">
        <f>name!D6</f>
        <v xml:space="preserve"> 21 Science, research, engineering and technology professionals</v>
      </c>
      <c r="M83" s="127">
        <f>'Occ T2'!D10-'Occ T2'!B10</f>
        <v>444.97941261772053</v>
      </c>
      <c r="N83" s="127">
        <f>'Occ T2'!F118</f>
        <v>159.46603551192675</v>
      </c>
    </row>
    <row r="84" spans="12:14" x14ac:dyDescent="0.25">
      <c r="L84" s="12" t="str">
        <f>name!D7</f>
        <v xml:space="preserve"> 22 Health professionals</v>
      </c>
      <c r="M84" s="127">
        <f>'Occ T2'!D11-'Occ T2'!B11</f>
        <v>309.29966208296037</v>
      </c>
      <c r="N84" s="127">
        <f>'Occ T2'!F119</f>
        <v>230.41168911183672</v>
      </c>
    </row>
    <row r="85" spans="12:14" x14ac:dyDescent="0.25">
      <c r="L85" s="12" t="str">
        <f>name!D8</f>
        <v xml:space="preserve"> 23 Teaching and educational professionals</v>
      </c>
      <c r="M85" s="127">
        <f>'Occ T2'!D12-'Occ T2'!B12</f>
        <v>301.76196045699999</v>
      </c>
      <c r="N85" s="127">
        <f>'Occ T2'!F120</f>
        <v>212.14232647225754</v>
      </c>
    </row>
    <row r="86" spans="12:14" x14ac:dyDescent="0.25">
      <c r="L86" s="12" t="str">
        <f>name!D9</f>
        <v xml:space="preserve"> 24 Business, media and public service professionals</v>
      </c>
      <c r="M86" s="127">
        <f>'Occ T2'!D13-'Occ T2'!B13</f>
        <v>391.39905978425713</v>
      </c>
      <c r="N86" s="127">
        <f>'Occ T2'!F121</f>
        <v>219.10699400771705</v>
      </c>
    </row>
    <row r="87" spans="12:14" x14ac:dyDescent="0.25">
      <c r="L87" s="12" t="str">
        <f>name!D10</f>
        <v xml:space="preserve"> 31 Science, engineering and technology associate professionals</v>
      </c>
      <c r="M87" s="127">
        <f>'Occ T2'!D14-'Occ T2'!B14</f>
        <v>61.506449461434727</v>
      </c>
      <c r="N87" s="127">
        <f>'Occ T2'!F122</f>
        <v>8.9632573035260066</v>
      </c>
    </row>
    <row r="88" spans="12:14" x14ac:dyDescent="0.25">
      <c r="L88" s="12" t="str">
        <f>name!D11</f>
        <v xml:space="preserve"> 32 Health and social care associate professionals</v>
      </c>
      <c r="M88" s="127">
        <f>'Occ T2'!D15-'Occ T2'!B15</f>
        <v>111.63200614366406</v>
      </c>
      <c r="N88" s="127">
        <f>'Occ T2'!F123</f>
        <v>82.923631730797752</v>
      </c>
    </row>
    <row r="89" spans="12:14" x14ac:dyDescent="0.25">
      <c r="L89" s="12" t="str">
        <f>name!D12</f>
        <v xml:space="preserve"> 33 Protective service occupations</v>
      </c>
      <c r="M89" s="127">
        <f>'Occ T2'!D16-'Occ T2'!B16</f>
        <v>-14.137032687643341</v>
      </c>
      <c r="N89" s="127">
        <f>'Occ T2'!F124</f>
        <v>-10.878479019383633</v>
      </c>
    </row>
    <row r="90" spans="12:14" x14ac:dyDescent="0.25">
      <c r="L90" s="12" t="str">
        <f>name!D13</f>
        <v xml:space="preserve"> 34 Culture, media and sports occupations</v>
      </c>
      <c r="M90" s="127">
        <f>'Occ T2'!D17-'Occ T2'!B17</f>
        <v>134.36759217941199</v>
      </c>
      <c r="N90" s="127">
        <f>'Occ T2'!F125</f>
        <v>52.226719586066565</v>
      </c>
    </row>
    <row r="91" spans="12:14" x14ac:dyDescent="0.25">
      <c r="L91" s="12" t="str">
        <f>name!D14</f>
        <v xml:space="preserve"> 35 Business and public service associate professionals</v>
      </c>
      <c r="M91" s="127">
        <f>'Occ T2'!D18-'Occ T2'!B18</f>
        <v>398.82571523056322</v>
      </c>
      <c r="N91" s="127">
        <f>'Occ T2'!F126</f>
        <v>291.90314787902116</v>
      </c>
    </row>
    <row r="92" spans="12:14" x14ac:dyDescent="0.25">
      <c r="L92" s="12" t="str">
        <f>name!D15</f>
        <v xml:space="preserve"> 41 Administrative occupations</v>
      </c>
      <c r="M92" s="127">
        <f>'Occ T2'!D19-'Occ T2'!B19</f>
        <v>-98.238373415928436</v>
      </c>
      <c r="N92" s="127">
        <f>'Occ T2'!F127</f>
        <v>-243.56454565603099</v>
      </c>
    </row>
    <row r="93" spans="12:14" x14ac:dyDescent="0.25">
      <c r="L93" s="12" t="str">
        <f>name!D16</f>
        <v xml:space="preserve"> 42 Secretarial and related occupations</v>
      </c>
      <c r="M93" s="127">
        <f>'Occ T2'!D20-'Occ T2'!B20</f>
        <v>-244.35272175425484</v>
      </c>
      <c r="N93" s="127">
        <f>'Occ T2'!F128</f>
        <v>-360.06677493586011</v>
      </c>
    </row>
    <row r="94" spans="12:14" x14ac:dyDescent="0.25">
      <c r="L94" s="12" t="str">
        <f>name!D17</f>
        <v xml:space="preserve"> 51 Skilled agricultural and related trades</v>
      </c>
      <c r="M94" s="127">
        <f>'Occ T2'!D21-'Occ T2'!B21</f>
        <v>28.365460569894537</v>
      </c>
      <c r="N94" s="127">
        <f>'Occ T2'!F129</f>
        <v>5.4674262816217265</v>
      </c>
    </row>
    <row r="95" spans="12:14" x14ac:dyDescent="0.25">
      <c r="L95" s="12" t="str">
        <f>name!D18</f>
        <v xml:space="preserve"> 52 Skilled metal, electrical and electronic trades</v>
      </c>
      <c r="M95" s="127">
        <f>'Occ T2'!D22-'Occ T2'!B22</f>
        <v>-51.152190384168534</v>
      </c>
      <c r="N95" s="127">
        <f>'Occ T2'!F130</f>
        <v>-184.2320228269657</v>
      </c>
    </row>
    <row r="96" spans="12:14" x14ac:dyDescent="0.25">
      <c r="L96" s="12" t="str">
        <f>name!D19</f>
        <v xml:space="preserve"> 53 Skilled construction and building trades</v>
      </c>
      <c r="M96" s="127">
        <f>'Occ T2'!D23-'Occ T2'!B23</f>
        <v>-64.92231105736505</v>
      </c>
      <c r="N96" s="127">
        <f>'Occ T2'!F131</f>
        <v>-5.2272018605553967</v>
      </c>
    </row>
    <row r="97" spans="12:14" x14ac:dyDescent="0.25">
      <c r="L97" s="12" t="str">
        <f>name!D20</f>
        <v xml:space="preserve"> 54 Textiles, printing and other skilled trades</v>
      </c>
      <c r="M97" s="127">
        <f>'Occ T2'!D24-'Occ T2'!B24</f>
        <v>-63.069927984636593</v>
      </c>
      <c r="N97" s="127">
        <f>'Occ T2'!F132</f>
        <v>-122.65900829068846</v>
      </c>
    </row>
    <row r="98" spans="12:14" x14ac:dyDescent="0.25">
      <c r="L98" s="12" t="str">
        <f>name!D21</f>
        <v xml:space="preserve"> 61 Caring personal service occupations</v>
      </c>
      <c r="M98" s="127">
        <f>'Occ T2'!D25-'Occ T2'!B25</f>
        <v>618.13191880524892</v>
      </c>
      <c r="N98" s="127">
        <f>'Occ T2'!F133</f>
        <v>478.06164419821425</v>
      </c>
    </row>
    <row r="99" spans="12:14" x14ac:dyDescent="0.25">
      <c r="L99" s="12" t="str">
        <f>name!D22</f>
        <v xml:space="preserve"> 62 Leisure, travel and related personal service occupations</v>
      </c>
      <c r="M99" s="127">
        <f>'Occ T2'!D26-'Occ T2'!B26</f>
        <v>81.403384197590185</v>
      </c>
      <c r="N99" s="127">
        <f>'Occ T2'!F134</f>
        <v>-12.338576281070459</v>
      </c>
    </row>
    <row r="100" spans="12:14" x14ac:dyDescent="0.25">
      <c r="L100" s="12" t="str">
        <f>name!D23</f>
        <v xml:space="preserve"> 71 Sales occupations</v>
      </c>
      <c r="M100" s="127">
        <f>'Occ T2'!D27-'Occ T2'!B27</f>
        <v>-34.498342601307286</v>
      </c>
      <c r="N100" s="127">
        <f>'Occ T2'!F135</f>
        <v>-154.23799766005141</v>
      </c>
    </row>
    <row r="101" spans="12:14" x14ac:dyDescent="0.25">
      <c r="L101" s="12" t="str">
        <f>name!D24</f>
        <v xml:space="preserve"> 72 Customer service occupations</v>
      </c>
      <c r="M101" s="127">
        <f>'Occ T2'!D28-'Occ T2'!B28</f>
        <v>171.34802456215937</v>
      </c>
      <c r="N101" s="127">
        <f>'Occ T2'!F136</f>
        <v>101.81815278025499</v>
      </c>
    </row>
    <row r="102" spans="12:14" x14ac:dyDescent="0.25">
      <c r="L102" s="12" t="str">
        <f>name!D25</f>
        <v xml:space="preserve"> 81 Process, plant and machine operatives</v>
      </c>
      <c r="M102" s="127">
        <f>'Occ T2'!D29-'Occ T2'!B29</f>
        <v>-152.57654368266788</v>
      </c>
      <c r="N102" s="127">
        <f>'Occ T2'!F137</f>
        <v>-201.4057457178867</v>
      </c>
    </row>
    <row r="103" spans="12:14" x14ac:dyDescent="0.25">
      <c r="L103" s="12" t="str">
        <f>name!D26</f>
        <v xml:space="preserve"> 82 Transport and mobile machine drivers and operatives</v>
      </c>
      <c r="M103" s="127">
        <f>'Occ T2'!D30-'Occ T2'!B30</f>
        <v>18.383931012500625</v>
      </c>
      <c r="N103" s="127">
        <f>'Occ T2'!F138</f>
        <v>-4.4248791864552004</v>
      </c>
    </row>
    <row r="104" spans="12:14" x14ac:dyDescent="0.25">
      <c r="L104" s="12" t="str">
        <f>name!D27</f>
        <v xml:space="preserve"> 91 Elementary trades and related occupations</v>
      </c>
      <c r="M104" s="127">
        <f>'Occ T2'!D31-'Occ T2'!B31</f>
        <v>1.9985124374024963</v>
      </c>
      <c r="N104" s="127">
        <f>'Occ T2'!F139</f>
        <v>-24.158473337065288</v>
      </c>
    </row>
    <row r="105" spans="12:14" x14ac:dyDescent="0.25">
      <c r="L105" s="12" t="str">
        <f>name!D28</f>
        <v xml:space="preserve"> 92 Elementary administration and service occupations</v>
      </c>
      <c r="M105" s="127">
        <f>'Occ T2'!D32-'Occ T2'!B32</f>
        <v>-83.222778165628824</v>
      </c>
      <c r="N105" s="127">
        <f>'Occ T2'!F140</f>
        <v>15.116624719839365</v>
      </c>
    </row>
    <row r="106" spans="12:14" x14ac:dyDescent="0.25">
      <c r="L106" s="12"/>
      <c r="M106" s="127"/>
      <c r="N106" s="127"/>
    </row>
    <row r="107" spans="12:14" x14ac:dyDescent="0.25">
      <c r="L107" s="12" t="str">
        <f>name!D3</f>
        <v>All occupations</v>
      </c>
      <c r="M107" s="127">
        <f>'Occ T2'!D34-'Occ T2'!B34</f>
        <v>3057.9849999999096</v>
      </c>
      <c r="N107" s="127">
        <f>'Occ T2'!F142</f>
        <v>972.96100000016304</v>
      </c>
    </row>
    <row r="150" spans="1:16" ht="15.6" x14ac:dyDescent="0.3">
      <c r="A150" s="221" t="str">
        <f>CONCATENATE("Occupation Figure 1.2  Change in Employment by Occupation (SOC 2010), ",M150," and ",N150)</f>
        <v>Occupation Figure 1.2  Change in Employment by Occupation (SOC 2010), 2007 - 2017 and 2017-2027</v>
      </c>
      <c r="M150" s="123" t="str">
        <f>'Occ T1'!B6&amp;" - "&amp;'Occ T1'!D6</f>
        <v>2007 - 2017</v>
      </c>
      <c r="N150" s="123" t="str">
        <f>'Occ T1'!H4</f>
        <v>2017-2027</v>
      </c>
    </row>
    <row r="151" spans="1:16" x14ac:dyDescent="0.25">
      <c r="L151" s="12" t="str">
        <f>name!E4</f>
        <v>Managers, directors and senior officials</v>
      </c>
      <c r="M151" s="127">
        <f>'Occ T1'!D8-'Occ T1'!B8</f>
        <v>790.75213219170655</v>
      </c>
      <c r="N151" s="127">
        <f>'Occ T1'!H8</f>
        <v>438.54705518908577</v>
      </c>
      <c r="P151" s="127"/>
    </row>
    <row r="152" spans="1:16" x14ac:dyDescent="0.25">
      <c r="L152" s="12" t="str">
        <f>name!E5</f>
        <v>Professional occupations</v>
      </c>
      <c r="M152" s="127">
        <f>'Occ T1'!D9-'Occ T1'!B9</f>
        <v>1447.4400949419387</v>
      </c>
      <c r="N152" s="127">
        <f>'Occ T1'!H9</f>
        <v>821.12704510373715</v>
      </c>
      <c r="P152" s="127"/>
    </row>
    <row r="153" spans="1:16" x14ac:dyDescent="0.25">
      <c r="L153" s="12" t="str">
        <f>name!E6</f>
        <v>Associate professional and technical</v>
      </c>
      <c r="M153" s="127">
        <f>'Occ T1'!D10-'Occ T1'!B10</f>
        <v>692.19473032743008</v>
      </c>
      <c r="N153" s="127">
        <f>'Occ T1'!H10</f>
        <v>425.13827748002859</v>
      </c>
      <c r="P153" s="127"/>
    </row>
    <row r="154" spans="1:16" x14ac:dyDescent="0.25">
      <c r="L154" s="12" t="str">
        <f>name!E7</f>
        <v>Administrative and secretarial</v>
      </c>
      <c r="M154" s="127">
        <f>'Occ T1'!D11-'Occ T1'!B11</f>
        <v>-342.59109517018351</v>
      </c>
      <c r="N154" s="127">
        <f>'Occ T1'!H11</f>
        <v>-603.63132059189093</v>
      </c>
      <c r="P154" s="127"/>
    </row>
    <row r="155" spans="1:16" x14ac:dyDescent="0.25">
      <c r="L155" s="12" t="str">
        <f>name!E8</f>
        <v>Skilled trades occupations</v>
      </c>
      <c r="M155" s="127">
        <f>'Occ T1'!D12-'Occ T1'!B12</f>
        <v>-150.77896885627524</v>
      </c>
      <c r="N155" s="127">
        <f>'Occ T1'!H12</f>
        <v>-306.65080669658801</v>
      </c>
      <c r="P155" s="127"/>
    </row>
    <row r="156" spans="1:16" x14ac:dyDescent="0.25">
      <c r="L156" s="12" t="str">
        <f>name!E9</f>
        <v>Caring, leisure and other service</v>
      </c>
      <c r="M156" s="127">
        <f>'Occ T1'!D13-'Occ T1'!B13</f>
        <v>699.5353030028391</v>
      </c>
      <c r="N156" s="127">
        <f>'Occ T1'!H13</f>
        <v>465.72306791714391</v>
      </c>
      <c r="P156" s="127"/>
    </row>
    <row r="157" spans="1:16" x14ac:dyDescent="0.25">
      <c r="L157" s="12" t="str">
        <f>name!E10</f>
        <v>Sales and customer service</v>
      </c>
      <c r="M157" s="127">
        <f>'Occ T1'!D14-'Occ T1'!B14</f>
        <v>136.84968196085219</v>
      </c>
      <c r="N157" s="127">
        <f>'Occ T1'!H14</f>
        <v>-52.419844879796528</v>
      </c>
      <c r="P157" s="127"/>
    </row>
    <row r="158" spans="1:16" x14ac:dyDescent="0.25">
      <c r="L158" s="12" t="str">
        <f>name!E11</f>
        <v>Process, plant and machine operatives</v>
      </c>
      <c r="M158" s="127">
        <f>'Occ T1'!D15-'Occ T1'!B15</f>
        <v>-134.19261267016736</v>
      </c>
      <c r="N158" s="127">
        <f>'Occ T1'!H15</f>
        <v>-205.83062490434168</v>
      </c>
      <c r="P158" s="127"/>
    </row>
    <row r="159" spans="1:16" x14ac:dyDescent="0.25">
      <c r="L159" s="12" t="str">
        <f>name!E12</f>
        <v>Elementary occupations</v>
      </c>
      <c r="M159" s="127">
        <f>'Occ T1'!D16-'Occ T1'!B16</f>
        <v>-81.224265728226328</v>
      </c>
      <c r="N159" s="127">
        <f>'Occ T1'!H16</f>
        <v>-9.0418486172256962</v>
      </c>
      <c r="P159" s="127"/>
    </row>
    <row r="160" spans="1:16" x14ac:dyDescent="0.25">
      <c r="L160" s="12"/>
      <c r="M160" s="127"/>
      <c r="N160" s="127"/>
      <c r="P160" s="127"/>
    </row>
    <row r="161" spans="12:16" x14ac:dyDescent="0.25">
      <c r="L161" s="12" t="str">
        <f>name!E3</f>
        <v>All occupations</v>
      </c>
      <c r="M161" s="127">
        <f>'Occ T1'!D18-'Occ T1'!B18</f>
        <v>3057.9849999999169</v>
      </c>
      <c r="N161" s="127">
        <f>'Occ T1'!H18</f>
        <v>972.96100000015258</v>
      </c>
      <c r="P161" s="127"/>
    </row>
    <row r="162" spans="12:16" x14ac:dyDescent="0.25">
      <c r="P162" s="127"/>
    </row>
  </sheetData>
  <conditionalFormatting sqref="L17:L18 L6:N6">
    <cfRule type="cellIs" dxfId="7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rowBreaks count="1" manualBreakCount="1">
    <brk id="78" max="9" man="1"/>
  </rowBreaks>
  <colBreaks count="1" manualBreakCount="1">
    <brk id="10" max="147" man="1"/>
  </col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O506"/>
  <sheetViews>
    <sheetView zoomScale="75" zoomScaleNormal="75" workbookViewId="0"/>
  </sheetViews>
  <sheetFormatPr defaultColWidth="9.109375" defaultRowHeight="13.2" x14ac:dyDescent="0.25"/>
  <cols>
    <col min="1" max="1" width="17" style="104" customWidth="1"/>
    <col min="2" max="8" width="9.109375" style="104"/>
    <col min="9" max="9" width="31.88671875" style="104" customWidth="1"/>
    <col min="10" max="10" width="11.33203125" style="104" customWidth="1"/>
    <col min="11" max="11" width="6.109375" style="104" customWidth="1"/>
    <col min="12" max="12" width="52.33203125" style="220" customWidth="1"/>
    <col min="13" max="38" width="15.6640625" style="220" customWidth="1"/>
    <col min="39" max="39" width="7.6640625" style="220" customWidth="1"/>
    <col min="40" max="63" width="6.33203125" style="220" customWidth="1"/>
    <col min="64" max="16384" width="9.109375" style="220"/>
  </cols>
  <sheetData>
    <row r="1" spans="1:67" ht="15.6" x14ac:dyDescent="0.3">
      <c r="A1" s="103" t="str">
        <f>CONCATENATE("Occupation Figure 2  Employment by Occupation (SOC 2010), ",$M$2,"-",$O$2)</f>
        <v>Occupation Figure 2  Employment by Occupation (SOC 2010), 2007-2027</v>
      </c>
      <c r="L1" s="56"/>
    </row>
    <row r="2" spans="1:67" x14ac:dyDescent="0.25">
      <c r="L2" s="19" t="s">
        <v>28</v>
      </c>
      <c r="M2" s="59">
        <f>M4</f>
        <v>2007</v>
      </c>
      <c r="N2" s="219" t="s">
        <v>27</v>
      </c>
      <c r="O2" s="59">
        <f>MAX(Q4:BO4)</f>
        <v>2027</v>
      </c>
    </row>
    <row r="3" spans="1:67" x14ac:dyDescent="0.25">
      <c r="L3" s="19"/>
      <c r="M3" s="19"/>
      <c r="N3" s="219"/>
      <c r="O3" s="19"/>
    </row>
    <row r="4" spans="1:67" x14ac:dyDescent="0.25">
      <c r="L4" s="1" t="s">
        <v>35</v>
      </c>
      <c r="M4" s="59">
        <v>2007</v>
      </c>
      <c r="N4" s="59">
        <v>2008</v>
      </c>
      <c r="O4" s="59">
        <v>2009</v>
      </c>
      <c r="P4" s="59">
        <v>2010</v>
      </c>
      <c r="Q4" s="59">
        <v>2011</v>
      </c>
      <c r="R4" s="59">
        <v>2012</v>
      </c>
      <c r="S4" s="59">
        <v>2013</v>
      </c>
      <c r="T4" s="59">
        <v>2014</v>
      </c>
      <c r="U4" s="59">
        <v>2015</v>
      </c>
      <c r="V4" s="59">
        <v>2016</v>
      </c>
      <c r="W4" s="59">
        <v>2017</v>
      </c>
      <c r="X4" s="59">
        <v>2018</v>
      </c>
      <c r="Y4" s="59">
        <v>2019</v>
      </c>
      <c r="Z4" s="59">
        <v>2020</v>
      </c>
      <c r="AA4" s="59">
        <v>2021</v>
      </c>
      <c r="AB4" s="59">
        <v>2022</v>
      </c>
      <c r="AC4" s="59">
        <v>2023</v>
      </c>
      <c r="AD4" s="59">
        <v>2024</v>
      </c>
      <c r="AE4" s="59">
        <v>2025</v>
      </c>
      <c r="AF4" s="59">
        <v>2026</v>
      </c>
      <c r="AG4" s="59">
        <v>2027</v>
      </c>
      <c r="AH4" s="59"/>
      <c r="AI4" s="59"/>
      <c r="AJ4" s="59"/>
      <c r="AK4" s="59"/>
      <c r="AL4" s="59"/>
      <c r="AM4" s="59"/>
      <c r="AN4" s="59"/>
      <c r="AO4" s="59"/>
      <c r="AP4" s="59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</row>
    <row r="5" spans="1:67" x14ac:dyDescent="0.25">
      <c r="L5" s="20" t="str">
        <f>'Occ T3'!A7</f>
        <v>Managers, directors and senior officials</v>
      </c>
      <c r="M5" s="339">
        <f t="shared" ref="M5:P5" si="0">SUM(M6:M7)</f>
        <v>2775.6722245764886</v>
      </c>
      <c r="N5" s="339">
        <f t="shared" si="0"/>
        <v>2895.3631306562875</v>
      </c>
      <c r="O5" s="339">
        <f t="shared" si="0"/>
        <v>2852.7922824427478</v>
      </c>
      <c r="P5" s="339">
        <f t="shared" si="0"/>
        <v>2863.7341444328331</v>
      </c>
      <c r="Q5" s="339">
        <f>SUM(Q6:Q7)</f>
        <v>2913.8430798767176</v>
      </c>
      <c r="R5" s="339">
        <f t="shared" ref="R5:AG5" si="1">SUM(R6:R7)</f>
        <v>3042.9552477890466</v>
      </c>
      <c r="S5" s="339">
        <f t="shared" si="1"/>
        <v>3094.6454331419236</v>
      </c>
      <c r="T5" s="339">
        <f t="shared" si="1"/>
        <v>3268.9781043939961</v>
      </c>
      <c r="U5" s="339">
        <f t="shared" si="1"/>
        <v>3349.1604552691188</v>
      </c>
      <c r="V5" s="339">
        <f t="shared" si="1"/>
        <v>3470.3701926210956</v>
      </c>
      <c r="W5" s="339">
        <f t="shared" si="1"/>
        <v>3566.4243567681951</v>
      </c>
      <c r="X5" s="339">
        <f t="shared" si="1"/>
        <v>3610.8253954873444</v>
      </c>
      <c r="Y5" s="339">
        <f t="shared" si="1"/>
        <v>3655.4641583942366</v>
      </c>
      <c r="Z5" s="339">
        <f t="shared" si="1"/>
        <v>3705.1746372851539</v>
      </c>
      <c r="AA5" s="339">
        <f t="shared" si="1"/>
        <v>3749.863608471318</v>
      </c>
      <c r="AB5" s="339">
        <f t="shared" si="1"/>
        <v>3797.692018875618</v>
      </c>
      <c r="AC5" s="339">
        <f t="shared" si="1"/>
        <v>3841.9050138592929</v>
      </c>
      <c r="AD5" s="339">
        <f t="shared" si="1"/>
        <v>3885.7719325600724</v>
      </c>
      <c r="AE5" s="339">
        <f t="shared" si="1"/>
        <v>3927.9519200717282</v>
      </c>
      <c r="AF5" s="339">
        <f t="shared" si="1"/>
        <v>3968.0155898111652</v>
      </c>
      <c r="AG5" s="339">
        <f t="shared" si="1"/>
        <v>4004.9714119572809</v>
      </c>
      <c r="AH5" s="339"/>
      <c r="AI5" s="339"/>
      <c r="AJ5" s="339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</row>
    <row r="6" spans="1:67" x14ac:dyDescent="0.25">
      <c r="L6" s="338" t="str">
        <f>'Occ T3'!A8</f>
        <v xml:space="preserve"> 11 Corporate managers and directors</v>
      </c>
      <c r="M6" s="13">
        <v>1959.860057608056</v>
      </c>
      <c r="N6" s="13">
        <v>2045.149248939538</v>
      </c>
      <c r="O6" s="13">
        <v>2024.4340214350746</v>
      </c>
      <c r="P6" s="13">
        <v>2010.6036136852783</v>
      </c>
      <c r="Q6" s="13">
        <v>2046.5546959530907</v>
      </c>
      <c r="R6" s="13">
        <v>2116.4390715839208</v>
      </c>
      <c r="S6" s="13">
        <v>2169.5878785433315</v>
      </c>
      <c r="T6" s="13">
        <v>2292.443672446921</v>
      </c>
      <c r="U6" s="13">
        <v>2366.0047534010027</v>
      </c>
      <c r="V6" s="13">
        <v>2451.7998219309029</v>
      </c>
      <c r="W6" s="13">
        <v>2526.0004771128533</v>
      </c>
      <c r="X6" s="13">
        <v>2561.6684502134854</v>
      </c>
      <c r="Y6" s="13">
        <v>2596.8961457676669</v>
      </c>
      <c r="Z6" s="13">
        <v>2635.6334447249351</v>
      </c>
      <c r="AA6" s="13">
        <v>2670.537065102526</v>
      </c>
      <c r="AB6" s="13">
        <v>2707.1424196822263</v>
      </c>
      <c r="AC6" s="13">
        <v>2743.9240945845095</v>
      </c>
      <c r="AD6" s="13">
        <v>2779.6956858782405</v>
      </c>
      <c r="AE6" s="13">
        <v>2813.7680469604211</v>
      </c>
      <c r="AF6" s="13">
        <v>2845.593226545413</v>
      </c>
      <c r="AG6" s="13">
        <v>2874.8665595685711</v>
      </c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</row>
    <row r="7" spans="1:67" x14ac:dyDescent="0.25">
      <c r="L7" s="338" t="str">
        <f>'Occ T3'!A9</f>
        <v xml:space="preserve"> 12 Other managers and proprietors</v>
      </c>
      <c r="M7" s="13">
        <v>815.81216696843285</v>
      </c>
      <c r="N7" s="13">
        <v>850.21388171674971</v>
      </c>
      <c r="O7" s="13">
        <v>828.35826100767304</v>
      </c>
      <c r="P7" s="13">
        <v>853.13053074755453</v>
      </c>
      <c r="Q7" s="13">
        <v>867.28838392362695</v>
      </c>
      <c r="R7" s="13">
        <v>926.5161762051257</v>
      </c>
      <c r="S7" s="13">
        <v>925.05755459859188</v>
      </c>
      <c r="T7" s="13">
        <v>976.53443194707518</v>
      </c>
      <c r="U7" s="13">
        <v>983.15570186811601</v>
      </c>
      <c r="V7" s="13">
        <v>1018.5703706901928</v>
      </c>
      <c r="W7" s="13">
        <v>1040.4238796553416</v>
      </c>
      <c r="X7" s="13">
        <v>1049.156945273859</v>
      </c>
      <c r="Y7" s="13">
        <v>1058.56801262657</v>
      </c>
      <c r="Z7" s="13">
        <v>1069.5411925602189</v>
      </c>
      <c r="AA7" s="13">
        <v>1079.3265433687923</v>
      </c>
      <c r="AB7" s="13">
        <v>1090.5495991933917</v>
      </c>
      <c r="AC7" s="13">
        <v>1097.9809192747832</v>
      </c>
      <c r="AD7" s="13">
        <v>1106.0762466818319</v>
      </c>
      <c r="AE7" s="13">
        <v>1114.1838731113071</v>
      </c>
      <c r="AF7" s="13">
        <v>1122.4223632657524</v>
      </c>
      <c r="AG7" s="13">
        <v>1130.1048523887098</v>
      </c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</row>
    <row r="8" spans="1:67" x14ac:dyDescent="0.25">
      <c r="L8" s="338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</row>
    <row r="9" spans="1:67" x14ac:dyDescent="0.25">
      <c r="L9" s="20" t="str">
        <f>'Occ T3'!A11</f>
        <v>Professional occupations</v>
      </c>
      <c r="M9" s="339">
        <f t="shared" ref="M9:P9" si="2">SUM(M10:M13)</f>
        <v>5426.0517436222353</v>
      </c>
      <c r="N9" s="339">
        <f t="shared" si="2"/>
        <v>5578.1365810381412</v>
      </c>
      <c r="O9" s="339">
        <f t="shared" si="2"/>
        <v>5677.3686484762648</v>
      </c>
      <c r="P9" s="339">
        <f t="shared" si="2"/>
        <v>5652.6930971787187</v>
      </c>
      <c r="Q9" s="339">
        <f>SUM(Q10:Q13)</f>
        <v>5706.794994722175</v>
      </c>
      <c r="R9" s="339">
        <f t="shared" ref="R9:AG9" si="3">SUM(R10:R13)</f>
        <v>5841.9253216752832</v>
      </c>
      <c r="S9" s="339">
        <f t="shared" si="3"/>
        <v>6014.0096553608537</v>
      </c>
      <c r="T9" s="339">
        <f t="shared" si="3"/>
        <v>6310.9121560229423</v>
      </c>
      <c r="U9" s="339">
        <f t="shared" si="3"/>
        <v>6500.218997015616</v>
      </c>
      <c r="V9" s="339">
        <f t="shared" si="3"/>
        <v>6710.1098320189894</v>
      </c>
      <c r="W9" s="339">
        <f t="shared" si="3"/>
        <v>6873.491838564174</v>
      </c>
      <c r="X9" s="339">
        <f t="shared" si="3"/>
        <v>6947.9072379633471</v>
      </c>
      <c r="Y9" s="339">
        <f t="shared" si="3"/>
        <v>7015.7207611281874</v>
      </c>
      <c r="Z9" s="339">
        <f t="shared" si="3"/>
        <v>7096.8040495067935</v>
      </c>
      <c r="AA9" s="339">
        <f t="shared" si="3"/>
        <v>7182.3144342282803</v>
      </c>
      <c r="AB9" s="339">
        <f t="shared" si="3"/>
        <v>7275.3001598756555</v>
      </c>
      <c r="AC9" s="339">
        <f t="shared" si="3"/>
        <v>7366.9228634898491</v>
      </c>
      <c r="AD9" s="339">
        <f t="shared" si="3"/>
        <v>7455.7178712279165</v>
      </c>
      <c r="AE9" s="339">
        <f t="shared" si="3"/>
        <v>7540.7755096202218</v>
      </c>
      <c r="AF9" s="339">
        <f t="shared" si="3"/>
        <v>7620.315587422032</v>
      </c>
      <c r="AG9" s="339">
        <f t="shared" si="3"/>
        <v>7694.6188836679112</v>
      </c>
      <c r="AH9" s="339"/>
      <c r="AI9" s="339"/>
      <c r="AJ9" s="339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67" x14ac:dyDescent="0.25">
      <c r="L10" s="338" t="str">
        <f>'Occ T3'!A12</f>
        <v xml:space="preserve"> 21 Science, research, engineering and technology professionals</v>
      </c>
      <c r="M10" s="13">
        <v>1309.0639248560215</v>
      </c>
      <c r="N10" s="13">
        <v>1351.5666652211246</v>
      </c>
      <c r="O10" s="13">
        <v>1381.187854424835</v>
      </c>
      <c r="P10" s="13">
        <v>1410.5115635300353</v>
      </c>
      <c r="Q10" s="13">
        <v>1432.7667337017845</v>
      </c>
      <c r="R10" s="13">
        <v>1471.4000419031945</v>
      </c>
      <c r="S10" s="13">
        <v>1522.9643596015544</v>
      </c>
      <c r="T10" s="13">
        <v>1597.3914079453716</v>
      </c>
      <c r="U10" s="13">
        <v>1652.2105552430335</v>
      </c>
      <c r="V10" s="13">
        <v>1705.2140839330875</v>
      </c>
      <c r="W10" s="13">
        <v>1754.043337473742</v>
      </c>
      <c r="X10" s="13">
        <v>1770.4089503609744</v>
      </c>
      <c r="Y10" s="13">
        <v>1787.155154376333</v>
      </c>
      <c r="Z10" s="13">
        <v>1806.3627368275322</v>
      </c>
      <c r="AA10" s="13">
        <v>1821.0984076866957</v>
      </c>
      <c r="AB10" s="13">
        <v>1837.0687006892717</v>
      </c>
      <c r="AC10" s="13">
        <v>1853.0511805275285</v>
      </c>
      <c r="AD10" s="13">
        <v>1869.1123143242826</v>
      </c>
      <c r="AE10" s="13">
        <v>1884.6962776103562</v>
      </c>
      <c r="AF10" s="13">
        <v>1899.6210565235733</v>
      </c>
      <c r="AG10" s="13">
        <v>1913.5093729856687</v>
      </c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</row>
    <row r="11" spans="1:67" x14ac:dyDescent="0.25">
      <c r="L11" s="338" t="str">
        <f>'Occ T3'!A13</f>
        <v xml:space="preserve"> 22 Health professionals</v>
      </c>
      <c r="M11" s="13">
        <v>1233.7012301866905</v>
      </c>
      <c r="N11" s="13">
        <v>1267.1484646758724</v>
      </c>
      <c r="O11" s="13">
        <v>1289.7301693733025</v>
      </c>
      <c r="P11" s="13">
        <v>1272.7839504448514</v>
      </c>
      <c r="Q11" s="13">
        <v>1289.9761065188638</v>
      </c>
      <c r="R11" s="13">
        <v>1310.9895866420895</v>
      </c>
      <c r="S11" s="13">
        <v>1361.9973519898876</v>
      </c>
      <c r="T11" s="13">
        <v>1429.5439166516753</v>
      </c>
      <c r="U11" s="13">
        <v>1463.2706277475875</v>
      </c>
      <c r="V11" s="13">
        <v>1510.0837919867802</v>
      </c>
      <c r="W11" s="13">
        <v>1543.0008922696509</v>
      </c>
      <c r="X11" s="13">
        <v>1569.7489603128713</v>
      </c>
      <c r="Y11" s="13">
        <v>1587.7200352684356</v>
      </c>
      <c r="Z11" s="13">
        <v>1606.6734424620643</v>
      </c>
      <c r="AA11" s="13">
        <v>1631.7952930145834</v>
      </c>
      <c r="AB11" s="13">
        <v>1658.5245598766664</v>
      </c>
      <c r="AC11" s="13">
        <v>1683.4926533051319</v>
      </c>
      <c r="AD11" s="13">
        <v>1708.1287068095232</v>
      </c>
      <c r="AE11" s="13">
        <v>1731.2839130392467</v>
      </c>
      <c r="AF11" s="13">
        <v>1752.6109261597269</v>
      </c>
      <c r="AG11" s="13">
        <v>1773.4125813814876</v>
      </c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</row>
    <row r="12" spans="1:67" x14ac:dyDescent="0.25">
      <c r="L12" s="338" t="str">
        <f>'Occ T3'!A14</f>
        <v xml:space="preserve"> 23 Teaching and educational professionals</v>
      </c>
      <c r="M12" s="13">
        <v>1418.9773616722084</v>
      </c>
      <c r="N12" s="13">
        <v>1447.3213834893359</v>
      </c>
      <c r="O12" s="13">
        <v>1427.0198375048453</v>
      </c>
      <c r="P12" s="13">
        <v>1452.3182747297967</v>
      </c>
      <c r="Q12" s="13">
        <v>1464.3711675288132</v>
      </c>
      <c r="R12" s="13">
        <v>1495.3060186838754</v>
      </c>
      <c r="S12" s="13">
        <v>1521.6846847203549</v>
      </c>
      <c r="T12" s="13">
        <v>1599.172855531428</v>
      </c>
      <c r="U12" s="13">
        <v>1646.7531134574508</v>
      </c>
      <c r="V12" s="13">
        <v>1692.4442900988383</v>
      </c>
      <c r="W12" s="13">
        <v>1720.7393221292084</v>
      </c>
      <c r="X12" s="13">
        <v>1725.5777022131542</v>
      </c>
      <c r="Y12" s="13">
        <v>1733.1480564512246</v>
      </c>
      <c r="Z12" s="13">
        <v>1747.4802534156595</v>
      </c>
      <c r="AA12" s="13">
        <v>1767.2219179207061</v>
      </c>
      <c r="AB12" s="13">
        <v>1789.5432408636937</v>
      </c>
      <c r="AC12" s="13">
        <v>1822.0761155068631</v>
      </c>
      <c r="AD12" s="13">
        <v>1852.5083822930703</v>
      </c>
      <c r="AE12" s="13">
        <v>1881.0767780288591</v>
      </c>
      <c r="AF12" s="13">
        <v>1907.8227720155703</v>
      </c>
      <c r="AG12" s="13">
        <v>1932.8816486014659</v>
      </c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</row>
    <row r="13" spans="1:67" x14ac:dyDescent="0.25">
      <c r="L13" s="338" t="str">
        <f>'Occ T3'!A15</f>
        <v xml:space="preserve"> 24 Business, media and public service professionals</v>
      </c>
      <c r="M13" s="13">
        <v>1464.3092269073152</v>
      </c>
      <c r="N13" s="13">
        <v>1512.1000676518088</v>
      </c>
      <c r="O13" s="13">
        <v>1579.4307871732826</v>
      </c>
      <c r="P13" s="13">
        <v>1517.0793084740353</v>
      </c>
      <c r="Q13" s="13">
        <v>1519.6809869727133</v>
      </c>
      <c r="R13" s="13">
        <v>1564.2296744461235</v>
      </c>
      <c r="S13" s="13">
        <v>1607.3632590490572</v>
      </c>
      <c r="T13" s="13">
        <v>1684.8039758944681</v>
      </c>
      <c r="U13" s="13">
        <v>1737.9847005675433</v>
      </c>
      <c r="V13" s="13">
        <v>1802.3676660002832</v>
      </c>
      <c r="W13" s="13">
        <v>1855.7082866915723</v>
      </c>
      <c r="X13" s="13">
        <v>1882.1716250763479</v>
      </c>
      <c r="Y13" s="13">
        <v>1907.6975150321944</v>
      </c>
      <c r="Z13" s="13">
        <v>1936.2876168015373</v>
      </c>
      <c r="AA13" s="13">
        <v>1962.1988156062955</v>
      </c>
      <c r="AB13" s="13">
        <v>1990.1636584460241</v>
      </c>
      <c r="AC13" s="13">
        <v>2008.3029141503255</v>
      </c>
      <c r="AD13" s="13">
        <v>2025.9684678010408</v>
      </c>
      <c r="AE13" s="13">
        <v>2043.7185409417602</v>
      </c>
      <c r="AF13" s="13">
        <v>2060.2608327231624</v>
      </c>
      <c r="AG13" s="13">
        <v>2074.8152806992894</v>
      </c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</row>
    <row r="14" spans="1:67" x14ac:dyDescent="0.25">
      <c r="L14" s="338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</row>
    <row r="15" spans="1:67" x14ac:dyDescent="0.25">
      <c r="L15" s="20" t="str">
        <f>'Occ T3'!A17</f>
        <v>Associate professional and technical</v>
      </c>
      <c r="M15" s="339">
        <f>SUM(M16:M20)</f>
        <v>4192.1889515946241</v>
      </c>
      <c r="N15" s="339">
        <f t="shared" ref="N15:P15" si="4">SUM(N16:N20)</f>
        <v>4301.1474904912029</v>
      </c>
      <c r="O15" s="339">
        <f t="shared" si="4"/>
        <v>4192.9605965753526</v>
      </c>
      <c r="P15" s="339">
        <f t="shared" si="4"/>
        <v>4108.5140225291507</v>
      </c>
      <c r="Q15" s="339">
        <f>SUM(Q16:Q20)</f>
        <v>4141.6666436695423</v>
      </c>
      <c r="R15" s="339">
        <f t="shared" ref="R15:AG15" si="5">SUM(R16:R20)</f>
        <v>4245.3870699108684</v>
      </c>
      <c r="S15" s="339">
        <f t="shared" si="5"/>
        <v>4332.4207989205606</v>
      </c>
      <c r="T15" s="339">
        <f t="shared" si="5"/>
        <v>4525.459231210245</v>
      </c>
      <c r="U15" s="339">
        <f t="shared" si="5"/>
        <v>4628.1960697434206</v>
      </c>
      <c r="V15" s="339">
        <f t="shared" si="5"/>
        <v>4768.390885070341</v>
      </c>
      <c r="W15" s="339">
        <f t="shared" si="5"/>
        <v>4884.3836819220542</v>
      </c>
      <c r="X15" s="339">
        <f t="shared" si="5"/>
        <v>4933.7086335520771</v>
      </c>
      <c r="Y15" s="339">
        <f t="shared" si="5"/>
        <v>4979.2161214173102</v>
      </c>
      <c r="Z15" s="339">
        <f t="shared" si="5"/>
        <v>5031.849960777301</v>
      </c>
      <c r="AA15" s="339">
        <f t="shared" si="5"/>
        <v>5075.2908693909721</v>
      </c>
      <c r="AB15" s="339">
        <f t="shared" si="5"/>
        <v>5123.1465499937876</v>
      </c>
      <c r="AC15" s="339">
        <f t="shared" si="5"/>
        <v>5162.6286014309999</v>
      </c>
      <c r="AD15" s="339">
        <f t="shared" si="5"/>
        <v>5202.5026850775994</v>
      </c>
      <c r="AE15" s="339">
        <f t="shared" si="5"/>
        <v>5240.4189293480995</v>
      </c>
      <c r="AF15" s="339">
        <f t="shared" si="5"/>
        <v>5276.2894606573427</v>
      </c>
      <c r="AG15" s="339">
        <f t="shared" si="5"/>
        <v>5309.5219594020828</v>
      </c>
      <c r="AH15" s="339"/>
      <c r="AI15" s="339"/>
      <c r="AJ15" s="339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67" x14ac:dyDescent="0.25">
      <c r="L16" s="338" t="str">
        <f>'Occ T3'!A18</f>
        <v xml:space="preserve"> 31 Science, engineering and technology associate professionals</v>
      </c>
      <c r="M16" s="13">
        <v>609.64387238354675</v>
      </c>
      <c r="N16" s="13">
        <v>608.7114968396919</v>
      </c>
      <c r="O16" s="13">
        <v>612.93044417885187</v>
      </c>
      <c r="P16" s="13">
        <v>593.28169322034216</v>
      </c>
      <c r="Q16" s="13">
        <v>592.40394008898022</v>
      </c>
      <c r="R16" s="13">
        <v>599.43705846653575</v>
      </c>
      <c r="S16" s="13">
        <v>608.01728435285077</v>
      </c>
      <c r="T16" s="13">
        <v>630.06225943578636</v>
      </c>
      <c r="U16" s="13">
        <v>646.00146992974624</v>
      </c>
      <c r="V16" s="13">
        <v>659.18169928635109</v>
      </c>
      <c r="W16" s="13">
        <v>671.15032184498148</v>
      </c>
      <c r="X16" s="13">
        <v>671.23855659761034</v>
      </c>
      <c r="Y16" s="13">
        <v>671.63680441673603</v>
      </c>
      <c r="Z16" s="13">
        <v>673.1494379747985</v>
      </c>
      <c r="AA16" s="13">
        <v>673.12162970679674</v>
      </c>
      <c r="AB16" s="13">
        <v>673.6704789806239</v>
      </c>
      <c r="AC16" s="13">
        <v>675.20753699723969</v>
      </c>
      <c r="AD16" s="13">
        <v>676.59551524549738</v>
      </c>
      <c r="AE16" s="13">
        <v>677.90917856207727</v>
      </c>
      <c r="AF16" s="13">
        <v>679.03131258303927</v>
      </c>
      <c r="AG16" s="13">
        <v>680.11357914850748</v>
      </c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</row>
    <row r="17" spans="12:67" x14ac:dyDescent="0.25">
      <c r="L17" s="338" t="str">
        <f>'Occ T3'!A19</f>
        <v xml:space="preserve"> 32 Health and social care associate professionals</v>
      </c>
      <c r="M17" s="13">
        <v>418.2503777870802</v>
      </c>
      <c r="N17" s="13">
        <v>422.97291804782435</v>
      </c>
      <c r="O17" s="13">
        <v>428.57848063218529</v>
      </c>
      <c r="P17" s="13">
        <v>432.3648229423398</v>
      </c>
      <c r="Q17" s="13">
        <v>436.71271936450211</v>
      </c>
      <c r="R17" s="13">
        <v>445.88556873648133</v>
      </c>
      <c r="S17" s="13">
        <v>463.66614714559245</v>
      </c>
      <c r="T17" s="13">
        <v>489.43226583207155</v>
      </c>
      <c r="U17" s="13">
        <v>501.04231218892392</v>
      </c>
      <c r="V17" s="13">
        <v>517.42995168743244</v>
      </c>
      <c r="W17" s="13">
        <v>529.88238393074425</v>
      </c>
      <c r="X17" s="13">
        <v>539.73667715752413</v>
      </c>
      <c r="Y17" s="13">
        <v>546.54369315840654</v>
      </c>
      <c r="Z17" s="13">
        <v>553.61866497593417</v>
      </c>
      <c r="AA17" s="13">
        <v>562.60577370957731</v>
      </c>
      <c r="AB17" s="13">
        <v>572.19485800004077</v>
      </c>
      <c r="AC17" s="13">
        <v>580.74158334774609</v>
      </c>
      <c r="AD17" s="13">
        <v>589.22942267671397</v>
      </c>
      <c r="AE17" s="13">
        <v>597.36785948299337</v>
      </c>
      <c r="AF17" s="13">
        <v>605.31969726762179</v>
      </c>
      <c r="AG17" s="13">
        <v>612.80601566154201</v>
      </c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2:67" x14ac:dyDescent="0.25">
      <c r="L18" s="338" t="str">
        <f>'Occ T3'!A20</f>
        <v xml:space="preserve"> 33 Protective service occupations</v>
      </c>
      <c r="M18" s="13">
        <v>400.38621990721509</v>
      </c>
      <c r="N18" s="13">
        <v>408.30960106262745</v>
      </c>
      <c r="O18" s="13">
        <v>413.73056900051125</v>
      </c>
      <c r="P18" s="13">
        <v>392.49332357048036</v>
      </c>
      <c r="Q18" s="13">
        <v>380.39310587436131</v>
      </c>
      <c r="R18" s="13">
        <v>374.21993286781867</v>
      </c>
      <c r="S18" s="13">
        <v>376.81071847467217</v>
      </c>
      <c r="T18" s="13">
        <v>381.2761949862998</v>
      </c>
      <c r="U18" s="13">
        <v>384.89462666251035</v>
      </c>
      <c r="V18" s="13">
        <v>383.16948955692772</v>
      </c>
      <c r="W18" s="13">
        <v>386.24918721957175</v>
      </c>
      <c r="X18" s="13">
        <v>383.92548102148544</v>
      </c>
      <c r="Y18" s="13">
        <v>382.23570369714389</v>
      </c>
      <c r="Z18" s="13">
        <v>380.34273785861279</v>
      </c>
      <c r="AA18" s="13">
        <v>378.18386137066551</v>
      </c>
      <c r="AB18" s="13">
        <v>376.25438198127227</v>
      </c>
      <c r="AC18" s="13">
        <v>376.2849439479304</v>
      </c>
      <c r="AD18" s="13">
        <v>376.21186287180313</v>
      </c>
      <c r="AE18" s="13">
        <v>376.02350986388154</v>
      </c>
      <c r="AF18" s="13">
        <v>375.74631735653441</v>
      </c>
      <c r="AG18" s="13">
        <v>375.37070820018812</v>
      </c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2:67" x14ac:dyDescent="0.25">
      <c r="L19" s="338" t="str">
        <f>'Occ T3'!A21</f>
        <v xml:space="preserve"> 34 Culture, media and sports occupations</v>
      </c>
      <c r="M19" s="13">
        <v>705.31543668957329</v>
      </c>
      <c r="N19" s="13">
        <v>754.06921136718051</v>
      </c>
      <c r="O19" s="13">
        <v>700.54537966111161</v>
      </c>
      <c r="P19" s="13">
        <v>681.35560888508576</v>
      </c>
      <c r="Q19" s="13">
        <v>708.08605930369413</v>
      </c>
      <c r="R19" s="13">
        <v>734.91048616584931</v>
      </c>
      <c r="S19" s="13">
        <v>745.73372758206403</v>
      </c>
      <c r="T19" s="13">
        <v>783.77012750902077</v>
      </c>
      <c r="U19" s="13">
        <v>787.58461218857246</v>
      </c>
      <c r="V19" s="13">
        <v>819.17608458245354</v>
      </c>
      <c r="W19" s="13">
        <v>839.68302886898528</v>
      </c>
      <c r="X19" s="13">
        <v>850.07872176450417</v>
      </c>
      <c r="Y19" s="13">
        <v>858.530923893097</v>
      </c>
      <c r="Z19" s="13">
        <v>868.3271024383638</v>
      </c>
      <c r="AA19" s="13">
        <v>875.66108490330191</v>
      </c>
      <c r="AB19" s="13">
        <v>883.81407897069801</v>
      </c>
      <c r="AC19" s="13">
        <v>885.37851372504724</v>
      </c>
      <c r="AD19" s="13">
        <v>887.38022038819599</v>
      </c>
      <c r="AE19" s="13">
        <v>889.18018758510686</v>
      </c>
      <c r="AF19" s="13">
        <v>890.71985073959308</v>
      </c>
      <c r="AG19" s="13">
        <v>891.90974845505184</v>
      </c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2:67" x14ac:dyDescent="0.25">
      <c r="L20" s="338" t="str">
        <f>'Occ T3'!A22</f>
        <v xml:space="preserve"> 35 Business and public service associate professionals</v>
      </c>
      <c r="M20" s="13">
        <v>2058.5930448272088</v>
      </c>
      <c r="N20" s="13">
        <v>2107.0842631738788</v>
      </c>
      <c r="O20" s="13">
        <v>2037.1757231026922</v>
      </c>
      <c r="P20" s="13">
        <v>2009.0185739109031</v>
      </c>
      <c r="Q20" s="13">
        <v>2024.0708190380049</v>
      </c>
      <c r="R20" s="13">
        <v>2090.9340236741837</v>
      </c>
      <c r="S20" s="13">
        <v>2138.1929213653816</v>
      </c>
      <c r="T20" s="13">
        <v>2240.9183834470673</v>
      </c>
      <c r="U20" s="13">
        <v>2308.6730487736672</v>
      </c>
      <c r="V20" s="13">
        <v>2389.4336599571757</v>
      </c>
      <c r="W20" s="13">
        <v>2457.418760057772</v>
      </c>
      <c r="X20" s="13">
        <v>2488.7291970109532</v>
      </c>
      <c r="Y20" s="13">
        <v>2520.2689962519275</v>
      </c>
      <c r="Z20" s="13">
        <v>2556.4120175295916</v>
      </c>
      <c r="AA20" s="13">
        <v>2585.7185197006306</v>
      </c>
      <c r="AB20" s="13">
        <v>2617.2127520611521</v>
      </c>
      <c r="AC20" s="13">
        <v>2645.0160234130362</v>
      </c>
      <c r="AD20" s="13">
        <v>2673.0856638953892</v>
      </c>
      <c r="AE20" s="13">
        <v>2699.9381938540405</v>
      </c>
      <c r="AF20" s="13">
        <v>2725.4722827105543</v>
      </c>
      <c r="AG20" s="13">
        <v>2749.3219079367932</v>
      </c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</row>
    <row r="21" spans="12:67" x14ac:dyDescent="0.25">
      <c r="L21" s="338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</row>
    <row r="22" spans="12:67" x14ac:dyDescent="0.25">
      <c r="L22" s="20" t="str">
        <f>'Occ T3'!A24</f>
        <v>Administrative and secretarial</v>
      </c>
      <c r="M22" s="339">
        <f t="shared" ref="M22:P22" si="6">SUM(M23:M24)</f>
        <v>4023.3774927122436</v>
      </c>
      <c r="N22" s="339">
        <f t="shared" si="6"/>
        <v>3880.8107658500521</v>
      </c>
      <c r="O22" s="339">
        <f t="shared" si="6"/>
        <v>3784.3184501692658</v>
      </c>
      <c r="P22" s="339">
        <f t="shared" si="6"/>
        <v>3776.3604808922596</v>
      </c>
      <c r="Q22" s="339">
        <f>SUM(Q23:Q24)</f>
        <v>3707.2485052295415</v>
      </c>
      <c r="R22" s="339">
        <f t="shared" ref="R22:AG22" si="7">SUM(R23:R24)</f>
        <v>3686.6891232188909</v>
      </c>
      <c r="S22" s="339">
        <f t="shared" si="7"/>
        <v>3642.022666699303</v>
      </c>
      <c r="T22" s="339">
        <f t="shared" si="7"/>
        <v>3712.0512280493372</v>
      </c>
      <c r="U22" s="339">
        <f t="shared" si="7"/>
        <v>3700.4604997365373</v>
      </c>
      <c r="V22" s="339">
        <f t="shared" si="7"/>
        <v>3710.5553900923642</v>
      </c>
      <c r="W22" s="339">
        <f t="shared" si="7"/>
        <v>3680.7863975420601</v>
      </c>
      <c r="X22" s="339">
        <f t="shared" si="7"/>
        <v>3617.389365676956</v>
      </c>
      <c r="Y22" s="339">
        <f t="shared" si="7"/>
        <v>3553.9100689743136</v>
      </c>
      <c r="Z22" s="339">
        <f t="shared" si="7"/>
        <v>3494.8370844286846</v>
      </c>
      <c r="AA22" s="339">
        <f t="shared" si="7"/>
        <v>3426.0797270200346</v>
      </c>
      <c r="AB22" s="339">
        <f t="shared" si="7"/>
        <v>3359.0863632166529</v>
      </c>
      <c r="AC22" s="339">
        <f t="shared" si="7"/>
        <v>3293.3859710534784</v>
      </c>
      <c r="AD22" s="339">
        <f t="shared" si="7"/>
        <v>3230.9890550755367</v>
      </c>
      <c r="AE22" s="339">
        <f t="shared" si="7"/>
        <v>3174.0198660600381</v>
      </c>
      <c r="AF22" s="339">
        <f t="shared" si="7"/>
        <v>3123.0005719740188</v>
      </c>
      <c r="AG22" s="339">
        <f t="shared" si="7"/>
        <v>3077.1550769501691</v>
      </c>
      <c r="AH22" s="339"/>
      <c r="AI22" s="339"/>
      <c r="AJ22" s="339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</row>
    <row r="23" spans="12:67" x14ac:dyDescent="0.25">
      <c r="L23" s="338" t="str">
        <f>'Occ T3'!A25</f>
        <v xml:space="preserve"> 41 Administrative occupations</v>
      </c>
      <c r="M23" s="13">
        <v>3030.0405454519719</v>
      </c>
      <c r="N23" s="13">
        <v>2932.2561299084473</v>
      </c>
      <c r="O23" s="13">
        <v>2861.5063888945569</v>
      </c>
      <c r="P23" s="13">
        <v>2850.5297378358819</v>
      </c>
      <c r="Q23" s="13">
        <v>2818.4752423899763</v>
      </c>
      <c r="R23" s="13">
        <v>2822.3371958236908</v>
      </c>
      <c r="S23" s="13">
        <v>2809.1879263236024</v>
      </c>
      <c r="T23" s="13">
        <v>2883.6536090128329</v>
      </c>
      <c r="U23" s="13">
        <v>2898.4489532458283</v>
      </c>
      <c r="V23" s="13">
        <v>2928.9901877042712</v>
      </c>
      <c r="W23" s="13">
        <v>2931.8021720360434</v>
      </c>
      <c r="X23" s="13">
        <v>2905.9786540227351</v>
      </c>
      <c r="Y23" s="13">
        <v>2879.9698609429706</v>
      </c>
      <c r="Z23" s="13">
        <v>2857.4023501280021</v>
      </c>
      <c r="AA23" s="13">
        <v>2828.6668401470001</v>
      </c>
      <c r="AB23" s="13">
        <v>2801.6146683960205</v>
      </c>
      <c r="AC23" s="13">
        <v>2776.4338591120732</v>
      </c>
      <c r="AD23" s="13">
        <v>2752.8589044188639</v>
      </c>
      <c r="AE23" s="13">
        <v>2730.3051252852692</v>
      </c>
      <c r="AF23" s="13">
        <v>2708.7469967165748</v>
      </c>
      <c r="AG23" s="13">
        <v>2688.2376263800124</v>
      </c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</row>
    <row r="24" spans="12:67" x14ac:dyDescent="0.25">
      <c r="L24" s="338" t="str">
        <f>'Occ T3'!A26</f>
        <v xml:space="preserve"> 42 Secretarial and related occupations</v>
      </c>
      <c r="M24" s="13">
        <v>993.33694726027159</v>
      </c>
      <c r="N24" s="13">
        <v>948.55463594160506</v>
      </c>
      <c r="O24" s="13">
        <v>922.81206127470875</v>
      </c>
      <c r="P24" s="13">
        <v>925.83074305637774</v>
      </c>
      <c r="Q24" s="13">
        <v>888.7732628395654</v>
      </c>
      <c r="R24" s="13">
        <v>864.35192739519994</v>
      </c>
      <c r="S24" s="13">
        <v>832.8347403757009</v>
      </c>
      <c r="T24" s="13">
        <v>828.39761903650424</v>
      </c>
      <c r="U24" s="13">
        <v>802.01154649070907</v>
      </c>
      <c r="V24" s="13">
        <v>781.56520238809276</v>
      </c>
      <c r="W24" s="13">
        <v>748.98422550601674</v>
      </c>
      <c r="X24" s="13">
        <v>711.41071165422079</v>
      </c>
      <c r="Y24" s="13">
        <v>673.9402080313431</v>
      </c>
      <c r="Z24" s="13">
        <v>637.43473430068241</v>
      </c>
      <c r="AA24" s="13">
        <v>597.41288687303472</v>
      </c>
      <c r="AB24" s="13">
        <v>557.47169482063259</v>
      </c>
      <c r="AC24" s="13">
        <v>516.95211194140541</v>
      </c>
      <c r="AD24" s="13">
        <v>478.1301506566727</v>
      </c>
      <c r="AE24" s="13">
        <v>443.7147407747691</v>
      </c>
      <c r="AF24" s="13">
        <v>414.25357525744397</v>
      </c>
      <c r="AG24" s="13">
        <v>388.91745057015663</v>
      </c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2:67" x14ac:dyDescent="0.25">
      <c r="L25" s="338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</row>
    <row r="26" spans="12:67" x14ac:dyDescent="0.25">
      <c r="L26" s="20" t="str">
        <f>'Occ T3'!A28</f>
        <v>Skilled trades occupations</v>
      </c>
      <c r="M26" s="339">
        <f t="shared" ref="M26:P26" si="8">SUM(M27:M30)</f>
        <v>3583.6153277284657</v>
      </c>
      <c r="N26" s="339">
        <f t="shared" si="8"/>
        <v>3582.4803012649677</v>
      </c>
      <c r="O26" s="339">
        <f t="shared" si="8"/>
        <v>3385.1722726288122</v>
      </c>
      <c r="P26" s="339">
        <f t="shared" si="8"/>
        <v>3392.7770262761301</v>
      </c>
      <c r="Q26" s="339">
        <f>SUM(Q27:Q30)</f>
        <v>3366.6084978327126</v>
      </c>
      <c r="R26" s="339">
        <f t="shared" ref="R26:AG26" si="9">SUM(R27:R30)</f>
        <v>3361.0404349463947</v>
      </c>
      <c r="S26" s="339">
        <f t="shared" si="9"/>
        <v>3300.4731275846125</v>
      </c>
      <c r="T26" s="339">
        <f t="shared" si="9"/>
        <v>3387.0235659175241</v>
      </c>
      <c r="U26" s="339">
        <f>SUM(U27:U30)</f>
        <v>3385.0499599537134</v>
      </c>
      <c r="V26" s="339">
        <f t="shared" si="9"/>
        <v>3422.2002372992738</v>
      </c>
      <c r="W26" s="339">
        <f t="shared" si="9"/>
        <v>3432.8363588721904</v>
      </c>
      <c r="X26" s="339">
        <f t="shared" si="9"/>
        <v>3399.4445949191227</v>
      </c>
      <c r="Y26" s="339">
        <f t="shared" si="9"/>
        <v>3373.1238739479568</v>
      </c>
      <c r="Z26" s="339">
        <f t="shared" si="9"/>
        <v>3349.7311612668609</v>
      </c>
      <c r="AA26" s="339">
        <f t="shared" si="9"/>
        <v>3307.5736090648679</v>
      </c>
      <c r="AB26" s="339">
        <f t="shared" si="9"/>
        <v>3268.9532522745712</v>
      </c>
      <c r="AC26" s="339">
        <f t="shared" si="9"/>
        <v>3238.4562097972112</v>
      </c>
      <c r="AD26" s="339">
        <f t="shared" si="9"/>
        <v>3208.7551687441992</v>
      </c>
      <c r="AE26" s="339">
        <f t="shared" si="9"/>
        <v>3179.9949475607445</v>
      </c>
      <c r="AF26" s="339">
        <f t="shared" si="9"/>
        <v>3152.5631806945812</v>
      </c>
      <c r="AG26" s="339">
        <f t="shared" si="9"/>
        <v>3126.1855521756024</v>
      </c>
      <c r="AH26" s="339"/>
      <c r="AI26" s="339"/>
      <c r="AJ26" s="339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</row>
    <row r="27" spans="12:67" x14ac:dyDescent="0.25">
      <c r="L27" s="338" t="str">
        <f>'Occ T3'!A29</f>
        <v xml:space="preserve"> 51 Skilled agricultural and related trades</v>
      </c>
      <c r="M27" s="13">
        <v>326.59568567127343</v>
      </c>
      <c r="N27" s="13">
        <v>340.88836009061066</v>
      </c>
      <c r="O27" s="13">
        <v>333.94194225160288</v>
      </c>
      <c r="P27" s="13">
        <v>348.78819441688898</v>
      </c>
      <c r="Q27" s="13">
        <v>350.28170030405505</v>
      </c>
      <c r="R27" s="13">
        <v>361.16839275811896</v>
      </c>
      <c r="S27" s="13">
        <v>333.35598158031934</v>
      </c>
      <c r="T27" s="13">
        <v>349.29697291625183</v>
      </c>
      <c r="U27" s="13">
        <v>345.41973506554837</v>
      </c>
      <c r="V27" s="13">
        <v>352.42194123931415</v>
      </c>
      <c r="W27" s="13">
        <v>354.96114624116797</v>
      </c>
      <c r="X27" s="13">
        <v>353.06223996654484</v>
      </c>
      <c r="Y27" s="13">
        <v>351.88580345815143</v>
      </c>
      <c r="Z27" s="13">
        <v>351.02747245843193</v>
      </c>
      <c r="AA27" s="13">
        <v>349.69388888430916</v>
      </c>
      <c r="AB27" s="13">
        <v>349.16485691298192</v>
      </c>
      <c r="AC27" s="13">
        <v>351.60219206689101</v>
      </c>
      <c r="AD27" s="13">
        <v>354.03200521637586</v>
      </c>
      <c r="AE27" s="13">
        <v>356.31019546401473</v>
      </c>
      <c r="AF27" s="13">
        <v>358.44937892503981</v>
      </c>
      <c r="AG27" s="13">
        <v>360.42857252278969</v>
      </c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</row>
    <row r="28" spans="12:67" x14ac:dyDescent="0.25">
      <c r="L28" s="338" t="str">
        <f>'Occ T3'!A30</f>
        <v xml:space="preserve"> 52 Skilled metal, electrical and electronic trades</v>
      </c>
      <c r="M28" s="13">
        <v>1279.19315247642</v>
      </c>
      <c r="N28" s="13">
        <v>1267.7914443410357</v>
      </c>
      <c r="O28" s="13">
        <v>1224.4400771593735</v>
      </c>
      <c r="P28" s="13">
        <v>1234.2125983579713</v>
      </c>
      <c r="Q28" s="13">
        <v>1222.7083123797681</v>
      </c>
      <c r="R28" s="13">
        <v>1207.166298134011</v>
      </c>
      <c r="S28" s="13">
        <v>1206.7378322923912</v>
      </c>
      <c r="T28" s="13">
        <v>1226.182924240961</v>
      </c>
      <c r="U28" s="13">
        <v>1228.4609478537166</v>
      </c>
      <c r="V28" s="13">
        <v>1229.2350629995017</v>
      </c>
      <c r="W28" s="13">
        <v>1228.0409620922514</v>
      </c>
      <c r="X28" s="13">
        <v>1205.766236966972</v>
      </c>
      <c r="Y28" s="13">
        <v>1185.2641102568393</v>
      </c>
      <c r="Z28" s="13">
        <v>1165.9418940397454</v>
      </c>
      <c r="AA28" s="13">
        <v>1141.4138041954084</v>
      </c>
      <c r="AB28" s="13">
        <v>1118.2338508289929</v>
      </c>
      <c r="AC28" s="13">
        <v>1103.0838483380273</v>
      </c>
      <c r="AD28" s="13">
        <v>1088.3848287027988</v>
      </c>
      <c r="AE28" s="13">
        <v>1073.9301922835696</v>
      </c>
      <c r="AF28" s="13">
        <v>1059.0465781139931</v>
      </c>
      <c r="AG28" s="13">
        <v>1043.8089392652857</v>
      </c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</row>
    <row r="29" spans="12:67" x14ac:dyDescent="0.25">
      <c r="L29" s="338" t="str">
        <f>'Occ T3'!A31</f>
        <v xml:space="preserve"> 53 Skilled construction and building trades</v>
      </c>
      <c r="M29" s="13">
        <v>1134.0272967353342</v>
      </c>
      <c r="N29" s="13">
        <v>1134.6077776667496</v>
      </c>
      <c r="O29" s="13">
        <v>1045.7509305042856</v>
      </c>
      <c r="P29" s="13">
        <v>1005.9411413312753</v>
      </c>
      <c r="Q29" s="13">
        <v>1013.1571990653766</v>
      </c>
      <c r="R29" s="13">
        <v>997.18720072581925</v>
      </c>
      <c r="S29" s="13">
        <v>990.93403964633853</v>
      </c>
      <c r="T29" s="13">
        <v>1028.4890138355158</v>
      </c>
      <c r="U29" s="13">
        <v>1031.2264998782507</v>
      </c>
      <c r="V29" s="13">
        <v>1057.5053065437774</v>
      </c>
      <c r="W29" s="13">
        <v>1069.1049856779691</v>
      </c>
      <c r="X29" s="13">
        <v>1072.9310866716087</v>
      </c>
      <c r="Y29" s="13">
        <v>1080.6443677139512</v>
      </c>
      <c r="Z29" s="13">
        <v>1088.1855556359694</v>
      </c>
      <c r="AA29" s="13">
        <v>1085.5875313138697</v>
      </c>
      <c r="AB29" s="13">
        <v>1083.6604766975181</v>
      </c>
      <c r="AC29" s="13">
        <v>1079.3736257945313</v>
      </c>
      <c r="AD29" s="13">
        <v>1075.2819438001134</v>
      </c>
      <c r="AE29" s="13">
        <v>1071.2652389679317</v>
      </c>
      <c r="AF29" s="13">
        <v>1067.5217447203768</v>
      </c>
      <c r="AG29" s="13">
        <v>1063.8777838174137</v>
      </c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</row>
    <row r="30" spans="12:67" x14ac:dyDescent="0.25">
      <c r="L30" s="338" t="str">
        <f>'Occ T3'!A32</f>
        <v xml:space="preserve"> 54 Textiles, printing and other skilled trades</v>
      </c>
      <c r="M30" s="13">
        <v>843.79919284543814</v>
      </c>
      <c r="N30" s="13">
        <v>839.19271916657181</v>
      </c>
      <c r="O30" s="13">
        <v>781.0393227135504</v>
      </c>
      <c r="P30" s="13">
        <v>803.83509216999425</v>
      </c>
      <c r="Q30" s="13">
        <v>780.46128608351296</v>
      </c>
      <c r="R30" s="13">
        <v>795.51854332844539</v>
      </c>
      <c r="S30" s="13">
        <v>769.44527406556347</v>
      </c>
      <c r="T30" s="13">
        <v>783.05465492479539</v>
      </c>
      <c r="U30" s="13">
        <v>779.94277715619774</v>
      </c>
      <c r="V30" s="13">
        <v>783.03792651668073</v>
      </c>
      <c r="W30" s="13">
        <v>780.72926486080155</v>
      </c>
      <c r="X30" s="13">
        <v>767.68503131399723</v>
      </c>
      <c r="Y30" s="13">
        <v>755.32959251901514</v>
      </c>
      <c r="Z30" s="13">
        <v>744.57623913271425</v>
      </c>
      <c r="AA30" s="13">
        <v>730.87838467128063</v>
      </c>
      <c r="AB30" s="13">
        <v>717.8940678350782</v>
      </c>
      <c r="AC30" s="13">
        <v>704.39654359776137</v>
      </c>
      <c r="AD30" s="13">
        <v>691.05639102491091</v>
      </c>
      <c r="AE30" s="13">
        <v>678.4893208452288</v>
      </c>
      <c r="AF30" s="13">
        <v>667.54547893517145</v>
      </c>
      <c r="AG30" s="13">
        <v>658.07025657011309</v>
      </c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2:67" x14ac:dyDescent="0.25">
      <c r="L31" s="338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2:67" x14ac:dyDescent="0.25">
      <c r="L32" s="20" t="str">
        <f>'Occ T3'!A34</f>
        <v>Caring, leisure and other service</v>
      </c>
      <c r="M32" s="339">
        <f t="shared" ref="M32:P32" si="10">SUM(M33:M34)</f>
        <v>2645.5508227224036</v>
      </c>
      <c r="N32" s="339">
        <f t="shared" si="10"/>
        <v>2704.186648094751</v>
      </c>
      <c r="O32" s="339">
        <f t="shared" si="10"/>
        <v>2724.3926476971592</v>
      </c>
      <c r="P32" s="339">
        <f t="shared" si="10"/>
        <v>2817.59730546224</v>
      </c>
      <c r="Q32" s="339">
        <f>SUM(Q33:Q34)</f>
        <v>2841.2938340161199</v>
      </c>
      <c r="R32" s="339">
        <f t="shared" ref="R32:AG32" si="11">SUM(R33:R34)</f>
        <v>2889.5495700413439</v>
      </c>
      <c r="S32" s="339">
        <f t="shared" si="11"/>
        <v>2968.6499952806425</v>
      </c>
      <c r="T32" s="339">
        <f t="shared" si="11"/>
        <v>3121.7090659997457</v>
      </c>
      <c r="U32" s="339">
        <f t="shared" si="11"/>
        <v>3180.7315887986251</v>
      </c>
      <c r="V32" s="339">
        <f t="shared" si="11"/>
        <v>3282.3366893264683</v>
      </c>
      <c r="W32" s="339">
        <f t="shared" si="11"/>
        <v>3345.0861257252427</v>
      </c>
      <c r="X32" s="339">
        <f t="shared" si="11"/>
        <v>3389.9406078728148</v>
      </c>
      <c r="Y32" s="339">
        <f t="shared" si="11"/>
        <v>3424.2989337438153</v>
      </c>
      <c r="Z32" s="339">
        <f t="shared" si="11"/>
        <v>3461.0861201392931</v>
      </c>
      <c r="AA32" s="339">
        <f t="shared" si="11"/>
        <v>3503.5752578069332</v>
      </c>
      <c r="AB32" s="339">
        <f t="shared" si="11"/>
        <v>3549.556293296871</v>
      </c>
      <c r="AC32" s="339">
        <f t="shared" si="11"/>
        <v>3603.5651849170868</v>
      </c>
      <c r="AD32" s="339">
        <f t="shared" si="11"/>
        <v>3657.970743834825</v>
      </c>
      <c r="AE32" s="339">
        <f t="shared" si="11"/>
        <v>3711.3304085445657</v>
      </c>
      <c r="AF32" s="339">
        <f t="shared" si="11"/>
        <v>3762.4732616836491</v>
      </c>
      <c r="AG32" s="339">
        <f t="shared" si="11"/>
        <v>3810.8091936423866</v>
      </c>
      <c r="AH32" s="339"/>
      <c r="AI32" s="339"/>
      <c r="AJ32" s="339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2:67" x14ac:dyDescent="0.25">
      <c r="L33" s="338" t="str">
        <f>'Occ T3'!A35</f>
        <v xml:space="preserve"> 61 Caring personal service occupations</v>
      </c>
      <c r="M33" s="13">
        <v>1960.332640697347</v>
      </c>
      <c r="N33" s="13">
        <v>2004.5746726893835</v>
      </c>
      <c r="O33" s="13">
        <v>2023.0341295312351</v>
      </c>
      <c r="P33" s="13">
        <v>2138.7534064857946</v>
      </c>
      <c r="Q33" s="13">
        <v>2153.1246254819725</v>
      </c>
      <c r="R33" s="13">
        <v>2188.2931420126838</v>
      </c>
      <c r="S33" s="13">
        <v>2261.3885720005287</v>
      </c>
      <c r="T33" s="13">
        <v>2384.2566191045175</v>
      </c>
      <c r="U33" s="13">
        <v>2442.3723718963611</v>
      </c>
      <c r="V33" s="13">
        <v>2524.4544714351432</v>
      </c>
      <c r="W33" s="13">
        <v>2578.4645595025959</v>
      </c>
      <c r="X33" s="13">
        <v>2623.0571340907118</v>
      </c>
      <c r="Y33" s="13">
        <v>2658.1974201234975</v>
      </c>
      <c r="Z33" s="13">
        <v>2695.0777093881279</v>
      </c>
      <c r="AA33" s="13">
        <v>2739.4479945599642</v>
      </c>
      <c r="AB33" s="13">
        <v>2787.4164334872221</v>
      </c>
      <c r="AC33" s="13">
        <v>2843.4897744541272</v>
      </c>
      <c r="AD33" s="13">
        <v>2899.91194780161</v>
      </c>
      <c r="AE33" s="13">
        <v>2954.8371348580627</v>
      </c>
      <c r="AF33" s="13">
        <v>3007.1465964649797</v>
      </c>
      <c r="AG33" s="13">
        <v>3056.5262037008101</v>
      </c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</row>
    <row r="34" spans="12:67" x14ac:dyDescent="0.25">
      <c r="L34" s="338" t="str">
        <f>'Occ T3'!A36</f>
        <v xml:space="preserve"> 62 Leisure, travel and related personal service occupations</v>
      </c>
      <c r="M34" s="13">
        <v>685.21818202505688</v>
      </c>
      <c r="N34" s="13">
        <v>699.61197540536739</v>
      </c>
      <c r="O34" s="13">
        <v>701.35851816592401</v>
      </c>
      <c r="P34" s="13">
        <v>678.84389897644553</v>
      </c>
      <c r="Q34" s="13">
        <v>688.16920853414751</v>
      </c>
      <c r="R34" s="13">
        <v>701.25642802866014</v>
      </c>
      <c r="S34" s="13">
        <v>707.2614232801136</v>
      </c>
      <c r="T34" s="13">
        <v>737.45244689522838</v>
      </c>
      <c r="U34" s="13">
        <v>738.35921690226428</v>
      </c>
      <c r="V34" s="13">
        <v>757.88221789132535</v>
      </c>
      <c r="W34" s="13">
        <v>766.62156622264706</v>
      </c>
      <c r="X34" s="13">
        <v>766.8834737821029</v>
      </c>
      <c r="Y34" s="13">
        <v>766.10151362031775</v>
      </c>
      <c r="Z34" s="13">
        <v>766.00841075116534</v>
      </c>
      <c r="AA34" s="13">
        <v>764.12726324696916</v>
      </c>
      <c r="AB34" s="13">
        <v>762.13985980964901</v>
      </c>
      <c r="AC34" s="13">
        <v>760.07541046295955</v>
      </c>
      <c r="AD34" s="13">
        <v>758.05879603321478</v>
      </c>
      <c r="AE34" s="13">
        <v>756.49327368650302</v>
      </c>
      <c r="AF34" s="13">
        <v>755.32666521866918</v>
      </c>
      <c r="AG34" s="13">
        <v>754.2829899415766</v>
      </c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</row>
    <row r="35" spans="12:67" x14ac:dyDescent="0.25">
      <c r="L35" s="338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</row>
    <row r="36" spans="12:67" x14ac:dyDescent="0.25">
      <c r="L36" s="20" t="str">
        <f>'Occ T3'!A38</f>
        <v>Sales and customer service</v>
      </c>
      <c r="M36" s="339">
        <f t="shared" ref="M36:P36" si="12">SUM(M37:M38)</f>
        <v>2792.1839088149745</v>
      </c>
      <c r="N36" s="339">
        <f t="shared" si="12"/>
        <v>2861.1922555441793</v>
      </c>
      <c r="O36" s="339">
        <f t="shared" si="12"/>
        <v>2810.7900957842598</v>
      </c>
      <c r="P36" s="339">
        <f t="shared" si="12"/>
        <v>2800.1105648414705</v>
      </c>
      <c r="Q36" s="339">
        <f>SUM(Q37:Q38)</f>
        <v>2779.0336682374191</v>
      </c>
      <c r="R36" s="339">
        <f t="shared" ref="R36:AG36" si="13">SUM(R37:R38)</f>
        <v>2808.715933390687</v>
      </c>
      <c r="S36" s="339">
        <f t="shared" si="13"/>
        <v>2788.9723909985205</v>
      </c>
      <c r="T36" s="339">
        <f t="shared" si="13"/>
        <v>2863.5747478704707</v>
      </c>
      <c r="U36" s="339">
        <f t="shared" si="13"/>
        <v>2873.6541964385342</v>
      </c>
      <c r="V36" s="339">
        <f t="shared" si="13"/>
        <v>2916.3866727917884</v>
      </c>
      <c r="W36" s="339">
        <f t="shared" si="13"/>
        <v>2929.0335907758267</v>
      </c>
      <c r="X36" s="339">
        <f t="shared" si="13"/>
        <v>2924.1284150590946</v>
      </c>
      <c r="Y36" s="339">
        <f t="shared" si="13"/>
        <v>2918.4635736520927</v>
      </c>
      <c r="Z36" s="339">
        <f t="shared" si="13"/>
        <v>2917.2181947144909</v>
      </c>
      <c r="AA36" s="339">
        <f t="shared" si="13"/>
        <v>2899.673693000786</v>
      </c>
      <c r="AB36" s="339">
        <f t="shared" si="13"/>
        <v>2881.2459863648064</v>
      </c>
      <c r="AC36" s="339">
        <f t="shared" si="13"/>
        <v>2879.3081190940666</v>
      </c>
      <c r="AD36" s="339">
        <f t="shared" si="13"/>
        <v>2877.9911940358143</v>
      </c>
      <c r="AE36" s="339">
        <f t="shared" si="13"/>
        <v>2877.2507616445614</v>
      </c>
      <c r="AF36" s="339">
        <f t="shared" si="13"/>
        <v>2876.6460575806973</v>
      </c>
      <c r="AG36" s="339">
        <f t="shared" si="13"/>
        <v>2876.6137458960302</v>
      </c>
      <c r="AH36" s="339"/>
      <c r="AI36" s="339"/>
      <c r="AJ36" s="339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</row>
    <row r="37" spans="12:67" x14ac:dyDescent="0.25">
      <c r="L37" s="338" t="str">
        <f>'Occ T3'!A39</f>
        <v xml:space="preserve"> 71 Sales occupations</v>
      </c>
      <c r="M37" s="13">
        <v>2266.5991740353952</v>
      </c>
      <c r="N37" s="13">
        <v>2317.5813326949819</v>
      </c>
      <c r="O37" s="13">
        <v>2241.3513418872558</v>
      </c>
      <c r="P37" s="13">
        <v>2238.2396050468919</v>
      </c>
      <c r="Q37" s="13">
        <v>2209.8654614500065</v>
      </c>
      <c r="R37" s="13">
        <v>2222.9839668671279</v>
      </c>
      <c r="S37" s="13">
        <v>2190.0381535414513</v>
      </c>
      <c r="T37" s="13">
        <v>2231.4612421909433</v>
      </c>
      <c r="U37" s="13">
        <v>2218.3497254726967</v>
      </c>
      <c r="V37" s="13">
        <v>2237.3060643038261</v>
      </c>
      <c r="W37" s="13">
        <v>2232.1008314340879</v>
      </c>
      <c r="X37" s="13">
        <v>2217.4947998450189</v>
      </c>
      <c r="Y37" s="13">
        <v>2202.1685617344428</v>
      </c>
      <c r="Z37" s="13">
        <v>2190.3847880282078</v>
      </c>
      <c r="AA37" s="13">
        <v>2162.8206618782524</v>
      </c>
      <c r="AB37" s="13">
        <v>2134.0816003374703</v>
      </c>
      <c r="AC37" s="13">
        <v>2121.8413268678646</v>
      </c>
      <c r="AD37" s="13">
        <v>2110.0649673733578</v>
      </c>
      <c r="AE37" s="13">
        <v>2098.7626461495697</v>
      </c>
      <c r="AF37" s="13">
        <v>2087.8122589655118</v>
      </c>
      <c r="AG37" s="13">
        <v>2077.8628337740365</v>
      </c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</row>
    <row r="38" spans="12:67" x14ac:dyDescent="0.25">
      <c r="L38" s="338" t="str">
        <f>'Occ T3'!A40</f>
        <v xml:space="preserve"> 72 Customer service occupations</v>
      </c>
      <c r="M38" s="13">
        <v>525.58473477957932</v>
      </c>
      <c r="N38" s="13">
        <v>543.61092284919744</v>
      </c>
      <c r="O38" s="13">
        <v>569.43875389700418</v>
      </c>
      <c r="P38" s="13">
        <v>561.87095979457865</v>
      </c>
      <c r="Q38" s="13">
        <v>569.16820678741271</v>
      </c>
      <c r="R38" s="13">
        <v>585.73196652355909</v>
      </c>
      <c r="S38" s="13">
        <v>598.93423745706923</v>
      </c>
      <c r="T38" s="13">
        <v>632.11350567952763</v>
      </c>
      <c r="U38" s="13">
        <v>655.3044709658376</v>
      </c>
      <c r="V38" s="13">
        <v>679.08060848796254</v>
      </c>
      <c r="W38" s="13">
        <v>696.93275934173869</v>
      </c>
      <c r="X38" s="13">
        <v>706.63361521407569</v>
      </c>
      <c r="Y38" s="13">
        <v>716.29501191764973</v>
      </c>
      <c r="Z38" s="13">
        <v>726.83340668628296</v>
      </c>
      <c r="AA38" s="13">
        <v>736.85303112253371</v>
      </c>
      <c r="AB38" s="13">
        <v>747.16438602733615</v>
      </c>
      <c r="AC38" s="13">
        <v>757.46679222620185</v>
      </c>
      <c r="AD38" s="13">
        <v>767.92622666245632</v>
      </c>
      <c r="AE38" s="13">
        <v>778.48811549499158</v>
      </c>
      <c r="AF38" s="13">
        <v>788.8337986151854</v>
      </c>
      <c r="AG38" s="13">
        <v>798.75091212199368</v>
      </c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</row>
    <row r="39" spans="12:67" x14ac:dyDescent="0.25">
      <c r="L39" s="338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</row>
    <row r="40" spans="12:67" x14ac:dyDescent="0.25">
      <c r="L40" s="20" t="str">
        <f>'Occ T3'!A42</f>
        <v>Process, plant and machine operatives</v>
      </c>
      <c r="M40" s="339">
        <f t="shared" ref="M40:P40" si="14">SUM(M41:M42)</f>
        <v>2314.149151355934</v>
      </c>
      <c r="N40" s="339">
        <f t="shared" si="14"/>
        <v>2272.1376843277585</v>
      </c>
      <c r="O40" s="339">
        <f t="shared" si="14"/>
        <v>2202.9958814051452</v>
      </c>
      <c r="P40" s="339">
        <f t="shared" si="14"/>
        <v>2157.1611021349031</v>
      </c>
      <c r="Q40" s="339">
        <f>SUM(Q41:Q42)</f>
        <v>2152.3637211544788</v>
      </c>
      <c r="R40" s="339">
        <f t="shared" ref="R40:AG40" si="15">SUM(R41:R42)</f>
        <v>2157.5584632485761</v>
      </c>
      <c r="S40" s="339">
        <f t="shared" si="15"/>
        <v>2126.240963487232</v>
      </c>
      <c r="T40" s="339">
        <f t="shared" si="15"/>
        <v>2164.6663177085798</v>
      </c>
      <c r="U40" s="339">
        <f t="shared" si="15"/>
        <v>2162.6171967381733</v>
      </c>
      <c r="V40" s="339">
        <f t="shared" si="15"/>
        <v>2174.0741206561452</v>
      </c>
      <c r="W40" s="339">
        <f t="shared" si="15"/>
        <v>2179.9565386857666</v>
      </c>
      <c r="X40" s="339">
        <f t="shared" si="15"/>
        <v>2152.8342933876929</v>
      </c>
      <c r="Y40" s="339">
        <f t="shared" si="15"/>
        <v>2126.7161858099698</v>
      </c>
      <c r="Z40" s="339">
        <f t="shared" si="15"/>
        <v>2105.5822020234546</v>
      </c>
      <c r="AA40" s="339">
        <f t="shared" si="15"/>
        <v>2075.7524076639002</v>
      </c>
      <c r="AB40" s="339">
        <f t="shared" si="15"/>
        <v>2047.4264077500793</v>
      </c>
      <c r="AC40" s="339">
        <f t="shared" si="15"/>
        <v>2030.6312533695659</v>
      </c>
      <c r="AD40" s="339">
        <f t="shared" si="15"/>
        <v>2015.4412926748628</v>
      </c>
      <c r="AE40" s="339">
        <f t="shared" si="15"/>
        <v>2001.0181667019451</v>
      </c>
      <c r="AF40" s="339">
        <f t="shared" si="15"/>
        <v>1987.3466969165627</v>
      </c>
      <c r="AG40" s="339">
        <f t="shared" si="15"/>
        <v>1974.125913781425</v>
      </c>
      <c r="AH40" s="339"/>
      <c r="AI40" s="339"/>
      <c r="AJ40" s="339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2:67" x14ac:dyDescent="0.25">
      <c r="L41" s="338" t="str">
        <f>'Occ T3'!A43</f>
        <v xml:space="preserve"> 81 Process, plant and machine operatives</v>
      </c>
      <c r="M41" s="13">
        <v>1062.9416018239299</v>
      </c>
      <c r="N41" s="13">
        <v>1034.3622932708711</v>
      </c>
      <c r="O41" s="13">
        <v>984.32030162211049</v>
      </c>
      <c r="P41" s="13">
        <v>978.7693837101242</v>
      </c>
      <c r="Q41" s="13">
        <v>955.22972226315051</v>
      </c>
      <c r="R41" s="13">
        <v>947.27616497072279</v>
      </c>
      <c r="S41" s="13">
        <v>922.41531127509518</v>
      </c>
      <c r="T41" s="13">
        <v>930.72349060515512</v>
      </c>
      <c r="U41" s="13">
        <v>923.98280574687317</v>
      </c>
      <c r="V41" s="13">
        <v>918.98260280155876</v>
      </c>
      <c r="W41" s="13">
        <v>910.36505814126201</v>
      </c>
      <c r="X41" s="13">
        <v>885.44884104996947</v>
      </c>
      <c r="Y41" s="13">
        <v>860.68961199599801</v>
      </c>
      <c r="Z41" s="13">
        <v>837.80041528726315</v>
      </c>
      <c r="AA41" s="13">
        <v>812.182971516718</v>
      </c>
      <c r="AB41" s="13">
        <v>788.01412016119968</v>
      </c>
      <c r="AC41" s="13">
        <v>769.47354372957261</v>
      </c>
      <c r="AD41" s="13">
        <v>752.55938272611593</v>
      </c>
      <c r="AE41" s="13">
        <v>736.91388647047222</v>
      </c>
      <c r="AF41" s="13">
        <v>722.62180483851785</v>
      </c>
      <c r="AG41" s="13">
        <v>708.95931242337531</v>
      </c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2:67" x14ac:dyDescent="0.25">
      <c r="L42" s="338" t="str">
        <f>'Occ T3'!A44</f>
        <v xml:space="preserve"> 82 Transport and mobile machine drivers and operatives</v>
      </c>
      <c r="M42" s="13">
        <v>1251.2075495320041</v>
      </c>
      <c r="N42" s="13">
        <v>1237.7753910568877</v>
      </c>
      <c r="O42" s="13">
        <v>1218.6755797830349</v>
      </c>
      <c r="P42" s="13">
        <v>1178.3917184247789</v>
      </c>
      <c r="Q42" s="13">
        <v>1197.1339988913282</v>
      </c>
      <c r="R42" s="13">
        <v>1210.2822982778534</v>
      </c>
      <c r="S42" s="13">
        <v>1203.8256522121369</v>
      </c>
      <c r="T42" s="13">
        <v>1233.9428271034246</v>
      </c>
      <c r="U42" s="13">
        <v>1238.6343909913001</v>
      </c>
      <c r="V42" s="13">
        <v>1255.0915178545863</v>
      </c>
      <c r="W42" s="13">
        <v>1269.5914805445047</v>
      </c>
      <c r="X42" s="13">
        <v>1267.3854523377233</v>
      </c>
      <c r="Y42" s="13">
        <v>1266.0265738139719</v>
      </c>
      <c r="Z42" s="13">
        <v>1267.7817867361916</v>
      </c>
      <c r="AA42" s="13">
        <v>1263.5694361471824</v>
      </c>
      <c r="AB42" s="13">
        <v>1259.4122875888795</v>
      </c>
      <c r="AC42" s="13">
        <v>1261.1577096399933</v>
      </c>
      <c r="AD42" s="13">
        <v>1262.8819099487469</v>
      </c>
      <c r="AE42" s="13">
        <v>1264.1042802314728</v>
      </c>
      <c r="AF42" s="13">
        <v>1264.7248920780448</v>
      </c>
      <c r="AG42" s="13">
        <v>1265.1666013580495</v>
      </c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2:67" x14ac:dyDescent="0.25">
      <c r="L43" s="338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</row>
    <row r="44" spans="12:67" x14ac:dyDescent="0.25">
      <c r="L44" s="20" t="str">
        <f>'Occ T3'!A46</f>
        <v>Elementary occupations</v>
      </c>
      <c r="M44" s="339">
        <f t="shared" ref="M44:P44" si="16">SUM(M45:M46)</f>
        <v>4037.2173768727057</v>
      </c>
      <c r="N44" s="339">
        <f t="shared" si="16"/>
        <v>3991.4951427326064</v>
      </c>
      <c r="O44" s="339">
        <f t="shared" si="16"/>
        <v>3824.1451248208091</v>
      </c>
      <c r="P44" s="339">
        <f t="shared" si="16"/>
        <v>3685.0692562521735</v>
      </c>
      <c r="Q44" s="339">
        <f>SUM(Q45:Q46)</f>
        <v>3685.1270552613246</v>
      </c>
      <c r="R44" s="339">
        <f t="shared" ref="R44:AG44" si="17">SUM(R45:R46)</f>
        <v>3766.191835779171</v>
      </c>
      <c r="S44" s="339">
        <f t="shared" si="17"/>
        <v>3703.55496852636</v>
      </c>
      <c r="T44" s="339">
        <f t="shared" si="17"/>
        <v>3836.6235828270701</v>
      </c>
      <c r="U44" s="339">
        <f t="shared" si="17"/>
        <v>3874.958036306175</v>
      </c>
      <c r="V44" s="339">
        <f t="shared" si="17"/>
        <v>3932.6009801234341</v>
      </c>
      <c r="W44" s="339">
        <f t="shared" si="17"/>
        <v>3955.9931111444794</v>
      </c>
      <c r="X44" s="339">
        <f t="shared" si="17"/>
        <v>3952.0874560814732</v>
      </c>
      <c r="Y44" s="339">
        <f t="shared" si="17"/>
        <v>3950.4883229319025</v>
      </c>
      <c r="Z44" s="339">
        <f t="shared" si="17"/>
        <v>3958.1775898578403</v>
      </c>
      <c r="AA44" s="339">
        <f t="shared" si="17"/>
        <v>3951.803393352784</v>
      </c>
      <c r="AB44" s="339">
        <f t="shared" si="17"/>
        <v>3948.0409683519269</v>
      </c>
      <c r="AC44" s="339">
        <f t="shared" si="17"/>
        <v>3942.8377829883557</v>
      </c>
      <c r="AD44" s="339">
        <f t="shared" si="17"/>
        <v>3942.9530567692086</v>
      </c>
      <c r="AE44" s="339">
        <f t="shared" si="17"/>
        <v>3944.3504904479387</v>
      </c>
      <c r="AF44" s="339">
        <f t="shared" si="17"/>
        <v>3945.1955932598194</v>
      </c>
      <c r="AG44" s="339">
        <f t="shared" si="17"/>
        <v>3946.9512625272537</v>
      </c>
      <c r="AH44" s="339"/>
      <c r="AI44" s="339"/>
      <c r="AJ44" s="339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2:67" x14ac:dyDescent="0.25">
      <c r="L45" s="338" t="str">
        <f>'Occ T3'!A47</f>
        <v xml:space="preserve"> 91 Elementary trades and related occupations</v>
      </c>
      <c r="M45" s="13">
        <v>553.13527715257499</v>
      </c>
      <c r="N45" s="13">
        <v>545.90086148026774</v>
      </c>
      <c r="O45" s="13">
        <v>532.59232230247642</v>
      </c>
      <c r="P45" s="13">
        <v>517.69697437530169</v>
      </c>
      <c r="Q45" s="13">
        <v>517.57889599248892</v>
      </c>
      <c r="R45" s="13">
        <v>530.50403474238635</v>
      </c>
      <c r="S45" s="13">
        <v>519.38333512661177</v>
      </c>
      <c r="T45" s="13">
        <v>537.8832903305904</v>
      </c>
      <c r="U45" s="13">
        <v>542.69665031029649</v>
      </c>
      <c r="V45" s="13">
        <v>550.37681268743268</v>
      </c>
      <c r="W45" s="13">
        <v>555.13378958997748</v>
      </c>
      <c r="X45" s="13">
        <v>551.64048555631507</v>
      </c>
      <c r="Y45" s="13">
        <v>548.41771474058021</v>
      </c>
      <c r="Z45" s="13">
        <v>546.19624723311847</v>
      </c>
      <c r="AA45" s="13">
        <v>542.42561323256643</v>
      </c>
      <c r="AB45" s="13">
        <v>539.00070305465908</v>
      </c>
      <c r="AC45" s="13">
        <v>536.99534352802607</v>
      </c>
      <c r="AD45" s="13">
        <v>535.56129799553344</v>
      </c>
      <c r="AE45" s="13">
        <v>534.05335180568591</v>
      </c>
      <c r="AF45" s="13">
        <v>532.51588741675812</v>
      </c>
      <c r="AG45" s="13">
        <v>530.97531625291219</v>
      </c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2:67" x14ac:dyDescent="0.25">
      <c r="L46" s="338" t="str">
        <f>'Occ T3'!A48</f>
        <v xml:space="preserve"> 92 Elementary administration and service occupations</v>
      </c>
      <c r="M46" s="13">
        <v>3484.0820997201308</v>
      </c>
      <c r="N46" s="13">
        <v>3445.5942812523385</v>
      </c>
      <c r="O46" s="13">
        <v>3291.5528025183326</v>
      </c>
      <c r="P46" s="13">
        <v>3167.372281876872</v>
      </c>
      <c r="Q46" s="13">
        <v>3167.5481592688357</v>
      </c>
      <c r="R46" s="13">
        <v>3235.6878010367845</v>
      </c>
      <c r="S46" s="13">
        <v>3184.1716333997483</v>
      </c>
      <c r="T46" s="13">
        <v>3298.7402924964799</v>
      </c>
      <c r="U46" s="13">
        <v>3332.2613859958783</v>
      </c>
      <c r="V46" s="13">
        <v>3382.2241674360016</v>
      </c>
      <c r="W46" s="13">
        <v>3400.859321554502</v>
      </c>
      <c r="X46" s="13">
        <v>3400.4469705251581</v>
      </c>
      <c r="Y46" s="13">
        <v>3402.0706081913222</v>
      </c>
      <c r="Z46" s="13">
        <v>3411.9813426247219</v>
      </c>
      <c r="AA46" s="13">
        <v>3409.3777801202177</v>
      </c>
      <c r="AB46" s="13">
        <v>3409.040265297268</v>
      </c>
      <c r="AC46" s="13">
        <v>3405.8424394603294</v>
      </c>
      <c r="AD46" s="13">
        <v>3407.3917587736751</v>
      </c>
      <c r="AE46" s="13">
        <v>3410.2971386422528</v>
      </c>
      <c r="AF46" s="13">
        <v>3412.6797058430611</v>
      </c>
      <c r="AG46" s="13">
        <v>3415.9759462743414</v>
      </c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2:67" x14ac:dyDescent="0.25">
      <c r="L47" s="338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2:67" x14ac:dyDescent="0.25">
      <c r="L48" s="20" t="str">
        <f>'Occ T3'!A50</f>
        <v>All occupations</v>
      </c>
      <c r="M48" s="339">
        <f t="shared" ref="M48:P48" si="18">SUM(M5,M9,M15,M22,M26,M32,M36,M40,M44)</f>
        <v>31790.007000000074</v>
      </c>
      <c r="N48" s="339">
        <f t="shared" si="18"/>
        <v>32066.949999999943</v>
      </c>
      <c r="O48" s="339">
        <f t="shared" si="18"/>
        <v>31454.93599999982</v>
      </c>
      <c r="P48" s="339">
        <f t="shared" si="18"/>
        <v>31254.01699999988</v>
      </c>
      <c r="Q48" s="339">
        <f>SUM(Q5,Q9,Q15,Q22,Q26,Q32,Q36,Q40,Q44)</f>
        <v>31293.980000000029</v>
      </c>
      <c r="R48" s="339">
        <f t="shared" ref="R48:AG48" si="19">SUM(R5,R9,R15,R22,R26,R32,R36,R40,R44)</f>
        <v>31800.013000000261</v>
      </c>
      <c r="S48" s="339">
        <f t="shared" si="19"/>
        <v>31970.990000000005</v>
      </c>
      <c r="T48" s="339">
        <f t="shared" si="19"/>
        <v>33190.997999999912</v>
      </c>
      <c r="U48" s="339">
        <f t="shared" si="19"/>
        <v>33655.046999999919</v>
      </c>
      <c r="V48" s="339">
        <f t="shared" si="19"/>
        <v>34387.0249999999</v>
      </c>
      <c r="W48" s="339">
        <f t="shared" si="19"/>
        <v>34847.991999999991</v>
      </c>
      <c r="X48" s="339">
        <f t="shared" si="19"/>
        <v>34928.265999999916</v>
      </c>
      <c r="Y48" s="339">
        <f t="shared" si="19"/>
        <v>34997.401999999784</v>
      </c>
      <c r="Z48" s="339">
        <f t="shared" si="19"/>
        <v>35120.460999999872</v>
      </c>
      <c r="AA48" s="339">
        <f t="shared" si="19"/>
        <v>35171.926999999872</v>
      </c>
      <c r="AB48" s="339">
        <f t="shared" si="19"/>
        <v>35250.447999999968</v>
      </c>
      <c r="AC48" s="339">
        <f t="shared" si="19"/>
        <v>35359.640999999909</v>
      </c>
      <c r="AD48" s="339">
        <f t="shared" si="19"/>
        <v>35478.09300000003</v>
      </c>
      <c r="AE48" s="339">
        <f t="shared" si="19"/>
        <v>35597.110999999844</v>
      </c>
      <c r="AF48" s="339">
        <f t="shared" si="19"/>
        <v>35711.845999999867</v>
      </c>
      <c r="AG48" s="339">
        <f t="shared" si="19"/>
        <v>35820.953000000147</v>
      </c>
      <c r="AH48" s="339"/>
      <c r="AI48" s="339"/>
      <c r="AJ48" s="339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3" x14ac:dyDescent="0.25">
      <c r="L49" s="338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</row>
    <row r="50" spans="1:53" x14ac:dyDescent="0.25">
      <c r="L50" s="1" t="s">
        <v>61</v>
      </c>
      <c r="M50" s="59">
        <v>2007</v>
      </c>
      <c r="N50" s="59">
        <v>2008</v>
      </c>
      <c r="O50" s="59">
        <v>2009</v>
      </c>
      <c r="P50" s="59">
        <v>2010</v>
      </c>
      <c r="Q50" s="59">
        <v>2011</v>
      </c>
      <c r="R50" s="59">
        <v>2012</v>
      </c>
      <c r="S50" s="59">
        <v>2013</v>
      </c>
      <c r="T50" s="59">
        <v>2014</v>
      </c>
      <c r="U50" s="59">
        <v>2015</v>
      </c>
      <c r="V50" s="59">
        <v>2016</v>
      </c>
      <c r="W50" s="59">
        <v>2017</v>
      </c>
      <c r="X50" s="59">
        <v>2018</v>
      </c>
      <c r="Y50" s="59">
        <v>2019</v>
      </c>
      <c r="Z50" s="59">
        <v>2020</v>
      </c>
      <c r="AA50" s="59">
        <v>2021</v>
      </c>
      <c r="AB50" s="59">
        <v>2022</v>
      </c>
      <c r="AC50" s="59">
        <v>2023</v>
      </c>
      <c r="AD50" s="59">
        <v>2024</v>
      </c>
      <c r="AE50" s="59">
        <v>2025</v>
      </c>
      <c r="AF50" s="59">
        <v>2026</v>
      </c>
      <c r="AG50" s="59">
        <v>2027</v>
      </c>
      <c r="AH50" s="13"/>
      <c r="AI50" s="13"/>
      <c r="AJ50" s="13"/>
      <c r="AK50" s="13"/>
      <c r="AL50" s="13"/>
    </row>
    <row r="51" spans="1:53" x14ac:dyDescent="0.25">
      <c r="L51" s="20" t="str">
        <f>'Occ T3'!A7</f>
        <v>Managers, directors and senior officials</v>
      </c>
      <c r="M51" s="484">
        <f>M5/M$48</f>
        <v>8.7312727693846751E-2</v>
      </c>
      <c r="N51" s="484">
        <f t="shared" ref="N51:AG51" si="20">N5/N$48</f>
        <v>9.0291191730310888E-2</v>
      </c>
      <c r="O51" s="484">
        <f t="shared" si="20"/>
        <v>9.0694582320649586E-2</v>
      </c>
      <c r="P51" s="484">
        <f t="shared" si="20"/>
        <v>9.1627714428927462E-2</v>
      </c>
      <c r="Q51" s="484">
        <f t="shared" si="20"/>
        <v>9.3111936541044479E-2</v>
      </c>
      <c r="R51" s="484">
        <f t="shared" si="20"/>
        <v>9.5690377478431274E-2</v>
      </c>
      <c r="S51" s="484">
        <f t="shared" si="20"/>
        <v>9.6795420884430633E-2</v>
      </c>
      <c r="T51" s="484">
        <f t="shared" si="20"/>
        <v>9.8489900918134629E-2</v>
      </c>
      <c r="U51" s="484">
        <f t="shared" si="20"/>
        <v>9.9514359771036037E-2</v>
      </c>
      <c r="V51" s="484">
        <f t="shared" si="20"/>
        <v>0.10092091981266497</v>
      </c>
      <c r="W51" s="484">
        <f t="shared" si="20"/>
        <v>0.10234232023377979</v>
      </c>
      <c r="X51" s="484">
        <f t="shared" si="20"/>
        <v>0.10337831816464502</v>
      </c>
      <c r="Y51" s="484">
        <f t="shared" si="20"/>
        <v>0.10444958624055177</v>
      </c>
      <c r="Z51" s="484">
        <f t="shared" si="20"/>
        <v>0.10549903195419807</v>
      </c>
      <c r="AA51" s="484">
        <f t="shared" si="20"/>
        <v>0.10661524483635292</v>
      </c>
      <c r="AB51" s="484">
        <f t="shared" si="20"/>
        <v>0.10773457457549537</v>
      </c>
      <c r="AC51" s="484">
        <f t="shared" si="20"/>
        <v>0.10865226300966412</v>
      </c>
      <c r="AD51" s="484">
        <f t="shared" si="20"/>
        <v>0.10952595260855957</v>
      </c>
      <c r="AE51" s="484">
        <f t="shared" si="20"/>
        <v>0.11034468274888222</v>
      </c>
      <c r="AF51" s="484">
        <f t="shared" si="20"/>
        <v>0.11111202679948777</v>
      </c>
      <c r="AG51" s="484">
        <f t="shared" si="20"/>
        <v>0.11180527251626345</v>
      </c>
      <c r="AH51" s="245"/>
      <c r="AI51" s="245"/>
      <c r="AJ51" s="245"/>
      <c r="AK51" s="245"/>
      <c r="AL51" s="245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</row>
    <row r="52" spans="1:53" x14ac:dyDescent="0.25">
      <c r="L52" s="338" t="str">
        <f>'Occ T3'!A8</f>
        <v xml:space="preserve"> 11 Corporate managers and directors</v>
      </c>
      <c r="M52" s="483">
        <f t="shared" ref="M52:AG52" si="21">M6/M$48</f>
        <v>6.1650192703891236E-2</v>
      </c>
      <c r="N52" s="483">
        <f t="shared" si="21"/>
        <v>6.3777479583793956E-2</v>
      </c>
      <c r="O52" s="483">
        <f t="shared" si="21"/>
        <v>6.435982007514135E-2</v>
      </c>
      <c r="P52" s="483">
        <f t="shared" si="21"/>
        <v>6.4331046267917691E-2</v>
      </c>
      <c r="Q52" s="483">
        <f t="shared" si="21"/>
        <v>6.5397712146332582E-2</v>
      </c>
      <c r="R52" s="483">
        <f t="shared" si="21"/>
        <v>6.655466057777723E-2</v>
      </c>
      <c r="S52" s="483">
        <f t="shared" si="21"/>
        <v>6.786114157063422E-2</v>
      </c>
      <c r="T52" s="483">
        <f t="shared" si="21"/>
        <v>6.906823568387209E-2</v>
      </c>
      <c r="U52" s="483">
        <f t="shared" si="21"/>
        <v>7.0301632720970744E-2</v>
      </c>
      <c r="V52" s="483">
        <f t="shared" si="21"/>
        <v>7.1300143642286887E-2</v>
      </c>
      <c r="W52" s="483">
        <f t="shared" si="21"/>
        <v>7.2486256227126483E-2</v>
      </c>
      <c r="X52" s="483">
        <f t="shared" si="21"/>
        <v>7.3340842348529167E-2</v>
      </c>
      <c r="Y52" s="483">
        <f t="shared" si="21"/>
        <v>7.4202540684810914E-2</v>
      </c>
      <c r="Z52" s="483">
        <f t="shared" si="21"/>
        <v>7.5045525305745403E-2</v>
      </c>
      <c r="AA52" s="483">
        <f t="shared" si="21"/>
        <v>7.5928085063480755E-2</v>
      </c>
      <c r="AB52" s="483">
        <f t="shared" si="21"/>
        <v>7.6797390480887753E-2</v>
      </c>
      <c r="AC52" s="483">
        <f t="shared" si="21"/>
        <v>7.7600451163644918E-2</v>
      </c>
      <c r="AD52" s="483">
        <f t="shared" si="21"/>
        <v>7.8349636376403839E-2</v>
      </c>
      <c r="AE52" s="483">
        <f t="shared" si="21"/>
        <v>7.9044842907629032E-2</v>
      </c>
      <c r="AF52" s="483">
        <f t="shared" si="21"/>
        <v>7.9682053583716272E-2</v>
      </c>
      <c r="AG52" s="483">
        <f t="shared" si="21"/>
        <v>8.0256562676279425E-2</v>
      </c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</row>
    <row r="53" spans="1:53" x14ac:dyDescent="0.25">
      <c r="L53" s="338" t="str">
        <f>'Occ T3'!A9</f>
        <v xml:space="preserve"> 12 Other managers and proprietors</v>
      </c>
      <c r="M53" s="483">
        <f t="shared" ref="M53:AG53" si="22">M7/M$48</f>
        <v>2.5662534989955521E-2</v>
      </c>
      <c r="N53" s="483">
        <f t="shared" si="22"/>
        <v>2.6513712146516936E-2</v>
      </c>
      <c r="O53" s="483">
        <f t="shared" si="22"/>
        <v>2.6334762245508233E-2</v>
      </c>
      <c r="P53" s="483">
        <f t="shared" si="22"/>
        <v>2.7296668161009761E-2</v>
      </c>
      <c r="Q53" s="483">
        <f t="shared" si="22"/>
        <v>2.7714224394711894E-2</v>
      </c>
      <c r="R53" s="483">
        <f t="shared" si="22"/>
        <v>2.9135716900654036E-2</v>
      </c>
      <c r="S53" s="483">
        <f t="shared" si="22"/>
        <v>2.8934279313796406E-2</v>
      </c>
      <c r="T53" s="483">
        <f t="shared" si="22"/>
        <v>2.9421665234262546E-2</v>
      </c>
      <c r="U53" s="483">
        <f t="shared" si="22"/>
        <v>2.9212727050065283E-2</v>
      </c>
      <c r="V53" s="483">
        <f t="shared" si="22"/>
        <v>2.9620776170378095E-2</v>
      </c>
      <c r="W53" s="483">
        <f t="shared" si="22"/>
        <v>2.9856064006653291E-2</v>
      </c>
      <c r="X53" s="483">
        <f t="shared" si="22"/>
        <v>3.0037475816115853E-2</v>
      </c>
      <c r="Y53" s="483">
        <f t="shared" si="22"/>
        <v>3.0247045555740867E-2</v>
      </c>
      <c r="Z53" s="483">
        <f t="shared" si="22"/>
        <v>3.0453506648452672E-2</v>
      </c>
      <c r="AA53" s="483">
        <f t="shared" si="22"/>
        <v>3.0687159772872161E-2</v>
      </c>
      <c r="AB53" s="483">
        <f t="shared" si="22"/>
        <v>3.0937184094607613E-2</v>
      </c>
      <c r="AC53" s="483">
        <f t="shared" si="22"/>
        <v>3.1051811846019198E-2</v>
      </c>
      <c r="AD53" s="483">
        <f t="shared" si="22"/>
        <v>3.1176316232155742E-2</v>
      </c>
      <c r="AE53" s="483">
        <f t="shared" si="22"/>
        <v>3.1299839841253181E-2</v>
      </c>
      <c r="AF53" s="483">
        <f t="shared" si="22"/>
        <v>3.1429973215771498E-2</v>
      </c>
      <c r="AG53" s="483">
        <f t="shared" si="22"/>
        <v>3.1548709839984021E-2</v>
      </c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</row>
    <row r="54" spans="1:53" x14ac:dyDescent="0.25">
      <c r="L54" s="338"/>
      <c r="M54" s="483"/>
      <c r="N54" s="483"/>
      <c r="O54" s="483"/>
      <c r="P54" s="483"/>
      <c r="Q54" s="483"/>
      <c r="R54" s="483"/>
      <c r="S54" s="483"/>
      <c r="T54" s="483"/>
      <c r="U54" s="483"/>
      <c r="V54" s="483"/>
      <c r="W54" s="483"/>
      <c r="X54" s="483"/>
      <c r="Y54" s="483"/>
      <c r="Z54" s="483"/>
      <c r="AA54" s="483"/>
      <c r="AB54" s="483"/>
      <c r="AC54" s="483"/>
      <c r="AD54" s="483"/>
      <c r="AE54" s="483"/>
      <c r="AF54" s="483"/>
      <c r="AG54" s="48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</row>
    <row r="55" spans="1:53" x14ac:dyDescent="0.25">
      <c r="L55" s="20" t="str">
        <f>'Occ T3'!A11</f>
        <v>Professional occupations</v>
      </c>
      <c r="M55" s="484">
        <f t="shared" ref="M55:AG55" si="23">M9/M$48</f>
        <v>0.17068419467860521</v>
      </c>
      <c r="N55" s="484">
        <f t="shared" si="23"/>
        <v>0.17395282622881664</v>
      </c>
      <c r="O55" s="484">
        <f t="shared" si="23"/>
        <v>0.18049213797403044</v>
      </c>
      <c r="P55" s="484">
        <f t="shared" si="23"/>
        <v>0.18086293026521169</v>
      </c>
      <c r="Q55" s="484">
        <f t="shared" si="23"/>
        <v>0.18236079254611173</v>
      </c>
      <c r="R55" s="484">
        <f t="shared" si="23"/>
        <v>0.18370826834804235</v>
      </c>
      <c r="S55" s="484">
        <f t="shared" si="23"/>
        <v>0.18810833369128865</v>
      </c>
      <c r="T55" s="484">
        <f t="shared" si="23"/>
        <v>0.19013927077525536</v>
      </c>
      <c r="U55" s="484">
        <f t="shared" si="23"/>
        <v>0.19314247271785512</v>
      </c>
      <c r="V55" s="484">
        <f t="shared" si="23"/>
        <v>0.19513493336568108</v>
      </c>
      <c r="W55" s="484">
        <f t="shared" si="23"/>
        <v>0.19724212053779672</v>
      </c>
      <c r="X55" s="484">
        <f t="shared" si="23"/>
        <v>0.19891932906040521</v>
      </c>
      <c r="Y55" s="484">
        <f t="shared" si="23"/>
        <v>0.20046404476332932</v>
      </c>
      <c r="Z55" s="484">
        <f t="shared" si="23"/>
        <v>0.20207035578225524</v>
      </c>
      <c r="AA55" s="484">
        <f t="shared" si="23"/>
        <v>0.20420588369321666</v>
      </c>
      <c r="AB55" s="484">
        <f t="shared" si="23"/>
        <v>0.20638887085564592</v>
      </c>
      <c r="AC55" s="484">
        <f t="shared" si="23"/>
        <v>0.20834269396258487</v>
      </c>
      <c r="AD55" s="484">
        <f t="shared" si="23"/>
        <v>0.21014990493507951</v>
      </c>
      <c r="AE55" s="484">
        <f t="shared" si="23"/>
        <v>0.21183672769456641</v>
      </c>
      <c r="AF55" s="484">
        <f t="shared" si="23"/>
        <v>0.21338341309553308</v>
      </c>
      <c r="AG55" s="484">
        <f t="shared" si="23"/>
        <v>0.21480776582543407</v>
      </c>
      <c r="AH55" s="13"/>
      <c r="AI55" s="13"/>
      <c r="AJ55" s="13"/>
      <c r="AK55" s="13"/>
      <c r="AL55" s="13"/>
    </row>
    <row r="56" spans="1:53" x14ac:dyDescent="0.25">
      <c r="L56" s="338" t="str">
        <f>'Occ T3'!A12</f>
        <v xml:space="preserve"> 21 Science, research, engineering and technology professionals</v>
      </c>
      <c r="M56" s="483">
        <f t="shared" ref="M56:AG56" si="24">M10/M$48</f>
        <v>4.1178472368880524E-2</v>
      </c>
      <c r="N56" s="483">
        <f t="shared" si="24"/>
        <v>4.2148276191565678E-2</v>
      </c>
      <c r="O56" s="483">
        <f t="shared" si="24"/>
        <v>4.3910051332637999E-2</v>
      </c>
      <c r="P56" s="483">
        <f t="shared" si="24"/>
        <v>4.5130568769129444E-2</v>
      </c>
      <c r="Q56" s="483">
        <f t="shared" si="24"/>
        <v>4.5784100766402457E-2</v>
      </c>
      <c r="R56" s="483">
        <f t="shared" si="24"/>
        <v>4.6270422653700877E-2</v>
      </c>
      <c r="S56" s="483">
        <f t="shared" si="24"/>
        <v>4.7635821086602394E-2</v>
      </c>
      <c r="T56" s="483">
        <f t="shared" si="24"/>
        <v>4.8127248476992943E-2</v>
      </c>
      <c r="U56" s="483">
        <f t="shared" si="24"/>
        <v>4.9092504765868773E-2</v>
      </c>
      <c r="V56" s="483">
        <f t="shared" si="24"/>
        <v>4.9588880804114124E-2</v>
      </c>
      <c r="W56" s="483">
        <f t="shared" si="24"/>
        <v>5.0334129366011747E-2</v>
      </c>
      <c r="X56" s="483">
        <f t="shared" si="24"/>
        <v>5.0686998042244025E-2</v>
      </c>
      <c r="Y56" s="483">
        <f t="shared" si="24"/>
        <v>5.1065366348517646E-2</v>
      </c>
      <c r="Z56" s="483">
        <f t="shared" si="24"/>
        <v>5.1433343566519206E-2</v>
      </c>
      <c r="AA56" s="483">
        <f t="shared" si="24"/>
        <v>5.1777043881806713E-2</v>
      </c>
      <c r="AB56" s="483">
        <f t="shared" si="24"/>
        <v>5.2114761795063524E-2</v>
      </c>
      <c r="AC56" s="483">
        <f t="shared" si="24"/>
        <v>5.240582562836351E-2</v>
      </c>
      <c r="AD56" s="483">
        <f t="shared" si="24"/>
        <v>5.2683562059671049E-2</v>
      </c>
      <c r="AE56" s="483">
        <f t="shared" si="24"/>
        <v>5.2945203266927039E-2</v>
      </c>
      <c r="AF56" s="483">
        <f t="shared" si="24"/>
        <v>5.3193023304468227E-2</v>
      </c>
      <c r="AG56" s="483">
        <f t="shared" si="24"/>
        <v>5.3418717614399064E-2</v>
      </c>
      <c r="AH56" s="245"/>
      <c r="AI56" s="245"/>
      <c r="AJ56" s="245"/>
      <c r="AK56" s="245"/>
      <c r="AL56" s="245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</row>
    <row r="57" spans="1:53" x14ac:dyDescent="0.25">
      <c r="L57" s="338" t="str">
        <f>'Occ T3'!A13</f>
        <v xml:space="preserve"> 22 Health professionals</v>
      </c>
      <c r="M57" s="483">
        <f t="shared" ref="M57:AG57" si="25">M11/M$48</f>
        <v>3.8807831347337784E-2</v>
      </c>
      <c r="N57" s="483">
        <f t="shared" si="25"/>
        <v>3.9515715235651498E-2</v>
      </c>
      <c r="O57" s="483">
        <f t="shared" si="25"/>
        <v>4.1002473169022183E-2</v>
      </c>
      <c r="P57" s="483">
        <f t="shared" si="25"/>
        <v>4.072385160745437E-2</v>
      </c>
      <c r="Q57" s="483">
        <f t="shared" si="25"/>
        <v>4.1221222309174563E-2</v>
      </c>
      <c r="R57" s="483">
        <f t="shared" si="25"/>
        <v>4.1226070776828889E-2</v>
      </c>
      <c r="S57" s="483">
        <f t="shared" si="25"/>
        <v>4.2601037752971908E-2</v>
      </c>
      <c r="T57" s="483">
        <f t="shared" si="25"/>
        <v>4.3070229965717785E-2</v>
      </c>
      <c r="U57" s="483">
        <f t="shared" si="25"/>
        <v>4.3478490098308016E-2</v>
      </c>
      <c r="V57" s="483">
        <f t="shared" si="25"/>
        <v>4.3914348274873574E-2</v>
      </c>
      <c r="W57" s="483">
        <f t="shared" si="25"/>
        <v>4.4278043115644976E-2</v>
      </c>
      <c r="X57" s="483">
        <f t="shared" si="25"/>
        <v>4.4942081015784612E-2</v>
      </c>
      <c r="Y57" s="483">
        <f t="shared" si="25"/>
        <v>4.5366797091636844E-2</v>
      </c>
      <c r="Z57" s="483">
        <f t="shared" si="25"/>
        <v>4.574750435257869E-2</v>
      </c>
      <c r="AA57" s="483">
        <f t="shared" si="25"/>
        <v>4.6394822012868084E-2</v>
      </c>
      <c r="AB57" s="483">
        <f t="shared" si="25"/>
        <v>4.7049744158618012E-2</v>
      </c>
      <c r="AC57" s="483">
        <f t="shared" si="25"/>
        <v>4.7610569725669336E-2</v>
      </c>
      <c r="AD57" s="483">
        <f t="shared" si="25"/>
        <v>4.8146012436731639E-2</v>
      </c>
      <c r="AE57" s="483">
        <f t="shared" si="25"/>
        <v>4.8635517445200942E-2</v>
      </c>
      <c r="AF57" s="483">
        <f t="shared" si="25"/>
        <v>4.9076458443501732E-2</v>
      </c>
      <c r="AG57" s="483">
        <f t="shared" si="25"/>
        <v>4.9507688457687889E-2</v>
      </c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</row>
    <row r="58" spans="1:53" ht="15.6" x14ac:dyDescent="0.3">
      <c r="A58" s="103" t="str">
        <f>CONCATENATE("Occupation Figure 2.1  Employment by Occupation (% shares), ",$M$2,"-",$O$2)</f>
        <v>Occupation Figure 2.1  Employment by Occupation (% shares), 2007-2027</v>
      </c>
      <c r="L58" s="338" t="str">
        <f>'Occ T3'!A14</f>
        <v xml:space="preserve"> 23 Teaching and educational professionals</v>
      </c>
      <c r="M58" s="483">
        <f t="shared" ref="M58:AG58" si="26">M12/M$48</f>
        <v>4.4635956251038417E-2</v>
      </c>
      <c r="N58" s="483">
        <f t="shared" si="26"/>
        <v>4.5134363682524797E-2</v>
      </c>
      <c r="O58" s="483">
        <f t="shared" si="26"/>
        <v>4.5367119408694825E-2</v>
      </c>
      <c r="P58" s="483">
        <f t="shared" si="26"/>
        <v>4.6468211581564133E-2</v>
      </c>
      <c r="Q58" s="483">
        <f t="shared" si="26"/>
        <v>4.6794021327067122E-2</v>
      </c>
      <c r="R58" s="483">
        <f t="shared" si="26"/>
        <v>4.7022182622499659E-2</v>
      </c>
      <c r="S58" s="483">
        <f t="shared" si="26"/>
        <v>4.7595794960379849E-2</v>
      </c>
      <c r="T58" s="483">
        <f t="shared" si="26"/>
        <v>4.8180921089851898E-2</v>
      </c>
      <c r="U58" s="483">
        <f t="shared" si="26"/>
        <v>4.8930346567558049E-2</v>
      </c>
      <c r="V58" s="483">
        <f t="shared" si="26"/>
        <v>4.9217525799304919E-2</v>
      </c>
      <c r="W58" s="483">
        <f t="shared" si="26"/>
        <v>4.9378435409684694E-2</v>
      </c>
      <c r="X58" s="483">
        <f t="shared" si="26"/>
        <v>4.9403474601721092E-2</v>
      </c>
      <c r="Y58" s="483">
        <f t="shared" si="26"/>
        <v>4.9522191860162518E-2</v>
      </c>
      <c r="Z58" s="483">
        <f t="shared" si="26"/>
        <v>4.9756757276496623E-2</v>
      </c>
      <c r="AA58" s="483">
        <f t="shared" si="26"/>
        <v>5.0245240129172128E-2</v>
      </c>
      <c r="AB58" s="483">
        <f t="shared" si="26"/>
        <v>5.0766538934872409E-2</v>
      </c>
      <c r="AC58" s="483">
        <f t="shared" si="26"/>
        <v>5.1529825076755381E-2</v>
      </c>
      <c r="AD58" s="483">
        <f t="shared" si="26"/>
        <v>5.2215556859075508E-2</v>
      </c>
      <c r="AE58" s="483">
        <f t="shared" si="26"/>
        <v>5.2843523678898191E-2</v>
      </c>
      <c r="AF58" s="483">
        <f t="shared" si="26"/>
        <v>5.3422687027032359E-2</v>
      </c>
      <c r="AG58" s="483">
        <f t="shared" si="26"/>
        <v>5.3959526107567768E-2</v>
      </c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</row>
    <row r="59" spans="1:53" x14ac:dyDescent="0.25">
      <c r="L59" s="338" t="str">
        <f>'Occ T3'!A15</f>
        <v xml:space="preserve"> 24 Business, media and public service professionals</v>
      </c>
      <c r="M59" s="483">
        <f t="shared" ref="M59:AG59" si="27">M13/M$48</f>
        <v>4.60619347113485E-2</v>
      </c>
      <c r="N59" s="483">
        <f t="shared" si="27"/>
        <v>4.715447111907467E-2</v>
      </c>
      <c r="O59" s="483">
        <f t="shared" si="27"/>
        <v>5.0212494063675464E-2</v>
      </c>
      <c r="P59" s="483">
        <f t="shared" si="27"/>
        <v>4.8540298307063731E-2</v>
      </c>
      <c r="Q59" s="483">
        <f t="shared" si="27"/>
        <v>4.8561448143467592E-2</v>
      </c>
      <c r="R59" s="483">
        <f t="shared" si="27"/>
        <v>4.9189592295012921E-2</v>
      </c>
      <c r="S59" s="483">
        <f t="shared" si="27"/>
        <v>5.0275679891334517E-2</v>
      </c>
      <c r="T59" s="483">
        <f t="shared" si="27"/>
        <v>5.0760871242692747E-2</v>
      </c>
      <c r="U59" s="483">
        <f t="shared" si="27"/>
        <v>5.1641131286120252E-2</v>
      </c>
      <c r="V59" s="483">
        <f t="shared" si="27"/>
        <v>5.2414178487388441E-2</v>
      </c>
      <c r="W59" s="483">
        <f t="shared" si="27"/>
        <v>5.3251512646455293E-2</v>
      </c>
      <c r="X59" s="483">
        <f t="shared" si="27"/>
        <v>5.3886775400655514E-2</v>
      </c>
      <c r="Y59" s="483">
        <f t="shared" si="27"/>
        <v>5.4509689463012316E-2</v>
      </c>
      <c r="Z59" s="483">
        <f t="shared" si="27"/>
        <v>5.51327505866607E-2</v>
      </c>
      <c r="AA59" s="483">
        <f t="shared" si="27"/>
        <v>5.5788777669369738E-2</v>
      </c>
      <c r="AB59" s="483">
        <f t="shared" si="27"/>
        <v>5.6457825967091993E-2</v>
      </c>
      <c r="AC59" s="483">
        <f t="shared" si="27"/>
        <v>5.6796473531796621E-2</v>
      </c>
      <c r="AD59" s="483">
        <f t="shared" si="27"/>
        <v>5.7104773579601337E-2</v>
      </c>
      <c r="AE59" s="483">
        <f t="shared" si="27"/>
        <v>5.7412483303540256E-2</v>
      </c>
      <c r="AF59" s="483">
        <f t="shared" si="27"/>
        <v>5.7691244320530785E-2</v>
      </c>
      <c r="AG59" s="483">
        <f t="shared" si="27"/>
        <v>5.7921833645779353E-2</v>
      </c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</row>
    <row r="60" spans="1:53" x14ac:dyDescent="0.25">
      <c r="L60" s="338"/>
      <c r="M60" s="483"/>
      <c r="N60" s="483"/>
      <c r="O60" s="483"/>
      <c r="P60" s="483"/>
      <c r="Q60" s="483"/>
      <c r="R60" s="483"/>
      <c r="S60" s="483"/>
      <c r="T60" s="483"/>
      <c r="U60" s="483"/>
      <c r="V60" s="483"/>
      <c r="W60" s="483"/>
      <c r="X60" s="483"/>
      <c r="Y60" s="483"/>
      <c r="Z60" s="483"/>
      <c r="AA60" s="483"/>
      <c r="AB60" s="483"/>
      <c r="AC60" s="483"/>
      <c r="AD60" s="483"/>
      <c r="AE60" s="483"/>
      <c r="AF60" s="483"/>
      <c r="AG60" s="48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</row>
    <row r="61" spans="1:53" x14ac:dyDescent="0.25">
      <c r="L61" s="20" t="str">
        <f>'Occ T3'!A17</f>
        <v>Associate professional and technical</v>
      </c>
      <c r="M61" s="484">
        <f t="shared" ref="M61:AG61" si="28">M15/M$48</f>
        <v>0.131871281173188</v>
      </c>
      <c r="N61" s="484">
        <f t="shared" si="28"/>
        <v>0.13413023347999142</v>
      </c>
      <c r="O61" s="484">
        <f t="shared" si="28"/>
        <v>0.13330056041364627</v>
      </c>
      <c r="P61" s="484">
        <f t="shared" si="28"/>
        <v>0.13145555089859862</v>
      </c>
      <c r="Q61" s="484">
        <f t="shared" si="28"/>
        <v>0.13234707262130091</v>
      </c>
      <c r="R61" s="484">
        <f t="shared" si="28"/>
        <v>0.13350268347094177</v>
      </c>
      <c r="S61" s="484">
        <f t="shared" si="28"/>
        <v>0.13551099915644027</v>
      </c>
      <c r="T61" s="484">
        <f t="shared" si="28"/>
        <v>0.13634598246218016</v>
      </c>
      <c r="U61" s="484">
        <f t="shared" si="28"/>
        <v>0.13751863337892328</v>
      </c>
      <c r="V61" s="484">
        <f t="shared" si="28"/>
        <v>0.13866831704895538</v>
      </c>
      <c r="W61" s="484">
        <f t="shared" si="28"/>
        <v>0.14016255748457632</v>
      </c>
      <c r="X61" s="484">
        <f t="shared" si="28"/>
        <v>0.14125260708768334</v>
      </c>
      <c r="Y61" s="484">
        <f t="shared" si="28"/>
        <v>0.14227387854153692</v>
      </c>
      <c r="Z61" s="484">
        <f t="shared" si="28"/>
        <v>0.14327402936929898</v>
      </c>
      <c r="AA61" s="484">
        <f t="shared" si="28"/>
        <v>0.14429948263542655</v>
      </c>
      <c r="AB61" s="484">
        <f t="shared" si="28"/>
        <v>0.14533564367731702</v>
      </c>
      <c r="AC61" s="484">
        <f t="shared" si="28"/>
        <v>0.14600342241684561</v>
      </c>
      <c r="AD61" s="484">
        <f t="shared" si="28"/>
        <v>0.14663986266335102</v>
      </c>
      <c r="AE61" s="484">
        <f t="shared" si="28"/>
        <v>0.14721472563737328</v>
      </c>
      <c r="AF61" s="484">
        <f t="shared" si="28"/>
        <v>0.14774619773666595</v>
      </c>
      <c r="AG61" s="484">
        <f t="shared" si="28"/>
        <v>0.14822391686234759</v>
      </c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</row>
    <row r="62" spans="1:53" x14ac:dyDescent="0.25">
      <c r="L62" s="338" t="str">
        <f>'Occ T3'!A18</f>
        <v xml:space="preserve"> 31 Science, engineering and technology associate professionals</v>
      </c>
      <c r="M62" s="483">
        <f t="shared" ref="M62:AG62" si="29">M16/M$48</f>
        <v>1.9177217305537092E-2</v>
      </c>
      <c r="N62" s="483">
        <f t="shared" si="29"/>
        <v>1.8982519286670326E-2</v>
      </c>
      <c r="O62" s="483">
        <f t="shared" si="29"/>
        <v>1.9485986052518289E-2</v>
      </c>
      <c r="P62" s="483">
        <f t="shared" si="29"/>
        <v>1.8982574087047576E-2</v>
      </c>
      <c r="Q62" s="483">
        <f t="shared" si="29"/>
        <v>1.8930284357853482E-2</v>
      </c>
      <c r="R62" s="483">
        <f t="shared" si="29"/>
        <v>1.8850214258293883E-2</v>
      </c>
      <c r="S62" s="483">
        <f t="shared" si="29"/>
        <v>1.9017780943062779E-2</v>
      </c>
      <c r="T62" s="483">
        <f t="shared" si="29"/>
        <v>1.8982926016138112E-2</v>
      </c>
      <c r="U62" s="483">
        <f t="shared" si="29"/>
        <v>1.9194787335455148E-2</v>
      </c>
      <c r="V62" s="483">
        <f t="shared" si="29"/>
        <v>1.9169489052523532E-2</v>
      </c>
      <c r="W62" s="483">
        <f t="shared" si="29"/>
        <v>1.9259368569786793E-2</v>
      </c>
      <c r="X62" s="483">
        <f t="shared" si="29"/>
        <v>1.9217631834274624E-2</v>
      </c>
      <c r="Y62" s="483">
        <f t="shared" si="29"/>
        <v>1.9191047507376123E-2</v>
      </c>
      <c r="Z62" s="483">
        <f t="shared" si="29"/>
        <v>1.9166873634568777E-2</v>
      </c>
      <c r="AA62" s="483">
        <f t="shared" si="29"/>
        <v>1.9138036699177706E-2</v>
      </c>
      <c r="AB62" s="483">
        <f t="shared" si="29"/>
        <v>1.9110976376261218E-2</v>
      </c>
      <c r="AC62" s="483">
        <f t="shared" si="29"/>
        <v>1.9095429645262559E-2</v>
      </c>
      <c r="AD62" s="483">
        <f t="shared" si="29"/>
        <v>1.9070797160532185E-2</v>
      </c>
      <c r="AE62" s="483">
        <f t="shared" si="29"/>
        <v>1.9043938103911865E-2</v>
      </c>
      <c r="AF62" s="483">
        <f t="shared" si="29"/>
        <v>1.9014175648692084E-2</v>
      </c>
      <c r="AG62" s="483">
        <f t="shared" si="29"/>
        <v>1.8986473619183295E-2</v>
      </c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</row>
    <row r="63" spans="1:53" x14ac:dyDescent="0.25">
      <c r="L63" s="338" t="str">
        <f>'Occ T3'!A19</f>
        <v xml:space="preserve"> 32 Health and social care associate professionals</v>
      </c>
      <c r="M63" s="483">
        <f t="shared" ref="M63:AG63" si="30">M17/M$48</f>
        <v>1.3156662022348067E-2</v>
      </c>
      <c r="N63" s="483">
        <f t="shared" si="30"/>
        <v>1.3190307093372619E-2</v>
      </c>
      <c r="O63" s="483">
        <f t="shared" si="30"/>
        <v>1.3625158246457337E-2</v>
      </c>
      <c r="P63" s="483">
        <f t="shared" si="30"/>
        <v>1.3833896069818528E-2</v>
      </c>
      <c r="Q63" s="483">
        <f t="shared" si="30"/>
        <v>1.3955167075728357E-2</v>
      </c>
      <c r="R63" s="483">
        <f t="shared" si="30"/>
        <v>1.4021553033216611E-2</v>
      </c>
      <c r="S63" s="483">
        <f t="shared" si="30"/>
        <v>1.4502714715609131E-2</v>
      </c>
      <c r="T63" s="483">
        <f t="shared" si="30"/>
        <v>1.4745933997889211E-2</v>
      </c>
      <c r="U63" s="483">
        <f t="shared" si="30"/>
        <v>1.4887583196330854E-2</v>
      </c>
      <c r="V63" s="483">
        <f t="shared" si="30"/>
        <v>1.5047243885955065E-2</v>
      </c>
      <c r="W63" s="483">
        <f t="shared" si="30"/>
        <v>1.520553562830089E-2</v>
      </c>
      <c r="X63" s="483">
        <f t="shared" si="30"/>
        <v>1.5452718928489763E-2</v>
      </c>
      <c r="Y63" s="483">
        <f t="shared" si="30"/>
        <v>1.5616693295074015E-2</v>
      </c>
      <c r="Z63" s="483">
        <f t="shared" si="30"/>
        <v>1.5763422495391966E-2</v>
      </c>
      <c r="AA63" s="483">
        <f t="shared" si="30"/>
        <v>1.5995875736623113E-2</v>
      </c>
      <c r="AB63" s="483">
        <f t="shared" si="30"/>
        <v>1.6232271941623019E-2</v>
      </c>
      <c r="AC63" s="483">
        <f t="shared" si="30"/>
        <v>1.6423854058579032E-2</v>
      </c>
      <c r="AD63" s="483">
        <f t="shared" si="30"/>
        <v>1.6608260840759212E-2</v>
      </c>
      <c r="AE63" s="483">
        <f t="shared" si="30"/>
        <v>1.6781357888368972E-2</v>
      </c>
      <c r="AF63" s="483">
        <f t="shared" si="30"/>
        <v>1.6950109419368128E-2</v>
      </c>
      <c r="AG63" s="483">
        <f t="shared" si="30"/>
        <v>1.7107473820183943E-2</v>
      </c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</row>
    <row r="64" spans="1:53" x14ac:dyDescent="0.25">
      <c r="L64" s="338" t="str">
        <f>'Occ T3'!A20</f>
        <v xml:space="preserve"> 33 Protective service occupations</v>
      </c>
      <c r="M64" s="483">
        <f t="shared" ref="M64:AG64" si="31">M18/M$48</f>
        <v>1.2594719463484678E-2</v>
      </c>
      <c r="N64" s="483">
        <f t="shared" si="31"/>
        <v>1.2733035136257991E-2</v>
      </c>
      <c r="O64" s="483">
        <f t="shared" si="31"/>
        <v>1.3153120673986227E-2</v>
      </c>
      <c r="P64" s="483">
        <f t="shared" si="31"/>
        <v>1.2558172076584008E-2</v>
      </c>
      <c r="Q64" s="483">
        <f t="shared" si="31"/>
        <v>1.2155472262536148E-2</v>
      </c>
      <c r="R64" s="483">
        <f t="shared" si="31"/>
        <v>1.1767917606442978E-2</v>
      </c>
      <c r="S64" s="483">
        <f t="shared" si="31"/>
        <v>1.1786019715832138E-2</v>
      </c>
      <c r="T64" s="483">
        <f t="shared" si="31"/>
        <v>1.1487337469825427E-2</v>
      </c>
      <c r="U64" s="483">
        <f t="shared" si="31"/>
        <v>1.1436460827480385E-2</v>
      </c>
      <c r="V64" s="483">
        <f t="shared" si="31"/>
        <v>1.1142850815298179E-2</v>
      </c>
      <c r="W64" s="483">
        <f t="shared" si="31"/>
        <v>1.1083829083167025E-2</v>
      </c>
      <c r="X64" s="483">
        <f t="shared" si="31"/>
        <v>1.0991827679664555E-2</v>
      </c>
      <c r="Y64" s="483">
        <f t="shared" si="31"/>
        <v>1.092183081753172E-2</v>
      </c>
      <c r="Z64" s="483">
        <f t="shared" si="31"/>
        <v>1.0829662453992679E-2</v>
      </c>
      <c r="AA64" s="483">
        <f t="shared" si="31"/>
        <v>1.075243507046591E-2</v>
      </c>
      <c r="AB64" s="483">
        <f t="shared" si="31"/>
        <v>1.0673747521769727E-2</v>
      </c>
      <c r="AC64" s="483">
        <f t="shared" si="31"/>
        <v>1.0641650574108808E-2</v>
      </c>
      <c r="AD64" s="483">
        <f t="shared" si="31"/>
        <v>1.0604061015111573E-2</v>
      </c>
      <c r="AE64" s="483">
        <f t="shared" si="31"/>
        <v>1.0563315373089776E-2</v>
      </c>
      <c r="AF64" s="483">
        <f t="shared" si="31"/>
        <v>1.0521615638590507E-2</v>
      </c>
      <c r="AG64" s="483">
        <f t="shared" si="31"/>
        <v>1.0479082122694687E-2</v>
      </c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</row>
    <row r="65" spans="12:53" x14ac:dyDescent="0.25">
      <c r="L65" s="338" t="str">
        <f>'Occ T3'!A21</f>
        <v xml:space="preserve"> 34 Culture, media and sports occupations</v>
      </c>
      <c r="M65" s="483">
        <f t="shared" ref="M65:AG65" si="32">M19/M$48</f>
        <v>2.2186702780202964E-2</v>
      </c>
      <c r="N65" s="483">
        <f t="shared" si="32"/>
        <v>2.3515464095187781E-2</v>
      </c>
      <c r="O65" s="483">
        <f t="shared" si="32"/>
        <v>2.2271397394072447E-2</v>
      </c>
      <c r="P65" s="483">
        <f t="shared" si="32"/>
        <v>2.1800577150933538E-2</v>
      </c>
      <c r="Q65" s="483">
        <f t="shared" si="32"/>
        <v>2.2626909690096737E-2</v>
      </c>
      <c r="R65" s="483">
        <f t="shared" si="32"/>
        <v>2.3110383199083699E-2</v>
      </c>
      <c r="S65" s="483">
        <f t="shared" si="32"/>
        <v>2.3325324851750411E-2</v>
      </c>
      <c r="T65" s="483">
        <f t="shared" si="32"/>
        <v>2.3613936752038094E-2</v>
      </c>
      <c r="U65" s="483">
        <f t="shared" si="32"/>
        <v>2.3401679165344039E-2</v>
      </c>
      <c r="V65" s="483">
        <f t="shared" si="32"/>
        <v>2.3822243552108852E-2</v>
      </c>
      <c r="W65" s="483">
        <f t="shared" si="32"/>
        <v>2.4095592907303971E-2</v>
      </c>
      <c r="X65" s="483">
        <f t="shared" si="32"/>
        <v>2.4337844935231147E-2</v>
      </c>
      <c r="Y65" s="483">
        <f t="shared" si="32"/>
        <v>2.4531275889938982E-2</v>
      </c>
      <c r="Z65" s="483">
        <f t="shared" si="32"/>
        <v>2.4724251268750913E-2</v>
      </c>
      <c r="AA65" s="483">
        <f t="shared" si="32"/>
        <v>2.4896591105267138E-2</v>
      </c>
      <c r="AB65" s="483">
        <f t="shared" si="32"/>
        <v>2.5072421178042866E-2</v>
      </c>
      <c r="AC65" s="483">
        <f t="shared" si="32"/>
        <v>2.5039239332917705E-2</v>
      </c>
      <c r="AD65" s="483">
        <f t="shared" si="32"/>
        <v>2.5012060833940405E-2</v>
      </c>
      <c r="AE65" s="483">
        <f t="shared" si="32"/>
        <v>2.4978998649219337E-2</v>
      </c>
      <c r="AF65" s="483">
        <f t="shared" si="32"/>
        <v>2.4941859649025042E-2</v>
      </c>
      <c r="AG65" s="483">
        <f t="shared" si="32"/>
        <v>2.4899107191677681E-2</v>
      </c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</row>
    <row r="66" spans="12:53" x14ac:dyDescent="0.25">
      <c r="L66" s="338" t="str">
        <f>'Occ T3'!A22</f>
        <v xml:space="preserve"> 35 Business and public service associate professionals</v>
      </c>
      <c r="M66" s="483">
        <f t="shared" ref="M66:AG66" si="33">M20/M$48</f>
        <v>6.4755979601615193E-2</v>
      </c>
      <c r="N66" s="483">
        <f t="shared" si="33"/>
        <v>6.5708907868502697E-2</v>
      </c>
      <c r="O66" s="483">
        <f t="shared" si="33"/>
        <v>6.4764898046611952E-2</v>
      </c>
      <c r="P66" s="483">
        <f t="shared" si="33"/>
        <v>6.4280331514214986E-2</v>
      </c>
      <c r="Q66" s="483">
        <f t="shared" si="33"/>
        <v>6.46792392350862E-2</v>
      </c>
      <c r="R66" s="483">
        <f t="shared" si="33"/>
        <v>6.5752615373904616E-2</v>
      </c>
      <c r="S66" s="483">
        <f t="shared" si="33"/>
        <v>6.6879158930185811E-2</v>
      </c>
      <c r="T66" s="483">
        <f t="shared" si="33"/>
        <v>6.7515848226289352E-2</v>
      </c>
      <c r="U66" s="483">
        <f t="shared" si="33"/>
        <v>6.859812285431284E-2</v>
      </c>
      <c r="V66" s="483">
        <f t="shared" si="33"/>
        <v>6.9486489743069743E-2</v>
      </c>
      <c r="W66" s="483">
        <f t="shared" si="33"/>
        <v>7.0518231296017655E-2</v>
      </c>
      <c r="X66" s="483">
        <f t="shared" si="33"/>
        <v>7.1252583710023257E-2</v>
      </c>
      <c r="Y66" s="483">
        <f t="shared" si="33"/>
        <v>7.201303103161609E-2</v>
      </c>
      <c r="Z66" s="483">
        <f t="shared" si="33"/>
        <v>7.2789819516594634E-2</v>
      </c>
      <c r="AA66" s="483">
        <f t="shared" si="33"/>
        <v>7.3516544023892696E-2</v>
      </c>
      <c r="AB66" s="483">
        <f t="shared" si="33"/>
        <v>7.4246226659620163E-2</v>
      </c>
      <c r="AC66" s="483">
        <f t="shared" si="33"/>
        <v>7.4803248805977496E-2</v>
      </c>
      <c r="AD66" s="483">
        <f t="shared" si="33"/>
        <v>7.5344682813007643E-2</v>
      </c>
      <c r="AE66" s="483">
        <f t="shared" si="33"/>
        <v>7.5847115622783332E-2</v>
      </c>
      <c r="AF66" s="483">
        <f t="shared" si="33"/>
        <v>7.6318437380990173E-2</v>
      </c>
      <c r="AG66" s="483">
        <f t="shared" si="33"/>
        <v>7.6751780108607989E-2</v>
      </c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</row>
    <row r="67" spans="12:53" x14ac:dyDescent="0.25">
      <c r="L67" s="338"/>
      <c r="M67" s="483"/>
      <c r="N67" s="483"/>
      <c r="O67" s="483"/>
      <c r="P67" s="483"/>
      <c r="Q67" s="483"/>
      <c r="R67" s="483"/>
      <c r="S67" s="483"/>
      <c r="T67" s="483"/>
      <c r="U67" s="483"/>
      <c r="V67" s="483"/>
      <c r="W67" s="483"/>
      <c r="X67" s="483"/>
      <c r="Y67" s="483"/>
      <c r="Z67" s="483"/>
      <c r="AA67" s="483"/>
      <c r="AB67" s="483"/>
      <c r="AC67" s="483"/>
      <c r="AD67" s="483"/>
      <c r="AE67" s="483"/>
      <c r="AF67" s="483"/>
      <c r="AG67" s="48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</row>
    <row r="68" spans="12:53" x14ac:dyDescent="0.25">
      <c r="L68" s="20" t="str">
        <f>'Occ T3'!A24</f>
        <v>Administrative and secretarial</v>
      </c>
      <c r="M68" s="484">
        <f t="shared" ref="M68:AG68" si="34">M22/M$48</f>
        <v>0.12656107602342567</v>
      </c>
      <c r="N68" s="484">
        <f t="shared" si="34"/>
        <v>0.12102213543383637</v>
      </c>
      <c r="O68" s="484">
        <f t="shared" si="34"/>
        <v>0.12030920839162691</v>
      </c>
      <c r="P68" s="484">
        <f t="shared" si="34"/>
        <v>0.12082800367364854</v>
      </c>
      <c r="Q68" s="484">
        <f t="shared" si="34"/>
        <v>0.11846522894274036</v>
      </c>
      <c r="R68" s="484">
        <f t="shared" si="34"/>
        <v>0.11593357283278032</v>
      </c>
      <c r="S68" s="484">
        <f t="shared" si="34"/>
        <v>0.11391648074392761</v>
      </c>
      <c r="T68" s="484">
        <f t="shared" si="34"/>
        <v>0.11183909649385496</v>
      </c>
      <c r="U68" s="484">
        <f t="shared" si="34"/>
        <v>0.10995261720289816</v>
      </c>
      <c r="V68" s="484">
        <f t="shared" si="34"/>
        <v>0.10790568216041879</v>
      </c>
      <c r="W68" s="484">
        <f t="shared" si="34"/>
        <v>0.10562405999008669</v>
      </c>
      <c r="X68" s="484">
        <f t="shared" si="34"/>
        <v>0.10356624533485186</v>
      </c>
      <c r="Y68" s="484">
        <f t="shared" si="34"/>
        <v>0.10154782543499473</v>
      </c>
      <c r="Z68" s="484">
        <f t="shared" si="34"/>
        <v>9.9510000293808715E-2</v>
      </c>
      <c r="AA68" s="484">
        <f t="shared" si="34"/>
        <v>9.7409497268092449E-2</v>
      </c>
      <c r="AB68" s="484">
        <f t="shared" si="34"/>
        <v>9.5292019074953493E-2</v>
      </c>
      <c r="AC68" s="484">
        <f t="shared" si="34"/>
        <v>9.3139689145981058E-2</v>
      </c>
      <c r="AD68" s="484">
        <f t="shared" si="34"/>
        <v>9.1069975352833482E-2</v>
      </c>
      <c r="AE68" s="484">
        <f t="shared" si="34"/>
        <v>8.9165097304105712E-2</v>
      </c>
      <c r="AF68" s="484">
        <f t="shared" si="34"/>
        <v>8.7449989898982838E-2</v>
      </c>
      <c r="AG68" s="484">
        <f t="shared" si="34"/>
        <v>8.5903774725093349E-2</v>
      </c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</row>
    <row r="69" spans="12:53" x14ac:dyDescent="0.25">
      <c r="L69" s="338" t="str">
        <f>'Occ T3'!A25</f>
        <v xml:space="preserve"> 41 Administrative occupations</v>
      </c>
      <c r="M69" s="483">
        <f t="shared" ref="M69:AG69" si="35">M23/M$48</f>
        <v>9.5314245934326622E-2</v>
      </c>
      <c r="N69" s="483">
        <f t="shared" si="35"/>
        <v>9.1441690896965647E-2</v>
      </c>
      <c r="O69" s="483">
        <f t="shared" si="35"/>
        <v>9.0971616947323419E-2</v>
      </c>
      <c r="P69" s="483">
        <f t="shared" si="35"/>
        <v>9.1205227725955768E-2</v>
      </c>
      <c r="Q69" s="483">
        <f t="shared" si="35"/>
        <v>9.006445464558914E-2</v>
      </c>
      <c r="R69" s="483">
        <f t="shared" si="35"/>
        <v>8.8752705724480921E-2</v>
      </c>
      <c r="S69" s="483">
        <f t="shared" si="35"/>
        <v>8.7866779424834882E-2</v>
      </c>
      <c r="T69" s="483">
        <f t="shared" si="35"/>
        <v>8.688059361796957E-2</v>
      </c>
      <c r="U69" s="483">
        <f t="shared" si="35"/>
        <v>8.6122267285671461E-2</v>
      </c>
      <c r="V69" s="483">
        <f t="shared" si="35"/>
        <v>8.5177190748669876E-2</v>
      </c>
      <c r="W69" s="483">
        <f t="shared" si="35"/>
        <v>8.4131165205617711E-2</v>
      </c>
      <c r="X69" s="483">
        <f t="shared" si="35"/>
        <v>8.3198480394725063E-2</v>
      </c>
      <c r="Y69" s="483">
        <f t="shared" si="35"/>
        <v>8.2290961510314065E-2</v>
      </c>
      <c r="Z69" s="483">
        <f t="shared" si="35"/>
        <v>8.1360046786629947E-2</v>
      </c>
      <c r="AA69" s="483">
        <f t="shared" si="35"/>
        <v>8.0423993833121807E-2</v>
      </c>
      <c r="AB69" s="483">
        <f t="shared" si="35"/>
        <v>7.9477420213099795E-2</v>
      </c>
      <c r="AC69" s="483">
        <f t="shared" si="35"/>
        <v>7.8519854291283109E-2</v>
      </c>
      <c r="AD69" s="483">
        <f t="shared" si="35"/>
        <v>7.7593203908081013E-2</v>
      </c>
      <c r="AE69" s="483">
        <f t="shared" si="35"/>
        <v>7.6700188542977013E-2</v>
      </c>
      <c r="AF69" s="483">
        <f t="shared" si="35"/>
        <v>7.585009737991659E-2</v>
      </c>
      <c r="AG69" s="483">
        <f t="shared" si="35"/>
        <v>7.5046513318057215E-2</v>
      </c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</row>
    <row r="70" spans="12:53" x14ac:dyDescent="0.25">
      <c r="L70" s="338" t="str">
        <f>'Occ T3'!A26</f>
        <v xml:space="preserve"> 42 Secretarial and related occupations</v>
      </c>
      <c r="M70" s="483">
        <f t="shared" ref="M70:AG70" si="36">M24/M$48</f>
        <v>3.1246830089099044E-2</v>
      </c>
      <c r="N70" s="483">
        <f t="shared" si="36"/>
        <v>2.9580444536870726E-2</v>
      </c>
      <c r="O70" s="483">
        <f t="shared" si="36"/>
        <v>2.9337591444303496E-2</v>
      </c>
      <c r="P70" s="483">
        <f t="shared" si="36"/>
        <v>2.9622775947692782E-2</v>
      </c>
      <c r="Q70" s="483">
        <f t="shared" si="36"/>
        <v>2.8400774297151227E-2</v>
      </c>
      <c r="R70" s="483">
        <f t="shared" si="36"/>
        <v>2.7180867108299384E-2</v>
      </c>
      <c r="S70" s="483">
        <f t="shared" si="36"/>
        <v>2.604970131909274E-2</v>
      </c>
      <c r="T70" s="483">
        <f t="shared" si="36"/>
        <v>2.4958502875885396E-2</v>
      </c>
      <c r="U70" s="483">
        <f t="shared" si="36"/>
        <v>2.3830349917226708E-2</v>
      </c>
      <c r="V70" s="483">
        <f t="shared" si="36"/>
        <v>2.2728491411748909E-2</v>
      </c>
      <c r="W70" s="483">
        <f t="shared" si="36"/>
        <v>2.1492894784468985E-2</v>
      </c>
      <c r="X70" s="483">
        <f t="shared" si="36"/>
        <v>2.0367764940126789E-2</v>
      </c>
      <c r="Y70" s="483">
        <f t="shared" si="36"/>
        <v>1.9256863924680675E-2</v>
      </c>
      <c r="Z70" s="483">
        <f t="shared" si="36"/>
        <v>1.8149953507178757E-2</v>
      </c>
      <c r="AA70" s="483">
        <f t="shared" si="36"/>
        <v>1.6985503434970649E-2</v>
      </c>
      <c r="AB70" s="483">
        <f t="shared" si="36"/>
        <v>1.5814598861853702E-2</v>
      </c>
      <c r="AC70" s="483">
        <f t="shared" si="36"/>
        <v>1.4619834854697951E-2</v>
      </c>
      <c r="AD70" s="483">
        <f t="shared" si="36"/>
        <v>1.3476771444752464E-2</v>
      </c>
      <c r="AE70" s="483">
        <f t="shared" si="36"/>
        <v>1.2464908761128705E-2</v>
      </c>
      <c r="AF70" s="483">
        <f t="shared" si="36"/>
        <v>1.1599892519066237E-2</v>
      </c>
      <c r="AG70" s="483">
        <f t="shared" si="36"/>
        <v>1.0857261407036129E-2</v>
      </c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</row>
    <row r="71" spans="12:53" x14ac:dyDescent="0.25">
      <c r="L71" s="338"/>
      <c r="M71" s="483"/>
      <c r="N71" s="483"/>
      <c r="O71" s="483"/>
      <c r="P71" s="483"/>
      <c r="Q71" s="483"/>
      <c r="R71" s="483"/>
      <c r="S71" s="483"/>
      <c r="T71" s="483"/>
      <c r="U71" s="483"/>
      <c r="V71" s="483"/>
      <c r="W71" s="483"/>
      <c r="X71" s="483"/>
      <c r="Y71" s="483"/>
      <c r="Z71" s="483"/>
      <c r="AA71" s="483"/>
      <c r="AB71" s="483"/>
      <c r="AC71" s="483"/>
      <c r="AD71" s="483"/>
      <c r="AE71" s="483"/>
      <c r="AF71" s="483"/>
      <c r="AG71" s="48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</row>
    <row r="72" spans="12:53" x14ac:dyDescent="0.25">
      <c r="L72" s="20" t="str">
        <f>'Occ T3'!A28</f>
        <v>Skilled trades occupations</v>
      </c>
      <c r="M72" s="484">
        <f t="shared" ref="M72:AG72" si="37">M26/M$48</f>
        <v>0.11272773006084766</v>
      </c>
      <c r="N72" s="484">
        <f t="shared" si="37"/>
        <v>0.11171877279457429</v>
      </c>
      <c r="O72" s="484">
        <f t="shared" si="37"/>
        <v>0.1076197475852067</v>
      </c>
      <c r="P72" s="484">
        <f t="shared" si="37"/>
        <v>0.10855491075838805</v>
      </c>
      <c r="Q72" s="484">
        <f t="shared" si="37"/>
        <v>0.10758006804608138</v>
      </c>
      <c r="R72" s="484">
        <f t="shared" si="37"/>
        <v>0.10569305223071346</v>
      </c>
      <c r="S72" s="484">
        <f t="shared" si="37"/>
        <v>0.10323337274149509</v>
      </c>
      <c r="T72" s="484">
        <f t="shared" si="37"/>
        <v>0.10204645144799603</v>
      </c>
      <c r="U72" s="484">
        <f t="shared" si="37"/>
        <v>0.10058075271604053</v>
      </c>
      <c r="V72" s="484">
        <f t="shared" si="37"/>
        <v>9.9520102053006446E-2</v>
      </c>
      <c r="W72" s="484">
        <f t="shared" si="37"/>
        <v>9.8508871296578329E-2</v>
      </c>
      <c r="X72" s="484">
        <f t="shared" si="37"/>
        <v>9.7326463183689996E-2</v>
      </c>
      <c r="Y72" s="484">
        <f t="shared" si="37"/>
        <v>9.6382122134322359E-2</v>
      </c>
      <c r="Z72" s="484">
        <f t="shared" si="37"/>
        <v>9.53783368978805E-2</v>
      </c>
      <c r="AA72" s="484">
        <f t="shared" si="37"/>
        <v>9.4040159046869395E-2</v>
      </c>
      <c r="AB72" s="484">
        <f t="shared" si="37"/>
        <v>9.2735083885304784E-2</v>
      </c>
      <c r="AC72" s="484">
        <f t="shared" si="37"/>
        <v>9.1586229899710228E-2</v>
      </c>
      <c r="AD72" s="484">
        <f t="shared" si="37"/>
        <v>9.0443281964005126E-2</v>
      </c>
      <c r="AE72" s="484">
        <f t="shared" si="37"/>
        <v>8.9332950293656094E-2</v>
      </c>
      <c r="AF72" s="484">
        <f t="shared" si="37"/>
        <v>8.8277799492487527E-2</v>
      </c>
      <c r="AG72" s="484">
        <f t="shared" si="37"/>
        <v>8.727253996217213E-2</v>
      </c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</row>
    <row r="73" spans="12:53" x14ac:dyDescent="0.25">
      <c r="L73" s="338" t="str">
        <f>'Occ T3'!A29</f>
        <v xml:space="preserve"> 51 Skilled agricultural and related trades</v>
      </c>
      <c r="M73" s="483">
        <f t="shared" ref="M73:AG73" si="38">M27/M$48</f>
        <v>1.027353299013972E-2</v>
      </c>
      <c r="N73" s="483">
        <f t="shared" si="38"/>
        <v>1.0630520211326967E-2</v>
      </c>
      <c r="O73" s="483">
        <f t="shared" si="38"/>
        <v>1.0616519526588921E-2</v>
      </c>
      <c r="P73" s="483">
        <f t="shared" si="38"/>
        <v>1.1159787697590691E-2</v>
      </c>
      <c r="Q73" s="483">
        <f t="shared" si="38"/>
        <v>1.1193261461279604E-2</v>
      </c>
      <c r="R73" s="483">
        <f t="shared" si="38"/>
        <v>1.1357491984613843E-2</v>
      </c>
      <c r="S73" s="483">
        <f t="shared" si="38"/>
        <v>1.042682699473239E-2</v>
      </c>
      <c r="T73" s="483">
        <f t="shared" si="38"/>
        <v>1.052384664408864E-2</v>
      </c>
      <c r="U73" s="483">
        <f t="shared" si="38"/>
        <v>1.026353447272111E-2</v>
      </c>
      <c r="V73" s="483">
        <f t="shared" si="38"/>
        <v>1.0248689476315999E-2</v>
      </c>
      <c r="W73" s="483">
        <f t="shared" si="38"/>
        <v>1.0185985644199185E-2</v>
      </c>
      <c r="X73" s="483">
        <f t="shared" si="38"/>
        <v>1.0108209779625066E-2</v>
      </c>
      <c r="Y73" s="483">
        <f t="shared" si="38"/>
        <v>1.005462643936123E-2</v>
      </c>
      <c r="Z73" s="483">
        <f t="shared" si="38"/>
        <v>9.9949562865485515E-3</v>
      </c>
      <c r="AA73" s="483">
        <f t="shared" si="38"/>
        <v>9.9424148379561473E-3</v>
      </c>
      <c r="AB73" s="483">
        <f t="shared" si="38"/>
        <v>9.9052601235871448E-3</v>
      </c>
      <c r="AC73" s="483">
        <f t="shared" si="38"/>
        <v>9.943601861424213E-3</v>
      </c>
      <c r="AD73" s="483">
        <f t="shared" si="38"/>
        <v>9.9788905005794865E-3</v>
      </c>
      <c r="AE73" s="483">
        <f t="shared" si="38"/>
        <v>1.0009525645606922E-2</v>
      </c>
      <c r="AF73" s="483">
        <f t="shared" si="38"/>
        <v>1.0037268275771607E-2</v>
      </c>
      <c r="AG73" s="483">
        <f t="shared" si="38"/>
        <v>1.0061948171026834E-2</v>
      </c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</row>
    <row r="74" spans="12:53" x14ac:dyDescent="0.25">
      <c r="L74" s="338" t="str">
        <f>'Occ T3'!A30</f>
        <v xml:space="preserve"> 52 Skilled metal, electrical and electronic trades</v>
      </c>
      <c r="M74" s="483">
        <f t="shared" ref="M74:AG74" si="39">M28/M$48</f>
        <v>4.0238844630528611E-2</v>
      </c>
      <c r="N74" s="483">
        <f t="shared" si="39"/>
        <v>3.9535766399393706E-2</v>
      </c>
      <c r="O74" s="483">
        <f t="shared" si="39"/>
        <v>3.892680236765958E-2</v>
      </c>
      <c r="P74" s="483">
        <f t="shared" si="39"/>
        <v>3.9489726979990314E-2</v>
      </c>
      <c r="Q74" s="483">
        <f t="shared" si="39"/>
        <v>3.9071678079290871E-2</v>
      </c>
      <c r="R74" s="483">
        <f t="shared" si="39"/>
        <v>3.7961188825111521E-2</v>
      </c>
      <c r="S74" s="483">
        <f t="shared" si="39"/>
        <v>3.7744775256956103E-2</v>
      </c>
      <c r="T74" s="483">
        <f t="shared" si="39"/>
        <v>3.6943237568239563E-2</v>
      </c>
      <c r="U74" s="483">
        <f t="shared" si="39"/>
        <v>3.6501537135090599E-2</v>
      </c>
      <c r="V74" s="483">
        <f t="shared" si="39"/>
        <v>3.5747060497367984E-2</v>
      </c>
      <c r="W74" s="483">
        <f t="shared" si="39"/>
        <v>3.5239934688123545E-2</v>
      </c>
      <c r="X74" s="483">
        <f t="shared" si="39"/>
        <v>3.4521216626298451E-2</v>
      </c>
      <c r="Y74" s="483">
        <f t="shared" si="39"/>
        <v>3.3867202778561867E-2</v>
      </c>
      <c r="Z74" s="483">
        <f t="shared" si="39"/>
        <v>3.3198365307327532E-2</v>
      </c>
      <c r="AA74" s="483">
        <f t="shared" si="39"/>
        <v>3.2452410247394536E-2</v>
      </c>
      <c r="AB74" s="483">
        <f t="shared" si="39"/>
        <v>3.1722542954035475E-2</v>
      </c>
      <c r="AC74" s="483">
        <f t="shared" si="39"/>
        <v>3.1196126915938715E-2</v>
      </c>
      <c r="AD74" s="483">
        <f t="shared" si="39"/>
        <v>3.0677658709074299E-2</v>
      </c>
      <c r="AE74" s="483">
        <f t="shared" si="39"/>
        <v>3.0169026702295428E-2</v>
      </c>
      <c r="AF74" s="483">
        <f t="shared" si="39"/>
        <v>2.9655330002095019E-2</v>
      </c>
      <c r="AG74" s="483">
        <f t="shared" si="39"/>
        <v>2.9139619464208042E-2</v>
      </c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</row>
    <row r="75" spans="12:53" x14ac:dyDescent="0.25">
      <c r="L75" s="338" t="str">
        <f>'Occ T3'!A31</f>
        <v xml:space="preserve"> 53 Skilled construction and building trades</v>
      </c>
      <c r="M75" s="483">
        <f t="shared" ref="M75:AG75" si="40">M29/M$48</f>
        <v>3.5672445644171498E-2</v>
      </c>
      <c r="N75" s="483">
        <f t="shared" si="40"/>
        <v>3.5382466298377352E-2</v>
      </c>
      <c r="O75" s="483">
        <f t="shared" si="40"/>
        <v>3.3246004077207202E-2</v>
      </c>
      <c r="P75" s="483">
        <f t="shared" si="40"/>
        <v>3.2185979208089605E-2</v>
      </c>
      <c r="Q75" s="483">
        <f t="shared" si="40"/>
        <v>3.237546643365196E-2</v>
      </c>
      <c r="R75" s="483">
        <f t="shared" si="40"/>
        <v>3.1358075253799772E-2</v>
      </c>
      <c r="S75" s="483">
        <f t="shared" si="40"/>
        <v>3.0994787450946575E-2</v>
      </c>
      <c r="T75" s="483">
        <f t="shared" si="40"/>
        <v>3.0986986707525893E-2</v>
      </c>
      <c r="U75" s="483">
        <f t="shared" si="40"/>
        <v>3.0641065510271109E-2</v>
      </c>
      <c r="V75" s="483">
        <f t="shared" si="40"/>
        <v>3.0753032765811535E-2</v>
      </c>
      <c r="W75" s="483">
        <f t="shared" si="40"/>
        <v>3.067909868889919E-2</v>
      </c>
      <c r="X75" s="483">
        <f t="shared" si="40"/>
        <v>3.0718132032996177E-2</v>
      </c>
      <c r="Y75" s="483">
        <f t="shared" si="40"/>
        <v>3.0877845381607406E-2</v>
      </c>
      <c r="Z75" s="483">
        <f t="shared" si="40"/>
        <v>3.0984375621834048E-2</v>
      </c>
      <c r="AA75" s="483">
        <f t="shared" si="40"/>
        <v>3.0865170717369952E-2</v>
      </c>
      <c r="AB75" s="483">
        <f t="shared" si="40"/>
        <v>3.0741750479242679E-2</v>
      </c>
      <c r="AC75" s="483">
        <f t="shared" si="40"/>
        <v>3.0525582140229709E-2</v>
      </c>
      <c r="AD75" s="483">
        <f t="shared" si="40"/>
        <v>3.0308335450840395E-2</v>
      </c>
      <c r="AE75" s="483">
        <f t="shared" si="40"/>
        <v>3.0094162387726813E-2</v>
      </c>
      <c r="AF75" s="483">
        <f t="shared" si="40"/>
        <v>2.9892650878937502E-2</v>
      </c>
      <c r="AG75" s="483">
        <f t="shared" si="40"/>
        <v>2.9699873808980162E-2</v>
      </c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</row>
    <row r="76" spans="12:53" x14ac:dyDescent="0.25">
      <c r="L76" s="338" t="str">
        <f>'Occ T3'!A32</f>
        <v xml:space="preserve"> 54 Textiles, printing and other skilled trades</v>
      </c>
      <c r="M76" s="483">
        <f t="shared" ref="M76:AG76" si="41">M30/M$48</f>
        <v>2.654290679600782E-2</v>
      </c>
      <c r="N76" s="483">
        <f t="shared" si="41"/>
        <v>2.6170019885476271E-2</v>
      </c>
      <c r="O76" s="483">
        <f t="shared" si="41"/>
        <v>2.4830421613751014E-2</v>
      </c>
      <c r="P76" s="483">
        <f t="shared" si="41"/>
        <v>2.5719416872717428E-2</v>
      </c>
      <c r="Q76" s="483">
        <f t="shared" si="41"/>
        <v>2.493966207185894E-2</v>
      </c>
      <c r="R76" s="483">
        <f t="shared" si="41"/>
        <v>2.5016296167188323E-2</v>
      </c>
      <c r="S76" s="483">
        <f t="shared" si="41"/>
        <v>2.4066983038860019E-2</v>
      </c>
      <c r="T76" s="483">
        <f t="shared" si="41"/>
        <v>2.3592380528141922E-2</v>
      </c>
      <c r="U76" s="483">
        <f t="shared" si="41"/>
        <v>2.3174615597957703E-2</v>
      </c>
      <c r="V76" s="483">
        <f t="shared" si="41"/>
        <v>2.2771319313510924E-2</v>
      </c>
      <c r="W76" s="483">
        <f t="shared" si="41"/>
        <v>2.2403852275356403E-2</v>
      </c>
      <c r="X76" s="483">
        <f t="shared" si="41"/>
        <v>2.1978904744770298E-2</v>
      </c>
      <c r="Y76" s="483">
        <f t="shared" si="41"/>
        <v>2.1582447534791861E-2</v>
      </c>
      <c r="Z76" s="483">
        <f t="shared" si="41"/>
        <v>2.1200639682170373E-2</v>
      </c>
      <c r="AA76" s="483">
        <f t="shared" si="41"/>
        <v>2.0780163244148758E-2</v>
      </c>
      <c r="AB76" s="483">
        <f t="shared" si="41"/>
        <v>2.036553032843948E-2</v>
      </c>
      <c r="AC76" s="483">
        <f t="shared" si="41"/>
        <v>1.9920918982117584E-2</v>
      </c>
      <c r="AD76" s="483">
        <f t="shared" si="41"/>
        <v>1.947839730351094E-2</v>
      </c>
      <c r="AE76" s="483">
        <f t="shared" si="41"/>
        <v>1.9060235558026935E-2</v>
      </c>
      <c r="AF76" s="483">
        <f t="shared" si="41"/>
        <v>1.86925503356834E-2</v>
      </c>
      <c r="AG76" s="483">
        <f t="shared" si="41"/>
        <v>1.8371098517957086E-2</v>
      </c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</row>
    <row r="77" spans="12:53" x14ac:dyDescent="0.25">
      <c r="L77" s="338"/>
      <c r="M77" s="483"/>
      <c r="N77" s="483"/>
      <c r="O77" s="483"/>
      <c r="P77" s="483"/>
      <c r="Q77" s="483"/>
      <c r="R77" s="483"/>
      <c r="S77" s="483"/>
      <c r="T77" s="483"/>
      <c r="U77" s="483"/>
      <c r="V77" s="483"/>
      <c r="W77" s="483"/>
      <c r="X77" s="483"/>
      <c r="Y77" s="483"/>
      <c r="Z77" s="483"/>
      <c r="AA77" s="483"/>
      <c r="AB77" s="483"/>
      <c r="AC77" s="483"/>
      <c r="AD77" s="483"/>
      <c r="AE77" s="483"/>
      <c r="AF77" s="483"/>
      <c r="AG77" s="48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</row>
    <row r="78" spans="12:53" x14ac:dyDescent="0.25">
      <c r="L78" s="20" t="str">
        <f>'Occ T3'!A34</f>
        <v>Caring, leisure and other service</v>
      </c>
      <c r="M78" s="484">
        <f t="shared" ref="M78:AG78" si="42">M32/M$48</f>
        <v>8.3219573456602178E-2</v>
      </c>
      <c r="N78" s="484">
        <f t="shared" si="42"/>
        <v>8.432939983674019E-2</v>
      </c>
      <c r="O78" s="484">
        <f t="shared" si="42"/>
        <v>8.6612563691026892E-2</v>
      </c>
      <c r="P78" s="484">
        <f t="shared" si="42"/>
        <v>9.0151525337119093E-2</v>
      </c>
      <c r="Q78" s="484">
        <f t="shared" si="42"/>
        <v>9.0793623374723104E-2</v>
      </c>
      <c r="R78" s="484">
        <f t="shared" si="42"/>
        <v>9.08663015339434E-2</v>
      </c>
      <c r="S78" s="484">
        <f t="shared" si="42"/>
        <v>9.2854490751792237E-2</v>
      </c>
      <c r="T78" s="484">
        <f t="shared" si="42"/>
        <v>9.4052883435434928E-2</v>
      </c>
      <c r="U78" s="484">
        <f t="shared" si="42"/>
        <v>9.4509794884512652E-2</v>
      </c>
      <c r="V78" s="484">
        <f t="shared" si="42"/>
        <v>9.5452767121508131E-2</v>
      </c>
      <c r="W78" s="484">
        <f t="shared" si="42"/>
        <v>9.5990785515711885E-2</v>
      </c>
      <c r="X78" s="484">
        <f t="shared" si="42"/>
        <v>9.7054363015696879E-2</v>
      </c>
      <c r="Y78" s="484">
        <f t="shared" si="42"/>
        <v>9.7844375240877496E-2</v>
      </c>
      <c r="Z78" s="484">
        <f t="shared" si="42"/>
        <v>9.8548994563007183E-2</v>
      </c>
      <c r="AA78" s="484">
        <f t="shared" si="42"/>
        <v>9.9612832069364471E-2</v>
      </c>
      <c r="AB78" s="484">
        <f t="shared" si="42"/>
        <v>0.10069535267457805</v>
      </c>
      <c r="AC78" s="484">
        <f t="shared" si="42"/>
        <v>0.10191181479803757</v>
      </c>
      <c r="AD78" s="484">
        <f t="shared" si="42"/>
        <v>0.10310505538825951</v>
      </c>
      <c r="AE78" s="484">
        <f t="shared" si="42"/>
        <v>0.10425931499173013</v>
      </c>
      <c r="AF78" s="484">
        <f t="shared" si="42"/>
        <v>0.10535644843684819</v>
      </c>
      <c r="AG78" s="484">
        <f t="shared" si="42"/>
        <v>0.10638491928571445</v>
      </c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</row>
    <row r="79" spans="12:53" x14ac:dyDescent="0.25">
      <c r="L79" s="338" t="str">
        <f>'Occ T3'!A35</f>
        <v xml:space="preserve"> 61 Caring personal service occupations</v>
      </c>
      <c r="M79" s="483">
        <f t="shared" ref="M79:AG79" si="43">M33/M$48</f>
        <v>6.1665058478827715E-2</v>
      </c>
      <c r="N79" s="483">
        <f t="shared" si="43"/>
        <v>6.2512171338071978E-2</v>
      </c>
      <c r="O79" s="483">
        <f t="shared" si="43"/>
        <v>6.4315315393782602E-2</v>
      </c>
      <c r="P79" s="483">
        <f t="shared" si="43"/>
        <v>6.8431312572902317E-2</v>
      </c>
      <c r="Q79" s="483">
        <f t="shared" si="43"/>
        <v>6.8803157204100296E-2</v>
      </c>
      <c r="R79" s="483">
        <f t="shared" si="43"/>
        <v>6.8814221617225932E-2</v>
      </c>
      <c r="S79" s="483">
        <f t="shared" si="43"/>
        <v>7.0732516321844532E-2</v>
      </c>
      <c r="T79" s="483">
        <f t="shared" si="43"/>
        <v>7.1834435924599913E-2</v>
      </c>
      <c r="U79" s="483">
        <f t="shared" si="43"/>
        <v>7.2570760988578231E-2</v>
      </c>
      <c r="V79" s="483">
        <f t="shared" si="43"/>
        <v>7.3412994332459722E-2</v>
      </c>
      <c r="W79" s="483">
        <f t="shared" si="43"/>
        <v>7.3991768578878139E-2</v>
      </c>
      <c r="X79" s="483">
        <f t="shared" si="43"/>
        <v>7.5098406948994209E-2</v>
      </c>
      <c r="Y79" s="483">
        <f t="shared" si="43"/>
        <v>7.5954135684800653E-2</v>
      </c>
      <c r="Z79" s="483">
        <f t="shared" si="43"/>
        <v>7.6738107435097097E-2</v>
      </c>
      <c r="AA79" s="483">
        <f t="shared" si="43"/>
        <v>7.7887344488119015E-2</v>
      </c>
      <c r="AB79" s="483">
        <f t="shared" si="43"/>
        <v>7.9074638526217447E-2</v>
      </c>
      <c r="AC79" s="483">
        <f t="shared" si="43"/>
        <v>8.0416251241185802E-2</v>
      </c>
      <c r="AD79" s="483">
        <f t="shared" si="43"/>
        <v>8.1738100968437269E-2</v>
      </c>
      <c r="AE79" s="483">
        <f t="shared" si="43"/>
        <v>8.3007779335184689E-2</v>
      </c>
      <c r="AF79" s="483">
        <f t="shared" si="43"/>
        <v>8.4205856971521179E-2</v>
      </c>
      <c r="AG79" s="483">
        <f t="shared" si="43"/>
        <v>8.5327886270943093E-2</v>
      </c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</row>
    <row r="80" spans="12:53" x14ac:dyDescent="0.25">
      <c r="L80" s="338" t="str">
        <f>'Occ T3'!A36</f>
        <v xml:space="preserve"> 62 Leisure, travel and related personal service occupations</v>
      </c>
      <c r="M80" s="483">
        <f t="shared" ref="M80:AG80" si="44">M34/M$48</f>
        <v>2.1554514977774469E-2</v>
      </c>
      <c r="N80" s="483">
        <f t="shared" si="44"/>
        <v>2.1817228498668212E-2</v>
      </c>
      <c r="O80" s="483">
        <f t="shared" si="44"/>
        <v>2.2297248297244287E-2</v>
      </c>
      <c r="P80" s="483">
        <f t="shared" si="44"/>
        <v>2.1720212764216776E-2</v>
      </c>
      <c r="Q80" s="483">
        <f t="shared" si="44"/>
        <v>2.1990466170622811E-2</v>
      </c>
      <c r="R80" s="483">
        <f t="shared" si="44"/>
        <v>2.2052079916717468E-2</v>
      </c>
      <c r="S80" s="483">
        <f t="shared" si="44"/>
        <v>2.2121974429947695E-2</v>
      </c>
      <c r="T80" s="483">
        <f t="shared" si="44"/>
        <v>2.2218447510835026E-2</v>
      </c>
      <c r="U80" s="483">
        <f t="shared" si="44"/>
        <v>2.1939033895934421E-2</v>
      </c>
      <c r="V80" s="483">
        <f t="shared" si="44"/>
        <v>2.2039772789048416E-2</v>
      </c>
      <c r="W80" s="483">
        <f t="shared" si="44"/>
        <v>2.1999016936833756E-2</v>
      </c>
      <c r="X80" s="483">
        <f t="shared" si="44"/>
        <v>2.1955956066702673E-2</v>
      </c>
      <c r="Y80" s="483">
        <f t="shared" si="44"/>
        <v>2.1890239556076833E-2</v>
      </c>
      <c r="Z80" s="483">
        <f t="shared" si="44"/>
        <v>2.1810887127910083E-2</v>
      </c>
      <c r="AA80" s="483">
        <f t="shared" si="44"/>
        <v>2.172548758124546E-2</v>
      </c>
      <c r="AB80" s="483">
        <f t="shared" si="44"/>
        <v>2.1620714148360604E-2</v>
      </c>
      <c r="AC80" s="483">
        <f t="shared" si="44"/>
        <v>2.1495563556851765E-2</v>
      </c>
      <c r="AD80" s="483">
        <f t="shared" si="44"/>
        <v>2.136695441982223E-2</v>
      </c>
      <c r="AE80" s="483">
        <f t="shared" si="44"/>
        <v>2.1251535656545452E-2</v>
      </c>
      <c r="AF80" s="483">
        <f t="shared" si="44"/>
        <v>2.1150591465326996E-2</v>
      </c>
      <c r="AG80" s="483">
        <f t="shared" si="44"/>
        <v>2.1057033014771367E-2</v>
      </c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</row>
    <row r="81" spans="12:53" x14ac:dyDescent="0.25">
      <c r="L81" s="338"/>
      <c r="M81" s="483"/>
      <c r="N81" s="483"/>
      <c r="O81" s="483"/>
      <c r="P81" s="483"/>
      <c r="Q81" s="483"/>
      <c r="R81" s="483"/>
      <c r="S81" s="483"/>
      <c r="T81" s="483"/>
      <c r="U81" s="483"/>
      <c r="V81" s="483"/>
      <c r="W81" s="483"/>
      <c r="X81" s="483"/>
      <c r="Y81" s="483"/>
      <c r="Z81" s="483"/>
      <c r="AA81" s="483"/>
      <c r="AB81" s="483"/>
      <c r="AC81" s="483"/>
      <c r="AD81" s="483"/>
      <c r="AE81" s="483"/>
      <c r="AF81" s="483"/>
      <c r="AG81" s="48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</row>
    <row r="82" spans="12:53" x14ac:dyDescent="0.25">
      <c r="L82" s="20" t="str">
        <f>'Occ T3'!A38</f>
        <v>Sales and customer service</v>
      </c>
      <c r="M82" s="484">
        <f t="shared" ref="M82:AG82" si="45">M36/M$48</f>
        <v>8.783212626580951E-2</v>
      </c>
      <c r="N82" s="484">
        <f t="shared" si="45"/>
        <v>8.9225581339796411E-2</v>
      </c>
      <c r="O82" s="484">
        <f t="shared" si="45"/>
        <v>8.9359269266492097E-2</v>
      </c>
      <c r="P82" s="484">
        <f t="shared" si="45"/>
        <v>8.9592021558108234E-2</v>
      </c>
      <c r="Q82" s="484">
        <f t="shared" si="45"/>
        <v>8.8804098048168259E-2</v>
      </c>
      <c r="R82" s="484">
        <f t="shared" si="45"/>
        <v>8.8324364313645529E-2</v>
      </c>
      <c r="S82" s="484">
        <f t="shared" si="45"/>
        <v>8.723447071856455E-2</v>
      </c>
      <c r="T82" s="484">
        <f t="shared" si="45"/>
        <v>8.6275644615159755E-2</v>
      </c>
      <c r="U82" s="484">
        <f t="shared" si="45"/>
        <v>8.5385535085972131E-2</v>
      </c>
      <c r="V82" s="484">
        <f t="shared" si="45"/>
        <v>8.4810671257306985E-2</v>
      </c>
      <c r="W82" s="484">
        <f t="shared" si="45"/>
        <v>8.4051717837166265E-2</v>
      </c>
      <c r="X82" s="484">
        <f t="shared" si="45"/>
        <v>8.3718109998907525E-2</v>
      </c>
      <c r="Y82" s="484">
        <f t="shared" si="45"/>
        <v>8.3390863517586553E-2</v>
      </c>
      <c r="Z82" s="484">
        <f t="shared" si="45"/>
        <v>8.3063209071045557E-2</v>
      </c>
      <c r="AA82" s="484">
        <f t="shared" si="45"/>
        <v>8.2442844061424228E-2</v>
      </c>
      <c r="AB82" s="484">
        <f t="shared" si="45"/>
        <v>8.1736435984155698E-2</v>
      </c>
      <c r="AC82" s="484">
        <f t="shared" si="45"/>
        <v>8.1429223760899436E-2</v>
      </c>
      <c r="AD82" s="484">
        <f t="shared" si="45"/>
        <v>8.112023366182089E-2</v>
      </c>
      <c r="AE82" s="484">
        <f t="shared" si="45"/>
        <v>8.0828209953458699E-2</v>
      </c>
      <c r="AF82" s="484">
        <f t="shared" si="45"/>
        <v>8.0551592252629783E-2</v>
      </c>
      <c r="AG82" s="484">
        <f t="shared" si="45"/>
        <v>8.0305338216323241E-2</v>
      </c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</row>
    <row r="83" spans="12:53" x14ac:dyDescent="0.25">
      <c r="L83" s="338" t="str">
        <f>'Occ T3'!A39</f>
        <v xml:space="preserve"> 71 Sales occupations</v>
      </c>
      <c r="M83" s="483">
        <f t="shared" ref="M83:AG83" si="46">M37/M$48</f>
        <v>7.1299108994703583E-2</v>
      </c>
      <c r="N83" s="483">
        <f t="shared" si="46"/>
        <v>7.2273207545307125E-2</v>
      </c>
      <c r="O83" s="483">
        <f t="shared" si="46"/>
        <v>7.1255949841616859E-2</v>
      </c>
      <c r="P83" s="483">
        <f t="shared" si="46"/>
        <v>7.1614461752129349E-2</v>
      </c>
      <c r="Q83" s="483">
        <f t="shared" si="46"/>
        <v>7.0616312193271816E-2</v>
      </c>
      <c r="R83" s="483">
        <f t="shared" si="46"/>
        <v>6.9905127613221721E-2</v>
      </c>
      <c r="S83" s="483">
        <f t="shared" si="46"/>
        <v>6.8500792547914566E-2</v>
      </c>
      <c r="T83" s="483">
        <f t="shared" si="46"/>
        <v>6.7230917316525071E-2</v>
      </c>
      <c r="U83" s="483">
        <f t="shared" si="46"/>
        <v>6.5914325583105032E-2</v>
      </c>
      <c r="V83" s="483">
        <f t="shared" si="46"/>
        <v>6.5062507277202156E-2</v>
      </c>
      <c r="W83" s="483">
        <f t="shared" si="46"/>
        <v>6.4052494945306709E-2</v>
      </c>
      <c r="X83" s="483">
        <f t="shared" si="46"/>
        <v>6.3487113841981857E-2</v>
      </c>
      <c r="Y83" s="483">
        <f t="shared" si="46"/>
        <v>6.2923772505583606E-2</v>
      </c>
      <c r="Z83" s="483">
        <f t="shared" si="46"/>
        <v>6.2367768692677919E-2</v>
      </c>
      <c r="AA83" s="483">
        <f t="shared" si="46"/>
        <v>6.1492811067140572E-2</v>
      </c>
      <c r="AB83" s="483">
        <f t="shared" si="46"/>
        <v>6.0540552572196309E-2</v>
      </c>
      <c r="AC83" s="483">
        <f t="shared" si="46"/>
        <v>6.0007434093232739E-2</v>
      </c>
      <c r="AD83" s="483">
        <f t="shared" si="46"/>
        <v>5.9475151817583768E-2</v>
      </c>
      <c r="AE83" s="483">
        <f t="shared" si="46"/>
        <v>5.8958791519614577E-2</v>
      </c>
      <c r="AF83" s="483">
        <f t="shared" si="46"/>
        <v>5.8462736957521591E-2</v>
      </c>
      <c r="AG83" s="483">
        <f t="shared" si="46"/>
        <v>5.800691103260229E-2</v>
      </c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</row>
    <row r="84" spans="12:53" x14ac:dyDescent="0.25">
      <c r="L84" s="338" t="str">
        <f>'Occ T3'!A40</f>
        <v xml:space="preserve"> 72 Customer service occupations</v>
      </c>
      <c r="M84" s="483">
        <f t="shared" ref="M84:AG84" si="47">M38/M$48</f>
        <v>1.653301727110592E-2</v>
      </c>
      <c r="N84" s="483">
        <f t="shared" si="47"/>
        <v>1.6952373794489294E-2</v>
      </c>
      <c r="O84" s="483">
        <f t="shared" si="47"/>
        <v>1.8103319424875239E-2</v>
      </c>
      <c r="P84" s="483">
        <f t="shared" si="47"/>
        <v>1.7977559805978885E-2</v>
      </c>
      <c r="Q84" s="483">
        <f t="shared" si="47"/>
        <v>1.8187785854896443E-2</v>
      </c>
      <c r="R84" s="483">
        <f t="shared" si="47"/>
        <v>1.8419236700423811E-2</v>
      </c>
      <c r="S84" s="483">
        <f t="shared" si="47"/>
        <v>1.8733678170649991E-2</v>
      </c>
      <c r="T84" s="483">
        <f t="shared" si="47"/>
        <v>1.9044727298634687E-2</v>
      </c>
      <c r="U84" s="483">
        <f t="shared" si="47"/>
        <v>1.9471209502867109E-2</v>
      </c>
      <c r="V84" s="483">
        <f t="shared" si="47"/>
        <v>1.9748163980104837E-2</v>
      </c>
      <c r="W84" s="483">
        <f t="shared" si="47"/>
        <v>1.9999222891859562E-2</v>
      </c>
      <c r="X84" s="483">
        <f t="shared" si="47"/>
        <v>2.0230996156925665E-2</v>
      </c>
      <c r="Y84" s="483">
        <f t="shared" si="47"/>
        <v>2.0467091012002954E-2</v>
      </c>
      <c r="Z84" s="483">
        <f t="shared" si="47"/>
        <v>2.0695440378367631E-2</v>
      </c>
      <c r="AA84" s="483">
        <f t="shared" si="47"/>
        <v>2.0950032994283663E-2</v>
      </c>
      <c r="AB84" s="483">
        <f t="shared" si="47"/>
        <v>2.1195883411959385E-2</v>
      </c>
      <c r="AC84" s="483">
        <f t="shared" si="47"/>
        <v>2.14217896676667E-2</v>
      </c>
      <c r="AD84" s="483">
        <f t="shared" si="47"/>
        <v>2.1645081844237107E-2</v>
      </c>
      <c r="AE84" s="483">
        <f t="shared" si="47"/>
        <v>2.1869418433844112E-2</v>
      </c>
      <c r="AF84" s="483">
        <f t="shared" si="47"/>
        <v>2.2088855295108192E-2</v>
      </c>
      <c r="AG84" s="483">
        <f t="shared" si="47"/>
        <v>2.2298427183720947E-2</v>
      </c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</row>
    <row r="85" spans="12:53" x14ac:dyDescent="0.25">
      <c r="L85" s="338"/>
      <c r="M85" s="483"/>
      <c r="N85" s="483"/>
      <c r="O85" s="483"/>
      <c r="P85" s="483"/>
      <c r="Q85" s="483"/>
      <c r="R85" s="483"/>
      <c r="S85" s="483"/>
      <c r="T85" s="483"/>
      <c r="U85" s="483"/>
      <c r="V85" s="483"/>
      <c r="W85" s="483"/>
      <c r="X85" s="483"/>
      <c r="Y85" s="483"/>
      <c r="Z85" s="483"/>
      <c r="AA85" s="483"/>
      <c r="AB85" s="483"/>
      <c r="AC85" s="483"/>
      <c r="AD85" s="483"/>
      <c r="AE85" s="483"/>
      <c r="AF85" s="483"/>
      <c r="AG85" s="48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</row>
    <row r="86" spans="12:53" x14ac:dyDescent="0.25">
      <c r="L86" s="20" t="str">
        <f>'Occ T3'!A42</f>
        <v>Process, plant and machine operatives</v>
      </c>
      <c r="M86" s="484">
        <f t="shared" ref="M86:AG86" si="48">M40/M$48</f>
        <v>7.2794861333497926E-2</v>
      </c>
      <c r="N86" s="484">
        <f t="shared" si="48"/>
        <v>7.0856058475401079E-2</v>
      </c>
      <c r="O86" s="484">
        <f t="shared" si="48"/>
        <v>7.0036571729319611E-2</v>
      </c>
      <c r="P86" s="484">
        <f t="shared" si="48"/>
        <v>6.9020283125043144E-2</v>
      </c>
      <c r="Q86" s="484">
        <f t="shared" si="48"/>
        <v>6.8778842485183303E-2</v>
      </c>
      <c r="R86" s="484">
        <f t="shared" si="48"/>
        <v>6.7847722680130923E-2</v>
      </c>
      <c r="S86" s="484">
        <f t="shared" si="48"/>
        <v>6.6505321339352691E-2</v>
      </c>
      <c r="T86" s="484">
        <f t="shared" si="48"/>
        <v>6.5218476338330819E-2</v>
      </c>
      <c r="U86" s="484">
        <f t="shared" si="48"/>
        <v>6.4258332390330006E-2</v>
      </c>
      <c r="V86" s="484">
        <f t="shared" si="48"/>
        <v>6.3223675809586655E-2</v>
      </c>
      <c r="W86" s="484">
        <f t="shared" si="48"/>
        <v>6.255615929565661E-2</v>
      </c>
      <c r="X86" s="484">
        <f t="shared" si="48"/>
        <v>6.1635876610298894E-2</v>
      </c>
      <c r="Y86" s="484">
        <f t="shared" si="48"/>
        <v>6.0767830303803207E-2</v>
      </c>
      <c r="Z86" s="484">
        <f t="shared" si="48"/>
        <v>5.9953148166917915E-2</v>
      </c>
      <c r="AA86" s="484">
        <f t="shared" si="48"/>
        <v>5.9017306832915575E-2</v>
      </c>
      <c r="AB86" s="484">
        <f t="shared" si="48"/>
        <v>5.8082280479104298E-2</v>
      </c>
      <c r="AC86" s="484">
        <f t="shared" si="48"/>
        <v>5.7427937499975497E-2</v>
      </c>
      <c r="AD86" s="484">
        <f t="shared" si="48"/>
        <v>5.6808050327701129E-2</v>
      </c>
      <c r="AE86" s="484">
        <f t="shared" si="48"/>
        <v>5.6212937243754243E-2</v>
      </c>
      <c r="AF86" s="484">
        <f t="shared" si="48"/>
        <v>5.5649509042925704E-2</v>
      </c>
      <c r="AG86" s="484">
        <f t="shared" si="48"/>
        <v>5.5110926662990146E-2</v>
      </c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</row>
    <row r="87" spans="12:53" x14ac:dyDescent="0.25">
      <c r="L87" s="338" t="str">
        <f>'Occ T3'!A43</f>
        <v xml:space="preserve"> 81 Process, plant and machine operatives</v>
      </c>
      <c r="M87" s="483">
        <f t="shared" ref="M87:AG87" si="49">M41/M$48</f>
        <v>3.343634374864804E-2</v>
      </c>
      <c r="N87" s="483">
        <f t="shared" si="49"/>
        <v>3.2256335363072354E-2</v>
      </c>
      <c r="O87" s="483">
        <f t="shared" si="49"/>
        <v>3.1293031453699861E-2</v>
      </c>
      <c r="P87" s="483">
        <f t="shared" si="49"/>
        <v>3.1316594718372615E-2</v>
      </c>
      <c r="Q87" s="483">
        <f t="shared" si="49"/>
        <v>3.0524392303668296E-2</v>
      </c>
      <c r="R87" s="483">
        <f t="shared" si="49"/>
        <v>2.9788546469170153E-2</v>
      </c>
      <c r="S87" s="483">
        <f t="shared" si="49"/>
        <v>2.8851634287055079E-2</v>
      </c>
      <c r="T87" s="483">
        <f t="shared" si="49"/>
        <v>2.8041443363804777E-2</v>
      </c>
      <c r="U87" s="483">
        <f t="shared" si="49"/>
        <v>2.7454509445399837E-2</v>
      </c>
      <c r="V87" s="483">
        <f t="shared" si="49"/>
        <v>2.6724690571561845E-2</v>
      </c>
      <c r="W87" s="483">
        <f t="shared" si="49"/>
        <v>2.6123888519638729E-2</v>
      </c>
      <c r="X87" s="483">
        <f t="shared" si="49"/>
        <v>2.5350495242162083E-2</v>
      </c>
      <c r="Y87" s="483">
        <f t="shared" si="49"/>
        <v>2.4592957271399842E-2</v>
      </c>
      <c r="Z87" s="483">
        <f t="shared" si="49"/>
        <v>2.3855051768462442E-2</v>
      </c>
      <c r="AA87" s="483">
        <f t="shared" si="49"/>
        <v>2.3091796236149386E-2</v>
      </c>
      <c r="AB87" s="483">
        <f t="shared" si="49"/>
        <v>2.2354726389894403E-2</v>
      </c>
      <c r="AC87" s="483">
        <f t="shared" si="49"/>
        <v>2.1761350567150117E-2</v>
      </c>
      <c r="AD87" s="483">
        <f t="shared" si="49"/>
        <v>2.1211945713263541E-2</v>
      </c>
      <c r="AE87" s="483">
        <f t="shared" si="49"/>
        <v>2.0701508233925935E-2</v>
      </c>
      <c r="AF87" s="483">
        <f t="shared" si="49"/>
        <v>2.0234792814645328E-2</v>
      </c>
      <c r="AG87" s="483">
        <f t="shared" si="49"/>
        <v>1.9791749047641822E-2</v>
      </c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</row>
    <row r="88" spans="12:53" x14ac:dyDescent="0.25">
      <c r="L88" s="338" t="str">
        <f>'Occ T3'!A44</f>
        <v xml:space="preserve"> 82 Transport and mobile machine drivers and operatives</v>
      </c>
      <c r="M88" s="483">
        <f t="shared" ref="M88:AG88" si="50">M42/M$48</f>
        <v>3.9358517584849893E-2</v>
      </c>
      <c r="N88" s="483">
        <f t="shared" si="50"/>
        <v>3.8599723112328732E-2</v>
      </c>
      <c r="O88" s="483">
        <f t="shared" si="50"/>
        <v>3.8743540275619756E-2</v>
      </c>
      <c r="P88" s="483">
        <f t="shared" si="50"/>
        <v>3.7703688406670523E-2</v>
      </c>
      <c r="Q88" s="483">
        <f t="shared" si="50"/>
        <v>3.8254450181515014E-2</v>
      </c>
      <c r="R88" s="483">
        <f t="shared" si="50"/>
        <v>3.8059176210960777E-2</v>
      </c>
      <c r="S88" s="483">
        <f t="shared" si="50"/>
        <v>3.7653687052297623E-2</v>
      </c>
      <c r="T88" s="483">
        <f t="shared" si="50"/>
        <v>3.7177032974526042E-2</v>
      </c>
      <c r="U88" s="483">
        <f t="shared" si="50"/>
        <v>3.6803822944930162E-2</v>
      </c>
      <c r="V88" s="483">
        <f t="shared" si="50"/>
        <v>3.6498985238024806E-2</v>
      </c>
      <c r="W88" s="483">
        <f t="shared" si="50"/>
        <v>3.6432270776017885E-2</v>
      </c>
      <c r="X88" s="483">
        <f t="shared" si="50"/>
        <v>3.6285381368136811E-2</v>
      </c>
      <c r="Y88" s="483">
        <f t="shared" si="50"/>
        <v>3.6174873032403368E-2</v>
      </c>
      <c r="Z88" s="483">
        <f t="shared" si="50"/>
        <v>3.609809639845548E-2</v>
      </c>
      <c r="AA88" s="483">
        <f t="shared" si="50"/>
        <v>3.5925510596766193E-2</v>
      </c>
      <c r="AB88" s="483">
        <f t="shared" si="50"/>
        <v>3.5727554089209891E-2</v>
      </c>
      <c r="AC88" s="483">
        <f t="shared" si="50"/>
        <v>3.566658693282538E-2</v>
      </c>
      <c r="AD88" s="483">
        <f t="shared" si="50"/>
        <v>3.5596104614437588E-2</v>
      </c>
      <c r="AE88" s="483">
        <f t="shared" si="50"/>
        <v>3.5511429009828309E-2</v>
      </c>
      <c r="AF88" s="483">
        <f t="shared" si="50"/>
        <v>3.5414716228280373E-2</v>
      </c>
      <c r="AG88" s="483">
        <f t="shared" si="50"/>
        <v>3.5319177615348321E-2</v>
      </c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</row>
    <row r="89" spans="12:53" x14ac:dyDescent="0.25">
      <c r="L89" s="338"/>
      <c r="M89" s="483"/>
      <c r="N89" s="483"/>
      <c r="O89" s="483"/>
      <c r="P89" s="483"/>
      <c r="Q89" s="483"/>
      <c r="R89" s="483"/>
      <c r="S89" s="483"/>
      <c r="T89" s="483"/>
      <c r="U89" s="483"/>
      <c r="V89" s="483"/>
      <c r="W89" s="483"/>
      <c r="X89" s="483"/>
      <c r="Y89" s="483"/>
      <c r="Z89" s="483"/>
      <c r="AA89" s="483"/>
      <c r="AB89" s="483"/>
      <c r="AC89" s="483"/>
      <c r="AD89" s="483"/>
      <c r="AE89" s="483"/>
      <c r="AF89" s="483"/>
      <c r="AG89" s="48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</row>
    <row r="90" spans="12:53" x14ac:dyDescent="0.25">
      <c r="L90" s="20" t="str">
        <f>'Occ T3'!A46</f>
        <v>Elementary occupations</v>
      </c>
      <c r="M90" s="484">
        <f t="shared" ref="M90:AG90" si="51">M44/M$48</f>
        <v>0.12699642931417712</v>
      </c>
      <c r="N90" s="484">
        <f t="shared" si="51"/>
        <v>0.12447380068053288</v>
      </c>
      <c r="O90" s="484">
        <f t="shared" si="51"/>
        <v>0.12157535862800137</v>
      </c>
      <c r="P90" s="484">
        <f t="shared" si="51"/>
        <v>0.11790705995495515</v>
      </c>
      <c r="Q90" s="484">
        <f t="shared" si="51"/>
        <v>0.11775833739464654</v>
      </c>
      <c r="R90" s="484">
        <f t="shared" si="51"/>
        <v>0.11843365711137099</v>
      </c>
      <c r="S90" s="484">
        <f t="shared" si="51"/>
        <v>0.11584110997270837</v>
      </c>
      <c r="T90" s="484">
        <f t="shared" si="51"/>
        <v>0.11559229351365331</v>
      </c>
      <c r="U90" s="484">
        <f t="shared" si="51"/>
        <v>0.11513750185243195</v>
      </c>
      <c r="V90" s="484">
        <f t="shared" si="51"/>
        <v>0.11436293137087158</v>
      </c>
      <c r="W90" s="484">
        <f t="shared" si="51"/>
        <v>0.11352140780864735</v>
      </c>
      <c r="X90" s="484">
        <f t="shared" si="51"/>
        <v>0.11314868754382146</v>
      </c>
      <c r="Y90" s="484">
        <f t="shared" si="51"/>
        <v>0.11287947382299769</v>
      </c>
      <c r="Z90" s="484">
        <f t="shared" si="51"/>
        <v>0.11270289390158787</v>
      </c>
      <c r="AA90" s="484">
        <f t="shared" si="51"/>
        <v>0.11235674955633788</v>
      </c>
      <c r="AB90" s="484">
        <f t="shared" si="51"/>
        <v>0.11199973879344542</v>
      </c>
      <c r="AC90" s="484">
        <f t="shared" si="51"/>
        <v>0.11150672550630154</v>
      </c>
      <c r="AD90" s="484">
        <f t="shared" si="51"/>
        <v>0.11113768309838991</v>
      </c>
      <c r="AE90" s="484">
        <f t="shared" si="51"/>
        <v>0.11080535413247317</v>
      </c>
      <c r="AF90" s="484">
        <f t="shared" si="51"/>
        <v>0.11047302324443922</v>
      </c>
      <c r="AG90" s="484">
        <f t="shared" si="51"/>
        <v>0.11018554594366145</v>
      </c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</row>
    <row r="91" spans="12:53" x14ac:dyDescent="0.25">
      <c r="L91" s="338" t="str">
        <f>'Occ T3'!A47</f>
        <v xml:space="preserve"> 91 Elementary trades and related occupations</v>
      </c>
      <c r="M91" s="483">
        <f t="shared" ref="M91:AG91" si="52">M45/M$48</f>
        <v>1.739965886615167E-2</v>
      </c>
      <c r="N91" s="483">
        <f t="shared" si="52"/>
        <v>1.7023784971139093E-2</v>
      </c>
      <c r="O91" s="483">
        <f t="shared" si="52"/>
        <v>1.6931915623750737E-2</v>
      </c>
      <c r="P91" s="483">
        <f t="shared" si="52"/>
        <v>1.6564173954832867E-2</v>
      </c>
      <c r="Q91" s="483">
        <f t="shared" si="52"/>
        <v>1.6539247995700401E-2</v>
      </c>
      <c r="R91" s="483">
        <f t="shared" si="52"/>
        <v>1.6682509995904152E-2</v>
      </c>
      <c r="S91" s="483">
        <f t="shared" si="52"/>
        <v>1.624545674458663E-2</v>
      </c>
      <c r="T91" s="483">
        <f t="shared" si="52"/>
        <v>1.6205698012774182E-2</v>
      </c>
      <c r="U91" s="483">
        <f t="shared" si="52"/>
        <v>1.6125267937088242E-2</v>
      </c>
      <c r="V91" s="483">
        <f t="shared" si="52"/>
        <v>1.6005362856700581E-2</v>
      </c>
      <c r="W91" s="483">
        <f t="shared" si="52"/>
        <v>1.5930151429958364E-2</v>
      </c>
      <c r="X91" s="483">
        <f t="shared" si="52"/>
        <v>1.5793526239072857E-2</v>
      </c>
      <c r="Y91" s="483">
        <f t="shared" si="52"/>
        <v>1.5670240743601013E-2</v>
      </c>
      <c r="Z91" s="483">
        <f t="shared" si="52"/>
        <v>1.5552080800793601E-2</v>
      </c>
      <c r="AA91" s="483">
        <f t="shared" si="52"/>
        <v>1.5422118135084506E-2</v>
      </c>
      <c r="AB91" s="483">
        <f t="shared" si="52"/>
        <v>1.5290605754986706E-2</v>
      </c>
      <c r="AC91" s="483">
        <f t="shared" si="52"/>
        <v>1.5186674082127346E-2</v>
      </c>
      <c r="AD91" s="483">
        <f t="shared" si="52"/>
        <v>1.5095549188495925E-2</v>
      </c>
      <c r="AE91" s="483">
        <f t="shared" si="52"/>
        <v>1.5002716141927592E-2</v>
      </c>
      <c r="AF91" s="483">
        <f t="shared" si="52"/>
        <v>1.4911463479562499E-2</v>
      </c>
      <c r="AG91" s="483">
        <f t="shared" si="52"/>
        <v>1.482303712726208E-2</v>
      </c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</row>
    <row r="92" spans="12:53" x14ac:dyDescent="0.25">
      <c r="L92" s="338" t="str">
        <f>'Occ T3'!A48</f>
        <v xml:space="preserve"> 92 Elementary administration and service occupations</v>
      </c>
      <c r="M92" s="483">
        <f t="shared" ref="M92:AG92" si="53">M46/M$48</f>
        <v>0.10959677044802546</v>
      </c>
      <c r="N92" s="483">
        <f t="shared" si="53"/>
        <v>0.10745001570939378</v>
      </c>
      <c r="O92" s="483">
        <f t="shared" si="53"/>
        <v>0.10464344300425063</v>
      </c>
      <c r="P92" s="483">
        <f t="shared" si="53"/>
        <v>0.1013428860001223</v>
      </c>
      <c r="Q92" s="483">
        <f t="shared" si="53"/>
        <v>0.10121908939894615</v>
      </c>
      <c r="R92" s="483">
        <f t="shared" si="53"/>
        <v>0.10175114711546684</v>
      </c>
      <c r="S92" s="483">
        <f t="shared" si="53"/>
        <v>9.9595653228121736E-2</v>
      </c>
      <c r="T92" s="483">
        <f t="shared" si="53"/>
        <v>9.9386595500879138E-2</v>
      </c>
      <c r="U92" s="483">
        <f t="shared" si="53"/>
        <v>9.9012233915343709E-2</v>
      </c>
      <c r="V92" s="483">
        <f t="shared" si="53"/>
        <v>9.8357568514171018E-2</v>
      </c>
      <c r="W92" s="483">
        <f t="shared" si="53"/>
        <v>9.7591256378688984E-2</v>
      </c>
      <c r="X92" s="483">
        <f t="shared" si="53"/>
        <v>9.7355161304748611E-2</v>
      </c>
      <c r="Y92" s="483">
        <f t="shared" si="53"/>
        <v>9.7209233079396676E-2</v>
      </c>
      <c r="Z92" s="483">
        <f t="shared" si="53"/>
        <v>9.7150813100794278E-2</v>
      </c>
      <c r="AA92" s="483">
        <f t="shared" si="53"/>
        <v>9.6934631421253373E-2</v>
      </c>
      <c r="AB92" s="483">
        <f t="shared" si="53"/>
        <v>9.6709133038458725E-2</v>
      </c>
      <c r="AC92" s="483">
        <f t="shared" si="53"/>
        <v>9.63200514241742E-2</v>
      </c>
      <c r="AD92" s="483">
        <f t="shared" si="53"/>
        <v>9.6042133909893981E-2</v>
      </c>
      <c r="AE92" s="483">
        <f t="shared" si="53"/>
        <v>9.5802637990545572E-2</v>
      </c>
      <c r="AF92" s="483">
        <f t="shared" si="53"/>
        <v>9.5561559764876722E-2</v>
      </c>
      <c r="AG92" s="483">
        <f t="shared" si="53"/>
        <v>9.5362508816399363E-2</v>
      </c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</row>
    <row r="93" spans="12:53" x14ac:dyDescent="0.25">
      <c r="L93" s="338"/>
      <c r="M93" s="483"/>
      <c r="N93" s="483"/>
      <c r="O93" s="483"/>
      <c r="P93" s="483"/>
      <c r="Q93" s="483"/>
      <c r="R93" s="483"/>
      <c r="S93" s="483"/>
      <c r="T93" s="483"/>
      <c r="U93" s="483"/>
      <c r="V93" s="483"/>
      <c r="W93" s="483"/>
      <c r="X93" s="483"/>
      <c r="Y93" s="483"/>
      <c r="Z93" s="483"/>
      <c r="AA93" s="483"/>
      <c r="AB93" s="483"/>
      <c r="AC93" s="483"/>
      <c r="AD93" s="483"/>
      <c r="AE93" s="483"/>
      <c r="AF93" s="483"/>
      <c r="AG93" s="48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</row>
    <row r="94" spans="12:53" x14ac:dyDescent="0.25">
      <c r="L94" s="20" t="str">
        <f>'Occ T3'!A50</f>
        <v>All occupations</v>
      </c>
      <c r="M94" s="484">
        <f t="shared" ref="M94:AG94" si="54">M48/M$48</f>
        <v>1</v>
      </c>
      <c r="N94" s="484">
        <f t="shared" si="54"/>
        <v>1</v>
      </c>
      <c r="O94" s="484">
        <f t="shared" si="54"/>
        <v>1</v>
      </c>
      <c r="P94" s="484">
        <f t="shared" si="54"/>
        <v>1</v>
      </c>
      <c r="Q94" s="484">
        <f t="shared" si="54"/>
        <v>1</v>
      </c>
      <c r="R94" s="484">
        <f t="shared" si="54"/>
        <v>1</v>
      </c>
      <c r="S94" s="484">
        <f t="shared" si="54"/>
        <v>1</v>
      </c>
      <c r="T94" s="484">
        <f t="shared" si="54"/>
        <v>1</v>
      </c>
      <c r="U94" s="484">
        <f t="shared" si="54"/>
        <v>1</v>
      </c>
      <c r="V94" s="484">
        <f t="shared" si="54"/>
        <v>1</v>
      </c>
      <c r="W94" s="484">
        <f t="shared" si="54"/>
        <v>1</v>
      </c>
      <c r="X94" s="484">
        <f t="shared" si="54"/>
        <v>1</v>
      </c>
      <c r="Y94" s="484">
        <f t="shared" si="54"/>
        <v>1</v>
      </c>
      <c r="Z94" s="484">
        <f t="shared" si="54"/>
        <v>1</v>
      </c>
      <c r="AA94" s="484">
        <f t="shared" si="54"/>
        <v>1</v>
      </c>
      <c r="AB94" s="484">
        <f t="shared" si="54"/>
        <v>1</v>
      </c>
      <c r="AC94" s="484">
        <f t="shared" si="54"/>
        <v>1</v>
      </c>
      <c r="AD94" s="484">
        <f t="shared" si="54"/>
        <v>1</v>
      </c>
      <c r="AE94" s="484">
        <f t="shared" si="54"/>
        <v>1</v>
      </c>
      <c r="AF94" s="484">
        <f t="shared" si="54"/>
        <v>1</v>
      </c>
      <c r="AG94" s="484">
        <f t="shared" si="54"/>
        <v>1</v>
      </c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</row>
    <row r="95" spans="12:53" x14ac:dyDescent="0.25">
      <c r="L95" s="60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</row>
    <row r="96" spans="12:53" x14ac:dyDescent="0.25">
      <c r="L96" s="60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</row>
    <row r="97" spans="1:53" x14ac:dyDescent="0.25">
      <c r="L97" s="60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</row>
    <row r="98" spans="1:53" x14ac:dyDescent="0.25">
      <c r="L98" s="60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</row>
    <row r="99" spans="1:53" x14ac:dyDescent="0.25">
      <c r="L99" s="60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</row>
    <row r="100" spans="1:53" x14ac:dyDescent="0.25">
      <c r="L100" s="60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</row>
    <row r="101" spans="1:53" x14ac:dyDescent="0.25">
      <c r="L101" s="60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</row>
    <row r="102" spans="1:53" x14ac:dyDescent="0.25">
      <c r="L102" s="60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</row>
    <row r="103" spans="1:53" x14ac:dyDescent="0.25">
      <c r="L103" s="60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</row>
    <row r="104" spans="1:53" x14ac:dyDescent="0.25">
      <c r="L104" s="60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</row>
    <row r="105" spans="1:53" x14ac:dyDescent="0.25">
      <c r="L105" s="60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</row>
    <row r="106" spans="1:53" x14ac:dyDescent="0.25">
      <c r="L106" s="60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</row>
    <row r="107" spans="1:53" x14ac:dyDescent="0.25">
      <c r="L107" s="60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</row>
    <row r="108" spans="1:53" x14ac:dyDescent="0.25">
      <c r="L108" s="60"/>
      <c r="M108" s="13"/>
      <c r="N108" s="13"/>
      <c r="O108" s="13"/>
      <c r="P108" s="13"/>
    </row>
    <row r="109" spans="1:53" x14ac:dyDescent="0.25">
      <c r="L109" s="60"/>
      <c r="M109" s="13"/>
      <c r="N109" s="13"/>
      <c r="O109" s="13"/>
      <c r="P109" s="13"/>
    </row>
    <row r="110" spans="1:53" x14ac:dyDescent="0.25">
      <c r="L110" s="60"/>
      <c r="M110" s="13"/>
      <c r="N110" s="13"/>
      <c r="O110" s="13"/>
      <c r="P110" s="13"/>
    </row>
    <row r="111" spans="1:53" s="286" customFormat="1" x14ac:dyDescent="0.25">
      <c r="A111" s="104"/>
      <c r="B111" s="104"/>
      <c r="C111" s="104"/>
      <c r="D111" s="104"/>
      <c r="E111" s="104"/>
      <c r="F111" s="104"/>
      <c r="G111" s="104"/>
      <c r="H111" s="104"/>
      <c r="I111" s="104"/>
      <c r="J111" s="104"/>
      <c r="K111" s="104"/>
      <c r="L111" s="60"/>
      <c r="M111" s="13"/>
      <c r="N111" s="13"/>
      <c r="O111" s="13"/>
      <c r="P111" s="13"/>
    </row>
    <row r="112" spans="1:53" s="286" customFormat="1" x14ac:dyDescent="0.25">
      <c r="A112" s="104"/>
      <c r="B112" s="104"/>
      <c r="C112" s="104"/>
      <c r="D112" s="104"/>
      <c r="E112" s="104"/>
      <c r="F112" s="104"/>
      <c r="G112" s="104"/>
      <c r="H112" s="104"/>
      <c r="I112" s="104"/>
      <c r="J112" s="104"/>
      <c r="K112" s="104"/>
      <c r="L112" s="60"/>
      <c r="M112" s="13"/>
      <c r="N112" s="13"/>
      <c r="O112" s="13"/>
      <c r="P112" s="13"/>
    </row>
    <row r="113" spans="1:16" x14ac:dyDescent="0.25">
      <c r="L113" s="60"/>
      <c r="M113" s="13"/>
      <c r="N113" s="13"/>
      <c r="O113" s="13"/>
      <c r="P113" s="13"/>
    </row>
    <row r="114" spans="1:16" x14ac:dyDescent="0.25">
      <c r="L114" s="60"/>
      <c r="M114" s="13"/>
      <c r="N114" s="13"/>
      <c r="O114" s="13"/>
      <c r="P114" s="13"/>
    </row>
    <row r="115" spans="1:16" x14ac:dyDescent="0.25">
      <c r="L115" s="60"/>
    </row>
    <row r="116" spans="1:16" ht="15.6" x14ac:dyDescent="0.3">
      <c r="A116" s="103" t="str">
        <f>CONCATENATE("Occupation Figure 2.2  Employment by Occupation, ",$M$2,"-",$O$2)</f>
        <v>Occupation Figure 2.2  Employment by Occupation, 2007-2027</v>
      </c>
    </row>
    <row r="143" spans="12:63" s="104" customFormat="1" x14ac:dyDescent="0.25">
      <c r="L143" s="220"/>
      <c r="M143" s="220"/>
      <c r="N143" s="220"/>
      <c r="O143" s="220"/>
      <c r="P143" s="220"/>
      <c r="Q143" s="220"/>
      <c r="R143" s="220"/>
      <c r="S143" s="220"/>
      <c r="T143" s="220"/>
      <c r="U143" s="220"/>
      <c r="V143" s="220"/>
      <c r="W143" s="220"/>
      <c r="X143" s="220"/>
      <c r="Y143" s="220"/>
      <c r="Z143" s="220"/>
      <c r="AA143" s="220"/>
      <c r="AB143" s="220"/>
      <c r="AC143" s="220"/>
      <c r="AD143" s="220"/>
      <c r="AE143" s="220"/>
      <c r="AF143" s="220"/>
      <c r="AG143" s="220"/>
      <c r="AH143" s="220"/>
      <c r="AI143" s="220"/>
      <c r="AJ143" s="220"/>
      <c r="AK143" s="220"/>
      <c r="AL143" s="220"/>
      <c r="AM143" s="220"/>
      <c r="AN143" s="220"/>
      <c r="AO143" s="220"/>
      <c r="AP143" s="220"/>
      <c r="AQ143" s="220"/>
      <c r="AR143" s="220"/>
      <c r="AS143" s="220"/>
      <c r="AT143" s="220"/>
      <c r="AU143" s="220"/>
      <c r="AV143" s="220"/>
      <c r="AW143" s="220"/>
      <c r="AX143" s="220"/>
      <c r="AY143" s="220"/>
      <c r="AZ143" s="220"/>
      <c r="BA143" s="220"/>
      <c r="BB143" s="220"/>
      <c r="BC143" s="220"/>
      <c r="BD143" s="220"/>
      <c r="BE143" s="220"/>
      <c r="BF143" s="220"/>
      <c r="BG143" s="220"/>
      <c r="BH143" s="220"/>
      <c r="BI143" s="220"/>
      <c r="BJ143" s="220"/>
      <c r="BK143" s="220"/>
    </row>
    <row r="162" spans="1:1" ht="15.6" x14ac:dyDescent="0.3">
      <c r="A162" s="103" t="str">
        <f>CONCATENATE("Occupation Figure 2.3  Change in Employment in ",$L$5,", ",$M$2,"-",$O$2)</f>
        <v>Occupation Figure 2.3  Change in Employment in Managers, directors and senior officials, 2007-2027</v>
      </c>
    </row>
    <row r="178" spans="12:63" s="104" customFormat="1" x14ac:dyDescent="0.25">
      <c r="L178" s="220"/>
      <c r="M178" s="220"/>
      <c r="N178" s="220"/>
      <c r="O178" s="220"/>
      <c r="P178" s="220"/>
      <c r="Q178" s="220"/>
      <c r="R178" s="220"/>
      <c r="S178" s="220"/>
      <c r="T178" s="220"/>
      <c r="U178" s="220"/>
      <c r="V178" s="220"/>
      <c r="W178" s="220"/>
      <c r="X178" s="220"/>
      <c r="Y178" s="220"/>
      <c r="Z178" s="220"/>
      <c r="AA178" s="220"/>
      <c r="AB178" s="220"/>
      <c r="AC178" s="220"/>
      <c r="AD178" s="220"/>
      <c r="AE178" s="220"/>
      <c r="AF178" s="220"/>
      <c r="AG178" s="220"/>
      <c r="AH178" s="220"/>
      <c r="AI178" s="220"/>
      <c r="AJ178" s="220"/>
      <c r="AK178" s="220"/>
      <c r="AL178" s="220"/>
      <c r="AM178" s="220"/>
      <c r="AN178" s="220"/>
      <c r="AO178" s="220"/>
      <c r="AP178" s="220"/>
      <c r="AQ178" s="220"/>
      <c r="AR178" s="220"/>
      <c r="AS178" s="220"/>
      <c r="AT178" s="220"/>
      <c r="AU178" s="220"/>
      <c r="AV178" s="220"/>
      <c r="AW178" s="220"/>
      <c r="AX178" s="220"/>
      <c r="AY178" s="220"/>
      <c r="AZ178" s="220"/>
      <c r="BA178" s="220"/>
      <c r="BB178" s="220"/>
      <c r="BC178" s="220"/>
      <c r="BD178" s="220"/>
      <c r="BE178" s="220"/>
      <c r="BF178" s="220"/>
      <c r="BG178" s="220"/>
      <c r="BH178" s="220"/>
      <c r="BI178" s="220"/>
      <c r="BJ178" s="220"/>
      <c r="BK178" s="220"/>
    </row>
    <row r="197" spans="1:1" ht="15.6" x14ac:dyDescent="0.3">
      <c r="A197" s="103" t="str">
        <f>CONCATENATE("Occupation Figure 2.4  Change in Employment in ",$L$9,", ",$M$2,"-",$O$2)</f>
        <v>Occupation Figure 2.4  Change in Employment in Professional occupations, 2007-2027</v>
      </c>
    </row>
    <row r="213" spans="12:63" s="104" customFormat="1" x14ac:dyDescent="0.25">
      <c r="L213" s="220"/>
      <c r="M213" s="220"/>
      <c r="N213" s="220"/>
      <c r="O213" s="220"/>
      <c r="P213" s="220"/>
      <c r="Q213" s="220"/>
      <c r="R213" s="220"/>
      <c r="S213" s="220"/>
      <c r="T213" s="220"/>
      <c r="U213" s="220"/>
      <c r="V213" s="220"/>
      <c r="W213" s="220"/>
      <c r="X213" s="220"/>
      <c r="Y213" s="220"/>
      <c r="Z213" s="220"/>
      <c r="AA213" s="220"/>
      <c r="AB213" s="220"/>
      <c r="AC213" s="220"/>
      <c r="AD213" s="220"/>
      <c r="AE213" s="220"/>
      <c r="AF213" s="220"/>
      <c r="AG213" s="220"/>
      <c r="AH213" s="220"/>
      <c r="AI213" s="220"/>
      <c r="AJ213" s="220"/>
      <c r="AK213" s="220"/>
      <c r="AL213" s="220"/>
      <c r="AM213" s="220"/>
      <c r="AN213" s="220"/>
      <c r="AO213" s="220"/>
      <c r="AP213" s="220"/>
      <c r="AQ213" s="220"/>
      <c r="AR213" s="220"/>
      <c r="AS213" s="220"/>
      <c r="AT213" s="220"/>
      <c r="AU213" s="220"/>
      <c r="AV213" s="220"/>
      <c r="AW213" s="220"/>
      <c r="AX213" s="220"/>
      <c r="AY213" s="220"/>
      <c r="AZ213" s="220"/>
      <c r="BA213" s="220"/>
      <c r="BB213" s="220"/>
      <c r="BC213" s="220"/>
      <c r="BD213" s="220"/>
      <c r="BE213" s="220"/>
      <c r="BF213" s="220"/>
      <c r="BG213" s="220"/>
      <c r="BH213" s="220"/>
      <c r="BI213" s="220"/>
      <c r="BJ213" s="220"/>
      <c r="BK213" s="220"/>
    </row>
    <row r="232" spans="1:1" ht="15.6" x14ac:dyDescent="0.3">
      <c r="A232" s="103" t="str">
        <f>CONCATENATE("Occupation Figure 2.5  Change in Employment in ",$L$15,", ",$M$2,"-",$O$2)</f>
        <v>Occupation Figure 2.5  Change in Employment in Associate professional and technical, 2007-2027</v>
      </c>
    </row>
    <row r="248" spans="12:63" s="104" customFormat="1" x14ac:dyDescent="0.25">
      <c r="L248" s="220"/>
      <c r="M248" s="220"/>
      <c r="N248" s="220"/>
      <c r="O248" s="220"/>
      <c r="P248" s="220"/>
      <c r="Q248" s="220"/>
      <c r="R248" s="220"/>
      <c r="S248" s="220"/>
      <c r="T248" s="220"/>
      <c r="U248" s="220"/>
      <c r="V248" s="220"/>
      <c r="W248" s="220"/>
      <c r="X248" s="220"/>
      <c r="Y248" s="220"/>
      <c r="Z248" s="220"/>
      <c r="AA248" s="220"/>
      <c r="AB248" s="220"/>
      <c r="AC248" s="220"/>
      <c r="AD248" s="220"/>
      <c r="AE248" s="220"/>
      <c r="AF248" s="220"/>
      <c r="AG248" s="220"/>
      <c r="AH248" s="220"/>
      <c r="AI248" s="220"/>
      <c r="AJ248" s="220"/>
      <c r="AK248" s="220"/>
      <c r="AL248" s="220"/>
      <c r="AM248" s="220"/>
      <c r="AN248" s="220"/>
      <c r="AO248" s="220"/>
      <c r="AP248" s="220"/>
      <c r="AQ248" s="220"/>
      <c r="AR248" s="220"/>
      <c r="AS248" s="220"/>
      <c r="AT248" s="220"/>
      <c r="AU248" s="220"/>
      <c r="AV248" s="220"/>
      <c r="AW248" s="220"/>
      <c r="AX248" s="220"/>
      <c r="AY248" s="220"/>
      <c r="AZ248" s="220"/>
      <c r="BA248" s="220"/>
      <c r="BB248" s="220"/>
      <c r="BC248" s="220"/>
      <c r="BD248" s="220"/>
      <c r="BE248" s="220"/>
      <c r="BF248" s="220"/>
      <c r="BG248" s="220"/>
      <c r="BH248" s="220"/>
      <c r="BI248" s="220"/>
      <c r="BJ248" s="220"/>
      <c r="BK248" s="220"/>
    </row>
    <row r="267" spans="1:1" ht="15.6" x14ac:dyDescent="0.3">
      <c r="A267" s="103" t="str">
        <f>CONCATENATE("Occupation Figure 2.6  Change in Employment in ",$L$22,", ",$M$2,"-",$O$2)</f>
        <v>Occupation Figure 2.6  Change in Employment in Administrative and secretarial, 2007-2027</v>
      </c>
    </row>
    <row r="283" spans="12:63" s="104" customFormat="1" x14ac:dyDescent="0.25">
      <c r="L283" s="220"/>
      <c r="M283" s="220"/>
      <c r="N283" s="220"/>
      <c r="O283" s="220"/>
      <c r="P283" s="220"/>
      <c r="Q283" s="220"/>
      <c r="R283" s="220"/>
      <c r="S283" s="220"/>
      <c r="T283" s="220"/>
      <c r="U283" s="220"/>
      <c r="V283" s="220"/>
      <c r="W283" s="220"/>
      <c r="X283" s="220"/>
      <c r="Y283" s="220"/>
      <c r="Z283" s="220"/>
      <c r="AA283" s="220"/>
      <c r="AB283" s="220"/>
      <c r="AC283" s="220"/>
      <c r="AD283" s="220"/>
      <c r="AE283" s="220"/>
      <c r="AF283" s="220"/>
      <c r="AG283" s="220"/>
      <c r="AH283" s="220"/>
      <c r="AI283" s="220"/>
      <c r="AJ283" s="220"/>
      <c r="AK283" s="220"/>
      <c r="AL283" s="220"/>
      <c r="AM283" s="220"/>
      <c r="AN283" s="220"/>
      <c r="AO283" s="220"/>
      <c r="AP283" s="220"/>
      <c r="AQ283" s="220"/>
      <c r="AR283" s="220"/>
      <c r="AS283" s="220"/>
      <c r="AT283" s="220"/>
      <c r="AU283" s="220"/>
      <c r="AV283" s="220"/>
      <c r="AW283" s="220"/>
      <c r="AX283" s="220"/>
      <c r="AY283" s="220"/>
      <c r="AZ283" s="220"/>
      <c r="BA283" s="220"/>
      <c r="BB283" s="220"/>
      <c r="BC283" s="220"/>
      <c r="BD283" s="220"/>
      <c r="BE283" s="220"/>
      <c r="BF283" s="220"/>
      <c r="BG283" s="220"/>
      <c r="BH283" s="220"/>
      <c r="BI283" s="220"/>
      <c r="BJ283" s="220"/>
      <c r="BK283" s="220"/>
    </row>
    <row r="302" spans="1:1" ht="15.6" x14ac:dyDescent="0.3">
      <c r="A302" s="103" t="str">
        <f>CONCATENATE("Occupation Figure 2.7  Change in Employment in ",$L$26,", ",$M$2,"- ",$O$2)</f>
        <v>Occupation Figure 2.7  Change in Employment in Skilled trades occupations, 2007- 2027</v>
      </c>
    </row>
    <row r="318" spans="12:63" s="104" customFormat="1" x14ac:dyDescent="0.25">
      <c r="L318" s="220"/>
      <c r="M318" s="220"/>
      <c r="N318" s="220"/>
      <c r="O318" s="220"/>
      <c r="P318" s="220"/>
      <c r="Q318" s="220"/>
      <c r="R318" s="220"/>
      <c r="S318" s="220"/>
      <c r="T318" s="220"/>
      <c r="U318" s="220"/>
      <c r="V318" s="220"/>
      <c r="W318" s="220"/>
      <c r="X318" s="220"/>
      <c r="Y318" s="220"/>
      <c r="Z318" s="220"/>
      <c r="AA318" s="220"/>
      <c r="AB318" s="220"/>
      <c r="AC318" s="220"/>
      <c r="AD318" s="220"/>
      <c r="AE318" s="220"/>
      <c r="AF318" s="220"/>
      <c r="AG318" s="220"/>
      <c r="AH318" s="220"/>
      <c r="AI318" s="220"/>
      <c r="AJ318" s="220"/>
      <c r="AK318" s="220"/>
      <c r="AL318" s="220"/>
      <c r="AM318" s="220"/>
      <c r="AN318" s="220"/>
      <c r="AO318" s="220"/>
      <c r="AP318" s="220"/>
      <c r="AQ318" s="220"/>
      <c r="AR318" s="220"/>
      <c r="AS318" s="220"/>
      <c r="AT318" s="220"/>
      <c r="AU318" s="220"/>
      <c r="AV318" s="220"/>
      <c r="AW318" s="220"/>
      <c r="AX318" s="220"/>
      <c r="AY318" s="220"/>
      <c r="AZ318" s="220"/>
      <c r="BA318" s="220"/>
      <c r="BB318" s="220"/>
      <c r="BC318" s="220"/>
      <c r="BD318" s="220"/>
      <c r="BE318" s="220"/>
      <c r="BF318" s="220"/>
      <c r="BG318" s="220"/>
      <c r="BH318" s="220"/>
      <c r="BI318" s="220"/>
      <c r="BJ318" s="220"/>
      <c r="BK318" s="220"/>
    </row>
    <row r="337" spans="1:1" ht="15.6" x14ac:dyDescent="0.3">
      <c r="A337" s="103" t="str">
        <f>CONCATENATE("Occupation Figure 2.8  Change in Employment in ",$L$32,", ",$M$2,"-",$O$2)</f>
        <v>Occupation Figure 2.8  Change in Employment in Caring, leisure and other service, 2007-2027</v>
      </c>
    </row>
    <row r="353" spans="12:63" s="104" customFormat="1" x14ac:dyDescent="0.25">
      <c r="L353" s="220"/>
      <c r="M353" s="220"/>
      <c r="N353" s="220"/>
      <c r="O353" s="220"/>
      <c r="P353" s="220"/>
      <c r="Q353" s="220"/>
      <c r="R353" s="220"/>
      <c r="S353" s="220"/>
      <c r="T353" s="220"/>
      <c r="U353" s="220"/>
      <c r="V353" s="220"/>
      <c r="W353" s="220"/>
      <c r="X353" s="220"/>
      <c r="Y353" s="220"/>
      <c r="Z353" s="220"/>
      <c r="AA353" s="220"/>
      <c r="AB353" s="220"/>
      <c r="AC353" s="220"/>
      <c r="AD353" s="220"/>
      <c r="AE353" s="220"/>
      <c r="AF353" s="220"/>
      <c r="AG353" s="220"/>
      <c r="AH353" s="220"/>
      <c r="AI353" s="220"/>
      <c r="AJ353" s="220"/>
      <c r="AK353" s="220"/>
      <c r="AL353" s="220"/>
      <c r="AM353" s="220"/>
      <c r="AN353" s="220"/>
      <c r="AO353" s="220"/>
      <c r="AP353" s="220"/>
      <c r="AQ353" s="220"/>
      <c r="AR353" s="220"/>
      <c r="AS353" s="220"/>
      <c r="AT353" s="220"/>
      <c r="AU353" s="220"/>
      <c r="AV353" s="220"/>
      <c r="AW353" s="220"/>
      <c r="AX353" s="220"/>
      <c r="AY353" s="220"/>
      <c r="AZ353" s="220"/>
      <c r="BA353" s="220"/>
      <c r="BB353" s="220"/>
      <c r="BC353" s="220"/>
      <c r="BD353" s="220"/>
      <c r="BE353" s="220"/>
      <c r="BF353" s="220"/>
      <c r="BG353" s="220"/>
      <c r="BH353" s="220"/>
      <c r="BI353" s="220"/>
      <c r="BJ353" s="220"/>
      <c r="BK353" s="220"/>
    </row>
    <row r="372" spans="1:1" ht="15.6" x14ac:dyDescent="0.3">
      <c r="A372" s="103" t="str">
        <f>CONCATENATE("Occupation Figure 2.9  Change in Employment in ",$L$36,", ",$M$2,"-",$O$2)</f>
        <v>Occupation Figure 2.9  Change in Employment in Sales and customer service, 2007-2027</v>
      </c>
    </row>
    <row r="388" spans="12:63" s="104" customFormat="1" x14ac:dyDescent="0.25">
      <c r="L388" s="220"/>
      <c r="M388" s="220"/>
      <c r="N388" s="220"/>
      <c r="O388" s="220"/>
      <c r="P388" s="220"/>
      <c r="Q388" s="220"/>
      <c r="R388" s="220"/>
      <c r="S388" s="220"/>
      <c r="T388" s="220"/>
      <c r="U388" s="220"/>
      <c r="V388" s="220"/>
      <c r="W388" s="220"/>
      <c r="X388" s="220"/>
      <c r="Y388" s="220"/>
      <c r="Z388" s="220"/>
      <c r="AA388" s="220"/>
      <c r="AB388" s="220"/>
      <c r="AC388" s="220"/>
      <c r="AD388" s="220"/>
      <c r="AE388" s="220"/>
      <c r="AF388" s="220"/>
      <c r="AG388" s="220"/>
      <c r="AH388" s="220"/>
      <c r="AI388" s="220"/>
      <c r="AJ388" s="220"/>
      <c r="AK388" s="220"/>
      <c r="AL388" s="220"/>
      <c r="AM388" s="220"/>
      <c r="AN388" s="220"/>
      <c r="AO388" s="220"/>
      <c r="AP388" s="220"/>
      <c r="AQ388" s="220"/>
      <c r="AR388" s="220"/>
      <c r="AS388" s="220"/>
      <c r="AT388" s="220"/>
      <c r="AU388" s="220"/>
      <c r="AV388" s="220"/>
      <c r="AW388" s="220"/>
      <c r="AX388" s="220"/>
      <c r="AY388" s="220"/>
      <c r="AZ388" s="220"/>
      <c r="BA388" s="220"/>
      <c r="BB388" s="220"/>
      <c r="BC388" s="220"/>
      <c r="BD388" s="220"/>
      <c r="BE388" s="220"/>
      <c r="BF388" s="220"/>
      <c r="BG388" s="220"/>
      <c r="BH388" s="220"/>
      <c r="BI388" s="220"/>
      <c r="BJ388" s="220"/>
      <c r="BK388" s="220"/>
    </row>
    <row r="407" spans="1:1" ht="15.6" x14ac:dyDescent="0.3">
      <c r="A407" s="103" t="str">
        <f>CONCATENATE("Occupation Figure 2.10  Change in Employment in ",$L$40,", ",$M$2,"-",$O$2)</f>
        <v>Occupation Figure 2.10  Change in Employment in Process, plant and machine operatives, 2007-2027</v>
      </c>
    </row>
    <row r="442" spans="1:1" ht="15.6" x14ac:dyDescent="0.3">
      <c r="A442" s="103" t="str">
        <f>CONCATENATE("Occupation Figure 2.11  Change in Employment in ",$L$44,", ",$M$2,"-",$O$2)</f>
        <v>Occupation Figure 2.11  Change in Employment in Elementary occupations, 2007-2027</v>
      </c>
    </row>
    <row r="477" spans="1:12" ht="15.6" x14ac:dyDescent="0.3">
      <c r="A477" s="103" t="str">
        <f>CONCATENATE("Occupation Figure 2.12  Employment Level by Occupation (SOC 2010), ",'Occ T1'!D6," and ",'Occ T1'!F6," (000s)")</f>
        <v>Occupation Figure 2.12  Employment Level by Occupation (SOC 2010), 2017 and 2027 (000s)</v>
      </c>
      <c r="L477" s="56" t="s">
        <v>469</v>
      </c>
    </row>
    <row r="478" spans="1:12" x14ac:dyDescent="0.25">
      <c r="L478" s="34" t="s">
        <v>470</v>
      </c>
    </row>
    <row r="505" spans="1:12" ht="15.6" x14ac:dyDescent="0.3">
      <c r="A505" s="103" t="str">
        <f>CONCATENATE("Occupation Figure 2.13  Employment Share by Occupation (SOC 2010), ",'Occ T1'!B24,", ",'Occ T1'!D24," and ",'Occ T1'!F24," (%)")</f>
        <v>Occupation Figure 2.13  Employment Share by Occupation (SOC 2010), 2007, 2017 and 2027 (%)</v>
      </c>
      <c r="L505" s="56" t="s">
        <v>471</v>
      </c>
    </row>
    <row r="506" spans="1:12" x14ac:dyDescent="0.25">
      <c r="L506" s="34" t="s">
        <v>470</v>
      </c>
    </row>
  </sheetData>
  <conditionalFormatting sqref="L4:AP4">
    <cfRule type="cellIs" dxfId="6" priority="2" stopIfTrue="1" operator="equal">
      <formula>0</formula>
    </cfRule>
  </conditionalFormatting>
  <conditionalFormatting sqref="L50:AG50">
    <cfRule type="cellIs" dxfId="5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32"/>
  <sheetViews>
    <sheetView showGridLines="0" zoomScale="75" zoomScaleNormal="75" workbookViewId="0"/>
  </sheetViews>
  <sheetFormatPr defaultRowHeight="13.2" x14ac:dyDescent="0.25"/>
  <cols>
    <col min="18" max="18" width="9" customWidth="1"/>
    <col min="19" max="22" width="16" customWidth="1"/>
    <col min="23" max="23" width="42.44140625" customWidth="1"/>
    <col min="24" max="29" width="11.44140625" customWidth="1"/>
  </cols>
  <sheetData>
    <row r="1" spans="1:29" ht="15.6" x14ac:dyDescent="0.3">
      <c r="A1" s="103" t="str">
        <f>CONCATENATE("Occupation Figure 3  Changes in Occupational Employment Structure (000s) (SOC 2010), ",$W$1,"-",$X$1)</f>
        <v>Occupation Figure 3  Changes in Occupational Employment Structure (000s) (SOC 2010), 2007-2027</v>
      </c>
      <c r="W1" t="str">
        <f>LEFT(X3,4)</f>
        <v>2007</v>
      </c>
      <c r="X1" t="str">
        <f>RIGHT(AC3,4)</f>
        <v>2027</v>
      </c>
    </row>
    <row r="2" spans="1:29" x14ac:dyDescent="0.25">
      <c r="A2" s="286"/>
      <c r="X2" t="s">
        <v>473</v>
      </c>
    </row>
    <row r="3" spans="1:29" x14ac:dyDescent="0.25">
      <c r="W3" s="1" t="s">
        <v>0</v>
      </c>
      <c r="X3" s="12" t="str">
        <f>'Occ T1'!B6&amp;"-"&amp;'Occ T1'!C6</f>
        <v>2007-2012</v>
      </c>
      <c r="Y3" s="12" t="str">
        <f>'Occ T1'!C6&amp;"-"&amp;'Occ T1'!D6</f>
        <v>2012-2017</v>
      </c>
      <c r="Z3" s="12" t="str">
        <f>'Occ T1'!D6&amp;"-"&amp;'Occ T1'!E6</f>
        <v>2017-2022</v>
      </c>
      <c r="AA3" s="12" t="str">
        <f>'Occ T1'!E6&amp;"-"&amp;'Occ T1'!F6</f>
        <v>2022-2027</v>
      </c>
      <c r="AB3" s="12" t="str">
        <f>'Occ T1'!B6&amp;"-"&amp;'Occ T1'!D6</f>
        <v>2007-2017</v>
      </c>
      <c r="AC3" s="12" t="str">
        <f>'Occ T1'!D6&amp;"-"&amp;'Occ T1'!F6</f>
        <v>2017-2027</v>
      </c>
    </row>
    <row r="4" spans="1:29" x14ac:dyDescent="0.25">
      <c r="W4" s="12" t="str">
        <f>name!E4</f>
        <v>Managers, directors and senior officials</v>
      </c>
      <c r="X4" s="13">
        <f>'Occ T1'!C8-'Occ T1'!B8</f>
        <v>267.28302321255796</v>
      </c>
      <c r="Y4" s="13">
        <f>'Occ T1'!D8-'Occ T1'!C8</f>
        <v>523.46910897914859</v>
      </c>
      <c r="Z4" s="13">
        <f>'Occ T1'!E8-'Occ T1'!D8</f>
        <v>231.26766210742289</v>
      </c>
      <c r="AA4" s="13">
        <f>'Occ T1'!F8-'Occ T1'!E8</f>
        <v>207.27939308166287</v>
      </c>
      <c r="AB4" s="13">
        <f>'Occ T1'!D8-'Occ T1'!B8</f>
        <v>790.75213219170655</v>
      </c>
      <c r="AC4" s="13">
        <f>'Occ T1'!F8-'Occ T1'!D8</f>
        <v>438.54705518908577</v>
      </c>
    </row>
    <row r="5" spans="1:29" x14ac:dyDescent="0.25">
      <c r="W5" s="12" t="str">
        <f>name!E5</f>
        <v>Professional occupations</v>
      </c>
      <c r="X5" s="13">
        <f>'Occ T1'!C9-'Occ T1'!B9</f>
        <v>415.87357805304782</v>
      </c>
      <c r="Y5" s="13">
        <f>'Occ T1'!D9-'Occ T1'!C9</f>
        <v>1031.5665168888909</v>
      </c>
      <c r="Z5" s="13">
        <f>'Occ T1'!E9-'Occ T1'!D9</f>
        <v>401.80832131148145</v>
      </c>
      <c r="AA5" s="13">
        <f>'Occ T1'!F9-'Occ T1'!E9</f>
        <v>419.3187237922557</v>
      </c>
      <c r="AB5" s="13">
        <f>'Occ T1'!D9-'Occ T1'!B9</f>
        <v>1447.4400949419387</v>
      </c>
      <c r="AC5" s="13">
        <f>'Occ T1'!F9-'Occ T1'!D9</f>
        <v>821.12704510373715</v>
      </c>
    </row>
    <row r="6" spans="1:29" x14ac:dyDescent="0.25">
      <c r="W6" s="12" t="str">
        <f>name!E6</f>
        <v>Associate professional and technical</v>
      </c>
      <c r="X6" s="13">
        <f>'Occ T1'!C10-'Occ T1'!B10</f>
        <v>53.19811831624429</v>
      </c>
      <c r="Y6" s="13">
        <f>'Occ T1'!D10-'Occ T1'!C10</f>
        <v>638.99661201118579</v>
      </c>
      <c r="Z6" s="13">
        <f>'Occ T1'!E10-'Occ T1'!D10</f>
        <v>238.76286807173346</v>
      </c>
      <c r="AA6" s="13">
        <f>'Occ T1'!F10-'Occ T1'!E10</f>
        <v>186.37540940829513</v>
      </c>
      <c r="AB6" s="13">
        <f>'Occ T1'!D10-'Occ T1'!B10</f>
        <v>692.19473032743008</v>
      </c>
      <c r="AC6" s="13">
        <f>'Occ T1'!F10-'Occ T1'!D10</f>
        <v>425.13827748002859</v>
      </c>
    </row>
    <row r="7" spans="1:29" x14ac:dyDescent="0.25">
      <c r="W7" s="12" t="str">
        <f>name!E7</f>
        <v>Administrative and secretarial</v>
      </c>
      <c r="X7" s="13">
        <f>'Occ T1'!C11-'Occ T1'!B11</f>
        <v>-336.68836949335264</v>
      </c>
      <c r="Y7" s="13">
        <f>'Occ T1'!D11-'Occ T1'!C11</f>
        <v>-5.9027256768308689</v>
      </c>
      <c r="Z7" s="13">
        <f>'Occ T1'!E11-'Occ T1'!D11</f>
        <v>-321.70003432540716</v>
      </c>
      <c r="AA7" s="13">
        <f>'Occ T1'!F11-'Occ T1'!E11</f>
        <v>-281.93128626648377</v>
      </c>
      <c r="AB7" s="13">
        <f>'Occ T1'!D11-'Occ T1'!B11</f>
        <v>-342.59109517018351</v>
      </c>
      <c r="AC7" s="13">
        <f>'Occ T1'!F11-'Occ T1'!D11</f>
        <v>-603.63132059189093</v>
      </c>
    </row>
    <row r="8" spans="1:29" x14ac:dyDescent="0.25">
      <c r="W8" s="12" t="str">
        <f>name!E8</f>
        <v>Skilled trades occupations</v>
      </c>
      <c r="X8" s="13">
        <f>'Occ T1'!C12-'Occ T1'!B12</f>
        <v>-222.57489278207095</v>
      </c>
      <c r="Y8" s="13">
        <f>'Occ T1'!D12-'Occ T1'!C12</f>
        <v>71.795923925795705</v>
      </c>
      <c r="Z8" s="13">
        <f>'Occ T1'!E12-'Occ T1'!D12</f>
        <v>-163.88310659761919</v>
      </c>
      <c r="AA8" s="13">
        <f>'Occ T1'!F12-'Occ T1'!E12</f>
        <v>-142.76770009896882</v>
      </c>
      <c r="AB8" s="13">
        <f>'Occ T1'!D12-'Occ T1'!B12</f>
        <v>-150.77896885627524</v>
      </c>
      <c r="AC8" s="13">
        <f>'Occ T1'!F12-'Occ T1'!D12</f>
        <v>-306.65080669658801</v>
      </c>
    </row>
    <row r="9" spans="1:29" x14ac:dyDescent="0.25">
      <c r="W9" s="12" t="str">
        <f>name!E9</f>
        <v>Caring, leisure and other service</v>
      </c>
      <c r="X9" s="13">
        <f>'Occ T1'!C13-'Occ T1'!B13</f>
        <v>243.99874731894033</v>
      </c>
      <c r="Y9" s="13">
        <f>'Occ T1'!D13-'Occ T1'!C13</f>
        <v>455.53655568389877</v>
      </c>
      <c r="Z9" s="13">
        <f>'Occ T1'!E13-'Occ T1'!D13</f>
        <v>204.47016757162828</v>
      </c>
      <c r="AA9" s="13">
        <f>'Occ T1'!F13-'Occ T1'!E13</f>
        <v>261.25290034551563</v>
      </c>
      <c r="AB9" s="13">
        <f>'Occ T1'!D13-'Occ T1'!B13</f>
        <v>699.5353030028391</v>
      </c>
      <c r="AC9" s="13">
        <f>'Occ T1'!F13-'Occ T1'!D13</f>
        <v>465.72306791714391</v>
      </c>
    </row>
    <row r="10" spans="1:29" x14ac:dyDescent="0.25">
      <c r="W10" s="12" t="str">
        <f>name!E10</f>
        <v>Sales and customer service</v>
      </c>
      <c r="X10" s="13">
        <f>'Occ T1'!C14-'Occ T1'!B14</f>
        <v>16.532024575712512</v>
      </c>
      <c r="Y10" s="13">
        <f>'Occ T1'!D14-'Occ T1'!C14</f>
        <v>120.31765738513968</v>
      </c>
      <c r="Z10" s="13">
        <f>'Occ T1'!E14-'Occ T1'!D14</f>
        <v>-47.787604411020311</v>
      </c>
      <c r="AA10" s="13">
        <f>'Occ T1'!F14-'Occ T1'!E14</f>
        <v>-4.6322404687762173</v>
      </c>
      <c r="AB10" s="13">
        <f>'Occ T1'!D14-'Occ T1'!B14</f>
        <v>136.84968196085219</v>
      </c>
      <c r="AC10" s="13">
        <f>'Occ T1'!F14-'Occ T1'!D14</f>
        <v>-52.419844879796528</v>
      </c>
    </row>
    <row r="11" spans="1:29" x14ac:dyDescent="0.25">
      <c r="W11" s="12" t="str">
        <f>name!E11</f>
        <v>Process, plant and machine operatives</v>
      </c>
      <c r="X11" s="13">
        <f>'Occ T1'!C15-'Occ T1'!B15</f>
        <v>-156.59068810735789</v>
      </c>
      <c r="Y11" s="13">
        <f>'Occ T1'!D15-'Occ T1'!C15</f>
        <v>22.398075437190528</v>
      </c>
      <c r="Z11" s="13">
        <f>'Occ T1'!E15-'Occ T1'!D15</f>
        <v>-132.53013093568734</v>
      </c>
      <c r="AA11" s="13">
        <f>'Occ T1'!F15-'Occ T1'!E15</f>
        <v>-73.300493968654337</v>
      </c>
      <c r="AB11" s="13">
        <f>'Occ T1'!D15-'Occ T1'!B15</f>
        <v>-134.19261267016736</v>
      </c>
      <c r="AC11" s="13">
        <f>'Occ T1'!F15-'Occ T1'!D15</f>
        <v>-205.83062490434168</v>
      </c>
    </row>
    <row r="12" spans="1:29" x14ac:dyDescent="0.25">
      <c r="W12" s="12" t="str">
        <f>name!E12</f>
        <v>Elementary occupations</v>
      </c>
      <c r="X12" s="13">
        <f>'Occ T1'!C16-'Occ T1'!B16</f>
        <v>-271.02554109353468</v>
      </c>
      <c r="Y12" s="13">
        <f>'Occ T1'!D16-'Occ T1'!C16</f>
        <v>189.80127536530836</v>
      </c>
      <c r="Z12" s="13">
        <f>'Occ T1'!E16-'Occ T1'!D16</f>
        <v>-7.9521427925524222</v>
      </c>
      <c r="AA12" s="13">
        <f>'Occ T1'!F16-'Occ T1'!E16</f>
        <v>-1.089705824673274</v>
      </c>
      <c r="AB12" s="13">
        <f>'Occ T1'!D16-'Occ T1'!B16</f>
        <v>-81.224265728226328</v>
      </c>
      <c r="AC12" s="13">
        <f>'Occ T1'!F16-'Occ T1'!D16</f>
        <v>-9.0418486172256962</v>
      </c>
    </row>
    <row r="14" spans="1:29" x14ac:dyDescent="0.25">
      <c r="W14" s="12" t="str">
        <f>name!E3</f>
        <v>All occupations</v>
      </c>
      <c r="X14" s="13">
        <f>'Occ T1'!C18-'Occ T1'!B18</f>
        <v>10.006000000186759</v>
      </c>
      <c r="Y14" s="13">
        <f>'Occ T1'!D18-'Occ T1'!C18</f>
        <v>3047.9789999997301</v>
      </c>
      <c r="Z14" s="13">
        <f>'Occ T1'!E18-'Occ T1'!D18</f>
        <v>402.45599999997648</v>
      </c>
      <c r="AA14" s="13">
        <f>'Occ T1'!F18-'Occ T1'!E18</f>
        <v>570.50500000017928</v>
      </c>
      <c r="AB14" s="13">
        <f>'Occ T1'!D18-'Occ T1'!B18</f>
        <v>3057.9849999999169</v>
      </c>
      <c r="AC14" s="13">
        <f>'Occ T1'!F18-'Occ T1'!D18</f>
        <v>972.96100000015576</v>
      </c>
    </row>
    <row r="17" spans="4:26" x14ac:dyDescent="0.25">
      <c r="W17" s="286"/>
      <c r="X17" s="286"/>
      <c r="Y17" s="106" t="s">
        <v>489</v>
      </c>
      <c r="Z17" s="106" t="s">
        <v>490</v>
      </c>
    </row>
    <row r="18" spans="4:26" x14ac:dyDescent="0.25">
      <c r="W18" s="106" t="s">
        <v>491</v>
      </c>
      <c r="X18" s="286">
        <f>CEILING(MAX(X4:AA12),IF(MAX(X4:AA12)&lt;100,10,IF(MAX(X4:AA12)&lt;1000,100,1000)))</f>
        <v>2000</v>
      </c>
      <c r="Y18" s="286">
        <f>MAX(X18,(X19*-1))</f>
        <v>2000</v>
      </c>
      <c r="Z18" s="286">
        <f>IF(Y18&gt;1000,1000,IF(Y18&gt;100,100,10))</f>
        <v>1000</v>
      </c>
    </row>
    <row r="19" spans="4:26" x14ac:dyDescent="0.25">
      <c r="W19" s="106" t="s">
        <v>492</v>
      </c>
      <c r="X19" s="286">
        <f>FLOOR(MIN(X4:AA12),IF(MIN(X4:AA12)&gt;-100,10,IF(MIN(X4:AA12)&gt;-1000,100,1000)))</f>
        <v>-400</v>
      </c>
      <c r="Y19" s="286">
        <f>Y18*-1</f>
        <v>-2000</v>
      </c>
      <c r="Z19" s="286"/>
    </row>
    <row r="32" spans="4:26" x14ac:dyDescent="0.25">
      <c r="D32" s="286"/>
      <c r="E32" s="286"/>
      <c r="F32" s="286"/>
      <c r="G32" s="286"/>
      <c r="H32" s="286"/>
      <c r="I32" s="286"/>
      <c r="J32" s="286"/>
      <c r="K32" s="286"/>
      <c r="L32" s="286"/>
      <c r="M32" s="286"/>
      <c r="N32" s="286"/>
      <c r="O32" s="286"/>
      <c r="P32" s="286"/>
      <c r="Q32" s="286"/>
      <c r="R32" s="286"/>
      <c r="S32" s="286"/>
      <c r="T32" s="286"/>
      <c r="U32" s="286"/>
      <c r="V32" s="286"/>
      <c r="W32" s="286"/>
      <c r="X32" s="286"/>
      <c r="Y32" s="286"/>
      <c r="Z32" s="286"/>
    </row>
  </sheetData>
  <pageMargins left="0.7" right="0.7" top="0.75" bottom="0.75" header="0.3" footer="0.3"/>
  <pageSetup paperSize="9" scale="74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P13"/>
  <sheetViews>
    <sheetView showGridLines="0" zoomScale="75" zoomScaleNormal="75" workbookViewId="0"/>
  </sheetViews>
  <sheetFormatPr defaultRowHeight="13.2" x14ac:dyDescent="0.25"/>
  <cols>
    <col min="13" max="13" width="36" customWidth="1"/>
  </cols>
  <sheetData>
    <row r="1" spans="1:16" ht="15.6" x14ac:dyDescent="0.3">
      <c r="A1" s="103" t="str">
        <f>CONCATENATE("Occupation Figure 4  Occupational Change by Gender (000s) (SOC 2010), ",N1)</f>
        <v>Occupation Figure 4  Occupational Change by Gender (000s) (SOC 2010), 2017-2027</v>
      </c>
      <c r="M1" s="106" t="s">
        <v>18</v>
      </c>
      <c r="N1" t="str">
        <f>'Occ T1'!F62</f>
        <v>2017-2027</v>
      </c>
    </row>
    <row r="2" spans="1:16" x14ac:dyDescent="0.25">
      <c r="M2" s="1" t="s">
        <v>0</v>
      </c>
      <c r="N2" s="106" t="s">
        <v>32</v>
      </c>
      <c r="O2" s="106" t="s">
        <v>99</v>
      </c>
      <c r="P2" s="106" t="s">
        <v>98</v>
      </c>
    </row>
    <row r="3" spans="1:16" x14ac:dyDescent="0.25">
      <c r="M3" s="12" t="str">
        <f>name!E4</f>
        <v>Managers, directors and senior officials</v>
      </c>
      <c r="N3" s="13">
        <f>'Occ T1'!F64</f>
        <v>438.54705518908577</v>
      </c>
      <c r="O3" s="13">
        <f>'Occ T1'!AB64</f>
        <v>289.55714330558726</v>
      </c>
      <c r="P3" s="13">
        <f>'Occ T1'!Q64</f>
        <v>148.98991188350692</v>
      </c>
    </row>
    <row r="4" spans="1:16" x14ac:dyDescent="0.25">
      <c r="M4" s="12" t="str">
        <f>name!E5</f>
        <v>Professional occupations</v>
      </c>
      <c r="N4" s="13">
        <f>'Occ T1'!F65</f>
        <v>821.12704510373715</v>
      </c>
      <c r="O4" s="13">
        <f>'Occ T1'!AB65</f>
        <v>667.2298421513774</v>
      </c>
      <c r="P4" s="13">
        <f>'Occ T1'!Q65</f>
        <v>153.89720295236111</v>
      </c>
    </row>
    <row r="5" spans="1:16" x14ac:dyDescent="0.25">
      <c r="M5" s="12" t="str">
        <f>name!E6</f>
        <v>Associate professional and technical</v>
      </c>
      <c r="N5" s="13">
        <f>'Occ T1'!F66</f>
        <v>425.13827748002859</v>
      </c>
      <c r="O5" s="13">
        <f>'Occ T1'!AB66</f>
        <v>358.44156395691425</v>
      </c>
      <c r="P5" s="13">
        <f>'Occ T1'!Q66</f>
        <v>66.696713523106155</v>
      </c>
    </row>
    <row r="6" spans="1:16" x14ac:dyDescent="0.25">
      <c r="M6" s="12" t="str">
        <f>name!E7</f>
        <v>Administrative and secretarial</v>
      </c>
      <c r="N6" s="13">
        <f>'Occ T1'!F67</f>
        <v>-603.63132059189093</v>
      </c>
      <c r="O6" s="13">
        <f>'Occ T1'!AB67</f>
        <v>-590.21048051590196</v>
      </c>
      <c r="P6" s="13">
        <f>'Occ T1'!Q67</f>
        <v>-13.420840075979527</v>
      </c>
    </row>
    <row r="7" spans="1:16" x14ac:dyDescent="0.25">
      <c r="M7" s="12" t="str">
        <f>name!E8</f>
        <v>Skilled trades occupations</v>
      </c>
      <c r="N7" s="13">
        <f>'Occ T1'!F68</f>
        <v>-306.65080669658801</v>
      </c>
      <c r="O7" s="13">
        <f>'Occ T1'!AB68</f>
        <v>-16.11146000643754</v>
      </c>
      <c r="P7" s="13">
        <f>'Occ T1'!Q68</f>
        <v>-290.53934669015325</v>
      </c>
    </row>
    <row r="8" spans="1:16" x14ac:dyDescent="0.25">
      <c r="M8" s="12" t="str">
        <f>name!E9</f>
        <v>Caring, leisure and other service</v>
      </c>
      <c r="N8" s="13">
        <f>'Occ T1'!F69</f>
        <v>465.72306791714391</v>
      </c>
      <c r="O8" s="13">
        <f>'Occ T1'!AB69</f>
        <v>353.20807029105617</v>
      </c>
      <c r="P8" s="13">
        <f>'Occ T1'!Q69</f>
        <v>112.51499762608728</v>
      </c>
    </row>
    <row r="9" spans="1:16" x14ac:dyDescent="0.25">
      <c r="M9" s="12" t="str">
        <f>name!E10</f>
        <v>Sales and customer service</v>
      </c>
      <c r="N9" s="13">
        <f>'Occ T1'!F70</f>
        <v>-52.419844879796528</v>
      </c>
      <c r="O9" s="13">
        <f>'Occ T1'!AB70</f>
        <v>-83.509895893268549</v>
      </c>
      <c r="P9" s="13">
        <f>'Occ T1'!Q70</f>
        <v>31.090051013469747</v>
      </c>
    </row>
    <row r="10" spans="1:16" x14ac:dyDescent="0.25">
      <c r="M10" s="12" t="str">
        <f>name!E11</f>
        <v>Process, plant and machine operatives</v>
      </c>
      <c r="N10" s="13">
        <f>'Occ T1'!F71</f>
        <v>-205.83062490434168</v>
      </c>
      <c r="O10" s="13">
        <f>'Occ T1'!AB71</f>
        <v>-58.989783381118542</v>
      </c>
      <c r="P10" s="13">
        <f>'Occ T1'!Q71</f>
        <v>-146.84084152322384</v>
      </c>
    </row>
    <row r="11" spans="1:16" x14ac:dyDescent="0.25">
      <c r="M11" s="12" t="str">
        <f>name!E12</f>
        <v>Elementary occupations</v>
      </c>
      <c r="N11" s="13">
        <f>'Occ T1'!F72</f>
        <v>-9.0418486172256962</v>
      </c>
      <c r="O11" s="13">
        <f>'Occ T1'!AB72</f>
        <v>-128.74699990813883</v>
      </c>
      <c r="P11" s="13">
        <f>'Occ T1'!Q72</f>
        <v>119.70515129090381</v>
      </c>
    </row>
    <row r="12" spans="1:16" x14ac:dyDescent="0.25">
      <c r="M12" s="12"/>
      <c r="N12" s="13"/>
      <c r="O12" s="13"/>
      <c r="P12" s="13"/>
    </row>
    <row r="13" spans="1:16" x14ac:dyDescent="0.25">
      <c r="M13" s="12" t="str">
        <f>name!E3</f>
        <v>All occupations</v>
      </c>
      <c r="N13" s="13">
        <f>'Occ T1'!F74</f>
        <v>972.96100000015576</v>
      </c>
      <c r="O13" s="13">
        <f>'Occ T1'!AB74</f>
        <v>790.86800000007133</v>
      </c>
      <c r="P13" s="13">
        <f>'Occ T1'!Q74</f>
        <v>182.09300000007715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P79"/>
  <sheetViews>
    <sheetView showGridLines="0" zoomScale="75" zoomScaleNormal="75" workbookViewId="0"/>
  </sheetViews>
  <sheetFormatPr defaultColWidth="9.109375" defaultRowHeight="13.2" x14ac:dyDescent="0.25"/>
  <cols>
    <col min="1" max="12" width="9.109375" style="286"/>
    <col min="13" max="13" width="36" style="286" customWidth="1"/>
    <col min="14" max="14" width="19.5546875" style="286" customWidth="1"/>
    <col min="15" max="16384" width="9.109375" style="286"/>
  </cols>
  <sheetData>
    <row r="1" spans="1:16" ht="15.6" x14ac:dyDescent="0.3">
      <c r="A1" s="103" t="str">
        <f>CONCATENATE("Occupation Figure 5  Occupational Change by Status (000s) (SOC 2010), ",N1)</f>
        <v>Occupation Figure 5  Occupational Change by Status (000s) (SOC 2010), 2017-2027</v>
      </c>
      <c r="M1" s="106" t="s">
        <v>18</v>
      </c>
      <c r="N1" s="286" t="str">
        <f>'Ind Occ T2'!G6&amp;"-"&amp;'Ind Occ T2'!L6</f>
        <v>2017-2027</v>
      </c>
    </row>
    <row r="2" spans="1:16" x14ac:dyDescent="0.25">
      <c r="M2" s="1" t="s">
        <v>363</v>
      </c>
      <c r="N2" s="106" t="s">
        <v>370</v>
      </c>
      <c r="O2" s="106" t="s">
        <v>478</v>
      </c>
      <c r="P2" s="106" t="s">
        <v>479</v>
      </c>
    </row>
    <row r="3" spans="1:16" x14ac:dyDescent="0.25">
      <c r="M3" s="12" t="str">
        <f>name!E4</f>
        <v>Managers, directors and senior officials</v>
      </c>
      <c r="N3" s="13">
        <f>'Occ T5'!I44</f>
        <v>-13.966865005810405</v>
      </c>
      <c r="O3" s="13">
        <f>'Occ T5'!H44</f>
        <v>117.73427004257559</v>
      </c>
      <c r="P3" s="13">
        <f>'Occ T5'!G44</f>
        <v>334.77965015232758</v>
      </c>
    </row>
    <row r="4" spans="1:16" x14ac:dyDescent="0.25">
      <c r="M4" s="12" t="str">
        <f>name!E5</f>
        <v>Professional occupations</v>
      </c>
      <c r="N4" s="13">
        <f>'Occ T5'!I45</f>
        <v>32.48540719841094</v>
      </c>
      <c r="O4" s="13">
        <f>'Occ T5'!H45</f>
        <v>354.95041094819499</v>
      </c>
      <c r="P4" s="13">
        <f>'Occ T5'!G45</f>
        <v>433.69122695713486</v>
      </c>
    </row>
    <row r="5" spans="1:16" x14ac:dyDescent="0.25">
      <c r="M5" s="12" t="str">
        <f>name!E6</f>
        <v>Associate professional and technical</v>
      </c>
      <c r="N5" s="13">
        <f>'Occ T5'!I46</f>
        <v>12.244324247262512</v>
      </c>
      <c r="O5" s="13">
        <f>'Occ T5'!H46</f>
        <v>179.11874979148683</v>
      </c>
      <c r="P5" s="13">
        <f>'Occ T5'!G46</f>
        <v>233.77520344127379</v>
      </c>
    </row>
    <row r="6" spans="1:16" x14ac:dyDescent="0.25">
      <c r="M6" s="12" t="str">
        <f>name!E7</f>
        <v>Administrative and secretarial</v>
      </c>
      <c r="N6" s="13">
        <f>'Occ T5'!I47</f>
        <v>-35.498580201472464</v>
      </c>
      <c r="O6" s="13">
        <f>'Occ T5'!H47</f>
        <v>-206.88357279874003</v>
      </c>
      <c r="P6" s="13">
        <f>'Occ T5'!G47</f>
        <v>-361.24916759167513</v>
      </c>
    </row>
    <row r="7" spans="1:16" x14ac:dyDescent="0.25">
      <c r="M7" s="12" t="str">
        <f>name!E8</f>
        <v>Skilled trades occupations</v>
      </c>
      <c r="N7" s="13">
        <f>'Occ T5'!I48</f>
        <v>-63.230063058769247</v>
      </c>
      <c r="O7" s="13">
        <f>'Occ T5'!H48</f>
        <v>-10.158063232084885</v>
      </c>
      <c r="P7" s="13">
        <f>'Occ T5'!G48</f>
        <v>-233.26268040573382</v>
      </c>
    </row>
    <row r="8" spans="1:16" x14ac:dyDescent="0.25">
      <c r="M8" s="12" t="str">
        <f>name!E9</f>
        <v>Caring, leisure and other service</v>
      </c>
      <c r="N8" s="13">
        <f>'Occ T5'!I49</f>
        <v>-7.0995628325334792</v>
      </c>
      <c r="O8" s="13">
        <f>'Occ T5'!H49</f>
        <v>328.96518102584719</v>
      </c>
      <c r="P8" s="13">
        <f>'Occ T5'!G49</f>
        <v>143.85744972382145</v>
      </c>
    </row>
    <row r="9" spans="1:16" x14ac:dyDescent="0.25">
      <c r="M9" s="12" t="str">
        <f>name!E10</f>
        <v>Sales and customer service</v>
      </c>
      <c r="N9" s="13">
        <f>'Occ T5'!I50</f>
        <v>-19.176693211677645</v>
      </c>
      <c r="O9" s="13">
        <f>'Occ T5'!H50</f>
        <v>46.756550202295557</v>
      </c>
      <c r="P9" s="13">
        <f>'Occ T5'!G50</f>
        <v>-79.999701870406625</v>
      </c>
    </row>
    <row r="10" spans="1:16" x14ac:dyDescent="0.25">
      <c r="M10" s="12" t="str">
        <f>name!E11</f>
        <v>Process, plant and machine operatives</v>
      </c>
      <c r="N10" s="13">
        <f>'Occ T5'!I51</f>
        <v>-31.604034882460667</v>
      </c>
      <c r="O10" s="13">
        <f>'Occ T5'!H51</f>
        <v>27.742942657832714</v>
      </c>
      <c r="P10" s="13">
        <f>'Occ T5'!G51</f>
        <v>-201.9695326797173</v>
      </c>
    </row>
    <row r="11" spans="1:16" x14ac:dyDescent="0.25">
      <c r="M11" s="12" t="str">
        <f>name!E12</f>
        <v>Elementary occupations</v>
      </c>
      <c r="N11" s="13">
        <f>'Occ T5'!I52</f>
        <v>-7.2279322471194973</v>
      </c>
      <c r="O11" s="13">
        <f>'Occ T5'!H52</f>
        <v>23.866531335020909</v>
      </c>
      <c r="P11" s="13">
        <f>'Occ T5'!G52</f>
        <v>-25.680447705130518</v>
      </c>
    </row>
    <row r="12" spans="1:16" x14ac:dyDescent="0.25">
      <c r="M12" s="12"/>
      <c r="N12" s="13"/>
      <c r="O12" s="13"/>
      <c r="P12" s="13"/>
    </row>
    <row r="13" spans="1:16" x14ac:dyDescent="0.25">
      <c r="M13" s="12" t="str">
        <f>name!E3</f>
        <v>All occupations</v>
      </c>
      <c r="N13" s="13">
        <f>'Occ T5'!I54</f>
        <v>-133.07399999416884</v>
      </c>
      <c r="O13" s="13">
        <f>'Occ T5'!H54</f>
        <v>862.0929999724267</v>
      </c>
      <c r="P13" s="13">
        <f>'Occ T5'!G54</f>
        <v>243.94200002189609</v>
      </c>
    </row>
    <row r="16" spans="1:16" x14ac:dyDescent="0.25">
      <c r="M16" s="106" t="s">
        <v>18</v>
      </c>
      <c r="N16" s="286" t="str">
        <f>N1</f>
        <v>2017-2027</v>
      </c>
    </row>
    <row r="17" spans="13:16" x14ac:dyDescent="0.25">
      <c r="M17" s="1" t="s">
        <v>99</v>
      </c>
      <c r="N17" s="106" t="s">
        <v>370</v>
      </c>
      <c r="O17" s="106" t="s">
        <v>478</v>
      </c>
      <c r="P17" s="106" t="s">
        <v>479</v>
      </c>
    </row>
    <row r="18" spans="13:16" x14ac:dyDescent="0.25">
      <c r="M18" s="12" t="str">
        <f>M3</f>
        <v>Managers, directors and senior officials</v>
      </c>
      <c r="N18" s="13">
        <f>'Occ T5'!AO44</f>
        <v>2.7990869390771991</v>
      </c>
      <c r="O18" s="13">
        <f>'Occ T5'!AN44</f>
        <v>86.530626982063268</v>
      </c>
      <c r="P18" s="13">
        <f>'Occ T5'!AM44</f>
        <v>200.22742938444799</v>
      </c>
    </row>
    <row r="19" spans="13:16" x14ac:dyDescent="0.25">
      <c r="M19" s="12" t="str">
        <f t="shared" ref="M19:M28" si="0">M4</f>
        <v>Professional occupations</v>
      </c>
      <c r="N19" s="13">
        <f>'Occ T5'!AO45</f>
        <v>38.92049134047511</v>
      </c>
      <c r="O19" s="13">
        <f>'Occ T5'!AN45</f>
        <v>291.76540144570845</v>
      </c>
      <c r="P19" s="13">
        <f>'Occ T5'!AM45</f>
        <v>336.54394936519384</v>
      </c>
    </row>
    <row r="20" spans="13:16" x14ac:dyDescent="0.25">
      <c r="M20" s="12" t="str">
        <f t="shared" si="0"/>
        <v>Associate professional and technical</v>
      </c>
      <c r="N20" s="13">
        <f>'Occ T5'!AO46</f>
        <v>10.760724131523034</v>
      </c>
      <c r="O20" s="13">
        <f>'Occ T5'!AN46</f>
        <v>136.10995540963631</v>
      </c>
      <c r="P20" s="13">
        <f>'Occ T5'!AM46</f>
        <v>211.57088441575866</v>
      </c>
    </row>
    <row r="21" spans="13:16" x14ac:dyDescent="0.25">
      <c r="M21" s="12" t="str">
        <f t="shared" si="0"/>
        <v>Administrative and secretarial</v>
      </c>
      <c r="N21" s="13">
        <f>'Occ T5'!AO47</f>
        <v>-34.320759963530335</v>
      </c>
      <c r="O21" s="13">
        <f>'Occ T5'!AN47</f>
        <v>-216.28753575824067</v>
      </c>
      <c r="P21" s="13">
        <f>'Occ T5'!AM47</f>
        <v>-339.6021847941372</v>
      </c>
    </row>
    <row r="22" spans="13:16" x14ac:dyDescent="0.25">
      <c r="M22" s="12" t="str">
        <f t="shared" si="0"/>
        <v>Skilled trades occupations</v>
      </c>
      <c r="N22" s="13">
        <f>'Occ T5'!AO48</f>
        <v>-5.3889965888090927</v>
      </c>
      <c r="O22" s="13">
        <f>'Occ T5'!AN48</f>
        <v>-7.0823036667956103</v>
      </c>
      <c r="P22" s="13">
        <f>'Occ T5'!AM48</f>
        <v>-3.6401597508329928</v>
      </c>
    </row>
    <row r="23" spans="13:16" x14ac:dyDescent="0.25">
      <c r="M23" s="12" t="str">
        <f t="shared" si="0"/>
        <v>Caring, leisure and other service</v>
      </c>
      <c r="N23" s="13">
        <f>'Occ T5'!AO49</f>
        <v>-8.2396981657851711</v>
      </c>
      <c r="O23" s="13">
        <f>'Occ T5'!AN49</f>
        <v>259.446830871065</v>
      </c>
      <c r="P23" s="13">
        <f>'Occ T5'!AM49</f>
        <v>102.00093758576736</v>
      </c>
    </row>
    <row r="24" spans="13:16" x14ac:dyDescent="0.25">
      <c r="M24" s="12" t="str">
        <f t="shared" si="0"/>
        <v>Sales and customer service</v>
      </c>
      <c r="N24" s="13">
        <f>'Occ T5'!AO50</f>
        <v>-10.717323297790749</v>
      </c>
      <c r="O24" s="13">
        <f>'Occ T5'!AN50</f>
        <v>-23.986194842785608</v>
      </c>
      <c r="P24" s="13">
        <f>'Occ T5'!AM50</f>
        <v>-48.806377752685535</v>
      </c>
    </row>
    <row r="25" spans="13:16" x14ac:dyDescent="0.25">
      <c r="M25" s="12" t="str">
        <f t="shared" si="0"/>
        <v>Process, plant and machine operatives</v>
      </c>
      <c r="N25" s="13">
        <f>'Occ T5'!AO51</f>
        <v>-5.8920115624345506</v>
      </c>
      <c r="O25" s="13">
        <f>'Occ T5'!AN51</f>
        <v>-10.105731566291176</v>
      </c>
      <c r="P25" s="13">
        <f>'Occ T5'!AM51</f>
        <v>-42.992040252392613</v>
      </c>
    </row>
    <row r="26" spans="13:16" x14ac:dyDescent="0.25">
      <c r="M26" s="12" t="str">
        <f t="shared" si="0"/>
        <v>Elementary occupations</v>
      </c>
      <c r="N26" s="13">
        <f>'Occ T5'!AO52</f>
        <v>-3.3705128252101559</v>
      </c>
      <c r="O26" s="13">
        <f>'Occ T5'!AN52</f>
        <v>-89.468048898741699</v>
      </c>
      <c r="P26" s="13">
        <f>'Occ T5'!AM52</f>
        <v>-35.908438184183638</v>
      </c>
    </row>
    <row r="27" spans="13:16" x14ac:dyDescent="0.25">
      <c r="M27" s="12"/>
      <c r="N27" s="13"/>
      <c r="O27" s="13"/>
      <c r="P27" s="13"/>
    </row>
    <row r="28" spans="13:16" x14ac:dyDescent="0.25">
      <c r="M28" s="12" t="str">
        <f t="shared" si="0"/>
        <v>All occupations</v>
      </c>
      <c r="N28" s="13">
        <f>'Occ T5'!AO54</f>
        <v>-15.448999992484687</v>
      </c>
      <c r="O28" s="13">
        <f>'Occ T5'!AN54</f>
        <v>426.92299997561713</v>
      </c>
      <c r="P28" s="13">
        <f>'Occ T5'!AM54</f>
        <v>379.39400001693866</v>
      </c>
    </row>
    <row r="31" spans="13:16" x14ac:dyDescent="0.25">
      <c r="M31" s="106" t="s">
        <v>18</v>
      </c>
      <c r="N31" s="286" t="str">
        <f>N1</f>
        <v>2017-2027</v>
      </c>
    </row>
    <row r="32" spans="13:16" x14ac:dyDescent="0.25">
      <c r="M32" s="1" t="s">
        <v>98</v>
      </c>
      <c r="N32" s="106" t="s">
        <v>370</v>
      </c>
      <c r="O32" s="106" t="s">
        <v>478</v>
      </c>
      <c r="P32" s="106" t="s">
        <v>479</v>
      </c>
    </row>
    <row r="33" spans="1:16" x14ac:dyDescent="0.25">
      <c r="M33" s="12" t="str">
        <f>M3</f>
        <v>Managers, directors and senior officials</v>
      </c>
      <c r="N33" s="13">
        <f>'Occ T5'!Y44</f>
        <v>-16.765951944887718</v>
      </c>
      <c r="O33" s="13">
        <f>'Occ T5'!X44</f>
        <v>31.203643060512576</v>
      </c>
      <c r="P33" s="13">
        <f>'Occ T5'!W44</f>
        <v>134.55222076788164</v>
      </c>
    </row>
    <row r="34" spans="1:16" x14ac:dyDescent="0.25">
      <c r="M34" s="12" t="str">
        <f t="shared" ref="M34:M43" si="1">M4</f>
        <v>Professional occupations</v>
      </c>
      <c r="N34" s="13">
        <f>'Occ T5'!Y45</f>
        <v>-6.4350841420638858</v>
      </c>
      <c r="O34" s="13">
        <f>'Occ T5'!X45</f>
        <v>63.185009502486764</v>
      </c>
      <c r="P34" s="13">
        <f>'Occ T5'!W45</f>
        <v>97.147277591939201</v>
      </c>
    </row>
    <row r="35" spans="1:16" x14ac:dyDescent="0.25">
      <c r="M35" s="12" t="str">
        <f t="shared" si="1"/>
        <v>Associate professional and technical</v>
      </c>
      <c r="N35" s="13">
        <f>'Occ T5'!Y46</f>
        <v>1.4836001157386818</v>
      </c>
      <c r="O35" s="13">
        <f>'Occ T5'!X46</f>
        <v>43.008794381850663</v>
      </c>
      <c r="P35" s="13">
        <f>'Occ T5'!W46</f>
        <v>22.204319025513541</v>
      </c>
    </row>
    <row r="36" spans="1:16" x14ac:dyDescent="0.25">
      <c r="M36" s="12" t="str">
        <f t="shared" si="1"/>
        <v>Administrative and secretarial</v>
      </c>
      <c r="N36" s="13">
        <f>'Occ T5'!Y47</f>
        <v>-1.1778202379420861</v>
      </c>
      <c r="O36" s="13">
        <f>'Occ T5'!X47</f>
        <v>9.4039629595007455</v>
      </c>
      <c r="P36" s="13">
        <f>'Occ T5'!W47</f>
        <v>-21.646982797538044</v>
      </c>
    </row>
    <row r="37" spans="1:16" x14ac:dyDescent="0.25">
      <c r="M37" s="12" t="str">
        <f t="shared" si="1"/>
        <v>Skilled trades occupations</v>
      </c>
      <c r="N37" s="13">
        <f>'Occ T5'!Y48</f>
        <v>-57.841066469961561</v>
      </c>
      <c r="O37" s="13">
        <f>'Occ T5'!X48</f>
        <v>-3.0757595652889904</v>
      </c>
      <c r="P37" s="13">
        <f>'Occ T5'!W48</f>
        <v>-229.62252065490225</v>
      </c>
    </row>
    <row r="38" spans="1:16" x14ac:dyDescent="0.25">
      <c r="M38" s="12" t="str">
        <f t="shared" si="1"/>
        <v>Caring, leisure and other service</v>
      </c>
      <c r="N38" s="13">
        <f>'Occ T5'!Y49</f>
        <v>1.140135333251699</v>
      </c>
      <c r="O38" s="13">
        <f>'Occ T5'!X49</f>
        <v>69.518350154783263</v>
      </c>
      <c r="P38" s="13">
        <f>'Occ T5'!W49</f>
        <v>41.856512138052096</v>
      </c>
    </row>
    <row r="39" spans="1:16" x14ac:dyDescent="0.25">
      <c r="M39" s="12" t="str">
        <f t="shared" si="1"/>
        <v>Sales and customer service</v>
      </c>
      <c r="N39" s="13">
        <f>'Occ T5'!Y50</f>
        <v>-8.4593699138867322</v>
      </c>
      <c r="O39" s="13">
        <f>'Occ T5'!X50</f>
        <v>70.742745045082017</v>
      </c>
      <c r="P39" s="13">
        <f>'Occ T5'!W50</f>
        <v>-31.193324117722455</v>
      </c>
    </row>
    <row r="40" spans="1:16" ht="15.6" x14ac:dyDescent="0.3">
      <c r="A40" s="103" t="str">
        <f>CONCATENATE("Occupation Figure 5.1 Females:  Occupational Change by Status (000s) (SOC 2010), ",N1)</f>
        <v>Occupation Figure 5.1 Females:  Occupational Change by Status (000s) (SOC 2010), 2017-2027</v>
      </c>
      <c r="M40" s="12" t="str">
        <f t="shared" si="1"/>
        <v>Process, plant and machine operatives</v>
      </c>
      <c r="N40" s="13">
        <f>'Occ T5'!Y51</f>
        <v>-25.712023320025878</v>
      </c>
      <c r="O40" s="13">
        <f>'Occ T5'!X51</f>
        <v>37.848674224123641</v>
      </c>
      <c r="P40" s="13">
        <f>'Occ T5'!W51</f>
        <v>-158.97749242732311</v>
      </c>
    </row>
    <row r="41" spans="1:16" x14ac:dyDescent="0.25">
      <c r="M41" s="12" t="str">
        <f t="shared" si="1"/>
        <v>Elementary occupations</v>
      </c>
      <c r="N41" s="13">
        <f>'Occ T5'!Y52</f>
        <v>-3.8574194219096682</v>
      </c>
      <c r="O41" s="13">
        <f>'Occ T5'!X52</f>
        <v>113.33458023376261</v>
      </c>
      <c r="P41" s="13">
        <f>'Occ T5'!W52</f>
        <v>10.227990479053005</v>
      </c>
    </row>
    <row r="42" spans="1:16" x14ac:dyDescent="0.25">
      <c r="M42" s="12"/>
      <c r="N42" s="13"/>
      <c r="O42" s="13"/>
      <c r="P42" s="13"/>
    </row>
    <row r="43" spans="1:16" x14ac:dyDescent="0.25">
      <c r="M43" s="12" t="str">
        <f t="shared" si="1"/>
        <v>All occupations</v>
      </c>
      <c r="N43" s="13">
        <f>'Occ T5'!Y54</f>
        <v>-117.62500000168711</v>
      </c>
      <c r="O43" s="13">
        <f>'Occ T5'!X54</f>
        <v>435.1699999968132</v>
      </c>
      <c r="P43" s="13">
        <f>'Occ T5'!W54</f>
        <v>-135.45199999504803</v>
      </c>
    </row>
    <row r="79" spans="1:1" ht="15.6" x14ac:dyDescent="0.3">
      <c r="A79" s="103" t="str">
        <f>CONCATENATE("Occupation Figure 5.2 Males:  Occupational Change by Status (000s) (SOC 2010), ",N1)</f>
        <v>Occupation Figure 5.2 Males:  Occupational Change by Status (000s) (SOC 2010), 2017-2027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G57"/>
  <sheetViews>
    <sheetView showGridLines="0" zoomScale="85" zoomScaleNormal="85" workbookViewId="0"/>
  </sheetViews>
  <sheetFormatPr defaultRowHeight="13.2" x14ac:dyDescent="0.25"/>
  <cols>
    <col min="1" max="1" width="36.6640625" customWidth="1"/>
    <col min="2" max="6" width="11.6640625" customWidth="1"/>
  </cols>
  <sheetData>
    <row r="1" spans="1:7" ht="15.6" x14ac:dyDescent="0.3">
      <c r="A1" s="23" t="str">
        <f>CONCATENATE("Qualification Table 1  Employment by Qualification, ",B$3,"-",F$3,", ",Info!B5)</f>
        <v>Qualification Table 1  Employment by Qualification, 2007-2027, United Kingdom</v>
      </c>
    </row>
    <row r="3" spans="1:7" x14ac:dyDescent="0.25">
      <c r="A3" s="26"/>
      <c r="B3" s="27">
        <f>'Occ T3'!B5</f>
        <v>2007</v>
      </c>
      <c r="C3" s="27">
        <f>'Occ T3'!C5</f>
        <v>2012</v>
      </c>
      <c r="D3" s="27">
        <f>'Occ T3'!D5</f>
        <v>2017</v>
      </c>
      <c r="E3" s="27">
        <f>'Occ T3'!E5</f>
        <v>2022</v>
      </c>
      <c r="F3" s="27">
        <f>'Occ T3'!F5</f>
        <v>2027</v>
      </c>
      <c r="G3" s="12"/>
    </row>
    <row r="4" spans="1:7" x14ac:dyDescent="0.25">
      <c r="A4" s="21" t="s">
        <v>13</v>
      </c>
      <c r="B4" s="18"/>
      <c r="C4" s="12"/>
      <c r="D4" s="12"/>
      <c r="E4" s="12"/>
      <c r="F4" s="12"/>
    </row>
    <row r="5" spans="1:7" x14ac:dyDescent="0.25">
      <c r="A5" s="18" t="str">
        <f>name!F4</f>
        <v>RQF8 Doctorate</v>
      </c>
      <c r="B5" s="13">
        <f>HLOOKUP(B$3,'Qual F1'!$M$4:$AD$14,11,FALSE)</f>
        <v>294.35280970569698</v>
      </c>
      <c r="C5" s="13">
        <f>HLOOKUP(C$3,'Qual F1'!$M$4:$AD$14,11,FALSE)</f>
        <v>368.02656869033478</v>
      </c>
      <c r="D5" s="13">
        <f>HLOOKUP(D$3,'Qual F1'!$M$4:$AD$14,11,FALSE)</f>
        <v>548.71700814268797</v>
      </c>
      <c r="E5" s="13">
        <f>HLOOKUP(E$3,'Qual F1'!$M$4:$AD$14,11,FALSE)</f>
        <v>636.93683908098239</v>
      </c>
      <c r="F5" s="13">
        <f>HLOOKUP(F$3,'Qual F1'!$M$4:$BZ$14,11,FALSE)</f>
        <v>731.73266681370376</v>
      </c>
      <c r="G5" s="13"/>
    </row>
    <row r="6" spans="1:7" x14ac:dyDescent="0.25">
      <c r="A6" s="18" t="str">
        <f>name!F5</f>
        <v>RQF7 Other higher degree</v>
      </c>
      <c r="B6" s="13">
        <f>HLOOKUP(B$3,'Qual F1'!$M$4:$AD$14,10,FALSE)</f>
        <v>2152.1787706991677</v>
      </c>
      <c r="C6" s="13">
        <f>HLOOKUP(C$3,'Qual F1'!$M$4:$AD$14,10,FALSE)</f>
        <v>2571.8117364701548</v>
      </c>
      <c r="D6" s="13">
        <f>HLOOKUP(D$3,'Qual F1'!$M$4:$AD$14,10,FALSE)</f>
        <v>3839.3943653282895</v>
      </c>
      <c r="E6" s="13">
        <f>HLOOKUP(E$3,'Qual F1'!$M$4:$AD$14,10,FALSE)</f>
        <v>4454.2817768167215</v>
      </c>
      <c r="F6" s="13">
        <f>HLOOKUP(F$3,'Qual F1'!$M$4:$BZ$14,10,FALSE)</f>
        <v>5076.2341667681503</v>
      </c>
      <c r="G6" s="13"/>
    </row>
    <row r="7" spans="1:7" x14ac:dyDescent="0.25">
      <c r="A7" s="18" t="str">
        <f>name!F6</f>
        <v>RQF6 First degree</v>
      </c>
      <c r="B7" s="13">
        <f>HLOOKUP(B$3,'Qual F1'!$M$4:$AD$14,9,FALSE)</f>
        <v>4602.2940717735719</v>
      </c>
      <c r="C7" s="13">
        <f>HLOOKUP(C$3,'Qual F1'!$M$4:$AD$14,9,FALSE)</f>
        <v>5900.840055743266</v>
      </c>
      <c r="D7" s="13">
        <f>HLOOKUP(D$3,'Qual F1'!$M$4:$AD$14,9,FALSE)</f>
        <v>6850.5415007430647</v>
      </c>
      <c r="E7" s="13">
        <f>HLOOKUP(E$3,'Qual F1'!$M$4:$AD$14,9,FALSE)</f>
        <v>8320.0245057423726</v>
      </c>
      <c r="F7" s="13">
        <f>HLOOKUP(F$3,'Qual F1'!$M$4:$BZ$14,9,FALSE)</f>
        <v>9223.9699308177442</v>
      </c>
      <c r="G7" s="13"/>
    </row>
    <row r="8" spans="1:7" s="286" customFormat="1" x14ac:dyDescent="0.25">
      <c r="A8" s="18" t="str">
        <f>name!F7</f>
        <v>RQF5 Foundation degree;Nursing;Teaching</v>
      </c>
      <c r="B8" s="13">
        <f>HLOOKUP(B$3,'Qual F1'!$M$4:$AD$14,8,FALSE)</f>
        <v>1895.6113833887814</v>
      </c>
      <c r="C8" s="13">
        <f>HLOOKUP(C$3,'Qual F1'!$M$4:$AD$14,8,FALSE)</f>
        <v>1985.0087424495528</v>
      </c>
      <c r="D8" s="13">
        <f>HLOOKUP(D$3,'Qual F1'!$M$4:$AD$14,8,FALSE)</f>
        <v>1966.1273252754931</v>
      </c>
      <c r="E8" s="13">
        <f>HLOOKUP(E$3,'Qual F1'!$M$4:$AD$14,8,FALSE)</f>
        <v>2170.0302727101011</v>
      </c>
      <c r="F8" s="13">
        <f>HLOOKUP(F$3,'Qual F1'!$M$4:$BZ$14,8,FALSE)</f>
        <v>2288.7418318613563</v>
      </c>
      <c r="G8" s="13"/>
    </row>
    <row r="9" spans="1:7" s="286" customFormat="1" x14ac:dyDescent="0.25">
      <c r="A9" s="18" t="str">
        <f>name!F8</f>
        <v>RQF4 HE below degree level</v>
      </c>
      <c r="B9" s="13">
        <f>HLOOKUP(B$3,'Qual F1'!$M$4:$AD$14,7,FALSE)</f>
        <v>1558.9157977239936</v>
      </c>
      <c r="C9" s="13">
        <f>HLOOKUP(C$3,'Qual F1'!$M$4:$AD$14,7,FALSE)</f>
        <v>1754.5761560409121</v>
      </c>
      <c r="D9" s="13">
        <f>HLOOKUP(D$3,'Qual F1'!$M$4:$AD$14,7,FALSE)</f>
        <v>1890.3955631831407</v>
      </c>
      <c r="E9" s="13">
        <f>HLOOKUP(E$3,'Qual F1'!$M$4:$AD$14,7,FALSE)</f>
        <v>2248.0182545175867</v>
      </c>
      <c r="F9" s="13">
        <f>HLOOKUP(F$3,'Qual F1'!$M$4:$BZ$14,7,FALSE)</f>
        <v>2458.2425587875514</v>
      </c>
      <c r="G9" s="13"/>
    </row>
    <row r="10" spans="1:7" s="286" customFormat="1" x14ac:dyDescent="0.25">
      <c r="A10" s="18" t="str">
        <f>name!F9</f>
        <v>RQF3 A level &amp; equivalent</v>
      </c>
      <c r="B10" s="13">
        <f>HLOOKUP(B$3,'Qual F1'!$M$4:$AD$14,6,FALSE)</f>
        <v>6197.5454086245363</v>
      </c>
      <c r="C10" s="13">
        <f>HLOOKUP(C$3,'Qual F1'!$M$4:$AD$14,6,FALSE)</f>
        <v>6241.629395417569</v>
      </c>
      <c r="D10" s="13">
        <f>HLOOKUP(D$3,'Qual F1'!$M$4:$AD$14,6,FALSE)</f>
        <v>6916.6632329275581</v>
      </c>
      <c r="E10" s="13">
        <f>HLOOKUP(E$3,'Qual F1'!$M$4:$AD$14,6,FALSE)</f>
        <v>6564.0914040264424</v>
      </c>
      <c r="F10" s="13">
        <f>HLOOKUP(F$3,'Qual F1'!$M$4:$BZ$14,6,FALSE)</f>
        <v>6466.0936823055099</v>
      </c>
      <c r="G10" s="13"/>
    </row>
    <row r="11" spans="1:7" x14ac:dyDescent="0.25">
      <c r="A11" s="18" t="str">
        <f>name!F10</f>
        <v>RQF2 GCSE(A-C) &amp; equivalent</v>
      </c>
      <c r="B11" s="13">
        <f>HLOOKUP(B$3,'Qual F1'!$M$4:$AD$14,5,FALSE)</f>
        <v>6850.6106439310988</v>
      </c>
      <c r="C11" s="13">
        <f>HLOOKUP(C$3,'Qual F1'!$M$4:$AD$14,5,FALSE)</f>
        <v>6671.6730005943746</v>
      </c>
      <c r="D11" s="13">
        <f>HLOOKUP(D$3,'Qual F1'!$M$4:$AD$14,5,FALSE)</f>
        <v>6752.7707517016897</v>
      </c>
      <c r="E11" s="13">
        <f>HLOOKUP(E$3,'Qual F1'!$M$4:$AD$14,5,FALSE)</f>
        <v>6187.2671637425328</v>
      </c>
      <c r="F11" s="13">
        <f>HLOOKUP(F$3,'Qual F1'!$M$4:$BZ$14,5,FALSE)</f>
        <v>5774.7831786037759</v>
      </c>
      <c r="G11" s="13"/>
    </row>
    <row r="12" spans="1:7" s="286" customFormat="1" x14ac:dyDescent="0.25">
      <c r="A12" s="18" t="str">
        <f>name!F11</f>
        <v>RQF1 GCSE(below grade C) &amp; equivalent</v>
      </c>
      <c r="B12" s="13">
        <f>HLOOKUP(B$3,'Qual F1'!$M$4:$AD$14,4,FALSE)</f>
        <v>5530.7871204987168</v>
      </c>
      <c r="C12" s="13">
        <f>HLOOKUP(C$3,'Qual F1'!$M$4:$AD$14,4,FALSE)</f>
        <v>4480.3692005364028</v>
      </c>
      <c r="D12" s="13">
        <f>HLOOKUP(D$3,'Qual F1'!$M$4:$AD$14,4,FALSE)</f>
        <v>4476.8154183152474</v>
      </c>
      <c r="E12" s="13">
        <f>HLOOKUP(E$3,'Qual F1'!$M$4:$AD$14,4,FALSE)</f>
        <v>3567.9630511304931</v>
      </c>
      <c r="F12" s="13">
        <f>HLOOKUP(F$3,'Qual F1'!$M$4:$BZ$14,4,FALSE)</f>
        <v>2933.9027332325554</v>
      </c>
      <c r="G12" s="13"/>
    </row>
    <row r="13" spans="1:7" s="286" customFormat="1" x14ac:dyDescent="0.25">
      <c r="A13" s="18" t="str">
        <f>name!F12</f>
        <v>No Qualification</v>
      </c>
      <c r="B13" s="13">
        <f>HLOOKUP(B$3,'Qual F1'!$M$4:$AD$14,3,FALSE)</f>
        <v>2707.7109936545003</v>
      </c>
      <c r="C13" s="13">
        <f>HLOOKUP(C$3,'Qual F1'!$M$4:$AD$14,3,FALSE)</f>
        <v>1826.0781440577005</v>
      </c>
      <c r="D13" s="13">
        <f>HLOOKUP(D$3,'Qual F1'!$M$4:$AD$14,3,FALSE)</f>
        <v>1606.566834382852</v>
      </c>
      <c r="E13" s="13">
        <f>HLOOKUP(E$3,'Qual F1'!$M$4:$AD$14,3,FALSE)</f>
        <v>1101.8347322327654</v>
      </c>
      <c r="F13" s="13">
        <f>HLOOKUP(F$3,'Qual F1'!$M$4:$BZ$14,3,FALSE)</f>
        <v>867.25225080976838</v>
      </c>
      <c r="G13" s="13"/>
    </row>
    <row r="14" spans="1:7" s="286" customFormat="1" x14ac:dyDescent="0.25">
      <c r="A14" s="18"/>
      <c r="B14" s="13"/>
      <c r="C14" s="13"/>
      <c r="D14" s="13"/>
      <c r="E14" s="13"/>
      <c r="F14" s="13"/>
      <c r="G14" s="13"/>
    </row>
    <row r="15" spans="1:7" x14ac:dyDescent="0.25">
      <c r="A15" s="18" t="str">
        <f>name!F3</f>
        <v>All qualifications</v>
      </c>
      <c r="B15" s="13">
        <f>SUM(B5:B13)</f>
        <v>31790.007000000063</v>
      </c>
      <c r="C15" s="13">
        <f t="shared" ref="C15:F15" si="0">SUM(C5:C13)</f>
        <v>31800.013000000268</v>
      </c>
      <c r="D15" s="13">
        <f t="shared" si="0"/>
        <v>34847.99200000002</v>
      </c>
      <c r="E15" s="13">
        <f t="shared" si="0"/>
        <v>35250.448000000004</v>
      </c>
      <c r="F15" s="13">
        <f t="shared" si="0"/>
        <v>35820.95300000011</v>
      </c>
      <c r="G15" s="13"/>
    </row>
    <row r="16" spans="1:7" x14ac:dyDescent="0.25">
      <c r="A16" s="18"/>
      <c r="B16" s="13"/>
      <c r="C16" s="13"/>
      <c r="D16" s="13"/>
      <c r="E16" s="13"/>
      <c r="F16" s="13"/>
      <c r="G16" s="13"/>
    </row>
    <row r="17" spans="1:7" x14ac:dyDescent="0.25">
      <c r="A17" s="18"/>
      <c r="B17" s="13"/>
      <c r="C17" s="13"/>
      <c r="D17" s="13"/>
      <c r="E17" s="13"/>
      <c r="F17" s="13"/>
      <c r="G17" s="13"/>
    </row>
    <row r="18" spans="1:7" x14ac:dyDescent="0.25">
      <c r="A18" s="21" t="s">
        <v>515</v>
      </c>
      <c r="B18" s="20">
        <f>B$3</f>
        <v>2007</v>
      </c>
      <c r="C18" s="20">
        <f>C$3</f>
        <v>2012</v>
      </c>
      <c r="D18" s="20">
        <f>D$3</f>
        <v>2017</v>
      </c>
      <c r="E18" s="20">
        <f>E$3</f>
        <v>2022</v>
      </c>
      <c r="F18" s="20">
        <f>F$3</f>
        <v>2027</v>
      </c>
      <c r="G18" s="13"/>
    </row>
    <row r="19" spans="1:7" x14ac:dyDescent="0.25">
      <c r="A19" s="18" t="str">
        <f>$A5</f>
        <v>RQF8 Doctorate</v>
      </c>
      <c r="B19" s="22">
        <f t="shared" ref="B19:F21" si="1">B5/B$15*100</f>
        <v>0.92592873510753371</v>
      </c>
      <c r="C19" s="22">
        <f t="shared" si="1"/>
        <v>1.1573157806266672</v>
      </c>
      <c r="D19" s="22">
        <f t="shared" si="1"/>
        <v>1.5746015097302815</v>
      </c>
      <c r="E19" s="22">
        <f t="shared" si="1"/>
        <v>1.8068900545064912</v>
      </c>
      <c r="F19" s="22">
        <f t="shared" si="1"/>
        <v>2.0427504170916433</v>
      </c>
      <c r="G19" s="13"/>
    </row>
    <row r="20" spans="1:7" x14ac:dyDescent="0.25">
      <c r="A20" s="18" t="str">
        <f>$A6</f>
        <v>RQF7 Other higher degree</v>
      </c>
      <c r="B20" s="22">
        <f t="shared" si="1"/>
        <v>6.7699852054111336</v>
      </c>
      <c r="C20" s="22">
        <f t="shared" si="1"/>
        <v>8.0874549845942934</v>
      </c>
      <c r="D20" s="22">
        <f t="shared" si="1"/>
        <v>11.017548343469223</v>
      </c>
      <c r="E20" s="22">
        <f t="shared" si="1"/>
        <v>12.636099764793688</v>
      </c>
      <c r="F20" s="22">
        <f t="shared" si="1"/>
        <v>14.171130976800464</v>
      </c>
      <c r="G20" s="13"/>
    </row>
    <row r="21" spans="1:7" x14ac:dyDescent="0.25">
      <c r="A21" s="18" t="str">
        <f>$A7</f>
        <v>RQF6 First degree</v>
      </c>
      <c r="B21" s="22">
        <f t="shared" si="1"/>
        <v>14.477172250303571</v>
      </c>
      <c r="C21" s="22">
        <f t="shared" si="1"/>
        <v>18.556093218399681</v>
      </c>
      <c r="D21" s="22">
        <f t="shared" si="1"/>
        <v>19.65835363123092</v>
      </c>
      <c r="E21" s="22">
        <f t="shared" si="1"/>
        <v>23.602606428554814</v>
      </c>
      <c r="F21" s="22">
        <f t="shared" si="1"/>
        <v>25.750208071844753</v>
      </c>
      <c r="G21" s="13"/>
    </row>
    <row r="22" spans="1:7" s="286" customFormat="1" x14ac:dyDescent="0.25">
      <c r="A22" s="18" t="str">
        <f t="shared" ref="A22:A27" si="2">$A8</f>
        <v>RQF5 Foundation degree;Nursing;Teaching</v>
      </c>
      <c r="B22" s="22">
        <f t="shared" ref="B22:F22" si="3">B8/B$15*100</f>
        <v>5.9629159043242037</v>
      </c>
      <c r="C22" s="22">
        <f t="shared" si="3"/>
        <v>6.2421633049317808</v>
      </c>
      <c r="D22" s="22">
        <f t="shared" si="3"/>
        <v>5.6420103783181883</v>
      </c>
      <c r="E22" s="22">
        <f t="shared" si="3"/>
        <v>6.1560360104078704</v>
      </c>
      <c r="F22" s="22">
        <f t="shared" si="3"/>
        <v>6.3893940282977653</v>
      </c>
      <c r="G22" s="13"/>
    </row>
    <row r="23" spans="1:7" s="286" customFormat="1" x14ac:dyDescent="0.25">
      <c r="A23" s="18" t="str">
        <f t="shared" si="2"/>
        <v>RQF4 HE below degree level</v>
      </c>
      <c r="B23" s="22">
        <f t="shared" ref="B23:F23" si="4">B9/B$15*100</f>
        <v>4.9037919297217849</v>
      </c>
      <c r="C23" s="22">
        <f t="shared" si="4"/>
        <v>5.5175328262944339</v>
      </c>
      <c r="D23" s="22">
        <f t="shared" si="4"/>
        <v>5.4246900744902016</v>
      </c>
      <c r="E23" s="22">
        <f t="shared" si="4"/>
        <v>6.37727570020553</v>
      </c>
      <c r="F23" s="22">
        <f t="shared" si="4"/>
        <v>6.8625827983625776</v>
      </c>
      <c r="G23" s="13"/>
    </row>
    <row r="24" spans="1:7" s="286" customFormat="1" x14ac:dyDescent="0.25">
      <c r="A24" s="18" t="str">
        <f t="shared" si="2"/>
        <v>RQF3 A level &amp; equivalent</v>
      </c>
      <c r="B24" s="22">
        <f t="shared" ref="B24:F24" si="5">B10/B$15*100</f>
        <v>19.495262799484518</v>
      </c>
      <c r="C24" s="22">
        <f t="shared" si="5"/>
        <v>19.627757370468739</v>
      </c>
      <c r="D24" s="22">
        <f t="shared" si="5"/>
        <v>19.848096937486538</v>
      </c>
      <c r="E24" s="22">
        <f t="shared" si="5"/>
        <v>18.62129923576132</v>
      </c>
      <c r="F24" s="22">
        <f t="shared" si="5"/>
        <v>18.051149231862954</v>
      </c>
      <c r="G24" s="13"/>
    </row>
    <row r="25" spans="1:7" s="286" customFormat="1" x14ac:dyDescent="0.25">
      <c r="A25" s="18" t="str">
        <f t="shared" si="2"/>
        <v>RQF2 GCSE(A-C) &amp; equivalent</v>
      </c>
      <c r="B25" s="22">
        <f t="shared" ref="B25:F25" si="6">B11/B$15*100</f>
        <v>21.549572618625358</v>
      </c>
      <c r="C25" s="22">
        <f t="shared" si="6"/>
        <v>20.980095198685351</v>
      </c>
      <c r="D25" s="22">
        <f t="shared" si="6"/>
        <v>19.377790122603582</v>
      </c>
      <c r="E25" s="22">
        <f t="shared" si="6"/>
        <v>17.552307884831798</v>
      </c>
      <c r="F25" s="22">
        <f t="shared" si="6"/>
        <v>16.121243839056316</v>
      </c>
      <c r="G25" s="13"/>
    </row>
    <row r="26" spans="1:7" s="286" customFormat="1" x14ac:dyDescent="0.25">
      <c r="A26" s="18" t="str">
        <f t="shared" si="2"/>
        <v>RQF1 GCSE(below grade C) &amp; equivalent</v>
      </c>
      <c r="B26" s="22">
        <f t="shared" ref="B26:F26" si="7">B12/B$15*100</f>
        <v>17.397879530189176</v>
      </c>
      <c r="C26" s="22">
        <f>C12/C$15*100</f>
        <v>14.089205562703278</v>
      </c>
      <c r="D26" s="22">
        <f t="shared" si="7"/>
        <v>12.846695494865944</v>
      </c>
      <c r="E26" s="22">
        <f t="shared" si="7"/>
        <v>10.121752356538824</v>
      </c>
      <c r="F26" s="22">
        <f t="shared" si="7"/>
        <v>8.1904653213233782</v>
      </c>
      <c r="G26" s="13"/>
    </row>
    <row r="27" spans="1:7" s="286" customFormat="1" x14ac:dyDescent="0.25">
      <c r="A27" s="18" t="str">
        <f t="shared" si="2"/>
        <v>No Qualification</v>
      </c>
      <c r="B27" s="22">
        <f t="shared" ref="B27:F27" si="8">B13/B$15*100</f>
        <v>8.5174910268327242</v>
      </c>
      <c r="C27" s="22">
        <f>C13/C$15*100</f>
        <v>5.7423817532957768</v>
      </c>
      <c r="D27" s="22">
        <f t="shared" si="8"/>
        <v>4.6102135078051294</v>
      </c>
      <c r="E27" s="22">
        <f t="shared" si="8"/>
        <v>3.1257325643996503</v>
      </c>
      <c r="F27" s="22">
        <f t="shared" si="8"/>
        <v>2.421075315360163</v>
      </c>
      <c r="G27" s="13"/>
    </row>
    <row r="28" spans="1:7" s="286" customFormat="1" x14ac:dyDescent="0.25">
      <c r="A28" s="18"/>
      <c r="B28" s="22"/>
      <c r="C28" s="22"/>
      <c r="D28" s="22"/>
      <c r="E28" s="22"/>
      <c r="F28" s="22"/>
      <c r="G28" s="13"/>
    </row>
    <row r="29" spans="1:7" x14ac:dyDescent="0.25">
      <c r="A29" s="18" t="str">
        <f>$A15</f>
        <v>All qualifications</v>
      </c>
      <c r="B29" s="22">
        <f>B15/B$15*100</f>
        <v>100</v>
      </c>
      <c r="C29" s="22">
        <f>C15/C$15*100</f>
        <v>100</v>
      </c>
      <c r="D29" s="22">
        <f>D15/D$15*100</f>
        <v>100</v>
      </c>
      <c r="E29" s="22">
        <f>E15/E$15*100</f>
        <v>100</v>
      </c>
      <c r="F29" s="22">
        <f>F15/F$15*100</f>
        <v>100</v>
      </c>
      <c r="G29" s="13"/>
    </row>
    <row r="30" spans="1:7" x14ac:dyDescent="0.25">
      <c r="A30" s="18"/>
      <c r="B30" s="22"/>
      <c r="C30" s="22"/>
      <c r="D30" s="22"/>
      <c r="E30" s="22"/>
      <c r="F30" s="22"/>
      <c r="G30" s="13"/>
    </row>
    <row r="32" spans="1:7" x14ac:dyDescent="0.25">
      <c r="A32" s="1" t="s">
        <v>14</v>
      </c>
      <c r="B32" s="24" t="str">
        <f>CONCATENATE(B$3,"-",C$3)</f>
        <v>2007-2012</v>
      </c>
      <c r="C32" s="24" t="str">
        <f>CONCATENATE(C$3,"-",D$3)</f>
        <v>2012-2017</v>
      </c>
      <c r="D32" s="24" t="str">
        <f>CONCATENATE(D$3,"-",E$3)</f>
        <v>2017-2022</v>
      </c>
      <c r="E32" s="24" t="str">
        <f>CONCATENATE(E$3,"-",F$3)</f>
        <v>2022-2027</v>
      </c>
      <c r="F32" s="24" t="str">
        <f>CONCATENATE(D$3,"-",F$3)</f>
        <v>2017-2027</v>
      </c>
    </row>
    <row r="33" spans="1:6" x14ac:dyDescent="0.25">
      <c r="A33" s="18" t="str">
        <f>$A19</f>
        <v>RQF8 Doctorate</v>
      </c>
      <c r="B33" s="22">
        <f t="shared" ref="B33:E35" si="9">IF(C$3-B$3 &lt;&gt; 0,(EXP(LN(C5/B5)/(C$3-B$3))-1)*100,0)</f>
        <v>4.5688176146985171</v>
      </c>
      <c r="C33" s="22">
        <f t="shared" si="9"/>
        <v>8.3163083391462287</v>
      </c>
      <c r="D33" s="22">
        <f t="shared" si="9"/>
        <v>3.0266525343932926</v>
      </c>
      <c r="E33" s="22">
        <f t="shared" si="9"/>
        <v>2.8137536249285278</v>
      </c>
      <c r="F33" s="22">
        <f>IF(F$3-D$3 &lt;&gt; 0,(EXP(LN(F5/D5)/(F$3-D$3))-1)*100,0)</f>
        <v>2.9201480297819549</v>
      </c>
    </row>
    <row r="34" spans="1:6" x14ac:dyDescent="0.25">
      <c r="A34" s="18" t="str">
        <f>$A20</f>
        <v>RQF7 Other higher degree</v>
      </c>
      <c r="B34" s="22">
        <f t="shared" si="9"/>
        <v>3.6268188066278961</v>
      </c>
      <c r="C34" s="22">
        <f t="shared" si="9"/>
        <v>8.3439611826524374</v>
      </c>
      <c r="D34" s="22">
        <f t="shared" si="9"/>
        <v>3.0155991425574458</v>
      </c>
      <c r="E34" s="22">
        <f t="shared" si="9"/>
        <v>2.6485436726549461</v>
      </c>
      <c r="F34" s="22">
        <f t="shared" ref="F34:F43" si="10">IF(F$3-D$3 &lt;&gt; 0,(EXP(LN(F6/D6)/(F$3-D$3))-1)*100,0)</f>
        <v>2.8319076335235671</v>
      </c>
    </row>
    <row r="35" spans="1:6" x14ac:dyDescent="0.25">
      <c r="A35" s="18" t="str">
        <f>$A21</f>
        <v>RQF6 First degree</v>
      </c>
      <c r="B35" s="22">
        <f t="shared" si="9"/>
        <v>5.0964134857868215</v>
      </c>
      <c r="C35" s="22">
        <f t="shared" si="9"/>
        <v>3.0296469663121606</v>
      </c>
      <c r="D35" s="22">
        <f t="shared" si="9"/>
        <v>3.9632723162412065</v>
      </c>
      <c r="E35" s="22">
        <f t="shared" si="9"/>
        <v>2.084229360084322</v>
      </c>
      <c r="F35" s="22">
        <f t="shared" si="10"/>
        <v>3.0194667825264476</v>
      </c>
    </row>
    <row r="36" spans="1:6" s="286" customFormat="1" x14ac:dyDescent="0.25">
      <c r="A36" s="18" t="str">
        <f t="shared" ref="A36:A41" si="11">$A22</f>
        <v>RQF5 Foundation degree;Nursing;Teaching</v>
      </c>
      <c r="B36" s="22">
        <f>IF(C$3-B$3 &lt;&gt; 0,(EXP(LN(C8/B8)/(C$3-B$3))-1)*100,0)</f>
        <v>0.9258982036836505</v>
      </c>
      <c r="C36" s="22">
        <f t="shared" ref="C36:E36" si="12">IF(D$3-C$3 &lt;&gt; 0,(EXP(LN(D8/C8)/(D$3-C$3))-1)*100,0)</f>
        <v>-0.19096812617441783</v>
      </c>
      <c r="D36" s="22">
        <f t="shared" si="12"/>
        <v>1.9931090777857152</v>
      </c>
      <c r="E36" s="22">
        <f t="shared" si="12"/>
        <v>1.0709162981896281</v>
      </c>
      <c r="F36" s="22">
        <f t="shared" si="10"/>
        <v>1.530965673497886</v>
      </c>
    </row>
    <row r="37" spans="1:6" s="286" customFormat="1" x14ac:dyDescent="0.25">
      <c r="A37" s="18" t="str">
        <f t="shared" si="11"/>
        <v>RQF4 HE below degree level</v>
      </c>
      <c r="B37" s="22">
        <f t="shared" ref="B37:E37" si="13">IF(C$3-B$3 &lt;&gt; 0,(EXP(LN(C9/B9)/(C$3-B$3))-1)*100,0)</f>
        <v>2.3929164169457451</v>
      </c>
      <c r="C37" s="22">
        <f t="shared" si="13"/>
        <v>1.5023490654860527</v>
      </c>
      <c r="D37" s="22">
        <f t="shared" si="13"/>
        <v>3.525998715780343</v>
      </c>
      <c r="E37" s="22">
        <f t="shared" si="13"/>
        <v>1.8040322691324606</v>
      </c>
      <c r="F37" s="22">
        <f t="shared" si="10"/>
        <v>2.6614051820617934</v>
      </c>
    </row>
    <row r="38" spans="1:6" s="286" customFormat="1" x14ac:dyDescent="0.25">
      <c r="A38" s="18" t="str">
        <f t="shared" si="11"/>
        <v>RQF3 A level &amp; equivalent</v>
      </c>
      <c r="B38" s="22">
        <f t="shared" ref="B38:E38" si="14">IF(C$3-B$3 &lt;&gt; 0,(EXP(LN(C10/B10)/(C$3-B$3))-1)*100,0)</f>
        <v>0.14185967636379804</v>
      </c>
      <c r="C38" s="22">
        <f t="shared" si="14"/>
        <v>2.0750803559388187</v>
      </c>
      <c r="D38" s="22">
        <f t="shared" si="14"/>
        <v>-1.0409316815373715</v>
      </c>
      <c r="E38" s="22">
        <f t="shared" si="14"/>
        <v>-0.30038654477931859</v>
      </c>
      <c r="F38" s="22">
        <f t="shared" si="10"/>
        <v>-0.67134925289934477</v>
      </c>
    </row>
    <row r="39" spans="1:6" s="286" customFormat="1" x14ac:dyDescent="0.25">
      <c r="A39" s="18" t="str">
        <f t="shared" si="11"/>
        <v>RQF2 GCSE(A-C) &amp; equivalent</v>
      </c>
      <c r="B39" s="22">
        <f t="shared" ref="B39:E39" si="15">IF(C$3-B$3 &lt;&gt; 0,(EXP(LN(C11/B11)/(C$3-B$3))-1)*100,0)</f>
        <v>-0.52794425471629491</v>
      </c>
      <c r="C39" s="22">
        <f t="shared" si="15"/>
        <v>0.24193718161251709</v>
      </c>
      <c r="D39" s="22">
        <f t="shared" si="15"/>
        <v>-1.7339786209743191</v>
      </c>
      <c r="E39" s="22">
        <f t="shared" si="15"/>
        <v>-1.3703793519707297</v>
      </c>
      <c r="F39" s="22">
        <f t="shared" si="10"/>
        <v>-1.5523468476549285</v>
      </c>
    </row>
    <row r="40" spans="1:6" s="286" customFormat="1" x14ac:dyDescent="0.25">
      <c r="A40" s="18" t="str">
        <f t="shared" si="11"/>
        <v>RQF1 GCSE(below grade C) &amp; equivalent</v>
      </c>
      <c r="B40" s="22">
        <f t="shared" ref="B40:E40" si="16">IF(C$3-B$3 &lt;&gt; 0,(EXP(LN(C12/B12)/(C$3-B$3))-1)*100,0)</f>
        <v>-4.1250010828903445</v>
      </c>
      <c r="C40" s="22">
        <f t="shared" si="16"/>
        <v>-1.5868827447806932E-2</v>
      </c>
      <c r="D40" s="22">
        <f t="shared" si="16"/>
        <v>-4.4368994642127291</v>
      </c>
      <c r="E40" s="22">
        <f t="shared" si="16"/>
        <v>-3.8376489641294032</v>
      </c>
      <c r="F40" s="22">
        <f t="shared" si="10"/>
        <v>-4.1377424645206435</v>
      </c>
    </row>
    <row r="41" spans="1:6" s="286" customFormat="1" x14ac:dyDescent="0.25">
      <c r="A41" s="18" t="str">
        <f t="shared" si="11"/>
        <v>No Qualification</v>
      </c>
      <c r="B41" s="22">
        <f t="shared" ref="B41:E41" si="17">IF(C$3-B$3 &lt;&gt; 0,(EXP(LN(C13/B13)/(C$3-B$3))-1)*100,0)</f>
        <v>-7.5762873583020696</v>
      </c>
      <c r="C41" s="22">
        <f t="shared" si="17"/>
        <v>-2.5288954069134562</v>
      </c>
      <c r="D41" s="22">
        <f t="shared" si="17"/>
        <v>-7.2650307735501514</v>
      </c>
      <c r="E41" s="22">
        <f t="shared" si="17"/>
        <v>-4.6752235426837156</v>
      </c>
      <c r="F41" s="22">
        <f t="shared" si="10"/>
        <v>-5.9790437652996626</v>
      </c>
    </row>
    <row r="42" spans="1:6" x14ac:dyDescent="0.25">
      <c r="A42" s="18"/>
      <c r="B42" s="22"/>
      <c r="C42" s="22"/>
      <c r="D42" s="22"/>
      <c r="E42" s="22"/>
      <c r="F42" s="22"/>
    </row>
    <row r="43" spans="1:6" x14ac:dyDescent="0.25">
      <c r="A43" s="18" t="str">
        <f>$A29</f>
        <v>All qualifications</v>
      </c>
      <c r="B43" s="22">
        <f>IF(C$3-B$3 &lt;&gt; 0,(EXP(LN(C15/B15)/(C$3-B$3))-1)*100,0)</f>
        <v>6.2942675480792687E-3</v>
      </c>
      <c r="C43" s="22">
        <f t="shared" ref="C43" si="18">IF(D$3-C$3 &lt;&gt; 0,(EXP(LN(D15/C15)/(D$3-C$3))-1)*100,0)</f>
        <v>1.8474341286812024</v>
      </c>
      <c r="D43" s="22">
        <f>IF(E$3-D$3 &lt;&gt; 0,(EXP(LN(E15/D15)/(E$3-D$3))-1)*100,0)</f>
        <v>0.22991833206487122</v>
      </c>
      <c r="E43" s="22">
        <f>IF(F$3-E$3 &lt;&gt; 0,(EXP(LN(F15/E15)/(F$3-E$3))-1)*100,0)</f>
        <v>0.32161132563670591</v>
      </c>
      <c r="F43" s="22">
        <f t="shared" si="10"/>
        <v>0.27575434824571587</v>
      </c>
    </row>
    <row r="44" spans="1:6" x14ac:dyDescent="0.25">
      <c r="A44" s="18"/>
      <c r="B44" s="22"/>
      <c r="C44" s="22"/>
      <c r="D44" s="22"/>
      <c r="E44" s="22"/>
      <c r="F44" s="22"/>
    </row>
    <row r="46" spans="1:6" x14ac:dyDescent="0.25">
      <c r="A46" s="1" t="s">
        <v>15</v>
      </c>
      <c r="B46" s="24" t="str">
        <f>CONCATENATE(B$3,"-",C$3)</f>
        <v>2007-2012</v>
      </c>
      <c r="C46" s="24" t="str">
        <f>CONCATENATE(C$3,"-",D$3)</f>
        <v>2012-2017</v>
      </c>
      <c r="D46" s="24" t="str">
        <f>CONCATENATE(D$3,"-",E$3)</f>
        <v>2017-2022</v>
      </c>
      <c r="E46" s="24" t="str">
        <f>CONCATENATE(E$3,"-",F$3)</f>
        <v>2022-2027</v>
      </c>
      <c r="F46" s="24" t="str">
        <f>CONCATENATE(D$3,"-",F$3)</f>
        <v>2017-2027</v>
      </c>
    </row>
    <row r="47" spans="1:6" x14ac:dyDescent="0.25">
      <c r="A47" s="18" t="str">
        <f>$A33</f>
        <v>RQF8 Doctorate</v>
      </c>
      <c r="B47" s="31">
        <f>C5-B5</f>
        <v>73.6737589846378</v>
      </c>
      <c r="C47" s="31">
        <f>D5-C5</f>
        <v>180.69043945235319</v>
      </c>
      <c r="D47" s="31">
        <f>E5-D5</f>
        <v>88.219830938294422</v>
      </c>
      <c r="E47" s="31">
        <f>F5-E5</f>
        <v>94.795827732721364</v>
      </c>
      <c r="F47" s="31">
        <f>F5-D5</f>
        <v>183.01565867101579</v>
      </c>
    </row>
    <row r="48" spans="1:6" s="286" customFormat="1" x14ac:dyDescent="0.25">
      <c r="A48" s="18" t="str">
        <f t="shared" ref="A48:A55" si="19">$A34</f>
        <v>RQF7 Other higher degree</v>
      </c>
      <c r="B48" s="31">
        <f t="shared" ref="B48:E48" si="20">C6-B6</f>
        <v>419.63296577098708</v>
      </c>
      <c r="C48" s="31">
        <f t="shared" si="20"/>
        <v>1267.5826288581347</v>
      </c>
      <c r="D48" s="31">
        <f t="shared" si="20"/>
        <v>614.88741148843201</v>
      </c>
      <c r="E48" s="31">
        <f t="shared" si="20"/>
        <v>621.95238995142881</v>
      </c>
      <c r="F48" s="31">
        <f t="shared" ref="F48:F57" si="21">F6-D6</f>
        <v>1236.8398014398608</v>
      </c>
    </row>
    <row r="49" spans="1:6" s="286" customFormat="1" x14ac:dyDescent="0.25">
      <c r="A49" s="18" t="str">
        <f t="shared" si="19"/>
        <v>RQF6 First degree</v>
      </c>
      <c r="B49" s="31">
        <f t="shared" ref="B49:E49" si="22">C7-B7</f>
        <v>1298.5459839696941</v>
      </c>
      <c r="C49" s="31">
        <f t="shared" si="22"/>
        <v>949.7014449997987</v>
      </c>
      <c r="D49" s="31">
        <f t="shared" si="22"/>
        <v>1469.4830049993079</v>
      </c>
      <c r="E49" s="31">
        <f t="shared" si="22"/>
        <v>903.94542507537153</v>
      </c>
      <c r="F49" s="31">
        <f t="shared" si="21"/>
        <v>2373.4284300746795</v>
      </c>
    </row>
    <row r="50" spans="1:6" s="286" customFormat="1" x14ac:dyDescent="0.25">
      <c r="A50" s="18" t="str">
        <f t="shared" si="19"/>
        <v>RQF5 Foundation degree;Nursing;Teaching</v>
      </c>
      <c r="B50" s="31">
        <f t="shared" ref="B50:E50" si="23">C8-B8</f>
        <v>89.39735906077135</v>
      </c>
      <c r="C50" s="31">
        <f t="shared" si="23"/>
        <v>-18.881417174059607</v>
      </c>
      <c r="D50" s="31">
        <f t="shared" si="23"/>
        <v>203.902947434608</v>
      </c>
      <c r="E50" s="31">
        <f t="shared" si="23"/>
        <v>118.71155915125519</v>
      </c>
      <c r="F50" s="31">
        <f t="shared" si="21"/>
        <v>322.61450658586318</v>
      </c>
    </row>
    <row r="51" spans="1:6" s="286" customFormat="1" x14ac:dyDescent="0.25">
      <c r="A51" s="18" t="str">
        <f t="shared" si="19"/>
        <v>RQF4 HE below degree level</v>
      </c>
      <c r="B51" s="31">
        <f t="shared" ref="B51:E51" si="24">C9-B9</f>
        <v>195.66035831691852</v>
      </c>
      <c r="C51" s="31">
        <f t="shared" si="24"/>
        <v>135.81940714222856</v>
      </c>
      <c r="D51" s="31">
        <f t="shared" si="24"/>
        <v>357.62269133444602</v>
      </c>
      <c r="E51" s="31">
        <f t="shared" si="24"/>
        <v>210.2243042699647</v>
      </c>
      <c r="F51" s="31">
        <f t="shared" si="21"/>
        <v>567.84699560441072</v>
      </c>
    </row>
    <row r="52" spans="1:6" s="286" customFormat="1" x14ac:dyDescent="0.25">
      <c r="A52" s="18" t="str">
        <f t="shared" si="19"/>
        <v>RQF3 A level &amp; equivalent</v>
      </c>
      <c r="B52" s="31">
        <f t="shared" ref="B52:E52" si="25">C10-B10</f>
        <v>44.083986793032636</v>
      </c>
      <c r="C52" s="31">
        <f t="shared" si="25"/>
        <v>675.0338375099891</v>
      </c>
      <c r="D52" s="31">
        <f t="shared" si="25"/>
        <v>-352.57182890111562</v>
      </c>
      <c r="E52" s="31">
        <f t="shared" si="25"/>
        <v>-97.997721720932532</v>
      </c>
      <c r="F52" s="31">
        <f t="shared" si="21"/>
        <v>-450.56955062204815</v>
      </c>
    </row>
    <row r="53" spans="1:6" s="286" customFormat="1" x14ac:dyDescent="0.25">
      <c r="A53" s="18" t="str">
        <f t="shared" si="19"/>
        <v>RQF2 GCSE(A-C) &amp; equivalent</v>
      </c>
      <c r="B53" s="31">
        <f t="shared" ref="B53:E53" si="26">C11-B11</f>
        <v>-178.93764333672425</v>
      </c>
      <c r="C53" s="31">
        <f>D11-C11</f>
        <v>81.097751107315162</v>
      </c>
      <c r="D53" s="31">
        <f t="shared" si="26"/>
        <v>-565.5035879591569</v>
      </c>
      <c r="E53" s="31">
        <f t="shared" si="26"/>
        <v>-412.48398513875691</v>
      </c>
      <c r="F53" s="31">
        <f t="shared" si="21"/>
        <v>-977.98757309791381</v>
      </c>
    </row>
    <row r="54" spans="1:6" x14ac:dyDescent="0.25">
      <c r="A54" s="18" t="str">
        <f t="shared" si="19"/>
        <v>RQF1 GCSE(below grade C) &amp; equivalent</v>
      </c>
      <c r="B54" s="31">
        <f t="shared" ref="B54:E54" si="27">C12-B12</f>
        <v>-1050.417919962314</v>
      </c>
      <c r="C54" s="31">
        <f t="shared" si="27"/>
        <v>-3.5537822211554158</v>
      </c>
      <c r="D54" s="31">
        <f t="shared" si="27"/>
        <v>-908.85236718475426</v>
      </c>
      <c r="E54" s="31">
        <f t="shared" si="27"/>
        <v>-634.06031789793769</v>
      </c>
      <c r="F54" s="31">
        <f t="shared" si="21"/>
        <v>-1542.912685082692</v>
      </c>
    </row>
    <row r="55" spans="1:6" x14ac:dyDescent="0.25">
      <c r="A55" s="18" t="str">
        <f t="shared" si="19"/>
        <v>No Qualification</v>
      </c>
      <c r="B55" s="31">
        <f t="shared" ref="B55:E55" si="28">C13-B13</f>
        <v>-881.63284959679982</v>
      </c>
      <c r="C55" s="31">
        <f t="shared" si="28"/>
        <v>-219.51130967484846</v>
      </c>
      <c r="D55" s="31">
        <f t="shared" si="28"/>
        <v>-504.73210215008658</v>
      </c>
      <c r="E55" s="31">
        <f t="shared" si="28"/>
        <v>-234.58248142299703</v>
      </c>
      <c r="F55" s="31">
        <f t="shared" si="21"/>
        <v>-739.31458357308361</v>
      </c>
    </row>
    <row r="56" spans="1:6" x14ac:dyDescent="0.25">
      <c r="A56" s="18"/>
      <c r="B56" s="25"/>
      <c r="C56" s="31"/>
      <c r="D56" s="25"/>
      <c r="E56" s="25"/>
      <c r="F56" s="31"/>
    </row>
    <row r="57" spans="1:6" x14ac:dyDescent="0.25">
      <c r="A57" s="28" t="str">
        <f>$A43</f>
        <v>All qualifications</v>
      </c>
      <c r="B57" s="33">
        <f>C15-B15</f>
        <v>10.006000000204949</v>
      </c>
      <c r="C57" s="33">
        <f t="shared" ref="C57" si="29">D15-C15</f>
        <v>3047.978999999752</v>
      </c>
      <c r="D57" s="33">
        <f>E15-D15</f>
        <v>402.45599999998376</v>
      </c>
      <c r="E57" s="33">
        <f>F15-E15</f>
        <v>570.50500000010652</v>
      </c>
      <c r="F57" s="33">
        <f t="shared" si="21"/>
        <v>972.96100000009028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BP52"/>
  <sheetViews>
    <sheetView zoomScale="75" zoomScaleNormal="75" workbookViewId="0"/>
  </sheetViews>
  <sheetFormatPr defaultRowHeight="13.2" x14ac:dyDescent="0.25"/>
  <cols>
    <col min="1" max="1" width="17" style="104" customWidth="1"/>
    <col min="2" max="8" width="9.109375" style="104"/>
    <col min="9" max="9" width="31.88671875" style="104" customWidth="1"/>
    <col min="10" max="10" width="11.33203125" style="104" customWidth="1"/>
    <col min="11" max="11" width="6.109375" style="104" customWidth="1"/>
    <col min="12" max="12" width="27.109375" customWidth="1"/>
    <col min="13" max="33" width="5.77734375" customWidth="1"/>
    <col min="34" max="37" width="6.44140625" customWidth="1"/>
    <col min="38" max="38" width="7.109375" customWidth="1"/>
    <col min="39" max="68" width="6.33203125" customWidth="1"/>
  </cols>
  <sheetData>
    <row r="1" spans="1:68" ht="15.6" x14ac:dyDescent="0.3">
      <c r="A1" s="103" t="str">
        <f>CONCATENATE("Qualification Figure 1  Employment by Qualification, ",$M$2,"-",$O$2,", ",Info!B5)</f>
        <v>Qualification Figure 1  Employment by Qualification, 2007-2027, United Kingdom</v>
      </c>
      <c r="H1" s="286"/>
      <c r="L1" s="56"/>
    </row>
    <row r="2" spans="1:68" x14ac:dyDescent="0.25">
      <c r="A2" s="286"/>
      <c r="L2" s="19" t="s">
        <v>28</v>
      </c>
      <c r="M2" s="19">
        <f>M4</f>
        <v>2007</v>
      </c>
      <c r="N2" s="58" t="s">
        <v>27</v>
      </c>
      <c r="O2" s="59">
        <f>MAX(M4:BP4)</f>
        <v>2027</v>
      </c>
    </row>
    <row r="3" spans="1:68" x14ac:dyDescent="0.25">
      <c r="L3" s="19"/>
      <c r="M3" s="19"/>
      <c r="N3" s="58"/>
      <c r="O3" s="19"/>
    </row>
    <row r="4" spans="1:68" x14ac:dyDescent="0.25">
      <c r="L4" s="15"/>
      <c r="M4" s="59">
        <v>2007</v>
      </c>
      <c r="N4" s="59">
        <v>2008</v>
      </c>
      <c r="O4" s="59">
        <v>2009</v>
      </c>
      <c r="P4" s="59">
        <v>2010</v>
      </c>
      <c r="Q4" s="59">
        <v>2011</v>
      </c>
      <c r="R4" s="59">
        <v>2012</v>
      </c>
      <c r="S4" s="59">
        <v>2013</v>
      </c>
      <c r="T4" s="59">
        <v>2014</v>
      </c>
      <c r="U4" s="59">
        <v>2015</v>
      </c>
      <c r="V4" s="59">
        <v>2016</v>
      </c>
      <c r="W4" s="59">
        <v>2017</v>
      </c>
      <c r="X4" s="59">
        <v>2018</v>
      </c>
      <c r="Y4" s="59">
        <v>2019</v>
      </c>
      <c r="Z4" s="59">
        <v>2020</v>
      </c>
      <c r="AA4" s="59">
        <v>2021</v>
      </c>
      <c r="AB4" s="59">
        <v>2022</v>
      </c>
      <c r="AC4" s="59">
        <v>2023</v>
      </c>
      <c r="AD4" s="59">
        <v>2024</v>
      </c>
      <c r="AE4" s="59">
        <v>2025</v>
      </c>
      <c r="AF4" s="59">
        <v>2026</v>
      </c>
      <c r="AG4" s="59">
        <v>2027</v>
      </c>
      <c r="AH4" s="59"/>
      <c r="AI4" s="59"/>
      <c r="AJ4" s="59"/>
      <c r="AK4" s="59"/>
      <c r="AL4" s="59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</row>
    <row r="5" spans="1:68" x14ac:dyDescent="0.25">
      <c r="L5" s="21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</row>
    <row r="6" spans="1:68" x14ac:dyDescent="0.25">
      <c r="L6" s="338" t="str">
        <f>name!F12</f>
        <v>No Qualification</v>
      </c>
      <c r="M6" s="13">
        <v>2707.7109936545003</v>
      </c>
      <c r="N6" s="13">
        <v>2629.2210195232851</v>
      </c>
      <c r="O6" s="13">
        <v>2206.1032170045783</v>
      </c>
      <c r="P6" s="13">
        <v>2098.254960069763</v>
      </c>
      <c r="Q6" s="13">
        <v>1994.9403085890806</v>
      </c>
      <c r="R6" s="13">
        <v>1826.0781440577005</v>
      </c>
      <c r="S6" s="13">
        <v>1834.5095820129657</v>
      </c>
      <c r="T6" s="13">
        <v>1808.9590495515736</v>
      </c>
      <c r="U6" s="13">
        <v>1693.2076631808211</v>
      </c>
      <c r="V6" s="13">
        <v>1643.9856097713896</v>
      </c>
      <c r="W6" s="13">
        <v>1606.566834382852</v>
      </c>
      <c r="X6" s="13">
        <v>1441.3747492802459</v>
      </c>
      <c r="Y6" s="13">
        <v>1341.3199914812285</v>
      </c>
      <c r="Z6" s="13">
        <v>1254.1315662072088</v>
      </c>
      <c r="AA6" s="13">
        <v>1170.757225682971</v>
      </c>
      <c r="AB6" s="13">
        <v>1101.8347322327654</v>
      </c>
      <c r="AC6" s="13">
        <v>1039.5263037398674</v>
      </c>
      <c r="AD6" s="13">
        <v>986.09877332906751</v>
      </c>
      <c r="AE6" s="13">
        <v>936.37387116538719</v>
      </c>
      <c r="AF6" s="13">
        <v>895.0167137071702</v>
      </c>
      <c r="AG6" s="13">
        <v>867.25225080976838</v>
      </c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</row>
    <row r="7" spans="1:68" x14ac:dyDescent="0.25">
      <c r="L7" s="338" t="str">
        <f>name!F11</f>
        <v>RQF1 GCSE(below grade C) &amp; equivalent</v>
      </c>
      <c r="M7" s="13">
        <v>5530.7871204987168</v>
      </c>
      <c r="N7" s="13">
        <v>5625.8370963345942</v>
      </c>
      <c r="O7" s="13">
        <v>5179.2506888268572</v>
      </c>
      <c r="P7" s="13">
        <v>4932.5103190237405</v>
      </c>
      <c r="Q7" s="13">
        <v>4527.925400640398</v>
      </c>
      <c r="R7" s="13">
        <v>4480.3692005364028</v>
      </c>
      <c r="S7" s="13">
        <v>4391.0547650824919</v>
      </c>
      <c r="T7" s="13">
        <v>4492.989233473083</v>
      </c>
      <c r="U7" s="13">
        <v>4494.4829701518584</v>
      </c>
      <c r="V7" s="13">
        <v>4450.333085293666</v>
      </c>
      <c r="W7" s="13">
        <v>4476.8154183152474</v>
      </c>
      <c r="X7" s="13">
        <v>4172.8730969545913</v>
      </c>
      <c r="Y7" s="13">
        <v>4020.5983312280277</v>
      </c>
      <c r="Z7" s="13">
        <v>3875.7975261785477</v>
      </c>
      <c r="AA7" s="13">
        <v>3721.5432295721939</v>
      </c>
      <c r="AB7" s="13">
        <v>3567.9630511304931</v>
      </c>
      <c r="AC7" s="13">
        <v>3423.5543874880418</v>
      </c>
      <c r="AD7" s="13">
        <v>3290.5020153458659</v>
      </c>
      <c r="AE7" s="13">
        <v>3164.240966036853</v>
      </c>
      <c r="AF7" s="13">
        <v>3044.681778210042</v>
      </c>
      <c r="AG7" s="13">
        <v>2933.9027332325554</v>
      </c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</row>
    <row r="8" spans="1:68" x14ac:dyDescent="0.25">
      <c r="L8" s="338" t="str">
        <f>name!F10</f>
        <v>RQF2 GCSE(A-C) &amp; equivalent</v>
      </c>
      <c r="M8" s="13">
        <v>6850.6106439310988</v>
      </c>
      <c r="N8" s="13">
        <v>6919.8255946804893</v>
      </c>
      <c r="O8" s="13">
        <v>6807.6197459129189</v>
      </c>
      <c r="P8" s="13">
        <v>6608.7414508953771</v>
      </c>
      <c r="Q8" s="13">
        <v>6707.0805446002587</v>
      </c>
      <c r="R8" s="13">
        <v>6671.6730005943746</v>
      </c>
      <c r="S8" s="13">
        <v>6493.5320764851813</v>
      </c>
      <c r="T8" s="13">
        <v>6611.4488056372265</v>
      </c>
      <c r="U8" s="13">
        <v>6617.4038946887795</v>
      </c>
      <c r="V8" s="13">
        <v>6627.1301005568748</v>
      </c>
      <c r="W8" s="13">
        <v>6752.7707517016897</v>
      </c>
      <c r="X8" s="13">
        <v>6558.1783486801305</v>
      </c>
      <c r="Y8" s="13">
        <v>6449.4270305301743</v>
      </c>
      <c r="Z8" s="13">
        <v>6363.2928857888855</v>
      </c>
      <c r="AA8" s="13">
        <v>6270.3932847276265</v>
      </c>
      <c r="AB8" s="13">
        <v>6187.2671637425328</v>
      </c>
      <c r="AC8" s="13">
        <v>6112.8731480913793</v>
      </c>
      <c r="AD8" s="13">
        <v>6040.9752780565896</v>
      </c>
      <c r="AE8" s="13">
        <v>5959.2443065300868</v>
      </c>
      <c r="AF8" s="13">
        <v>5868.9631977398913</v>
      </c>
      <c r="AG8" s="13">
        <v>5774.7831786037759</v>
      </c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</row>
    <row r="9" spans="1:68" x14ac:dyDescent="0.25">
      <c r="L9" s="338" t="str">
        <f>name!F9</f>
        <v>RQF3 A level &amp; equivalent</v>
      </c>
      <c r="M9" s="13">
        <v>6197.5454086245363</v>
      </c>
      <c r="N9" s="13">
        <v>6285.4221876633919</v>
      </c>
      <c r="O9" s="13">
        <v>6168.1550825550721</v>
      </c>
      <c r="P9" s="13">
        <v>6160.7983300218675</v>
      </c>
      <c r="Q9" s="13">
        <v>6256.2276726052769</v>
      </c>
      <c r="R9" s="13">
        <v>6241.629395417569</v>
      </c>
      <c r="S9" s="13">
        <v>6381.6878836485976</v>
      </c>
      <c r="T9" s="13">
        <v>6627.3576624873049</v>
      </c>
      <c r="U9" s="13">
        <v>6602.7060727938433</v>
      </c>
      <c r="V9" s="13">
        <v>6770.3864984127704</v>
      </c>
      <c r="W9" s="13">
        <v>6916.6632329275581</v>
      </c>
      <c r="X9" s="13">
        <v>6777.6508131108403</v>
      </c>
      <c r="Y9" s="13">
        <v>6723.4978917154922</v>
      </c>
      <c r="Z9" s="13">
        <v>6672.984932837514</v>
      </c>
      <c r="AA9" s="13">
        <v>6611.9274680783974</v>
      </c>
      <c r="AB9" s="13">
        <v>6564.0914040264424</v>
      </c>
      <c r="AC9" s="13">
        <v>6532.710941523871</v>
      </c>
      <c r="AD9" s="13">
        <v>6512.2603484726924</v>
      </c>
      <c r="AE9" s="13">
        <v>6499.2950995020174</v>
      </c>
      <c r="AF9" s="13">
        <v>6488.2231764358312</v>
      </c>
      <c r="AG9" s="13">
        <v>6466.0936823055099</v>
      </c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</row>
    <row r="10" spans="1:68" x14ac:dyDescent="0.25">
      <c r="L10" s="338" t="str">
        <f>name!F8</f>
        <v>RQF4 HE below degree level</v>
      </c>
      <c r="M10" s="13">
        <v>1558.9157977239936</v>
      </c>
      <c r="N10" s="13">
        <v>1476.3367183525847</v>
      </c>
      <c r="O10" s="13">
        <v>1551.2995895083741</v>
      </c>
      <c r="P10" s="13">
        <v>1591.5121462808022</v>
      </c>
      <c r="Q10" s="13">
        <v>1674.4240620530093</v>
      </c>
      <c r="R10" s="13">
        <v>1754.5761560409121</v>
      </c>
      <c r="S10" s="13">
        <v>1765.4043967637863</v>
      </c>
      <c r="T10" s="13">
        <v>1867.4720656190846</v>
      </c>
      <c r="U10" s="13">
        <v>1845.853435644377</v>
      </c>
      <c r="V10" s="13">
        <v>1900.9874718118165</v>
      </c>
      <c r="W10" s="13">
        <v>1890.3955631831407</v>
      </c>
      <c r="X10" s="13">
        <v>2050.3502880202795</v>
      </c>
      <c r="Y10" s="13">
        <v>2104.101334969228</v>
      </c>
      <c r="Z10" s="13">
        <v>2158.1678479770558</v>
      </c>
      <c r="AA10" s="13">
        <v>2203.8870084482955</v>
      </c>
      <c r="AB10" s="13">
        <v>2248.0182545175867</v>
      </c>
      <c r="AC10" s="13">
        <v>2292.2013557694522</v>
      </c>
      <c r="AD10" s="13">
        <v>2333.607267655892</v>
      </c>
      <c r="AE10" s="13">
        <v>2375.0952691521406</v>
      </c>
      <c r="AF10" s="13">
        <v>2417.0941829272333</v>
      </c>
      <c r="AG10" s="13">
        <v>2458.2425587875514</v>
      </c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</row>
    <row r="11" spans="1:68" x14ac:dyDescent="0.25">
      <c r="L11" s="338" t="str">
        <f>name!F7</f>
        <v>RQF5 Foundation degree;Nursing;Teaching</v>
      </c>
      <c r="M11" s="13">
        <v>1895.6113833887814</v>
      </c>
      <c r="N11" s="13">
        <v>1860.2399251538336</v>
      </c>
      <c r="O11" s="13">
        <v>1877.5015321861526</v>
      </c>
      <c r="P11" s="13">
        <v>1915.6516345792643</v>
      </c>
      <c r="Q11" s="13">
        <v>1944.090800710552</v>
      </c>
      <c r="R11" s="13">
        <v>1985.0087424495528</v>
      </c>
      <c r="S11" s="13">
        <v>1986.7785814163283</v>
      </c>
      <c r="T11" s="13">
        <v>2049.9165055366534</v>
      </c>
      <c r="U11" s="13">
        <v>1979.18148094516</v>
      </c>
      <c r="V11" s="13">
        <v>2001.5495851847522</v>
      </c>
      <c r="W11" s="13">
        <v>1966.1273252754931</v>
      </c>
      <c r="X11" s="13">
        <v>2089.4243362314564</v>
      </c>
      <c r="Y11" s="13">
        <v>2111.7941893070824</v>
      </c>
      <c r="Z11" s="13">
        <v>2134.510528735364</v>
      </c>
      <c r="AA11" s="13">
        <v>2151.0016733170514</v>
      </c>
      <c r="AB11" s="13">
        <v>2170.0302727101011</v>
      </c>
      <c r="AC11" s="13">
        <v>2194.3786905501047</v>
      </c>
      <c r="AD11" s="13">
        <v>2217.1741638831245</v>
      </c>
      <c r="AE11" s="13">
        <v>2240.6804661522374</v>
      </c>
      <c r="AF11" s="13">
        <v>2264.6931654741552</v>
      </c>
      <c r="AG11" s="13">
        <v>2288.7418318613563</v>
      </c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</row>
    <row r="12" spans="1:68" x14ac:dyDescent="0.25">
      <c r="L12" s="338" t="str">
        <f>name!F6</f>
        <v>RQF6 First degree</v>
      </c>
      <c r="M12" s="13">
        <v>4602.2940717735719</v>
      </c>
      <c r="N12" s="13">
        <v>4721.5056523883222</v>
      </c>
      <c r="O12" s="13">
        <v>4988.8882298079016</v>
      </c>
      <c r="P12" s="13">
        <v>5167.9914348229022</v>
      </c>
      <c r="Q12" s="13">
        <v>5555.3310612715786</v>
      </c>
      <c r="R12" s="13">
        <v>5900.840055743266</v>
      </c>
      <c r="S12" s="13">
        <v>6141.1565645075716</v>
      </c>
      <c r="T12" s="13">
        <v>6620.9902149764639</v>
      </c>
      <c r="U12" s="13">
        <v>6536.7035038716913</v>
      </c>
      <c r="V12" s="13">
        <v>6773.9336478511677</v>
      </c>
      <c r="W12" s="13">
        <v>6850.5415007430647</v>
      </c>
      <c r="X12" s="13">
        <v>7448.6968098219768</v>
      </c>
      <c r="Y12" s="13">
        <v>7676.5804208362397</v>
      </c>
      <c r="Z12" s="13">
        <v>7907.0051281987817</v>
      </c>
      <c r="AA12" s="13">
        <v>8117.631043387054</v>
      </c>
      <c r="AB12" s="13">
        <v>8320.0245057423726</v>
      </c>
      <c r="AC12" s="13">
        <v>8512.6081251521427</v>
      </c>
      <c r="AD12" s="13">
        <v>8696.69035450101</v>
      </c>
      <c r="AE12" s="13">
        <v>8878.0569071882201</v>
      </c>
      <c r="AF12" s="13">
        <v>9054.6804362906005</v>
      </c>
      <c r="AG12" s="13">
        <v>9223.9699308177442</v>
      </c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</row>
    <row r="13" spans="1:68" x14ac:dyDescent="0.25">
      <c r="L13" s="338" t="str">
        <f>name!F5</f>
        <v>RQF7 Other higher degree</v>
      </c>
      <c r="M13" s="13">
        <v>2152.1787706991677</v>
      </c>
      <c r="N13" s="13">
        <v>2228.6512489300776</v>
      </c>
      <c r="O13" s="13">
        <v>2331.4561866450072</v>
      </c>
      <c r="P13" s="13">
        <v>2430.6195628398405</v>
      </c>
      <c r="Q13" s="13">
        <v>2302.0744510540076</v>
      </c>
      <c r="R13" s="13">
        <v>2571.8117364701548</v>
      </c>
      <c r="S13" s="13">
        <v>2601.7397931554665</v>
      </c>
      <c r="T13" s="13">
        <v>2716.949426049569</v>
      </c>
      <c r="U13" s="13">
        <v>3399.6491027639304</v>
      </c>
      <c r="V13" s="13">
        <v>3694.4275274323527</v>
      </c>
      <c r="W13" s="13">
        <v>3839.3943653282895</v>
      </c>
      <c r="X13" s="13">
        <v>3842.5273102418819</v>
      </c>
      <c r="Y13" s="13">
        <v>4000.1415200175625</v>
      </c>
      <c r="Z13" s="13">
        <v>4161.6524291623573</v>
      </c>
      <c r="AA13" s="13">
        <v>4309.4806647542355</v>
      </c>
      <c r="AB13" s="13">
        <v>4454.2817768167215</v>
      </c>
      <c r="AC13" s="13">
        <v>4593.9907521435771</v>
      </c>
      <c r="AD13" s="13">
        <v>4723.4840786556124</v>
      </c>
      <c r="AE13" s="13">
        <v>4847.8581862918936</v>
      </c>
      <c r="AF13" s="13">
        <v>4964.2627652263518</v>
      </c>
      <c r="AG13" s="13">
        <v>5076.2341667681503</v>
      </c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</row>
    <row r="14" spans="1:68" x14ac:dyDescent="0.25">
      <c r="L14" s="338" t="str">
        <f>name!F4</f>
        <v>RQF8 Doctorate</v>
      </c>
      <c r="M14" s="13">
        <v>294.35280970569698</v>
      </c>
      <c r="N14" s="13">
        <v>319.91055697342034</v>
      </c>
      <c r="O14" s="13">
        <v>344.66172755295116</v>
      </c>
      <c r="P14" s="13">
        <v>347.93716146634875</v>
      </c>
      <c r="Q14" s="13">
        <v>331.88569847588923</v>
      </c>
      <c r="R14" s="13">
        <v>368.02656869033478</v>
      </c>
      <c r="S14" s="13">
        <v>375.12635692765974</v>
      </c>
      <c r="T14" s="13">
        <v>394.91503666891936</v>
      </c>
      <c r="U14" s="13">
        <v>485.8588759594478</v>
      </c>
      <c r="V14" s="13">
        <v>524.29147368507529</v>
      </c>
      <c r="W14" s="13">
        <v>548.71700814268797</v>
      </c>
      <c r="X14" s="13">
        <v>547.19024765853055</v>
      </c>
      <c r="Y14" s="13">
        <v>569.9412899147884</v>
      </c>
      <c r="Z14" s="13">
        <v>592.91815491410932</v>
      </c>
      <c r="AA14" s="13">
        <v>615.30540203204669</v>
      </c>
      <c r="AB14" s="13">
        <v>636.93683908098239</v>
      </c>
      <c r="AC14" s="13">
        <v>657.79729554151356</v>
      </c>
      <c r="AD14" s="13">
        <v>677.30072010018489</v>
      </c>
      <c r="AE14" s="13">
        <v>696.26592798105014</v>
      </c>
      <c r="AF14" s="13">
        <v>714.23058398861303</v>
      </c>
      <c r="AG14" s="13">
        <v>731.73266681370376</v>
      </c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</row>
    <row r="15" spans="1:68" x14ac:dyDescent="0.25">
      <c r="L15" s="338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</row>
    <row r="16" spans="1:68" x14ac:dyDescent="0.25">
      <c r="L16" s="338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</row>
    <row r="17" spans="48:68" x14ac:dyDescent="0.25"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</row>
    <row r="18" spans="48:68" x14ac:dyDescent="0.25"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</row>
    <row r="19" spans="48:68" x14ac:dyDescent="0.25"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</row>
    <row r="20" spans="48:68" x14ac:dyDescent="0.25"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</row>
    <row r="21" spans="48:68" x14ac:dyDescent="0.25"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</row>
    <row r="22" spans="48:68" x14ac:dyDescent="0.25"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</row>
    <row r="23" spans="48:68" x14ac:dyDescent="0.25"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</row>
    <row r="24" spans="48:68" x14ac:dyDescent="0.25"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</row>
    <row r="25" spans="48:68" x14ac:dyDescent="0.25"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</row>
    <row r="26" spans="48:68" x14ac:dyDescent="0.25"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</row>
    <row r="27" spans="48:68" x14ac:dyDescent="0.25"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</row>
    <row r="28" spans="48:68" x14ac:dyDescent="0.25"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</row>
    <row r="29" spans="48:68" x14ac:dyDescent="0.25"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</row>
    <row r="30" spans="48:68" x14ac:dyDescent="0.25"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</row>
    <row r="32" spans="48:68" x14ac:dyDescent="0.25"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</row>
    <row r="34" spans="1:58" x14ac:dyDescent="0.25"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</row>
    <row r="35" spans="1:58" x14ac:dyDescent="0.25"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</row>
    <row r="36" spans="1:58" x14ac:dyDescent="0.25"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</row>
    <row r="37" spans="1:58" x14ac:dyDescent="0.25"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</row>
    <row r="38" spans="1:58" x14ac:dyDescent="0.25"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</row>
    <row r="40" spans="1:58" x14ac:dyDescent="0.25"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</row>
    <row r="41" spans="1:58" x14ac:dyDescent="0.25"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</row>
    <row r="42" spans="1:58" x14ac:dyDescent="0.25"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</row>
    <row r="43" spans="1:58" x14ac:dyDescent="0.25"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</row>
    <row r="45" spans="1:58" x14ac:dyDescent="0.25"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</row>
    <row r="46" spans="1:58" x14ac:dyDescent="0.25"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</row>
    <row r="47" spans="1:58" x14ac:dyDescent="0.25"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</row>
    <row r="48" spans="1:58" ht="12.75" customHeight="1" x14ac:dyDescent="0.3">
      <c r="A48" s="10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</row>
    <row r="51" spans="1:1" ht="15.6" x14ac:dyDescent="0.3">
      <c r="A51" s="103" t="str">
        <f>CONCATENATE("Qualification Figure 1.1  Employment by Qualification, ",$M$2,"-",$O$2," ",Info!B6)</f>
        <v xml:space="preserve">Qualification Figure 1.1  Employment by Qualification, 2007-2027 </v>
      </c>
    </row>
    <row r="52" spans="1:1" x14ac:dyDescent="0.25">
      <c r="A52" s="286"/>
    </row>
  </sheetData>
  <phoneticPr fontId="4" type="noConversion"/>
  <conditionalFormatting sqref="L4:AL4">
    <cfRule type="cellIs" dxfId="4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L23"/>
  <sheetViews>
    <sheetView zoomScale="85" zoomScaleNormal="85" workbookViewId="0">
      <selection activeCell="A8" sqref="A8"/>
    </sheetView>
  </sheetViews>
  <sheetFormatPr defaultColWidth="9.109375" defaultRowHeight="13.2" x14ac:dyDescent="0.25"/>
  <cols>
    <col min="1" max="1" width="57.88671875" style="123" customWidth="1"/>
    <col min="2" max="6" width="11.6640625" style="123" customWidth="1"/>
    <col min="7" max="7" width="5.6640625" style="123" customWidth="1"/>
    <col min="8" max="12" width="11.6640625" style="123" customWidth="1"/>
    <col min="13" max="16384" width="9.109375" style="123"/>
  </cols>
  <sheetData>
    <row r="1" spans="1:12" ht="15.6" x14ac:dyDescent="0.3">
      <c r="A1" s="23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5">
      <c r="A3" s="129"/>
      <c r="F3" s="159"/>
      <c r="L3" s="159" t="s">
        <v>19</v>
      </c>
    </row>
    <row r="4" spans="1:12" x14ac:dyDescent="0.25">
      <c r="A4" s="132"/>
      <c r="B4" s="160" t="s">
        <v>17</v>
      </c>
      <c r="C4" s="132"/>
      <c r="D4" s="132"/>
      <c r="E4" s="132"/>
      <c r="F4" s="161"/>
      <c r="H4" s="160" t="s">
        <v>18</v>
      </c>
      <c r="I4" s="132"/>
      <c r="J4" s="132"/>
      <c r="K4" s="132"/>
      <c r="L4" s="132"/>
    </row>
    <row r="5" spans="1:12" x14ac:dyDescent="0.25">
      <c r="A5" s="124"/>
      <c r="B5" s="162">
        <v>2008</v>
      </c>
      <c r="C5" s="162">
        <v>2010</v>
      </c>
      <c r="D5" s="162">
        <v>2012</v>
      </c>
      <c r="E5" s="162">
        <v>2015</v>
      </c>
      <c r="F5" s="162">
        <v>2020</v>
      </c>
      <c r="H5" s="163" t="str">
        <f>CONCATENATE(B$5,"-",C$5)</f>
        <v>2008-2010</v>
      </c>
      <c r="I5" s="163" t="str">
        <f>CONCATENATE(B$5,"-",D$5)</f>
        <v>2008-2012</v>
      </c>
      <c r="J5" s="163" t="str">
        <f>CONCATENATE(D$5,"-",E$5)</f>
        <v>2012-2015</v>
      </c>
      <c r="K5" s="163" t="str">
        <f>CONCATENATE(E$5,"-",F$5)</f>
        <v>2015-2020</v>
      </c>
      <c r="L5" s="163" t="str">
        <f>CONCATENATE(D$5,"-",F$5)</f>
        <v>2012-2020</v>
      </c>
    </row>
    <row r="7" spans="1:12" s="164" customFormat="1" x14ac:dyDescent="0.25">
      <c r="A7" s="164" t="str">
        <f>name!F4</f>
        <v>RQF8 Doctorate</v>
      </c>
      <c r="B7" s="165">
        <v>71325.851049592791</v>
      </c>
      <c r="C7" s="165">
        <v>67875.205285452204</v>
      </c>
      <c r="D7" s="165">
        <v>65953.088065984106</v>
      </c>
      <c r="E7" s="165">
        <v>63161.5699830265</v>
      </c>
      <c r="F7" s="165">
        <v>59517.030027737295</v>
      </c>
      <c r="H7" s="165">
        <f>C7-B7</f>
        <v>-3450.6457641405868</v>
      </c>
      <c r="I7" s="165">
        <f>D7-B7</f>
        <v>-5372.7629836086853</v>
      </c>
      <c r="J7" s="165">
        <f>E7-D7</f>
        <v>-2791.5180829576057</v>
      </c>
      <c r="K7" s="165">
        <f>F7-E7</f>
        <v>-3644.539955289205</v>
      </c>
      <c r="L7" s="165">
        <f>F7-D7</f>
        <v>-6436.0580382468106</v>
      </c>
    </row>
    <row r="8" spans="1:12" s="168" customFormat="1" x14ac:dyDescent="0.25">
      <c r="A8" s="168" t="str">
        <f>name!J4</f>
        <v>SE</v>
      </c>
      <c r="B8" s="169">
        <v>21828.171692536111</v>
      </c>
      <c r="C8" s="169">
        <v>20792.172573048945</v>
      </c>
      <c r="D8" s="169">
        <v>20234.216118009812</v>
      </c>
      <c r="E8" s="169">
        <v>19430.497541178578</v>
      </c>
      <c r="F8" s="169">
        <v>18413.968008235337</v>
      </c>
      <c r="H8" s="169">
        <f>C8-B8</f>
        <v>-1035.9991194871654</v>
      </c>
      <c r="I8" s="169">
        <f>D8-B8</f>
        <v>-1593.9555745262987</v>
      </c>
      <c r="J8" s="169">
        <f t="shared" ref="J8:K10" si="0">E8-D8</f>
        <v>-803.7185768312338</v>
      </c>
      <c r="K8" s="169">
        <f t="shared" si="0"/>
        <v>-1016.5295329432411</v>
      </c>
      <c r="L8" s="169">
        <f>F8-D8</f>
        <v>-1820.2481097744749</v>
      </c>
    </row>
    <row r="9" spans="1:12" s="168" customFormat="1" x14ac:dyDescent="0.25">
      <c r="A9" s="168" t="str">
        <f>name!J5</f>
        <v>FT</v>
      </c>
      <c r="B9" s="169">
        <v>49497.679357056688</v>
      </c>
      <c r="C9" s="169">
        <v>47083.032712403263</v>
      </c>
      <c r="D9" s="169">
        <v>45718.871947974287</v>
      </c>
      <c r="E9" s="169">
        <v>43731.072441847915</v>
      </c>
      <c r="F9" s="169">
        <v>41103.062019501958</v>
      </c>
      <c r="H9" s="169">
        <f>C9-B9</f>
        <v>-2414.646644653425</v>
      </c>
      <c r="I9" s="169">
        <f>D9-B9</f>
        <v>-3778.8074090824011</v>
      </c>
      <c r="J9" s="169">
        <f t="shared" si="0"/>
        <v>-1987.7995061263719</v>
      </c>
      <c r="K9" s="169">
        <f t="shared" si="0"/>
        <v>-2628.0104223459566</v>
      </c>
      <c r="L9" s="169">
        <f>F9-D9</f>
        <v>-4615.8099284723285</v>
      </c>
    </row>
    <row r="10" spans="1:12" s="168" customFormat="1" x14ac:dyDescent="0.25">
      <c r="A10" s="168" t="str">
        <f>name!J6</f>
        <v>PT</v>
      </c>
      <c r="B10" s="169">
        <v>0</v>
      </c>
      <c r="C10" s="169">
        <v>0</v>
      </c>
      <c r="D10" s="169">
        <v>0</v>
      </c>
      <c r="E10" s="169">
        <v>0</v>
      </c>
      <c r="F10" s="169">
        <v>0</v>
      </c>
      <c r="H10" s="169">
        <f>C10-B10</f>
        <v>0</v>
      </c>
      <c r="I10" s="169">
        <f>D10-B10</f>
        <v>0</v>
      </c>
      <c r="J10" s="169">
        <f t="shared" si="0"/>
        <v>0</v>
      </c>
      <c r="K10" s="169">
        <f t="shared" si="0"/>
        <v>0</v>
      </c>
      <c r="L10" s="169">
        <f>F10-D10</f>
        <v>0</v>
      </c>
    </row>
    <row r="11" spans="1:12" s="168" customFormat="1" x14ac:dyDescent="0.25">
      <c r="H11" s="169"/>
      <c r="I11" s="169"/>
      <c r="J11" s="169"/>
      <c r="K11" s="169"/>
      <c r="L11" s="169"/>
    </row>
    <row r="12" spans="1:12" s="164" customFormat="1" x14ac:dyDescent="0.25">
      <c r="A12" s="164" t="str">
        <f>name!F5</f>
        <v>RQF7 Other higher degree</v>
      </c>
      <c r="B12" s="165">
        <v>117603.36216609999</v>
      </c>
      <c r="C12" s="165">
        <v>115939.95604983499</v>
      </c>
      <c r="D12" s="165">
        <v>117782.27837055401</v>
      </c>
      <c r="E12" s="165">
        <v>118889.39584623399</v>
      </c>
      <c r="F12" s="165">
        <v>120707.41471465</v>
      </c>
      <c r="H12" s="165">
        <f>C12-B12</f>
        <v>-1663.4061162650032</v>
      </c>
      <c r="I12" s="165">
        <f>D12-B12</f>
        <v>178.9162044540135</v>
      </c>
      <c r="J12" s="165">
        <f t="shared" ref="J12:K14" si="1">E12-D12</f>
        <v>1107.1174756799883</v>
      </c>
      <c r="K12" s="165">
        <f t="shared" si="1"/>
        <v>1818.0188684160094</v>
      </c>
      <c r="L12" s="165">
        <f>F12-D12</f>
        <v>2925.1363440959976</v>
      </c>
    </row>
    <row r="13" spans="1:12" s="168" customFormat="1" x14ac:dyDescent="0.25">
      <c r="A13" s="168">
        <f>name!J7</f>
        <v>0</v>
      </c>
      <c r="B13" s="169">
        <v>85684.696366442135</v>
      </c>
      <c r="C13" s="169">
        <v>84496.661838978005</v>
      </c>
      <c r="D13" s="169">
        <v>85862.536135946357</v>
      </c>
      <c r="E13" s="169">
        <v>86649.544796460745</v>
      </c>
      <c r="F13" s="169">
        <v>87931.502704386687</v>
      </c>
      <c r="H13" s="169">
        <f>C13-B13</f>
        <v>-1188.0345274641295</v>
      </c>
      <c r="I13" s="169">
        <f>D13-B13</f>
        <v>177.8397695042222</v>
      </c>
      <c r="J13" s="169">
        <f t="shared" si="1"/>
        <v>787.00866051438788</v>
      </c>
      <c r="K13" s="169">
        <f t="shared" si="1"/>
        <v>1281.957907925942</v>
      </c>
      <c r="L13" s="169">
        <f>F13-D13</f>
        <v>2068.9665684403299</v>
      </c>
    </row>
    <row r="14" spans="1:12" s="168" customFormat="1" x14ac:dyDescent="0.25">
      <c r="A14" s="168">
        <f>name!J8</f>
        <v>0</v>
      </c>
      <c r="B14" s="169">
        <v>31918.665799657861</v>
      </c>
      <c r="C14" s="169">
        <v>31443.29421085698</v>
      </c>
      <c r="D14" s="169">
        <v>31919.742234607653</v>
      </c>
      <c r="E14" s="169">
        <v>32239.851049773246</v>
      </c>
      <c r="F14" s="169">
        <v>32775.912010263324</v>
      </c>
      <c r="H14" s="169">
        <f>C14-B14</f>
        <v>-475.371588800881</v>
      </c>
      <c r="I14" s="169">
        <f>D14-B14</f>
        <v>1.0764349497912917</v>
      </c>
      <c r="J14" s="169">
        <f t="shared" si="1"/>
        <v>320.10881516559311</v>
      </c>
      <c r="K14" s="169">
        <f t="shared" si="1"/>
        <v>536.06096049007829</v>
      </c>
      <c r="L14" s="169">
        <f>F14-D14</f>
        <v>856.1697756556714</v>
      </c>
    </row>
    <row r="15" spans="1:12" s="168" customFormat="1" x14ac:dyDescent="0.25">
      <c r="H15" s="169"/>
      <c r="I15" s="169"/>
      <c r="J15" s="169"/>
      <c r="K15" s="169"/>
      <c r="L15" s="169"/>
    </row>
    <row r="16" spans="1:12" s="164" customFormat="1" x14ac:dyDescent="0.25">
      <c r="A16" s="164" t="str">
        <f>name!F6</f>
        <v>RQF6 First degree</v>
      </c>
      <c r="B16" s="165">
        <v>10699.858351711669</v>
      </c>
      <c r="C16" s="165">
        <v>10970.73916072664</v>
      </c>
      <c r="D16" s="165">
        <v>11301.540359819686</v>
      </c>
      <c r="E16" s="165">
        <v>11603.888290360199</v>
      </c>
      <c r="F16" s="165">
        <v>11675.073262162417</v>
      </c>
      <c r="H16" s="165">
        <f>C16-B16</f>
        <v>270.88080901497051</v>
      </c>
      <c r="I16" s="165">
        <f>D16-B16</f>
        <v>601.68200810801682</v>
      </c>
      <c r="J16" s="165">
        <f t="shared" ref="J16:K18" si="2">E16-D16</f>
        <v>302.34793054051261</v>
      </c>
      <c r="K16" s="165">
        <f t="shared" si="2"/>
        <v>71.18497180221857</v>
      </c>
      <c r="L16" s="165">
        <f>F16-D16</f>
        <v>373.53290234273118</v>
      </c>
    </row>
    <row r="17" spans="1:12" s="168" customFormat="1" x14ac:dyDescent="0.25">
      <c r="A17" s="168">
        <f>name!J9</f>
        <v>0</v>
      </c>
      <c r="B17" s="169">
        <v>8525.1872183076739</v>
      </c>
      <c r="C17" s="169">
        <v>8709.9422108052859</v>
      </c>
      <c r="D17" s="169">
        <v>8966.579956519352</v>
      </c>
      <c r="E17" s="169">
        <v>9198.0093388787081</v>
      </c>
      <c r="F17" s="169">
        <v>9243.5195858644965</v>
      </c>
      <c r="H17" s="169">
        <f>C17-B17</f>
        <v>184.75499249761197</v>
      </c>
      <c r="I17" s="169">
        <f>D17-B17</f>
        <v>441.39273821167808</v>
      </c>
      <c r="J17" s="169">
        <f t="shared" si="2"/>
        <v>231.42938235935617</v>
      </c>
      <c r="K17" s="169">
        <f t="shared" si="2"/>
        <v>45.510246985788399</v>
      </c>
      <c r="L17" s="169">
        <f>F17-D17</f>
        <v>276.93962934514457</v>
      </c>
    </row>
    <row r="18" spans="1:12" s="168" customFormat="1" x14ac:dyDescent="0.25">
      <c r="A18" s="168">
        <f>name!J10</f>
        <v>0</v>
      </c>
      <c r="B18" s="169">
        <v>2174.6711334039956</v>
      </c>
      <c r="C18" s="169">
        <v>2260.7969499213555</v>
      </c>
      <c r="D18" s="169">
        <v>2334.9604033003338</v>
      </c>
      <c r="E18" s="169">
        <v>2405.8789514814907</v>
      </c>
      <c r="F18" s="169">
        <v>2431.5536762979191</v>
      </c>
      <c r="H18" s="169">
        <f>C18-B18</f>
        <v>86.125816517359908</v>
      </c>
      <c r="I18" s="169">
        <f>D18-B18</f>
        <v>160.28926989633828</v>
      </c>
      <c r="J18" s="169">
        <f t="shared" si="2"/>
        <v>70.918548181156893</v>
      </c>
      <c r="K18" s="169">
        <f t="shared" si="2"/>
        <v>25.674724816428352</v>
      </c>
      <c r="L18" s="169">
        <f>F18-D18</f>
        <v>96.593272997585245</v>
      </c>
    </row>
    <row r="19" spans="1:12" s="168" customFormat="1" x14ac:dyDescent="0.25">
      <c r="H19" s="169"/>
      <c r="I19" s="169"/>
      <c r="J19" s="169"/>
      <c r="K19" s="169"/>
      <c r="L19" s="169"/>
    </row>
    <row r="20" spans="1:12" s="168" customFormat="1" x14ac:dyDescent="0.25">
      <c r="A20" s="126" t="str">
        <f>name!J3</f>
        <v>EE</v>
      </c>
      <c r="B20" s="166">
        <v>199629.07156740446</v>
      </c>
      <c r="C20" s="166">
        <v>194785.90049601384</v>
      </c>
      <c r="D20" s="166">
        <v>195036.90679635777</v>
      </c>
      <c r="E20" s="166">
        <v>193654.85411962072</v>
      </c>
      <c r="F20" s="166">
        <v>191899.51800454973</v>
      </c>
      <c r="H20" s="166">
        <f>C20-B20</f>
        <v>-4843.1710713906214</v>
      </c>
      <c r="I20" s="166">
        <f>D20-B20</f>
        <v>-4592.1647710466932</v>
      </c>
      <c r="J20" s="166">
        <f>E20-D20</f>
        <v>-1382.0526767370466</v>
      </c>
      <c r="K20" s="166">
        <f>F20-E20</f>
        <v>-1755.336115070997</v>
      </c>
      <c r="L20" s="166">
        <f>F20-D20</f>
        <v>-3137.3887918080436</v>
      </c>
    </row>
    <row r="23" spans="1:12" x14ac:dyDescent="0.25">
      <c r="A23" s="123" t="str">
        <f>CONCATENATE("Note: For ",Info!$A$1," there is no European LFS data for some of the ISCED Qualifications.")</f>
        <v>Note: For Country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CS100"/>
  <sheetViews>
    <sheetView showGridLines="0" zoomScale="85" zoomScaleNormal="85" zoomScaleSheetLayoutView="85" workbookViewId="0"/>
  </sheetViews>
  <sheetFormatPr defaultColWidth="9.109375" defaultRowHeight="13.2" x14ac:dyDescent="0.25"/>
  <cols>
    <col min="1" max="1" width="50.6640625" style="191" customWidth="1"/>
    <col min="2" max="2" width="13" style="191" customWidth="1"/>
    <col min="3" max="3" width="10.109375" style="191" customWidth="1"/>
    <col min="4" max="4" width="3.6640625" style="191" customWidth="1"/>
    <col min="5" max="6" width="10.109375" style="191" customWidth="1"/>
    <col min="7" max="7" width="3.6640625" style="191" customWidth="1"/>
    <col min="8" max="9" width="10.109375" style="191" customWidth="1"/>
    <col min="10" max="10" width="3.6640625" style="191" customWidth="1"/>
    <col min="11" max="12" width="10.109375" style="191" customWidth="1"/>
    <col min="13" max="13" width="3.6640625" style="191" customWidth="1"/>
    <col min="14" max="15" width="10.109375" style="191" customWidth="1"/>
    <col min="16" max="16" width="3.6640625" style="191" customWidth="1"/>
    <col min="17" max="18" width="10.109375" style="191" customWidth="1"/>
    <col min="19" max="19" width="9.109375" style="178"/>
    <col min="20" max="20" width="16.6640625" style="178" customWidth="1"/>
    <col min="21" max="21" width="9.109375" style="178"/>
    <col min="22" max="22" width="8.88671875" style="178" customWidth="1"/>
    <col min="23" max="41" width="9.109375" style="178"/>
    <col min="42" max="46" width="9.109375" style="187" customWidth="1"/>
    <col min="47" max="49" width="9.109375" style="178"/>
    <col min="50" max="50" width="9.109375" style="178" customWidth="1"/>
    <col min="51" max="16384" width="9.109375" style="178"/>
  </cols>
  <sheetData>
    <row r="1" spans="1:97" ht="18.75" customHeight="1" x14ac:dyDescent="0.3">
      <c r="A1" s="398" t="str">
        <f>CONCATENATE("ShiftShare Table 1  Shift-share by occupation, ",I4)</f>
        <v>ShiftShare Table 1  Shift-share by occupation, 2007-2017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W1" s="301" t="str">
        <f>CONCATENATE("Shift-share Figure 1: Levels of Employment, ",C4," - ",F39)</f>
        <v>Shift-share Figure 1: Levels of Employment, 2007 - 2027</v>
      </c>
      <c r="AK1" s="301" t="str">
        <f>CONCATENATE("Shift-share Figure 1.1: Net Changes, ",C4,"-",F39)</f>
        <v>Shift-share Figure 1.1: Net Changes, 2007-2027</v>
      </c>
    </row>
    <row r="2" spans="1:97" ht="18.75" customHeight="1" x14ac:dyDescent="0.3">
      <c r="A2" s="398"/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W2" s="301"/>
      <c r="AK2" s="301"/>
    </row>
    <row r="3" spans="1:97" x14ac:dyDescent="0.25">
      <c r="A3" s="199"/>
      <c r="B3" s="397"/>
      <c r="C3" s="397"/>
      <c r="D3" s="397"/>
      <c r="E3" s="397"/>
      <c r="F3" s="397"/>
      <c r="G3" s="397"/>
      <c r="H3" s="397"/>
      <c r="I3" s="397"/>
      <c r="J3" s="397"/>
      <c r="K3" s="521" t="s">
        <v>53</v>
      </c>
      <c r="L3" s="521"/>
      <c r="M3" s="521"/>
      <c r="N3" s="521"/>
      <c r="O3" s="521"/>
      <c r="P3" s="521"/>
      <c r="Q3" s="521"/>
      <c r="R3" s="521"/>
      <c r="AT3" s="188"/>
      <c r="AU3" s="173"/>
      <c r="AW3" s="188"/>
      <c r="AX3" s="187"/>
      <c r="AY3" s="189"/>
      <c r="AZ3" s="173"/>
      <c r="BA3" s="173"/>
      <c r="BB3" s="173"/>
      <c r="BC3" s="173"/>
      <c r="BD3" s="173"/>
      <c r="BE3" s="173"/>
      <c r="BF3" s="173"/>
      <c r="BG3" s="173"/>
      <c r="BH3" s="173"/>
      <c r="BI3" s="173"/>
      <c r="BJ3" s="173"/>
      <c r="BK3" s="173"/>
      <c r="BL3" s="173"/>
      <c r="BM3" s="173"/>
      <c r="BN3" s="173"/>
      <c r="BO3" s="173"/>
      <c r="BP3" s="173"/>
      <c r="BQ3" s="173"/>
      <c r="BR3" s="173"/>
      <c r="BS3" s="173"/>
      <c r="BT3" s="173"/>
      <c r="BU3" s="173"/>
      <c r="BV3" s="173"/>
      <c r="BW3" s="173"/>
      <c r="BX3" s="173"/>
      <c r="BY3" s="173"/>
      <c r="BZ3" s="173"/>
      <c r="CA3" s="173"/>
      <c r="CB3" s="173"/>
      <c r="CC3" s="173"/>
      <c r="CD3" s="173"/>
      <c r="CE3" s="173"/>
      <c r="CF3" s="173"/>
      <c r="CG3" s="173"/>
      <c r="CH3" s="173"/>
      <c r="CI3" s="173"/>
      <c r="CJ3" s="173"/>
      <c r="CK3" s="173"/>
      <c r="CL3" s="173"/>
      <c r="CM3" s="173"/>
      <c r="CN3" s="173"/>
      <c r="CO3" s="173"/>
      <c r="CP3" s="173"/>
      <c r="CQ3" s="173"/>
      <c r="CR3" s="173"/>
      <c r="CS3" s="173"/>
    </row>
    <row r="4" spans="1:97" x14ac:dyDescent="0.25">
      <c r="A4" s="200"/>
      <c r="B4" s="390" t="s">
        <v>54</v>
      </c>
      <c r="C4" s="391">
        <v>2007</v>
      </c>
      <c r="D4" s="195"/>
      <c r="E4" s="390" t="s">
        <v>55</v>
      </c>
      <c r="F4" s="391">
        <v>2017</v>
      </c>
      <c r="G4" s="195"/>
      <c r="H4" s="390" t="s">
        <v>18</v>
      </c>
      <c r="I4" s="390" t="str">
        <f>CONCATENATE(C4,"-",F4)</f>
        <v>2007-2017</v>
      </c>
      <c r="J4" s="195"/>
      <c r="K4" s="522" t="s">
        <v>56</v>
      </c>
      <c r="L4" s="522"/>
      <c r="M4" s="195"/>
      <c r="N4" s="522" t="s">
        <v>57</v>
      </c>
      <c r="O4" s="522"/>
      <c r="P4" s="195"/>
      <c r="Q4" s="522" t="s">
        <v>58</v>
      </c>
      <c r="R4" s="522"/>
      <c r="AW4" s="187"/>
      <c r="AX4" s="187"/>
      <c r="AY4" s="189"/>
    </row>
    <row r="5" spans="1:97" x14ac:dyDescent="0.25">
      <c r="A5" s="196" t="s">
        <v>59</v>
      </c>
      <c r="B5" s="392" t="s">
        <v>60</v>
      </c>
      <c r="C5" s="392" t="s">
        <v>61</v>
      </c>
      <c r="D5" s="195"/>
      <c r="E5" s="392" t="str">
        <f>B5</f>
        <v>000s</v>
      </c>
      <c r="F5" s="392" t="str">
        <f>C5</f>
        <v>% share</v>
      </c>
      <c r="G5" s="195"/>
      <c r="H5" s="392" t="str">
        <f>E5</f>
        <v>000s</v>
      </c>
      <c r="I5" s="392" t="s">
        <v>62</v>
      </c>
      <c r="J5" s="195"/>
      <c r="K5" s="392" t="str">
        <f>H5</f>
        <v>000s</v>
      </c>
      <c r="L5" s="392" t="str">
        <f>I5</f>
        <v xml:space="preserve">%   </v>
      </c>
      <c r="M5" s="195"/>
      <c r="N5" s="392" t="str">
        <f>K5</f>
        <v>000s</v>
      </c>
      <c r="O5" s="392" t="str">
        <f>L5</f>
        <v xml:space="preserve">%   </v>
      </c>
      <c r="P5" s="195"/>
      <c r="Q5" s="392" t="str">
        <f>N5</f>
        <v>000s</v>
      </c>
      <c r="R5" s="392" t="str">
        <f>O5</f>
        <v xml:space="preserve">%   </v>
      </c>
      <c r="Z5" s="189" t="e">
        <f>"Levels of Employment, "&amp;#REF!&amp;"-"&amp;#REF!</f>
        <v>#REF!</v>
      </c>
      <c r="AM5" s="178" t="e">
        <f>"Net Changes, "&amp;#REF!&amp;"-"&amp;#REF!</f>
        <v>#REF!</v>
      </c>
      <c r="AV5" s="187"/>
      <c r="AW5" s="187"/>
      <c r="AX5" s="187"/>
    </row>
    <row r="6" spans="1:97" x14ac:dyDescent="0.25">
      <c r="A6" s="196"/>
      <c r="B6" s="390"/>
      <c r="C6" s="390"/>
      <c r="D6" s="195"/>
      <c r="E6" s="390"/>
      <c r="F6" s="390"/>
      <c r="G6" s="195"/>
      <c r="H6" s="390"/>
      <c r="I6" s="390"/>
      <c r="J6" s="195"/>
      <c r="K6" s="390"/>
      <c r="L6" s="390"/>
      <c r="M6" s="195"/>
      <c r="N6" s="390"/>
      <c r="O6" s="390"/>
      <c r="P6" s="195"/>
      <c r="Q6" s="390"/>
      <c r="R6" s="390"/>
      <c r="T6" s="186"/>
      <c r="AV6" s="187"/>
      <c r="AW6" s="187"/>
      <c r="AX6" s="187"/>
      <c r="AY6" s="189"/>
    </row>
    <row r="7" spans="1:97" x14ac:dyDescent="0.25">
      <c r="A7" s="400"/>
      <c r="B7" s="390"/>
      <c r="C7" s="390"/>
      <c r="D7" s="397"/>
      <c r="E7" s="390"/>
      <c r="F7" s="390"/>
      <c r="G7" s="397"/>
      <c r="H7" s="390"/>
      <c r="I7" s="390"/>
      <c r="J7" s="397"/>
      <c r="K7" s="390"/>
      <c r="L7" s="390"/>
      <c r="M7" s="397"/>
      <c r="N7" s="390"/>
      <c r="O7" s="390"/>
      <c r="P7" s="397"/>
      <c r="Q7" s="390"/>
      <c r="R7" s="390"/>
      <c r="T7" s="186"/>
      <c r="AV7" s="187"/>
      <c r="AW7" s="187"/>
      <c r="AX7" s="187"/>
      <c r="AY7" s="189"/>
    </row>
    <row r="8" spans="1:97" x14ac:dyDescent="0.25">
      <c r="A8" s="393" t="str">
        <f>name!$D4</f>
        <v xml:space="preserve"> 11 Corporate managers and directors</v>
      </c>
      <c r="B8" s="209">
        <v>1959.860057608056</v>
      </c>
      <c r="C8" s="192">
        <f>B8/B$34*100</f>
        <v>6.1650192703891236</v>
      </c>
      <c r="D8" s="200"/>
      <c r="E8" s="209">
        <v>2526.0004771128533</v>
      </c>
      <c r="F8" s="192">
        <f t="shared" ref="F8:F32" si="0">E8/E$34*100</f>
        <v>7.24862562271265</v>
      </c>
      <c r="G8" s="200"/>
      <c r="H8" s="209">
        <f>E8-B8</f>
        <v>566.14041950479736</v>
      </c>
      <c r="I8" s="192">
        <f>IF(B8&lt;&gt;0,((E8/B8)-1)*100,0)</f>
        <v>28.886777773090234</v>
      </c>
      <c r="J8" s="200"/>
      <c r="K8" s="399">
        <f>(($E$34/$B$34)-1)*B8</f>
        <v>188.52536453560319</v>
      </c>
      <c r="L8" s="192">
        <f>IF(B8&lt;&gt;0,K8/B8*100,0)</f>
        <v>9.6193278598519996</v>
      </c>
      <c r="M8" s="200"/>
      <c r="N8" s="209">
        <f>H8-(K8+Q8)</f>
        <v>416.05121417491114</v>
      </c>
      <c r="O8" s="192">
        <f>IF(B8&lt;&gt;0,N8/B8*100,0)</f>
        <v>21.228618469968097</v>
      </c>
      <c r="P8" s="200"/>
      <c r="Q8" s="209">
        <v>-38.436159205716969</v>
      </c>
      <c r="R8" s="192">
        <f>IF(B8&lt;&gt;0,Q8/B8*100,0)</f>
        <v>-1.9611685567298629</v>
      </c>
      <c r="AT8" s="187" t="e">
        <f ca="1">CONCATENATE("C:",INT(CELL("col",#REF!))," R:",INT(CELL("row",#REF!)))</f>
        <v>#REF!</v>
      </c>
    </row>
    <row r="9" spans="1:97" x14ac:dyDescent="0.25">
      <c r="A9" s="393" t="str">
        <f>name!$D5</f>
        <v xml:space="preserve"> 12 Other managers and proprietors</v>
      </c>
      <c r="B9" s="209">
        <v>815.81216696843285</v>
      </c>
      <c r="C9" s="192">
        <f t="shared" ref="C9:C34" si="1">B9/B$34*100</f>
        <v>2.5662534989955521</v>
      </c>
      <c r="D9" s="200"/>
      <c r="E9" s="209">
        <v>1040.4238796553416</v>
      </c>
      <c r="F9" s="192">
        <f>E9/E$34*100</f>
        <v>2.9856064006653296</v>
      </c>
      <c r="G9" s="200"/>
      <c r="H9" s="211">
        <f t="shared" ref="H9:H34" si="2">E9-B9</f>
        <v>224.61171268690873</v>
      </c>
      <c r="I9" s="192">
        <f t="shared" ref="I9:I34" si="3">IF(B9&lt;&gt;0,((E9/B9)-1)*100,0)</f>
        <v>27.532282770624562</v>
      </c>
      <c r="J9" s="200"/>
      <c r="K9" s="305">
        <f t="shared" ref="K9:K32" si="4">(($E$34/$B$34)-1)*B9</f>
        <v>78.47564706125678</v>
      </c>
      <c r="L9" s="192">
        <f t="shared" ref="L9:L32" si="5">IF(B9&lt;&gt;0,K9/B9*100,0)</f>
        <v>9.6193278598519996</v>
      </c>
      <c r="M9" s="200"/>
      <c r="N9" s="211">
        <f t="shared" ref="N9:N31" si="6">H9-(K9+Q9)</f>
        <v>129.38372596081314</v>
      </c>
      <c r="O9" s="192">
        <f>IF(B9&lt;&gt;0,N9/B9*100,0)</f>
        <v>15.859499428845798</v>
      </c>
      <c r="P9" s="200"/>
      <c r="Q9" s="209">
        <v>16.752339664838818</v>
      </c>
      <c r="R9" s="192">
        <f>IF(B9&lt;&gt;0,Q9/B9*100,0)</f>
        <v>2.0534554819267652</v>
      </c>
      <c r="T9" s="186"/>
    </row>
    <row r="10" spans="1:97" x14ac:dyDescent="0.25">
      <c r="A10" s="393" t="str">
        <f>name!$D6</f>
        <v xml:space="preserve"> 21 Science, research, engineering and technology professionals</v>
      </c>
      <c r="B10" s="209">
        <v>1309.0639248560215</v>
      </c>
      <c r="C10" s="192">
        <f t="shared" si="1"/>
        <v>4.1178472368880525</v>
      </c>
      <c r="D10" s="200"/>
      <c r="E10" s="209">
        <v>1754.043337473742</v>
      </c>
      <c r="F10" s="192">
        <f t="shared" si="0"/>
        <v>5.0334129366011764</v>
      </c>
      <c r="G10" s="200"/>
      <c r="H10" s="211">
        <f t="shared" si="2"/>
        <v>444.97941261772053</v>
      </c>
      <c r="I10" s="192">
        <f t="shared" si="3"/>
        <v>33.992183587723716</v>
      </c>
      <c r="J10" s="200"/>
      <c r="K10" s="305">
        <f t="shared" si="4"/>
        <v>125.92315082694734</v>
      </c>
      <c r="L10" s="192">
        <f t="shared" si="5"/>
        <v>9.6193278598519996</v>
      </c>
      <c r="M10" s="200"/>
      <c r="N10" s="211">
        <f t="shared" si="6"/>
        <v>294.34568281853342</v>
      </c>
      <c r="O10" s="192">
        <f t="shared" ref="O10:O32" si="7">IF(B10&lt;&gt;0,N10/B10*100,0)</f>
        <v>22.4852031462793</v>
      </c>
      <c r="P10" s="200"/>
      <c r="Q10" s="209">
        <v>24.710578972239741</v>
      </c>
      <c r="R10" s="192">
        <f t="shared" ref="R10:R32" si="8">IF(B10&lt;&gt;0,Q10/B10*100,0)</f>
        <v>1.8876525815924199</v>
      </c>
      <c r="AT10" s="187" t="e">
        <f ca="1">CONCATENATE("C:",INT(CELL("col",#REF!))," R:",INT(CELL("row",#REF!)))</f>
        <v>#REF!</v>
      </c>
    </row>
    <row r="11" spans="1:97" x14ac:dyDescent="0.25">
      <c r="A11" s="393" t="str">
        <f>name!$D7</f>
        <v xml:space="preserve"> 22 Health professionals</v>
      </c>
      <c r="B11" s="209">
        <v>1233.7012301866905</v>
      </c>
      <c r="C11" s="192">
        <f t="shared" si="1"/>
        <v>3.8807831347337784</v>
      </c>
      <c r="D11" s="200"/>
      <c r="E11" s="209">
        <v>1543.0008922696509</v>
      </c>
      <c r="F11" s="192">
        <f t="shared" si="0"/>
        <v>4.4278043115644987</v>
      </c>
      <c r="G11" s="200"/>
      <c r="H11" s="211">
        <f>E11-B11</f>
        <v>309.29966208296037</v>
      </c>
      <c r="I11" s="192">
        <f>IF(B11&lt;&gt;0,((E11/B11)-1)*100,0)</f>
        <v>25.070872470164886</v>
      </c>
      <c r="J11" s="200"/>
      <c r="K11" s="305">
        <f t="shared" si="4"/>
        <v>118.67376614268518</v>
      </c>
      <c r="L11" s="192">
        <f t="shared" si="5"/>
        <v>9.6193278598519996</v>
      </c>
      <c r="M11" s="200"/>
      <c r="N11" s="211">
        <f t="shared" si="6"/>
        <v>105.51303294942551</v>
      </c>
      <c r="O11" s="192">
        <f t="shared" si="7"/>
        <v>8.552559596091081</v>
      </c>
      <c r="P11" s="200"/>
      <c r="Q11" s="209">
        <v>85.112862990849692</v>
      </c>
      <c r="R11" s="192">
        <f>IF(B11&lt;&gt;0,Q11/B11*100,0)</f>
        <v>6.8989850142217941</v>
      </c>
      <c r="T11" s="186"/>
    </row>
    <row r="12" spans="1:97" x14ac:dyDescent="0.25">
      <c r="A12" s="393" t="str">
        <f>name!$D8</f>
        <v xml:space="preserve"> 23 Teaching and educational professionals</v>
      </c>
      <c r="B12" s="209">
        <v>1418.9773616722084</v>
      </c>
      <c r="C12" s="192">
        <f t="shared" si="1"/>
        <v>4.4635956251038413</v>
      </c>
      <c r="D12" s="200"/>
      <c r="E12" s="209">
        <v>1720.7393221292084</v>
      </c>
      <c r="F12" s="192">
        <f t="shared" si="0"/>
        <v>4.93784354096847</v>
      </c>
      <c r="G12" s="200"/>
      <c r="H12" s="211">
        <f t="shared" si="2"/>
        <v>301.76196045699999</v>
      </c>
      <c r="I12" s="192">
        <f t="shared" si="3"/>
        <v>21.266157488332695</v>
      </c>
      <c r="J12" s="200"/>
      <c r="K12" s="305">
        <f t="shared" si="4"/>
        <v>136.49608467632763</v>
      </c>
      <c r="L12" s="192">
        <f t="shared" si="5"/>
        <v>9.6193278598519996</v>
      </c>
      <c r="M12" s="200"/>
      <c r="N12" s="211">
        <f t="shared" si="6"/>
        <v>136.7303076277577</v>
      </c>
      <c r="O12" s="192">
        <f t="shared" si="7"/>
        <v>9.635834321319015</v>
      </c>
      <c r="P12" s="200"/>
      <c r="Q12" s="209">
        <v>28.535568152914667</v>
      </c>
      <c r="R12" s="192">
        <f t="shared" si="8"/>
        <v>2.0109953071616755</v>
      </c>
      <c r="AT12" s="187" t="e">
        <f ca="1">CONCATENATE("C:",INT(CELL("col",#REF!))," R:",INT(CELL("row",#REF!)))</f>
        <v>#REF!</v>
      </c>
    </row>
    <row r="13" spans="1:97" x14ac:dyDescent="0.25">
      <c r="A13" s="393" t="str">
        <f>name!$D9</f>
        <v xml:space="preserve"> 24 Business, media and public service professionals</v>
      </c>
      <c r="B13" s="209">
        <v>1464.3092269073152</v>
      </c>
      <c r="C13" s="192">
        <f t="shared" si="1"/>
        <v>4.6061934711348496</v>
      </c>
      <c r="D13" s="200"/>
      <c r="E13" s="209">
        <v>1855.7082866915723</v>
      </c>
      <c r="F13" s="192">
        <f t="shared" si="0"/>
        <v>5.3251512646455303</v>
      </c>
      <c r="G13" s="200"/>
      <c r="H13" s="211">
        <f t="shared" si="2"/>
        <v>391.39905978425713</v>
      </c>
      <c r="I13" s="192">
        <f t="shared" si="3"/>
        <v>26.729262685239586</v>
      </c>
      <c r="J13" s="200"/>
      <c r="K13" s="305">
        <f>(($E$34/$B$34)-1)*B13</f>
        <v>140.85670541827881</v>
      </c>
      <c r="L13" s="192">
        <f t="shared" si="5"/>
        <v>9.6193278598519996</v>
      </c>
      <c r="M13" s="200"/>
      <c r="N13" s="211">
        <f>H13-(K13+Q13)</f>
        <v>172.18368015268845</v>
      </c>
      <c r="O13" s="192">
        <f>IF(B13&lt;&gt;0,N13/B13*100,0)</f>
        <v>11.758696659745011</v>
      </c>
      <c r="P13" s="200"/>
      <c r="Q13" s="209">
        <v>78.358674213289859</v>
      </c>
      <c r="R13" s="192">
        <f t="shared" si="8"/>
        <v>5.3512381656425658</v>
      </c>
      <c r="T13" s="186"/>
    </row>
    <row r="14" spans="1:97" x14ac:dyDescent="0.25">
      <c r="A14" s="393" t="str">
        <f>name!$D10</f>
        <v xml:space="preserve"> 31 Science, engineering and technology associate professionals</v>
      </c>
      <c r="B14" s="209">
        <v>609.64387238354675</v>
      </c>
      <c r="C14" s="192">
        <f t="shared" si="1"/>
        <v>1.9177217305537093</v>
      </c>
      <c r="D14" s="200"/>
      <c r="E14" s="209">
        <v>671.15032184498148</v>
      </c>
      <c r="F14" s="192">
        <f t="shared" si="0"/>
        <v>1.9259368569786801</v>
      </c>
      <c r="G14" s="200"/>
      <c r="H14" s="211">
        <f t="shared" si="2"/>
        <v>61.506449461434727</v>
      </c>
      <c r="I14" s="192">
        <f t="shared" si="3"/>
        <v>10.088914569248564</v>
      </c>
      <c r="J14" s="200"/>
      <c r="K14" s="305">
        <f t="shared" si="4"/>
        <v>58.64364286207109</v>
      </c>
      <c r="L14" s="192">
        <f>IF(B14&lt;&gt;0,K14/B14*100,0)</f>
        <v>9.6193278598519996</v>
      </c>
      <c r="M14" s="200"/>
      <c r="N14" s="211">
        <f t="shared" si="6"/>
        <v>4.1036392925320158</v>
      </c>
      <c r="O14" s="192">
        <f t="shared" si="7"/>
        <v>0.67312073136860517</v>
      </c>
      <c r="P14" s="200"/>
      <c r="Q14" s="209">
        <v>-1.2408326931683784</v>
      </c>
      <c r="R14" s="192">
        <f t="shared" si="8"/>
        <v>-0.20353402197204901</v>
      </c>
      <c r="AT14" s="187" t="e">
        <f ca="1">CONCATENATE("C:",INT(CELL("col",#REF!))," R:",INT(CELL("row",#REF!)))</f>
        <v>#REF!</v>
      </c>
    </row>
    <row r="15" spans="1:97" x14ac:dyDescent="0.25">
      <c r="A15" s="393" t="str">
        <f>name!$D11</f>
        <v xml:space="preserve"> 32 Health and social care associate professionals</v>
      </c>
      <c r="B15" s="209">
        <v>418.2503777870802</v>
      </c>
      <c r="C15" s="192">
        <f t="shared" si="1"/>
        <v>1.3156662022348067</v>
      </c>
      <c r="D15" s="200"/>
      <c r="E15" s="209">
        <v>529.88238393074425</v>
      </c>
      <c r="F15" s="192">
        <f t="shared" si="0"/>
        <v>1.5205535628300892</v>
      </c>
      <c r="G15" s="200"/>
      <c r="H15" s="211">
        <f t="shared" si="2"/>
        <v>111.63200614366406</v>
      </c>
      <c r="I15" s="192">
        <f t="shared" si="3"/>
        <v>26.69023438407816</v>
      </c>
      <c r="J15" s="200"/>
      <c r="K15" s="305">
        <f t="shared" si="4"/>
        <v>40.232875114408849</v>
      </c>
      <c r="L15" s="192">
        <f t="shared" si="5"/>
        <v>9.6193278598519996</v>
      </c>
      <c r="M15" s="200"/>
      <c r="N15" s="211">
        <f t="shared" si="6"/>
        <v>42.31195707050243</v>
      </c>
      <c r="O15" s="192">
        <f t="shared" si="7"/>
        <v>10.116418135560487</v>
      </c>
      <c r="P15" s="200"/>
      <c r="Q15" s="209">
        <v>29.087173958752775</v>
      </c>
      <c r="R15" s="192">
        <f t="shared" si="8"/>
        <v>6.9544883886656663</v>
      </c>
      <c r="T15" s="13"/>
    </row>
    <row r="16" spans="1:97" x14ac:dyDescent="0.25">
      <c r="A16" s="393" t="str">
        <f>name!$D12</f>
        <v xml:space="preserve"> 33 Protective service occupations</v>
      </c>
      <c r="B16" s="209">
        <v>400.38621990721509</v>
      </c>
      <c r="C16" s="192">
        <f t="shared" si="1"/>
        <v>1.2594719463484678</v>
      </c>
      <c r="D16" s="200"/>
      <c r="E16" s="209">
        <v>386.24918721957175</v>
      </c>
      <c r="F16" s="192">
        <f t="shared" si="0"/>
        <v>1.1083829083167029</v>
      </c>
      <c r="G16" s="200"/>
      <c r="H16" s="211">
        <f t="shared" si="2"/>
        <v>-14.137032687643341</v>
      </c>
      <c r="I16" s="192">
        <f t="shared" si="3"/>
        <v>-3.5308489615150651</v>
      </c>
      <c r="J16" s="200"/>
      <c r="K16" s="305">
        <f t="shared" si="4"/>
        <v>38.514463198543041</v>
      </c>
      <c r="L16" s="192">
        <f t="shared" si="5"/>
        <v>9.6193278598520013</v>
      </c>
      <c r="M16" s="200"/>
      <c r="N16" s="211">
        <f t="shared" si="6"/>
        <v>4.1753196073246102</v>
      </c>
      <c r="O16" s="192">
        <f t="shared" si="7"/>
        <v>1.0428230043212257</v>
      </c>
      <c r="P16" s="200"/>
      <c r="Q16" s="209">
        <v>-56.826815493510992</v>
      </c>
      <c r="R16" s="192">
        <f t="shared" si="8"/>
        <v>-14.192999825688297</v>
      </c>
      <c r="T16" s="13"/>
    </row>
    <row r="17" spans="1:20" x14ac:dyDescent="0.25">
      <c r="A17" s="393" t="str">
        <f>name!$D13</f>
        <v xml:space="preserve"> 34 Culture, media and sports occupations</v>
      </c>
      <c r="B17" s="209">
        <v>705.31543668957329</v>
      </c>
      <c r="C17" s="192">
        <f t="shared" si="1"/>
        <v>2.2186702780202965</v>
      </c>
      <c r="D17" s="200"/>
      <c r="E17" s="209">
        <v>839.68302886898528</v>
      </c>
      <c r="F17" s="192">
        <f t="shared" si="0"/>
        <v>2.4095592907303973</v>
      </c>
      <c r="G17" s="200"/>
      <c r="H17" s="211">
        <f t="shared" si="2"/>
        <v>134.36759217941199</v>
      </c>
      <c r="I17" s="192">
        <f t="shared" si="3"/>
        <v>19.050709113935138</v>
      </c>
      <c r="J17" s="200"/>
      <c r="K17" s="305">
        <f t="shared" si="4"/>
        <v>67.846604301316916</v>
      </c>
      <c r="L17" s="192">
        <f t="shared" si="5"/>
        <v>9.6193278598519996</v>
      </c>
      <c r="M17" s="200"/>
      <c r="N17" s="211">
        <f t="shared" si="6"/>
        <v>50.757960613840154</v>
      </c>
      <c r="O17" s="192">
        <f t="shared" si="7"/>
        <v>7.1964908143900423</v>
      </c>
      <c r="P17" s="200"/>
      <c r="Q17" s="209">
        <v>15.763027264254919</v>
      </c>
      <c r="R17" s="192">
        <f t="shared" si="8"/>
        <v>2.2348904396931006</v>
      </c>
      <c r="T17" s="13"/>
    </row>
    <row r="18" spans="1:20" x14ac:dyDescent="0.25">
      <c r="A18" s="393" t="str">
        <f>name!$D14</f>
        <v xml:space="preserve"> 35 Business and public service associate professionals</v>
      </c>
      <c r="B18" s="209">
        <v>2058.5930448272088</v>
      </c>
      <c r="C18" s="192">
        <f t="shared" si="1"/>
        <v>6.4755979601615197</v>
      </c>
      <c r="D18" s="200"/>
      <c r="E18" s="209">
        <v>2457.418760057772</v>
      </c>
      <c r="F18" s="192">
        <f t="shared" si="0"/>
        <v>7.0518231296017673</v>
      </c>
      <c r="G18" s="200"/>
      <c r="H18" s="211">
        <f t="shared" si="2"/>
        <v>398.82571523056322</v>
      </c>
      <c r="I18" s="192">
        <f t="shared" si="3"/>
        <v>19.373703619213355</v>
      </c>
      <c r="J18" s="200"/>
      <c r="K18" s="305">
        <f t="shared" si="4"/>
        <v>198.02281428203929</v>
      </c>
      <c r="L18" s="192">
        <f t="shared" si="5"/>
        <v>9.6193278598519996</v>
      </c>
      <c r="M18" s="200"/>
      <c r="N18" s="211">
        <f t="shared" si="6"/>
        <v>214.54479474745665</v>
      </c>
      <c r="O18" s="192">
        <f t="shared" si="7"/>
        <v>10.421913903117495</v>
      </c>
      <c r="P18" s="200"/>
      <c r="Q18" s="209">
        <v>-13.741893798932725</v>
      </c>
      <c r="R18" s="192">
        <f t="shared" si="8"/>
        <v>-0.66753814375614839</v>
      </c>
      <c r="T18" s="13"/>
    </row>
    <row r="19" spans="1:20" x14ac:dyDescent="0.25">
      <c r="A19" s="393" t="str">
        <f>name!$D15</f>
        <v xml:space="preserve"> 41 Administrative occupations</v>
      </c>
      <c r="B19" s="209">
        <v>3030.0405454519719</v>
      </c>
      <c r="C19" s="192">
        <f t="shared" si="1"/>
        <v>9.5314245934326625</v>
      </c>
      <c r="D19" s="200"/>
      <c r="E19" s="209">
        <v>2931.8021720360434</v>
      </c>
      <c r="F19" s="192">
        <f t="shared" si="0"/>
        <v>8.4131165205617719</v>
      </c>
      <c r="G19" s="200"/>
      <c r="H19" s="211">
        <f t="shared" si="2"/>
        <v>-98.238373415928436</v>
      </c>
      <c r="I19" s="192">
        <f t="shared" si="3"/>
        <v>-3.2421471575151739</v>
      </c>
      <c r="J19" s="200"/>
      <c r="K19" s="305">
        <f t="shared" si="4"/>
        <v>291.46953435347302</v>
      </c>
      <c r="L19" s="192">
        <f t="shared" si="5"/>
        <v>9.6193278598519996</v>
      </c>
      <c r="M19" s="200"/>
      <c r="N19" s="211">
        <f t="shared" si="6"/>
        <v>-327.98150214487384</v>
      </c>
      <c r="O19" s="192">
        <f t="shared" si="7"/>
        <v>-10.824327174009843</v>
      </c>
      <c r="P19" s="200"/>
      <c r="Q19" s="209">
        <v>-61.72640562452758</v>
      </c>
      <c r="R19" s="192">
        <f t="shared" si="8"/>
        <v>-2.037147843357332</v>
      </c>
      <c r="T19" s="13"/>
    </row>
    <row r="20" spans="1:20" x14ac:dyDescent="0.25">
      <c r="A20" s="393" t="str">
        <f>name!$D16</f>
        <v xml:space="preserve"> 42 Secretarial and related occupations</v>
      </c>
      <c r="B20" s="209">
        <v>993.33694726027159</v>
      </c>
      <c r="C20" s="192">
        <f t="shared" si="1"/>
        <v>3.1246830089099045</v>
      </c>
      <c r="D20" s="200"/>
      <c r="E20" s="209">
        <v>748.98422550601674</v>
      </c>
      <c r="F20" s="192">
        <f t="shared" si="0"/>
        <v>2.149289478446899</v>
      </c>
      <c r="G20" s="200"/>
      <c r="H20" s="211">
        <f t="shared" si="2"/>
        <v>-244.35272175425484</v>
      </c>
      <c r="I20" s="192">
        <f t="shared" si="3"/>
        <v>-24.599177794423689</v>
      </c>
      <c r="J20" s="200"/>
      <c r="K20" s="305">
        <f t="shared" si="4"/>
        <v>95.552337710010676</v>
      </c>
      <c r="L20" s="192">
        <f t="shared" si="5"/>
        <v>9.6193278598519996</v>
      </c>
      <c r="M20" s="200"/>
      <c r="N20" s="211">
        <f t="shared" si="6"/>
        <v>-394.38533856869952</v>
      </c>
      <c r="O20" s="192">
        <f t="shared" si="7"/>
        <v>-39.703077556558831</v>
      </c>
      <c r="P20" s="200"/>
      <c r="Q20" s="209">
        <v>54.480279104433997</v>
      </c>
      <c r="R20" s="192">
        <f t="shared" si="8"/>
        <v>5.484571902283145</v>
      </c>
      <c r="T20" s="13"/>
    </row>
    <row r="21" spans="1:20" x14ac:dyDescent="0.25">
      <c r="A21" s="393" t="str">
        <f>name!$D17</f>
        <v xml:space="preserve"> 51 Skilled agricultural and related trades</v>
      </c>
      <c r="B21" s="209">
        <v>326.59568567127343</v>
      </c>
      <c r="C21" s="192">
        <f t="shared" si="1"/>
        <v>1.027353299013972</v>
      </c>
      <c r="D21" s="200"/>
      <c r="E21" s="209">
        <v>354.96114624116797</v>
      </c>
      <c r="F21" s="192">
        <f t="shared" si="0"/>
        <v>1.0185985644199187</v>
      </c>
      <c r="G21" s="200"/>
      <c r="H21" s="211">
        <f t="shared" si="2"/>
        <v>28.365460569894537</v>
      </c>
      <c r="I21" s="192">
        <f t="shared" si="3"/>
        <v>8.6851914505830621</v>
      </c>
      <c r="J21" s="200"/>
      <c r="K21" s="305">
        <f t="shared" si="4"/>
        <v>31.416309780851474</v>
      </c>
      <c r="L21" s="192">
        <f t="shared" si="5"/>
        <v>9.6193278598519996</v>
      </c>
      <c r="M21" s="200"/>
      <c r="N21" s="211">
        <f t="shared" si="6"/>
        <v>-14.07857125776038</v>
      </c>
      <c r="O21" s="192">
        <f t="shared" si="7"/>
        <v>-4.3107033789573102</v>
      </c>
      <c r="P21" s="200"/>
      <c r="Q21" s="209">
        <v>11.027722046803442</v>
      </c>
      <c r="R21" s="192">
        <f t="shared" si="8"/>
        <v>3.3765669696883611</v>
      </c>
      <c r="T21" s="13"/>
    </row>
    <row r="22" spans="1:20" x14ac:dyDescent="0.25">
      <c r="A22" s="393" t="str">
        <f>name!$D18</f>
        <v xml:space="preserve"> 52 Skilled metal, electrical and electronic trades</v>
      </c>
      <c r="B22" s="209">
        <v>1279.19315247642</v>
      </c>
      <c r="C22" s="192">
        <f t="shared" si="1"/>
        <v>4.0238844630528607</v>
      </c>
      <c r="D22" s="200"/>
      <c r="E22" s="209">
        <v>1228.0409620922514</v>
      </c>
      <c r="F22" s="192">
        <f t="shared" si="0"/>
        <v>3.5239934688123551</v>
      </c>
      <c r="G22" s="200"/>
      <c r="H22" s="211">
        <f t="shared" si="2"/>
        <v>-51.152190384168534</v>
      </c>
      <c r="I22" s="192">
        <f t="shared" si="3"/>
        <v>-3.9987855067189715</v>
      </c>
      <c r="J22" s="200"/>
      <c r="K22" s="305">
        <f t="shared" si="4"/>
        <v>123.04978329748334</v>
      </c>
      <c r="L22" s="192">
        <f t="shared" si="5"/>
        <v>9.6193278598519996</v>
      </c>
      <c r="M22" s="200"/>
      <c r="N22" s="211">
        <f t="shared" si="6"/>
        <v>-90.903127196565379</v>
      </c>
      <c r="O22" s="192">
        <f t="shared" si="7"/>
        <v>-7.1062862571288701</v>
      </c>
      <c r="P22" s="200"/>
      <c r="Q22" s="209">
        <v>-83.2988464850865</v>
      </c>
      <c r="R22" s="192">
        <f t="shared" si="8"/>
        <v>-6.5118271094420974</v>
      </c>
      <c r="T22" s="13"/>
    </row>
    <row r="23" spans="1:20" x14ac:dyDescent="0.25">
      <c r="A23" s="393" t="str">
        <f>name!$D19</f>
        <v xml:space="preserve"> 53 Skilled construction and building trades</v>
      </c>
      <c r="B23" s="209">
        <v>1134.0272967353342</v>
      </c>
      <c r="C23" s="192">
        <f t="shared" si="1"/>
        <v>3.56724456441715</v>
      </c>
      <c r="D23" s="200"/>
      <c r="E23" s="209">
        <v>1069.1049856779691</v>
      </c>
      <c r="F23" s="192">
        <f t="shared" si="0"/>
        <v>3.0679098688899193</v>
      </c>
      <c r="G23" s="200"/>
      <c r="H23" s="211">
        <f t="shared" si="2"/>
        <v>-64.92231105736505</v>
      </c>
      <c r="I23" s="192">
        <f t="shared" si="3"/>
        <v>-5.7249337158166274</v>
      </c>
      <c r="J23" s="200"/>
      <c r="K23" s="305">
        <f t="shared" si="4"/>
        <v>109.08580369318851</v>
      </c>
      <c r="L23" s="192">
        <f t="shared" si="5"/>
        <v>9.6193278598519996</v>
      </c>
      <c r="M23" s="200"/>
      <c r="N23" s="211">
        <f t="shared" si="6"/>
        <v>-78.59491486675077</v>
      </c>
      <c r="O23" s="192">
        <f t="shared" si="7"/>
        <v>-6.9306016789024181</v>
      </c>
      <c r="P23" s="200"/>
      <c r="Q23" s="209">
        <v>-95.41319988380279</v>
      </c>
      <c r="R23" s="192">
        <f t="shared" si="8"/>
        <v>-8.4136598967662124</v>
      </c>
      <c r="T23" s="13"/>
    </row>
    <row r="24" spans="1:20" x14ac:dyDescent="0.25">
      <c r="A24" s="393" t="str">
        <f>name!$D20</f>
        <v xml:space="preserve"> 54 Textiles, printing and other skilled trades</v>
      </c>
      <c r="B24" s="209">
        <v>843.79919284543814</v>
      </c>
      <c r="C24" s="192">
        <f t="shared" si="1"/>
        <v>2.6542906796007819</v>
      </c>
      <c r="D24" s="200"/>
      <c r="E24" s="209">
        <v>780.72926486080155</v>
      </c>
      <c r="F24" s="192">
        <f t="shared" si="0"/>
        <v>2.2403852275356408</v>
      </c>
      <c r="G24" s="200"/>
      <c r="H24" s="211">
        <f t="shared" si="2"/>
        <v>-63.069927984636593</v>
      </c>
      <c r="I24" s="192">
        <f t="shared" si="3"/>
        <v>-7.4745186437016891</v>
      </c>
      <c r="J24" s="200"/>
      <c r="K24" s="305">
        <f t="shared" si="4"/>
        <v>81.167810838587542</v>
      </c>
      <c r="L24" s="192">
        <f t="shared" si="5"/>
        <v>9.6193278598519996</v>
      </c>
      <c r="M24" s="200"/>
      <c r="N24" s="211">
        <f t="shared" si="6"/>
        <v>-133.22711799427509</v>
      </c>
      <c r="O24" s="192">
        <f t="shared" si="7"/>
        <v>-15.788960113248034</v>
      </c>
      <c r="P24" s="200"/>
      <c r="Q24" s="209">
        <v>-11.010620828949056</v>
      </c>
      <c r="R24" s="192">
        <f t="shared" si="8"/>
        <v>-1.3048863903056509</v>
      </c>
      <c r="T24" s="13"/>
    </row>
    <row r="25" spans="1:20" x14ac:dyDescent="0.25">
      <c r="A25" s="393" t="str">
        <f>name!$D21</f>
        <v xml:space="preserve"> 61 Caring personal service occupations</v>
      </c>
      <c r="B25" s="209">
        <v>1960.332640697347</v>
      </c>
      <c r="C25" s="192">
        <f t="shared" si="1"/>
        <v>6.1665058478827719</v>
      </c>
      <c r="D25" s="200"/>
      <c r="E25" s="209">
        <v>2578.4645595025959</v>
      </c>
      <c r="F25" s="192">
        <f t="shared" si="0"/>
        <v>7.3991768578878157</v>
      </c>
      <c r="G25" s="200"/>
      <c r="H25" s="211">
        <f t="shared" si="2"/>
        <v>618.13191880524892</v>
      </c>
      <c r="I25" s="192">
        <f t="shared" si="3"/>
        <v>31.531991355577361</v>
      </c>
      <c r="J25" s="200"/>
      <c r="K25" s="305">
        <f t="shared" si="4"/>
        <v>188.57082385237231</v>
      </c>
      <c r="L25" s="192">
        <f t="shared" si="5"/>
        <v>9.6193278598519996</v>
      </c>
      <c r="M25" s="200"/>
      <c r="N25" s="211">
        <f t="shared" si="6"/>
        <v>284.41844360301843</v>
      </c>
      <c r="O25" s="192">
        <f t="shared" si="7"/>
        <v>14.508682745895745</v>
      </c>
      <c r="P25" s="200"/>
      <c r="Q25" s="209">
        <v>145.14265134985814</v>
      </c>
      <c r="R25" s="192">
        <f t="shared" si="8"/>
        <v>7.4039807498296151</v>
      </c>
      <c r="T25" s="13"/>
    </row>
    <row r="26" spans="1:20" x14ac:dyDescent="0.25">
      <c r="A26" s="393" t="str">
        <f>name!$D22</f>
        <v xml:space="preserve"> 62 Leisure, travel and related personal service occupations</v>
      </c>
      <c r="B26" s="209">
        <v>685.21818202505688</v>
      </c>
      <c r="C26" s="192">
        <f t="shared" si="1"/>
        <v>2.155451497777447</v>
      </c>
      <c r="D26" s="200"/>
      <c r="E26" s="209">
        <v>766.62156622264706</v>
      </c>
      <c r="F26" s="192">
        <f t="shared" si="0"/>
        <v>2.1999016936833762</v>
      </c>
      <c r="G26" s="200"/>
      <c r="H26" s="211">
        <f t="shared" si="2"/>
        <v>81.403384197590185</v>
      </c>
      <c r="I26" s="192">
        <f t="shared" si="3"/>
        <v>11.879921801989401</v>
      </c>
      <c r="J26" s="200"/>
      <c r="K26" s="305">
        <f t="shared" si="4"/>
        <v>65.913383484307687</v>
      </c>
      <c r="L26" s="192">
        <f t="shared" si="5"/>
        <v>9.6193278598519996</v>
      </c>
      <c r="M26" s="200"/>
      <c r="N26" s="211">
        <f t="shared" si="6"/>
        <v>20.202920380879831</v>
      </c>
      <c r="O26" s="192">
        <f t="shared" si="7"/>
        <v>2.9483923385064315</v>
      </c>
      <c r="P26" s="200"/>
      <c r="Q26" s="209">
        <v>-4.712919667597335</v>
      </c>
      <c r="R26" s="192">
        <f t="shared" si="8"/>
        <v>-0.68779839636902607</v>
      </c>
      <c r="T26" s="13"/>
    </row>
    <row r="27" spans="1:20" x14ac:dyDescent="0.25">
      <c r="A27" s="393" t="str">
        <f>name!$D23</f>
        <v xml:space="preserve"> 71 Sales occupations</v>
      </c>
      <c r="B27" s="209">
        <v>2266.5991740353952</v>
      </c>
      <c r="C27" s="192">
        <f t="shared" si="1"/>
        <v>7.1299108994703584</v>
      </c>
      <c r="D27" s="200"/>
      <c r="E27" s="209">
        <v>2232.1008314340879</v>
      </c>
      <c r="F27" s="192">
        <f t="shared" si="0"/>
        <v>6.4052494945306719</v>
      </c>
      <c r="G27" s="200"/>
      <c r="H27" s="211">
        <f t="shared" si="2"/>
        <v>-34.498342601307286</v>
      </c>
      <c r="I27" s="192">
        <f t="shared" si="3"/>
        <v>-1.522031023239423</v>
      </c>
      <c r="J27" s="200"/>
      <c r="K27" s="305">
        <f t="shared" si="4"/>
        <v>218.03160581916211</v>
      </c>
      <c r="L27" s="192">
        <f t="shared" si="5"/>
        <v>9.6193278598519996</v>
      </c>
      <c r="M27" s="200"/>
      <c r="N27" s="211">
        <f t="shared" si="6"/>
        <v>-99.003372845670327</v>
      </c>
      <c r="O27" s="192">
        <f t="shared" si="7"/>
        <v>-4.3679259209032208</v>
      </c>
      <c r="P27" s="200"/>
      <c r="Q27" s="209">
        <v>-153.52657557479907</v>
      </c>
      <c r="R27" s="192">
        <f t="shared" si="8"/>
        <v>-6.7734329621882052</v>
      </c>
      <c r="T27" s="246"/>
    </row>
    <row r="28" spans="1:20" x14ac:dyDescent="0.25">
      <c r="A28" s="393" t="str">
        <f>name!$D24</f>
        <v xml:space="preserve"> 72 Customer service occupations</v>
      </c>
      <c r="B28" s="209">
        <v>525.58473477957932</v>
      </c>
      <c r="C28" s="192">
        <f t="shared" si="1"/>
        <v>1.6533017271105919</v>
      </c>
      <c r="D28" s="200"/>
      <c r="E28" s="209">
        <v>696.93275934173869</v>
      </c>
      <c r="F28" s="192">
        <f t="shared" si="0"/>
        <v>1.9999222891859565</v>
      </c>
      <c r="G28" s="200"/>
      <c r="H28" s="211">
        <f t="shared" si="2"/>
        <v>171.34802456215937</v>
      </c>
      <c r="I28" s="192">
        <f t="shared" si="3"/>
        <v>32.601408150489689</v>
      </c>
      <c r="J28" s="200"/>
      <c r="K28" s="305">
        <f t="shared" si="4"/>
        <v>50.557718819781321</v>
      </c>
      <c r="L28" s="192">
        <f t="shared" si="5"/>
        <v>9.6193278598519996</v>
      </c>
      <c r="M28" s="200"/>
      <c r="N28" s="211">
        <f t="shared" si="6"/>
        <v>134.322287914208</v>
      </c>
      <c r="O28" s="192">
        <f t="shared" si="7"/>
        <v>25.556733106135649</v>
      </c>
      <c r="P28" s="200"/>
      <c r="Q28" s="209">
        <v>-13.531982171829943</v>
      </c>
      <c r="R28" s="192">
        <f t="shared" si="8"/>
        <v>-2.5746528154979633</v>
      </c>
      <c r="T28" s="13"/>
    </row>
    <row r="29" spans="1:20" x14ac:dyDescent="0.25">
      <c r="A29" s="393" t="str">
        <f>name!$D25</f>
        <v xml:space="preserve"> 81 Process, plant and machine operatives</v>
      </c>
      <c r="B29" s="209">
        <v>1062.9416018239299</v>
      </c>
      <c r="C29" s="192">
        <f t="shared" si="1"/>
        <v>3.3436343748648039</v>
      </c>
      <c r="D29" s="200"/>
      <c r="E29" s="209">
        <v>910.36505814126201</v>
      </c>
      <c r="F29" s="192">
        <f t="shared" si="0"/>
        <v>2.6123888519638734</v>
      </c>
      <c r="G29" s="200"/>
      <c r="H29" s="211">
        <f t="shared" si="2"/>
        <v>-152.57654368266788</v>
      </c>
      <c r="I29" s="192">
        <f t="shared" si="3"/>
        <v>-14.354179328465245</v>
      </c>
      <c r="J29" s="200"/>
      <c r="K29" s="305">
        <f t="shared" si="4"/>
        <v>102.24783763820641</v>
      </c>
      <c r="L29" s="192">
        <f t="shared" si="5"/>
        <v>9.6193278598519996</v>
      </c>
      <c r="M29" s="200"/>
      <c r="N29" s="211">
        <f t="shared" si="6"/>
        <v>-147.1380424662529</v>
      </c>
      <c r="O29" s="192">
        <f t="shared" si="7"/>
        <v>-13.842533043562769</v>
      </c>
      <c r="P29" s="200"/>
      <c r="Q29" s="209">
        <v>-107.68633885462137</v>
      </c>
      <c r="R29" s="192">
        <f t="shared" si="8"/>
        <v>-10.130974144754472</v>
      </c>
      <c r="T29" s="13"/>
    </row>
    <row r="30" spans="1:20" x14ac:dyDescent="0.25">
      <c r="A30" s="393" t="str">
        <f>name!$D26</f>
        <v xml:space="preserve"> 82 Transport and mobile machine drivers and operatives</v>
      </c>
      <c r="B30" s="209">
        <v>1251.2075495320041</v>
      </c>
      <c r="C30" s="192">
        <f t="shared" si="1"/>
        <v>3.9358517584849895</v>
      </c>
      <c r="D30" s="200"/>
      <c r="E30" s="209">
        <v>1269.5914805445047</v>
      </c>
      <c r="F30" s="192">
        <f t="shared" si="0"/>
        <v>3.643227077601789</v>
      </c>
      <c r="G30" s="200"/>
      <c r="H30" s="211">
        <f t="shared" si="2"/>
        <v>18.383931012500625</v>
      </c>
      <c r="I30" s="192">
        <f t="shared" si="3"/>
        <v>1.4692950837274621</v>
      </c>
      <c r="J30" s="200"/>
      <c r="K30" s="305">
        <f t="shared" si="4"/>
        <v>120.35775639670359</v>
      </c>
      <c r="L30" s="192">
        <f t="shared" si="5"/>
        <v>9.6193278598519996</v>
      </c>
      <c r="M30" s="200"/>
      <c r="N30" s="211">
        <f t="shared" si="6"/>
        <v>-118.87891640127484</v>
      </c>
      <c r="O30" s="192">
        <f t="shared" si="7"/>
        <v>-9.501134839358965</v>
      </c>
      <c r="P30" s="200"/>
      <c r="Q30" s="209">
        <v>16.905091017071875</v>
      </c>
      <c r="R30" s="192">
        <f t="shared" si="8"/>
        <v>1.351102063234431</v>
      </c>
      <c r="T30" s="13"/>
    </row>
    <row r="31" spans="1:20" x14ac:dyDescent="0.25">
      <c r="A31" s="393" t="str">
        <f>name!$D27</f>
        <v xml:space="preserve"> 91 Elementary trades and related occupations</v>
      </c>
      <c r="B31" s="209">
        <v>553.13527715257499</v>
      </c>
      <c r="C31" s="192">
        <f t="shared" si="1"/>
        <v>1.739965886615167</v>
      </c>
      <c r="D31" s="200"/>
      <c r="E31" s="209">
        <v>555.13378958997748</v>
      </c>
      <c r="F31" s="192">
        <f t="shared" si="0"/>
        <v>1.5930151429958368</v>
      </c>
      <c r="G31" s="200"/>
      <c r="H31" s="211">
        <f t="shared" si="2"/>
        <v>1.9985124374024963</v>
      </c>
      <c r="I31" s="192">
        <f t="shared" si="3"/>
        <v>0.36130626990389381</v>
      </c>
      <c r="J31" s="200"/>
      <c r="K31" s="305">
        <f t="shared" si="4"/>
        <v>53.20789581780722</v>
      </c>
      <c r="L31" s="192">
        <f t="shared" si="5"/>
        <v>9.6193278598519996</v>
      </c>
      <c r="M31" s="200"/>
      <c r="N31" s="211">
        <f t="shared" si="6"/>
        <v>-34.908385016069104</v>
      </c>
      <c r="O31" s="192">
        <f t="shared" si="7"/>
        <v>-6.3110031954154486</v>
      </c>
      <c r="P31" s="200"/>
      <c r="Q31" s="209">
        <v>-16.300998364335616</v>
      </c>
      <c r="R31" s="192">
        <f t="shared" si="8"/>
        <v>-2.9470183945326638</v>
      </c>
      <c r="T31" s="13"/>
    </row>
    <row r="32" spans="1:20" x14ac:dyDescent="0.25">
      <c r="A32" s="393" t="str">
        <f>name!$D28</f>
        <v xml:space="preserve"> 92 Elementary administration and service occupations</v>
      </c>
      <c r="B32" s="209">
        <v>3484.0820997201308</v>
      </c>
      <c r="C32" s="192">
        <f t="shared" si="1"/>
        <v>10.959677044802547</v>
      </c>
      <c r="D32" s="200"/>
      <c r="E32" s="209">
        <v>3400.859321554502</v>
      </c>
      <c r="F32" s="192">
        <f t="shared" si="0"/>
        <v>9.7591256378689017</v>
      </c>
      <c r="G32" s="200"/>
      <c r="H32" s="211">
        <f t="shared" si="2"/>
        <v>-83.222778165628824</v>
      </c>
      <c r="I32" s="192">
        <f t="shared" si="3"/>
        <v>-2.3886572067952638</v>
      </c>
      <c r="J32" s="200"/>
      <c r="K32" s="305">
        <f t="shared" si="4"/>
        <v>335.14528007849509</v>
      </c>
      <c r="L32" s="192">
        <f t="shared" si="5"/>
        <v>9.6193278598519996</v>
      </c>
      <c r="M32" s="200"/>
      <c r="N32" s="211">
        <f>H32-(K32+Q32)</f>
        <v>-569.94567815568053</v>
      </c>
      <c r="O32" s="192">
        <f t="shared" si="7"/>
        <v>-16.358560500094505</v>
      </c>
      <c r="P32" s="200"/>
      <c r="Q32" s="209">
        <v>151.57761991155664</v>
      </c>
      <c r="R32" s="192">
        <f t="shared" si="8"/>
        <v>4.3505754334472364</v>
      </c>
      <c r="T32" s="13"/>
    </row>
    <row r="33" spans="1:20" x14ac:dyDescent="0.25">
      <c r="A33" s="393"/>
      <c r="B33" s="209"/>
      <c r="C33" s="192"/>
      <c r="D33" s="200"/>
      <c r="E33" s="209"/>
      <c r="F33" s="192"/>
      <c r="G33" s="200"/>
      <c r="H33" s="211"/>
      <c r="I33" s="192"/>
      <c r="J33" s="200"/>
      <c r="K33" s="305"/>
      <c r="L33" s="192"/>
      <c r="M33" s="200"/>
      <c r="N33" s="211"/>
      <c r="O33" s="192"/>
      <c r="P33" s="200"/>
      <c r="Q33" s="209"/>
      <c r="R33" s="192"/>
      <c r="T33" s="13"/>
    </row>
    <row r="34" spans="1:20" x14ac:dyDescent="0.25">
      <c r="A34" s="203" t="str">
        <f>name!$D$3</f>
        <v>All occupations</v>
      </c>
      <c r="B34" s="210">
        <f>SUM(B8:B32)</f>
        <v>31790.007000000074</v>
      </c>
      <c r="C34" s="201">
        <f t="shared" si="1"/>
        <v>100</v>
      </c>
      <c r="D34" s="198"/>
      <c r="E34" s="210">
        <f>SUM(E8:E32)</f>
        <v>34847.991999999984</v>
      </c>
      <c r="F34" s="201">
        <f t="shared" ref="F34" si="9">E34/E$34*100</f>
        <v>100</v>
      </c>
      <c r="G34" s="198"/>
      <c r="H34" s="210">
        <f t="shared" si="2"/>
        <v>3057.9849999999096</v>
      </c>
      <c r="I34" s="201">
        <f t="shared" si="3"/>
        <v>9.6193278598519996</v>
      </c>
      <c r="J34" s="198"/>
      <c r="K34" s="210"/>
      <c r="L34" s="201"/>
      <c r="M34" s="198"/>
      <c r="N34" s="202"/>
      <c r="O34" s="201"/>
      <c r="P34" s="198"/>
      <c r="Q34" s="202"/>
      <c r="R34" s="201"/>
    </row>
    <row r="36" spans="1:20" ht="15.6" x14ac:dyDescent="0.3">
      <c r="A36" s="398" t="str">
        <f>CONCATENATE("ShiftShare Table 1.1  Shift-share by occupation, ",I39)</f>
        <v>ShiftShare Table 1.1  Shift-share by occupation, 2017-2027</v>
      </c>
      <c r="B36" s="200"/>
      <c r="C36" s="200"/>
      <c r="D36" s="200"/>
      <c r="E36" s="200"/>
      <c r="F36" s="200"/>
      <c r="G36" s="200"/>
      <c r="H36" s="200"/>
      <c r="I36" s="200"/>
      <c r="J36" s="200"/>
      <c r="K36" s="200"/>
      <c r="L36" s="200"/>
      <c r="M36" s="200"/>
      <c r="N36" s="200"/>
      <c r="O36" s="200"/>
      <c r="P36" s="200"/>
      <c r="Q36" s="200"/>
      <c r="R36" s="200"/>
    </row>
    <row r="37" spans="1:20" ht="15.6" x14ac:dyDescent="0.3">
      <c r="A37" s="398"/>
      <c r="B37" s="200"/>
      <c r="C37" s="200"/>
      <c r="D37" s="200"/>
      <c r="E37" s="200"/>
      <c r="F37" s="200"/>
      <c r="G37" s="200"/>
      <c r="H37" s="200"/>
      <c r="I37" s="200"/>
      <c r="J37" s="200"/>
      <c r="K37" s="200"/>
      <c r="L37" s="200"/>
      <c r="M37" s="200"/>
      <c r="N37" s="200"/>
      <c r="O37" s="200"/>
      <c r="P37" s="200"/>
      <c r="Q37" s="200"/>
      <c r="R37" s="200"/>
    </row>
    <row r="38" spans="1:20" x14ac:dyDescent="0.25">
      <c r="A38" s="199"/>
      <c r="B38" s="397"/>
      <c r="C38" s="397"/>
      <c r="D38" s="397"/>
      <c r="E38" s="397"/>
      <c r="F38" s="397"/>
      <c r="G38" s="397"/>
      <c r="H38" s="397"/>
      <c r="I38" s="397"/>
      <c r="J38" s="397"/>
      <c r="K38" s="521" t="str">
        <f>K3</f>
        <v>Components of change</v>
      </c>
      <c r="L38" s="521"/>
      <c r="M38" s="521"/>
      <c r="N38" s="521"/>
      <c r="O38" s="521"/>
      <c r="P38" s="521"/>
      <c r="Q38" s="521"/>
      <c r="R38" s="521"/>
    </row>
    <row r="39" spans="1:20" x14ac:dyDescent="0.25">
      <c r="B39" s="390" t="str">
        <f>B4</f>
        <v>Base year</v>
      </c>
      <c r="C39" s="391">
        <v>2017</v>
      </c>
      <c r="D39" s="194"/>
      <c r="E39" s="390" t="str">
        <f>E4</f>
        <v>Target year</v>
      </c>
      <c r="F39" s="391">
        <v>2027</v>
      </c>
      <c r="G39" s="194"/>
      <c r="H39" s="390" t="str">
        <f>H4</f>
        <v>Change</v>
      </c>
      <c r="I39" s="390" t="str">
        <f>CONCATENATE(C39,"-",F39)</f>
        <v>2017-2027</v>
      </c>
      <c r="J39" s="194"/>
      <c r="K39" s="520" t="str">
        <f>K4</f>
        <v>Scale effect</v>
      </c>
      <c r="L39" s="520"/>
      <c r="M39" s="194"/>
      <c r="N39" s="520" t="str">
        <f>N4</f>
        <v>Occupation effect</v>
      </c>
      <c r="O39" s="520"/>
      <c r="P39" s="194"/>
      <c r="Q39" s="520" t="str">
        <f>Q4</f>
        <v>Industry mix effect</v>
      </c>
      <c r="R39" s="520"/>
    </row>
    <row r="40" spans="1:20" x14ac:dyDescent="0.25">
      <c r="A40" s="196" t="str">
        <f>A5</f>
        <v>SOC2010 Sub-Major Groups</v>
      </c>
      <c r="B40" s="392" t="str">
        <f>B5</f>
        <v>000s</v>
      </c>
      <c r="C40" s="392" t="str">
        <f>C5</f>
        <v>% share</v>
      </c>
      <c r="D40" s="195"/>
      <c r="E40" s="392" t="str">
        <f>E5</f>
        <v>000s</v>
      </c>
      <c r="F40" s="392" t="str">
        <f>F5</f>
        <v>% share</v>
      </c>
      <c r="G40" s="195"/>
      <c r="H40" s="392" t="str">
        <f>H5</f>
        <v>000s</v>
      </c>
      <c r="I40" s="392" t="str">
        <f>I5</f>
        <v xml:space="preserve">%   </v>
      </c>
      <c r="J40" s="195"/>
      <c r="K40" s="392" t="str">
        <f>H40</f>
        <v>000s</v>
      </c>
      <c r="L40" s="392" t="str">
        <f>I40</f>
        <v xml:space="preserve">%   </v>
      </c>
      <c r="M40" s="195"/>
      <c r="N40" s="392" t="str">
        <f>K40</f>
        <v>000s</v>
      </c>
      <c r="O40" s="392" t="str">
        <f>L40</f>
        <v xml:space="preserve">%   </v>
      </c>
      <c r="P40" s="195"/>
      <c r="Q40" s="392" t="str">
        <f>Q5</f>
        <v>000s</v>
      </c>
      <c r="R40" s="392" t="str">
        <f>O40</f>
        <v xml:space="preserve">%   </v>
      </c>
      <c r="T40" s="185"/>
    </row>
    <row r="41" spans="1:20" x14ac:dyDescent="0.25">
      <c r="A41" s="394"/>
      <c r="B41" s="392"/>
      <c r="C41" s="392"/>
      <c r="D41" s="395"/>
      <c r="E41" s="392"/>
      <c r="F41" s="392"/>
      <c r="G41" s="395"/>
      <c r="H41" s="392"/>
      <c r="I41" s="392"/>
      <c r="J41" s="395"/>
      <c r="K41" s="392"/>
      <c r="L41" s="392"/>
      <c r="M41" s="395"/>
      <c r="N41" s="392"/>
      <c r="O41" s="392"/>
      <c r="P41" s="395"/>
      <c r="Q41" s="392"/>
      <c r="R41" s="392"/>
      <c r="T41" s="185"/>
    </row>
    <row r="42" spans="1:20" x14ac:dyDescent="0.25">
      <c r="A42" s="196"/>
      <c r="B42" s="390"/>
      <c r="C42" s="390"/>
      <c r="D42" s="397"/>
      <c r="E42" s="390"/>
      <c r="F42" s="390"/>
      <c r="G42" s="397"/>
      <c r="H42" s="390"/>
      <c r="I42" s="390"/>
      <c r="J42" s="397"/>
      <c r="K42" s="390"/>
      <c r="L42" s="390"/>
      <c r="M42" s="397"/>
      <c r="N42" s="390"/>
      <c r="O42" s="390"/>
      <c r="P42" s="397"/>
      <c r="Q42" s="390"/>
      <c r="R42" s="197"/>
      <c r="T42" s="185"/>
    </row>
    <row r="43" spans="1:20" x14ac:dyDescent="0.25">
      <c r="A43" s="248" t="str">
        <f t="shared" ref="A43:A67" si="10">A8</f>
        <v xml:space="preserve"> 11 Corporate managers and directors</v>
      </c>
      <c r="B43" s="209">
        <v>2526.0004771128533</v>
      </c>
      <c r="C43" s="396">
        <f t="shared" ref="C43:C67" si="11">B43/B$69*100</f>
        <v>7.24862562271265</v>
      </c>
      <c r="E43" s="209">
        <v>2874.8665595685711</v>
      </c>
      <c r="F43" s="396">
        <f t="shared" ref="F43:F67" si="12">E43/E$69*100</f>
        <v>8.0256562676279426</v>
      </c>
      <c r="H43" s="211">
        <f>E43-B43</f>
        <v>348.86608245571779</v>
      </c>
      <c r="I43" s="396">
        <f>IF(B43&gt;0,((E43/B43)-1)*100,0)</f>
        <v>13.811006198006016</v>
      </c>
      <c r="K43" s="211">
        <f>(($E$69/$B$69)-1)*B43</f>
        <v>70.526300345013027</v>
      </c>
      <c r="L43" s="396">
        <f>IF(B43&gt;0,K43/B43*100,0)</f>
        <v>2.7920145298476977</v>
      </c>
      <c r="N43" s="211">
        <f>H43-(K43+Q43)</f>
        <v>295.11352320980967</v>
      </c>
      <c r="O43" s="396">
        <f>IF(B43&gt;0,N43/B43*100,0)</f>
        <v>11.683035133355004</v>
      </c>
      <c r="Q43" s="209">
        <v>-16.773741099104907</v>
      </c>
      <c r="R43" s="396">
        <f>IF(B43&gt;0,Q43/B43*100,0)</f>
        <v>-0.66404346519668178</v>
      </c>
      <c r="T43" s="205"/>
    </row>
    <row r="44" spans="1:20" x14ac:dyDescent="0.25">
      <c r="A44" s="248" t="str">
        <f t="shared" si="10"/>
        <v xml:space="preserve"> 12 Other managers and proprietors</v>
      </c>
      <c r="B44" s="209">
        <v>1040.4238796553416</v>
      </c>
      <c r="C44" s="396">
        <f t="shared" si="11"/>
        <v>2.9856064006653296</v>
      </c>
      <c r="E44" s="209">
        <v>1130.1048523887098</v>
      </c>
      <c r="F44" s="396">
        <f t="shared" si="12"/>
        <v>3.1548709839984022</v>
      </c>
      <c r="H44" s="211">
        <f t="shared" ref="H44:H69" si="13">E44-B44</f>
        <v>89.680972733368208</v>
      </c>
      <c r="I44" s="396">
        <f t="shared" ref="I44:I69" si="14">IF(B44&gt;0,((E44/B44)-1)*100,0)</f>
        <v>8.6196572845941066</v>
      </c>
      <c r="K44" s="211">
        <f t="shared" ref="K44:K67" si="15">(($E$69/$B$69)-1)*B44</f>
        <v>29.048785891982256</v>
      </c>
      <c r="L44" s="396">
        <f t="shared" ref="L44:L67" si="16">IF(B44&gt;0,K44/B44*100,0)</f>
        <v>2.7920145298476973</v>
      </c>
      <c r="N44" s="211">
        <f t="shared" ref="N44:N67" si="17">H44-(K44+Q44)</f>
        <v>54.042658551260132</v>
      </c>
      <c r="O44" s="396">
        <f t="shared" ref="O44:O67" si="18">IF(B44&gt;0,N44/B44*100,0)</f>
        <v>5.1942924040884852</v>
      </c>
      <c r="Q44" s="209">
        <v>6.5895282901258234</v>
      </c>
      <c r="R44" s="396">
        <f>IF(B44&gt;0,Q44/B44*100,0)</f>
        <v>0.63335035065791834</v>
      </c>
      <c r="T44" s="205"/>
    </row>
    <row r="45" spans="1:20" x14ac:dyDescent="0.25">
      <c r="A45" s="248" t="str">
        <f t="shared" si="10"/>
        <v xml:space="preserve"> 21 Science, research, engineering and technology professionals</v>
      </c>
      <c r="B45" s="209">
        <v>1754.043337473742</v>
      </c>
      <c r="C45" s="396">
        <f t="shared" si="11"/>
        <v>5.0334129366011764</v>
      </c>
      <c r="E45" s="209">
        <v>1913.5093729856687</v>
      </c>
      <c r="F45" s="396">
        <f t="shared" si="12"/>
        <v>5.3418717614399061</v>
      </c>
      <c r="H45" s="211">
        <f t="shared" si="13"/>
        <v>159.46603551192675</v>
      </c>
      <c r="I45" s="396">
        <f t="shared" si="14"/>
        <v>9.0913395413363851</v>
      </c>
      <c r="K45" s="211">
        <f t="shared" si="15"/>
        <v>48.973144842092353</v>
      </c>
      <c r="L45" s="396">
        <f t="shared" si="16"/>
        <v>2.7920145298476973</v>
      </c>
      <c r="N45" s="211">
        <f t="shared" si="17"/>
        <v>103.63365681579724</v>
      </c>
      <c r="O45" s="396">
        <f t="shared" si="18"/>
        <v>5.9082723101388961</v>
      </c>
      <c r="Q45" s="209">
        <v>6.8592338540371589</v>
      </c>
      <c r="R45" s="396">
        <f t="shared" ref="R45:R67" si="19">IF(B45&gt;0,Q45/B45*100,0)</f>
        <v>0.39105270134979447</v>
      </c>
      <c r="T45" s="205"/>
    </row>
    <row r="46" spans="1:20" x14ac:dyDescent="0.25">
      <c r="A46" s="248" t="str">
        <f t="shared" si="10"/>
        <v xml:space="preserve"> 22 Health professionals</v>
      </c>
      <c r="B46" s="209">
        <v>1543.0008922696509</v>
      </c>
      <c r="C46" s="396">
        <f t="shared" si="11"/>
        <v>4.4278043115644987</v>
      </c>
      <c r="E46" s="209">
        <v>1773.4125813814876</v>
      </c>
      <c r="F46" s="396">
        <f t="shared" si="12"/>
        <v>4.9507688457687893</v>
      </c>
      <c r="H46" s="211">
        <f t="shared" si="13"/>
        <v>230.41168911183672</v>
      </c>
      <c r="I46" s="396">
        <f t="shared" si="14"/>
        <v>14.93269966765325</v>
      </c>
      <c r="K46" s="211">
        <f t="shared" si="15"/>
        <v>43.080809107848268</v>
      </c>
      <c r="L46" s="396">
        <f t="shared" si="16"/>
        <v>2.7920145298476973</v>
      </c>
      <c r="N46" s="211">
        <f t="shared" si="17"/>
        <v>112.19773796451894</v>
      </c>
      <c r="O46" s="396">
        <f t="shared" si="18"/>
        <v>7.2713981259909435</v>
      </c>
      <c r="Q46" s="209">
        <v>75.133142039469519</v>
      </c>
      <c r="R46" s="396">
        <f t="shared" si="19"/>
        <v>4.8692870118146017</v>
      </c>
      <c r="T46" s="205"/>
    </row>
    <row r="47" spans="1:20" x14ac:dyDescent="0.25">
      <c r="A47" s="248" t="str">
        <f t="shared" si="10"/>
        <v xml:space="preserve"> 23 Teaching and educational professionals</v>
      </c>
      <c r="B47" s="209">
        <v>1720.7393221292084</v>
      </c>
      <c r="C47" s="396">
        <f t="shared" si="11"/>
        <v>4.93784354096847</v>
      </c>
      <c r="E47" s="209">
        <v>1932.8816486014659</v>
      </c>
      <c r="F47" s="396">
        <f t="shared" si="12"/>
        <v>5.395952610756777</v>
      </c>
      <c r="H47" s="211">
        <f t="shared" si="13"/>
        <v>212.14232647225754</v>
      </c>
      <c r="I47" s="396">
        <f t="shared" si="14"/>
        <v>12.328556902492171</v>
      </c>
      <c r="K47" s="211">
        <f t="shared" si="15"/>
        <v>48.043291894650274</v>
      </c>
      <c r="L47" s="396">
        <f t="shared" si="16"/>
        <v>2.7920145298476973</v>
      </c>
      <c r="N47" s="211">
        <f t="shared" si="17"/>
        <v>193.75928716802261</v>
      </c>
      <c r="O47" s="396">
        <f t="shared" si="18"/>
        <v>11.260234753528428</v>
      </c>
      <c r="Q47" s="209">
        <v>-29.660252590415347</v>
      </c>
      <c r="R47" s="396">
        <f t="shared" si="19"/>
        <v>-1.723692380883953</v>
      </c>
      <c r="T47" s="205"/>
    </row>
    <row r="48" spans="1:20" x14ac:dyDescent="0.25">
      <c r="A48" s="248" t="str">
        <f t="shared" si="10"/>
        <v xml:space="preserve"> 24 Business, media and public service professionals</v>
      </c>
      <c r="B48" s="209">
        <v>1855.7082866915723</v>
      </c>
      <c r="C48" s="396">
        <f t="shared" si="11"/>
        <v>5.3251512646455303</v>
      </c>
      <c r="E48" s="209">
        <v>2074.8152806992894</v>
      </c>
      <c r="F48" s="396">
        <f t="shared" si="12"/>
        <v>5.7921833645779355</v>
      </c>
      <c r="H48" s="211">
        <f t="shared" si="13"/>
        <v>219.10699400771705</v>
      </c>
      <c r="I48" s="396">
        <f t="shared" si="14"/>
        <v>11.807189501661885</v>
      </c>
      <c r="K48" s="211">
        <f t="shared" si="15"/>
        <v>51.811644996016462</v>
      </c>
      <c r="L48" s="396">
        <f t="shared" si="16"/>
        <v>2.7920145298476973</v>
      </c>
      <c r="N48" s="211">
        <f t="shared" si="17"/>
        <v>138.56314782753367</v>
      </c>
      <c r="O48" s="396">
        <f t="shared" si="18"/>
        <v>7.4668604338976872</v>
      </c>
      <c r="Q48" s="209">
        <v>28.732201184166932</v>
      </c>
      <c r="R48" s="396">
        <f t="shared" si="19"/>
        <v>1.5483145379165062</v>
      </c>
      <c r="T48" s="205"/>
    </row>
    <row r="49" spans="1:20" x14ac:dyDescent="0.25">
      <c r="A49" s="248" t="str">
        <f t="shared" si="10"/>
        <v xml:space="preserve"> 31 Science, engineering and technology associate professionals</v>
      </c>
      <c r="B49" s="209">
        <v>671.15032184498148</v>
      </c>
      <c r="C49" s="396">
        <f t="shared" si="11"/>
        <v>1.9259368569786801</v>
      </c>
      <c r="E49" s="209">
        <v>680.11357914850748</v>
      </c>
      <c r="F49" s="396">
        <f t="shared" si="12"/>
        <v>1.8986473619183295</v>
      </c>
      <c r="H49" s="211">
        <f t="shared" si="13"/>
        <v>8.9632573035260066</v>
      </c>
      <c r="I49" s="396">
        <f t="shared" si="14"/>
        <v>1.3355066684444417</v>
      </c>
      <c r="K49" s="211">
        <f t="shared" si="15"/>
        <v>18.738614503031467</v>
      </c>
      <c r="L49" s="396">
        <f t="shared" si="16"/>
        <v>2.7920145298476973</v>
      </c>
      <c r="N49" s="211">
        <f t="shared" si="17"/>
        <v>-5.9572262396237825</v>
      </c>
      <c r="O49" s="396">
        <f t="shared" si="18"/>
        <v>-0.88761430125630614</v>
      </c>
      <c r="Q49" s="209">
        <v>-3.8181309598816791</v>
      </c>
      <c r="R49" s="396">
        <f t="shared" si="19"/>
        <v>-0.56889356014695758</v>
      </c>
      <c r="T49" s="205"/>
    </row>
    <row r="50" spans="1:20" x14ac:dyDescent="0.25">
      <c r="A50" s="248" t="str">
        <f t="shared" si="10"/>
        <v xml:space="preserve"> 32 Health and social care associate professionals</v>
      </c>
      <c r="B50" s="209">
        <v>529.88238393074425</v>
      </c>
      <c r="C50" s="396">
        <f t="shared" si="11"/>
        <v>1.5205535628300892</v>
      </c>
      <c r="E50" s="209">
        <v>612.80601566154201</v>
      </c>
      <c r="F50" s="396">
        <f t="shared" si="12"/>
        <v>1.7107473820183943</v>
      </c>
      <c r="H50" s="211">
        <f t="shared" si="13"/>
        <v>82.923631730797752</v>
      </c>
      <c r="I50" s="396">
        <f t="shared" si="14"/>
        <v>15.649441129870789</v>
      </c>
      <c r="K50" s="211">
        <f t="shared" si="15"/>
        <v>14.794393150449739</v>
      </c>
      <c r="L50" s="396">
        <f t="shared" si="16"/>
        <v>2.7920145298476973</v>
      </c>
      <c r="N50" s="211">
        <f t="shared" si="17"/>
        <v>42.469987385323634</v>
      </c>
      <c r="O50" s="396">
        <f t="shared" si="18"/>
        <v>8.0149838291047004</v>
      </c>
      <c r="Q50" s="209">
        <v>25.659251195024375</v>
      </c>
      <c r="R50" s="396">
        <f t="shared" si="19"/>
        <v>4.8424427709183941</v>
      </c>
      <c r="T50" s="205"/>
    </row>
    <row r="51" spans="1:20" x14ac:dyDescent="0.25">
      <c r="A51" s="248" t="str">
        <f t="shared" si="10"/>
        <v xml:space="preserve"> 33 Protective service occupations</v>
      </c>
      <c r="B51" s="209">
        <v>386.24918721957175</v>
      </c>
      <c r="C51" s="396">
        <f t="shared" si="11"/>
        <v>1.1083829083167029</v>
      </c>
      <c r="E51" s="209">
        <v>375.37070820018812</v>
      </c>
      <c r="F51" s="396">
        <f t="shared" si="12"/>
        <v>1.0479082122694687</v>
      </c>
      <c r="H51" s="211">
        <f t="shared" si="13"/>
        <v>-10.878479019383633</v>
      </c>
      <c r="I51" s="396">
        <f t="shared" si="14"/>
        <v>-2.8164406241713347</v>
      </c>
      <c r="K51" s="211">
        <f t="shared" si="15"/>
        <v>10.784133428589078</v>
      </c>
      <c r="L51" s="396">
        <f t="shared" si="16"/>
        <v>2.7920145298476973</v>
      </c>
      <c r="N51" s="211">
        <f t="shared" si="17"/>
        <v>-15.655652731818414</v>
      </c>
      <c r="O51" s="396">
        <f t="shared" si="18"/>
        <v>-4.0532519549144368</v>
      </c>
      <c r="Q51" s="209">
        <v>-6.006959716154296</v>
      </c>
      <c r="R51" s="396">
        <f t="shared" si="19"/>
        <v>-1.5552031991046</v>
      </c>
      <c r="T51" s="205"/>
    </row>
    <row r="52" spans="1:20" x14ac:dyDescent="0.25">
      <c r="A52" s="248" t="str">
        <f t="shared" si="10"/>
        <v xml:space="preserve"> 34 Culture, media and sports occupations</v>
      </c>
      <c r="B52" s="209">
        <v>839.68302886898528</v>
      </c>
      <c r="C52" s="396">
        <f t="shared" si="11"/>
        <v>2.4095592907303973</v>
      </c>
      <c r="E52" s="209">
        <v>891.90974845505184</v>
      </c>
      <c r="F52" s="396">
        <f t="shared" si="12"/>
        <v>2.4899107191677681</v>
      </c>
      <c r="H52" s="211">
        <f t="shared" si="13"/>
        <v>52.226719586066565</v>
      </c>
      <c r="I52" s="396">
        <f t="shared" si="14"/>
        <v>6.2198136428234907</v>
      </c>
      <c r="K52" s="211">
        <f t="shared" si="15"/>
        <v>23.444072170687303</v>
      </c>
      <c r="L52" s="396">
        <f t="shared" si="16"/>
        <v>2.7920145298476973</v>
      </c>
      <c r="N52" s="211">
        <f t="shared" si="17"/>
        <v>5.8028870008071962</v>
      </c>
      <c r="O52" s="396">
        <f t="shared" si="18"/>
        <v>0.69108065797440499</v>
      </c>
      <c r="Q52" s="209">
        <v>22.979760414572066</v>
      </c>
      <c r="R52" s="396">
        <f t="shared" si="19"/>
        <v>2.7367184550013777</v>
      </c>
      <c r="T52" s="205"/>
    </row>
    <row r="53" spans="1:20" x14ac:dyDescent="0.25">
      <c r="A53" s="248" t="str">
        <f t="shared" si="10"/>
        <v xml:space="preserve"> 35 Business and public service associate professionals</v>
      </c>
      <c r="B53" s="209">
        <v>2457.418760057772</v>
      </c>
      <c r="C53" s="396">
        <f t="shared" si="11"/>
        <v>7.0518231296017673</v>
      </c>
      <c r="E53" s="209">
        <v>2749.3219079367932</v>
      </c>
      <c r="F53" s="396">
        <f t="shared" si="12"/>
        <v>7.6751780108607992</v>
      </c>
      <c r="H53" s="211">
        <f t="shared" si="13"/>
        <v>291.90314787902116</v>
      </c>
      <c r="I53" s="396">
        <f t="shared" si="14"/>
        <v>11.878445490184131</v>
      </c>
      <c r="K53" s="211">
        <f t="shared" si="15"/>
        <v>68.611488840016122</v>
      </c>
      <c r="L53" s="396">
        <f t="shared" si="16"/>
        <v>2.7920145298476977</v>
      </c>
      <c r="N53" s="211">
        <f t="shared" si="17"/>
        <v>234.44170286057397</v>
      </c>
      <c r="O53" s="396">
        <f t="shared" si="18"/>
        <v>9.5401608659918598</v>
      </c>
      <c r="Q53" s="209">
        <v>-11.150043821568934</v>
      </c>
      <c r="R53" s="396">
        <f t="shared" si="19"/>
        <v>-0.45372990565542864</v>
      </c>
      <c r="T53" s="205"/>
    </row>
    <row r="54" spans="1:20" x14ac:dyDescent="0.25">
      <c r="A54" s="248" t="str">
        <f t="shared" si="10"/>
        <v xml:space="preserve"> 41 Administrative occupations</v>
      </c>
      <c r="B54" s="209">
        <v>2931.8021720360434</v>
      </c>
      <c r="C54" s="396">
        <f t="shared" si="11"/>
        <v>8.4131165205617719</v>
      </c>
      <c r="E54" s="209">
        <v>2688.2376263800124</v>
      </c>
      <c r="F54" s="396">
        <f t="shared" si="12"/>
        <v>7.5046513318057215</v>
      </c>
      <c r="H54" s="211">
        <f t="shared" si="13"/>
        <v>-243.56454565603099</v>
      </c>
      <c r="I54" s="396">
        <f t="shared" si="14"/>
        <v>-8.3076732795679398</v>
      </c>
      <c r="K54" s="211">
        <f t="shared" si="15"/>
        <v>81.856342629636714</v>
      </c>
      <c r="L54" s="396">
        <f t="shared" si="16"/>
        <v>2.7920145298476973</v>
      </c>
      <c r="N54" s="211">
        <f t="shared" si="17"/>
        <v>-316.65241921210759</v>
      </c>
      <c r="O54" s="396">
        <f t="shared" si="18"/>
        <v>-10.800606610922951</v>
      </c>
      <c r="Q54" s="209">
        <v>-8.7684690735601212</v>
      </c>
      <c r="R54" s="396">
        <f t="shared" si="19"/>
        <v>-0.29908119849269016</v>
      </c>
      <c r="T54" s="205"/>
    </row>
    <row r="55" spans="1:20" x14ac:dyDescent="0.25">
      <c r="A55" s="248" t="str">
        <f t="shared" si="10"/>
        <v xml:space="preserve"> 42 Secretarial and related occupations</v>
      </c>
      <c r="B55" s="209">
        <v>748.98422550601674</v>
      </c>
      <c r="C55" s="396">
        <f t="shared" si="11"/>
        <v>2.149289478446899</v>
      </c>
      <c r="E55" s="209">
        <v>388.91745057015663</v>
      </c>
      <c r="F55" s="396">
        <f t="shared" si="12"/>
        <v>1.085726140703613</v>
      </c>
      <c r="H55" s="211">
        <f t="shared" si="13"/>
        <v>-360.06677493586011</v>
      </c>
      <c r="I55" s="396">
        <f t="shared" si="14"/>
        <v>-48.074013133266938</v>
      </c>
      <c r="K55" s="211">
        <f t="shared" si="15"/>
        <v>20.911748402395229</v>
      </c>
      <c r="L55" s="396">
        <f t="shared" si="16"/>
        <v>2.7920145298476973</v>
      </c>
      <c r="N55" s="211">
        <f t="shared" si="17"/>
        <v>-390.73083747714145</v>
      </c>
      <c r="O55" s="396">
        <f t="shared" si="18"/>
        <v>-52.168099697047978</v>
      </c>
      <c r="Q55" s="209">
        <v>9.7523141388861099</v>
      </c>
      <c r="R55" s="396">
        <f t="shared" si="19"/>
        <v>1.3020720339333458</v>
      </c>
      <c r="T55" s="205"/>
    </row>
    <row r="56" spans="1:20" x14ac:dyDescent="0.25">
      <c r="A56" s="248" t="str">
        <f t="shared" si="10"/>
        <v xml:space="preserve"> 51 Skilled agricultural and related trades</v>
      </c>
      <c r="B56" s="209">
        <v>354.96114624116797</v>
      </c>
      <c r="C56" s="396">
        <f t="shared" si="11"/>
        <v>1.0185985644199187</v>
      </c>
      <c r="E56" s="209">
        <v>360.42857252278969</v>
      </c>
      <c r="F56" s="396">
        <f t="shared" si="12"/>
        <v>1.0061948171026835</v>
      </c>
      <c r="H56" s="211">
        <f t="shared" si="13"/>
        <v>5.4674262816217265</v>
      </c>
      <c r="I56" s="396">
        <f t="shared" si="14"/>
        <v>1.5402886596233456</v>
      </c>
      <c r="K56" s="211">
        <f t="shared" si="15"/>
        <v>9.9105667783673432</v>
      </c>
      <c r="L56" s="396">
        <f t="shared" si="16"/>
        <v>2.7920145298476973</v>
      </c>
      <c r="N56" s="211">
        <f t="shared" si="17"/>
        <v>10.165687349228847</v>
      </c>
      <c r="O56" s="396">
        <f t="shared" si="18"/>
        <v>2.8638873456651699</v>
      </c>
      <c r="Q56" s="209">
        <v>-14.608827845974464</v>
      </c>
      <c r="R56" s="396">
        <f t="shared" si="19"/>
        <v>-4.1156132158895282</v>
      </c>
      <c r="T56" s="205"/>
    </row>
    <row r="57" spans="1:20" x14ac:dyDescent="0.25">
      <c r="A57" s="248" t="str">
        <f t="shared" si="10"/>
        <v xml:space="preserve"> 52 Skilled metal, electrical and electronic trades</v>
      </c>
      <c r="B57" s="209">
        <v>1228.0409620922514</v>
      </c>
      <c r="C57" s="396">
        <f t="shared" si="11"/>
        <v>3.5239934688123551</v>
      </c>
      <c r="E57" s="209">
        <v>1043.8089392652857</v>
      </c>
      <c r="F57" s="396">
        <f t="shared" si="12"/>
        <v>2.9139619464208044</v>
      </c>
      <c r="H57" s="211">
        <f t="shared" si="13"/>
        <v>-184.2320228269657</v>
      </c>
      <c r="I57" s="396">
        <f t="shared" si="14"/>
        <v>-15.002107300483193</v>
      </c>
      <c r="K57" s="211">
        <f t="shared" si="15"/>
        <v>34.287082094097116</v>
      </c>
      <c r="L57" s="396">
        <f t="shared" si="16"/>
        <v>2.7920145298476977</v>
      </c>
      <c r="N57" s="211">
        <f t="shared" si="17"/>
        <v>-169.37118394524515</v>
      </c>
      <c r="O57" s="396">
        <f t="shared" si="18"/>
        <v>-13.791981633632336</v>
      </c>
      <c r="Q57" s="209">
        <v>-49.147920975817676</v>
      </c>
      <c r="R57" s="396">
        <f t="shared" si="19"/>
        <v>-4.0021401966985568</v>
      </c>
      <c r="T57" s="205"/>
    </row>
    <row r="58" spans="1:20" x14ac:dyDescent="0.25">
      <c r="A58" s="248" t="str">
        <f t="shared" si="10"/>
        <v xml:space="preserve"> 53 Skilled construction and building trades</v>
      </c>
      <c r="B58" s="209">
        <v>1069.1049856779691</v>
      </c>
      <c r="C58" s="396">
        <f t="shared" si="11"/>
        <v>3.0679098688899193</v>
      </c>
      <c r="E58" s="209">
        <v>1063.8777838174137</v>
      </c>
      <c r="F58" s="396">
        <f t="shared" si="12"/>
        <v>2.9699873808980164</v>
      </c>
      <c r="H58" s="211">
        <f t="shared" si="13"/>
        <v>-5.2272018605553967</v>
      </c>
      <c r="I58" s="396">
        <f t="shared" si="14"/>
        <v>-0.48893251182816622</v>
      </c>
      <c r="K58" s="211">
        <f t="shared" si="15"/>
        <v>29.84956653945504</v>
      </c>
      <c r="L58" s="396">
        <f t="shared" si="16"/>
        <v>2.7920145298476973</v>
      </c>
      <c r="N58" s="211">
        <f t="shared" si="17"/>
        <v>-18.738256656544777</v>
      </c>
      <c r="O58" s="396">
        <f t="shared" si="18"/>
        <v>-1.7527050109734525</v>
      </c>
      <c r="Q58" s="209">
        <v>-16.338511743465659</v>
      </c>
      <c r="R58" s="396">
        <f t="shared" si="19"/>
        <v>-1.5282420307024056</v>
      </c>
      <c r="T58" s="205"/>
    </row>
    <row r="59" spans="1:20" x14ac:dyDescent="0.25">
      <c r="A59" s="248" t="str">
        <f t="shared" si="10"/>
        <v xml:space="preserve"> 54 Textiles, printing and other skilled trades</v>
      </c>
      <c r="B59" s="209">
        <v>780.72926486080155</v>
      </c>
      <c r="C59" s="396">
        <f t="shared" si="11"/>
        <v>2.2403852275356408</v>
      </c>
      <c r="E59" s="209">
        <v>658.07025657011309</v>
      </c>
      <c r="F59" s="396">
        <f t="shared" si="12"/>
        <v>1.8371098517957085</v>
      </c>
      <c r="H59" s="211">
        <f t="shared" si="13"/>
        <v>-122.65900829068846</v>
      </c>
      <c r="I59" s="396">
        <f t="shared" si="14"/>
        <v>-15.710824969851444</v>
      </c>
      <c r="K59" s="211">
        <f t="shared" si="15"/>
        <v>21.798074513686693</v>
      </c>
      <c r="L59" s="396">
        <f t="shared" si="16"/>
        <v>2.7920145298476977</v>
      </c>
      <c r="N59" s="211">
        <f t="shared" si="17"/>
        <v>-132.27029757299238</v>
      </c>
      <c r="O59" s="396">
        <f t="shared" si="18"/>
        <v>-16.941890553644768</v>
      </c>
      <c r="Q59" s="209">
        <v>-12.186785231382792</v>
      </c>
      <c r="R59" s="396">
        <f t="shared" si="19"/>
        <v>-1.5609489460543802</v>
      </c>
      <c r="T59" s="205"/>
    </row>
    <row r="60" spans="1:20" x14ac:dyDescent="0.25">
      <c r="A60" s="248" t="str">
        <f t="shared" si="10"/>
        <v xml:space="preserve"> 61 Caring personal service occupations</v>
      </c>
      <c r="B60" s="209">
        <v>2578.4645595025959</v>
      </c>
      <c r="C60" s="396">
        <f t="shared" si="11"/>
        <v>7.3991768578878157</v>
      </c>
      <c r="E60" s="209">
        <v>3056.5262037008101</v>
      </c>
      <c r="F60" s="396">
        <f t="shared" si="12"/>
        <v>8.532788627094309</v>
      </c>
      <c r="H60" s="211">
        <f t="shared" si="13"/>
        <v>478.06164419821425</v>
      </c>
      <c r="I60" s="396">
        <f t="shared" si="14"/>
        <v>18.540555170183758</v>
      </c>
      <c r="K60" s="211">
        <f t="shared" si="15"/>
        <v>71.991105148285897</v>
      </c>
      <c r="L60" s="396">
        <f t="shared" si="16"/>
        <v>2.7920145298476973</v>
      </c>
      <c r="N60" s="211">
        <f t="shared" si="17"/>
        <v>310.37941760979714</v>
      </c>
      <c r="O60" s="396">
        <f t="shared" si="18"/>
        <v>12.037373810934657</v>
      </c>
      <c r="Q60" s="209">
        <v>95.691121440131226</v>
      </c>
      <c r="R60" s="396">
        <f t="shared" si="19"/>
        <v>3.7111668294013986</v>
      </c>
      <c r="T60" s="205"/>
    </row>
    <row r="61" spans="1:20" x14ac:dyDescent="0.25">
      <c r="A61" s="248" t="str">
        <f t="shared" si="10"/>
        <v xml:space="preserve"> 62 Leisure, travel and related personal service occupations</v>
      </c>
      <c r="B61" s="209">
        <v>766.62156622264706</v>
      </c>
      <c r="C61" s="396">
        <f t="shared" si="11"/>
        <v>2.1999016936833762</v>
      </c>
      <c r="E61" s="209">
        <v>754.2829899415766</v>
      </c>
      <c r="F61" s="396">
        <f t="shared" si="12"/>
        <v>2.1057033014771367</v>
      </c>
      <c r="H61" s="211">
        <f t="shared" si="13"/>
        <v>-12.338576281070459</v>
      </c>
      <c r="I61" s="396">
        <f t="shared" si="14"/>
        <v>-1.6094741949233105</v>
      </c>
      <c r="K61" s="211">
        <f t="shared" si="15"/>
        <v>21.404185517882294</v>
      </c>
      <c r="L61" s="396">
        <f t="shared" si="16"/>
        <v>2.7920145298476973</v>
      </c>
      <c r="N61" s="211">
        <f t="shared" si="17"/>
        <v>-41.054818984942017</v>
      </c>
      <c r="O61" s="396">
        <f t="shared" si="18"/>
        <v>-5.3552914232807556</v>
      </c>
      <c r="Q61" s="209">
        <v>7.3120571859892687</v>
      </c>
      <c r="R61" s="396">
        <f t="shared" si="19"/>
        <v>0.95380269850974353</v>
      </c>
      <c r="T61" s="205"/>
    </row>
    <row r="62" spans="1:20" x14ac:dyDescent="0.25">
      <c r="A62" s="248" t="str">
        <f t="shared" si="10"/>
        <v xml:space="preserve"> 71 Sales occupations</v>
      </c>
      <c r="B62" s="209">
        <v>2232.1008314340879</v>
      </c>
      <c r="C62" s="396">
        <f t="shared" si="11"/>
        <v>6.4052494945306719</v>
      </c>
      <c r="E62" s="209">
        <v>2077.8628337740365</v>
      </c>
      <c r="F62" s="396">
        <f t="shared" si="12"/>
        <v>5.8006911032602293</v>
      </c>
      <c r="H62" s="211">
        <f t="shared" si="13"/>
        <v>-154.23799766005141</v>
      </c>
      <c r="I62" s="396">
        <f t="shared" si="14"/>
        <v>-6.9099923931732032</v>
      </c>
      <c r="K62" s="211">
        <f t="shared" si="15"/>
        <v>62.320579534490989</v>
      </c>
      <c r="L62" s="396">
        <f t="shared" si="16"/>
        <v>2.7920145298476973</v>
      </c>
      <c r="N62" s="211">
        <f t="shared" si="17"/>
        <v>-213.83063620450289</v>
      </c>
      <c r="O62" s="396">
        <f t="shared" si="18"/>
        <v>-9.5797928656798295</v>
      </c>
      <c r="Q62" s="209">
        <v>-2.727940990039496</v>
      </c>
      <c r="R62" s="396">
        <f t="shared" si="19"/>
        <v>-0.12221405734107625</v>
      </c>
      <c r="T62" s="205"/>
    </row>
    <row r="63" spans="1:20" x14ac:dyDescent="0.25">
      <c r="A63" s="248" t="str">
        <f t="shared" si="10"/>
        <v xml:space="preserve"> 72 Customer service occupations</v>
      </c>
      <c r="B63" s="209">
        <v>696.93275934173869</v>
      </c>
      <c r="C63" s="396">
        <f t="shared" si="11"/>
        <v>1.9999222891859565</v>
      </c>
      <c r="E63" s="209">
        <v>798.75091212199368</v>
      </c>
      <c r="F63" s="396">
        <f t="shared" si="12"/>
        <v>2.2298427183720948</v>
      </c>
      <c r="H63" s="211">
        <f t="shared" si="13"/>
        <v>101.81815278025499</v>
      </c>
      <c r="I63" s="396">
        <f t="shared" si="14"/>
        <v>14.609465750529992</v>
      </c>
      <c r="K63" s="211">
        <f t="shared" si="15"/>
        <v>19.458463904089829</v>
      </c>
      <c r="L63" s="396">
        <f t="shared" si="16"/>
        <v>2.7920145298476973</v>
      </c>
      <c r="N63" s="211">
        <f t="shared" si="17"/>
        <v>81.358786442724266</v>
      </c>
      <c r="O63" s="396">
        <f t="shared" si="18"/>
        <v>11.673835868982341</v>
      </c>
      <c r="Q63" s="209">
        <v>1.0009024334409002</v>
      </c>
      <c r="R63" s="396">
        <f t="shared" si="19"/>
        <v>0.14361535169996378</v>
      </c>
      <c r="T63" s="205"/>
    </row>
    <row r="64" spans="1:20" x14ac:dyDescent="0.25">
      <c r="A64" s="248" t="str">
        <f t="shared" si="10"/>
        <v xml:space="preserve"> 81 Process, plant and machine operatives</v>
      </c>
      <c r="B64" s="209">
        <v>910.36505814126201</v>
      </c>
      <c r="C64" s="396">
        <f t="shared" si="11"/>
        <v>2.6123888519638734</v>
      </c>
      <c r="E64" s="209">
        <v>708.95931242337531</v>
      </c>
      <c r="F64" s="396">
        <f t="shared" si="12"/>
        <v>1.9791749047641822</v>
      </c>
      <c r="H64" s="211">
        <f t="shared" si="13"/>
        <v>-201.4057457178867</v>
      </c>
      <c r="I64" s="396">
        <f t="shared" si="14"/>
        <v>-22.123624354509708</v>
      </c>
      <c r="K64" s="211">
        <f t="shared" si="15"/>
        <v>25.417524697960474</v>
      </c>
      <c r="L64" s="396">
        <f t="shared" si="16"/>
        <v>2.7920145298476973</v>
      </c>
      <c r="N64" s="211">
        <f t="shared" si="17"/>
        <v>-165.25384905395237</v>
      </c>
      <c r="O64" s="396">
        <f t="shared" si="18"/>
        <v>-18.152481532118493</v>
      </c>
      <c r="Q64" s="209">
        <v>-61.569421361894811</v>
      </c>
      <c r="R64" s="396">
        <f t="shared" si="19"/>
        <v>-6.7631573522389115</v>
      </c>
      <c r="T64" s="205"/>
    </row>
    <row r="65" spans="1:21" x14ac:dyDescent="0.25">
      <c r="A65" s="248" t="str">
        <f t="shared" si="10"/>
        <v xml:space="preserve"> 82 Transport and mobile machine drivers and operatives</v>
      </c>
      <c r="B65" s="209">
        <v>1269.5914805445047</v>
      </c>
      <c r="C65" s="396">
        <f t="shared" si="11"/>
        <v>3.643227077601789</v>
      </c>
      <c r="E65" s="209">
        <v>1265.1666013580495</v>
      </c>
      <c r="F65" s="396">
        <f t="shared" si="12"/>
        <v>3.5319177615348321</v>
      </c>
      <c r="H65" s="211">
        <f t="shared" si="13"/>
        <v>-4.4248791864552004</v>
      </c>
      <c r="I65" s="396">
        <f t="shared" si="14"/>
        <v>-0.34852779451209903</v>
      </c>
      <c r="K65" s="211">
        <f t="shared" si="15"/>
        <v>35.447178606511073</v>
      </c>
      <c r="L65" s="396">
        <f t="shared" si="16"/>
        <v>2.7920145298476973</v>
      </c>
      <c r="N65" s="211">
        <f t="shared" si="17"/>
        <v>13.994286241242015</v>
      </c>
      <c r="O65" s="396">
        <f t="shared" si="18"/>
        <v>1.1022668673895102</v>
      </c>
      <c r="Q65" s="209">
        <v>-53.866344034208289</v>
      </c>
      <c r="R65" s="396">
        <f t="shared" si="19"/>
        <v>-4.2428091917493012</v>
      </c>
      <c r="T65" s="205"/>
    </row>
    <row r="66" spans="1:21" x14ac:dyDescent="0.25">
      <c r="A66" s="248" t="str">
        <f t="shared" si="10"/>
        <v xml:space="preserve"> 91 Elementary trades and related occupations</v>
      </c>
      <c r="B66" s="209">
        <v>555.13378958997748</v>
      </c>
      <c r="C66" s="396">
        <f t="shared" si="11"/>
        <v>1.5930151429958368</v>
      </c>
      <c r="E66" s="209">
        <v>530.97531625291219</v>
      </c>
      <c r="F66" s="396">
        <f t="shared" si="12"/>
        <v>1.482303712726208</v>
      </c>
      <c r="H66" s="211">
        <f t="shared" si="13"/>
        <v>-24.158473337065288</v>
      </c>
      <c r="I66" s="396">
        <f t="shared" si="14"/>
        <v>-4.3518290167328448</v>
      </c>
      <c r="K66" s="211">
        <f t="shared" si="15"/>
        <v>15.499416065446315</v>
      </c>
      <c r="L66" s="396">
        <f t="shared" si="16"/>
        <v>2.7920145298476973</v>
      </c>
      <c r="N66" s="211">
        <f t="shared" si="17"/>
        <v>-20.426536976480339</v>
      </c>
      <c r="O66" s="396">
        <f t="shared" si="18"/>
        <v>-3.6795701071569438</v>
      </c>
      <c r="Q66" s="209">
        <v>-19.231352426031265</v>
      </c>
      <c r="R66" s="396">
        <f t="shared" si="19"/>
        <v>-3.4642734394235966</v>
      </c>
      <c r="T66" s="205"/>
    </row>
    <row r="67" spans="1:21" x14ac:dyDescent="0.25">
      <c r="A67" s="248" t="str">
        <f t="shared" si="10"/>
        <v xml:space="preserve"> 92 Elementary administration and service occupations</v>
      </c>
      <c r="B67" s="209">
        <v>3400.859321554502</v>
      </c>
      <c r="C67" s="396">
        <f t="shared" si="11"/>
        <v>9.7591256378689017</v>
      </c>
      <c r="E67" s="209">
        <v>3415.9759462743414</v>
      </c>
      <c r="F67" s="396">
        <f t="shared" si="12"/>
        <v>9.5362508816399369</v>
      </c>
      <c r="H67" s="211">
        <f t="shared" si="13"/>
        <v>15.116624719839365</v>
      </c>
      <c r="I67" s="396">
        <f t="shared" si="14"/>
        <v>0.4444942671997909</v>
      </c>
      <c r="K67" s="211">
        <f t="shared" si="15"/>
        <v>94.952486397481522</v>
      </c>
      <c r="L67" s="396">
        <f t="shared" si="16"/>
        <v>2.7920145298476973</v>
      </c>
      <c r="N67" s="211">
        <f t="shared" si="17"/>
        <v>-105.98105137107186</v>
      </c>
      <c r="O67" s="396">
        <f t="shared" si="18"/>
        <v>-3.1163021269174074</v>
      </c>
      <c r="Q67" s="209">
        <v>26.1451896934297</v>
      </c>
      <c r="R67" s="396">
        <f t="shared" si="19"/>
        <v>0.76878186426949791</v>
      </c>
      <c r="T67" s="205"/>
    </row>
    <row r="68" spans="1:21" x14ac:dyDescent="0.25">
      <c r="A68" s="248"/>
      <c r="B68" s="209"/>
      <c r="C68" s="396"/>
      <c r="E68" s="209"/>
      <c r="F68" s="396"/>
      <c r="H68" s="211"/>
      <c r="I68" s="396"/>
      <c r="K68" s="211"/>
      <c r="L68" s="396"/>
      <c r="N68" s="211"/>
      <c r="O68" s="396"/>
      <c r="Q68" s="209"/>
      <c r="R68" s="396"/>
      <c r="T68" s="205"/>
    </row>
    <row r="69" spans="1:21" x14ac:dyDescent="0.25">
      <c r="A69" s="203" t="str">
        <f>name!$D$3</f>
        <v>All occupations</v>
      </c>
      <c r="B69" s="210">
        <f>SUM(B43:B67)</f>
        <v>34847.991999999984</v>
      </c>
      <c r="C69" s="201">
        <f>B69/B$69*100</f>
        <v>100</v>
      </c>
      <c r="D69" s="198"/>
      <c r="E69" s="210">
        <f>SUM(E43:E67)</f>
        <v>35820.953000000147</v>
      </c>
      <c r="F69" s="201">
        <f>E69/E$69*100</f>
        <v>100</v>
      </c>
      <c r="G69" s="198"/>
      <c r="H69" s="210">
        <f t="shared" si="13"/>
        <v>972.96100000016304</v>
      </c>
      <c r="I69" s="201">
        <f t="shared" si="14"/>
        <v>2.7920145298476973</v>
      </c>
      <c r="J69" s="198"/>
      <c r="K69" s="198"/>
      <c r="L69" s="198"/>
      <c r="M69" s="198"/>
      <c r="N69" s="198"/>
      <c r="O69" s="198"/>
      <c r="P69" s="198"/>
      <c r="Q69" s="198"/>
      <c r="R69" s="198"/>
    </row>
    <row r="75" spans="1:21" x14ac:dyDescent="0.25">
      <c r="T75" s="185"/>
      <c r="U75" s="185"/>
    </row>
    <row r="76" spans="1:21" x14ac:dyDescent="0.25">
      <c r="T76" s="205"/>
      <c r="U76" s="185"/>
    </row>
    <row r="77" spans="1:21" x14ac:dyDescent="0.25">
      <c r="T77" s="205"/>
      <c r="U77" s="185"/>
    </row>
    <row r="78" spans="1:21" x14ac:dyDescent="0.25">
      <c r="T78" s="205"/>
      <c r="U78" s="185"/>
    </row>
    <row r="79" spans="1:21" x14ac:dyDescent="0.25">
      <c r="T79" s="205"/>
      <c r="U79" s="185"/>
    </row>
    <row r="80" spans="1:21" x14ac:dyDescent="0.25">
      <c r="T80" s="205"/>
      <c r="U80" s="185"/>
    </row>
    <row r="81" spans="20:21" x14ac:dyDescent="0.25">
      <c r="T81" s="205"/>
      <c r="U81" s="185"/>
    </row>
    <row r="82" spans="20:21" x14ac:dyDescent="0.25">
      <c r="T82" s="205"/>
      <c r="U82" s="185"/>
    </row>
    <row r="83" spans="20:21" x14ac:dyDescent="0.25">
      <c r="T83" s="205"/>
      <c r="U83" s="185"/>
    </row>
    <row r="84" spans="20:21" x14ac:dyDescent="0.25">
      <c r="T84" s="205"/>
      <c r="U84" s="185"/>
    </row>
    <row r="85" spans="20:21" x14ac:dyDescent="0.25">
      <c r="T85" s="205"/>
      <c r="U85" s="185"/>
    </row>
    <row r="86" spans="20:21" x14ac:dyDescent="0.25">
      <c r="T86" s="205"/>
      <c r="U86" s="185"/>
    </row>
    <row r="87" spans="20:21" x14ac:dyDescent="0.25">
      <c r="T87" s="205"/>
      <c r="U87" s="185"/>
    </row>
    <row r="88" spans="20:21" x14ac:dyDescent="0.25">
      <c r="T88" s="205"/>
      <c r="U88" s="185"/>
    </row>
    <row r="89" spans="20:21" x14ac:dyDescent="0.25">
      <c r="T89" s="205"/>
      <c r="U89" s="185"/>
    </row>
    <row r="90" spans="20:21" x14ac:dyDescent="0.25">
      <c r="T90" s="205"/>
      <c r="U90" s="185"/>
    </row>
    <row r="91" spans="20:21" x14ac:dyDescent="0.25">
      <c r="T91" s="205"/>
      <c r="U91" s="185"/>
    </row>
    <row r="92" spans="20:21" x14ac:dyDescent="0.25">
      <c r="T92" s="205"/>
      <c r="U92" s="185"/>
    </row>
    <row r="93" spans="20:21" x14ac:dyDescent="0.25">
      <c r="T93" s="205"/>
      <c r="U93" s="185"/>
    </row>
    <row r="94" spans="20:21" x14ac:dyDescent="0.25">
      <c r="T94" s="205"/>
      <c r="U94" s="185"/>
    </row>
    <row r="95" spans="20:21" x14ac:dyDescent="0.25">
      <c r="T95" s="205"/>
      <c r="U95" s="185"/>
    </row>
    <row r="96" spans="20:21" x14ac:dyDescent="0.25">
      <c r="T96" s="205"/>
      <c r="U96" s="185"/>
    </row>
    <row r="97" spans="20:21" x14ac:dyDescent="0.25">
      <c r="T97" s="205"/>
      <c r="U97" s="185"/>
    </row>
    <row r="98" spans="20:21" x14ac:dyDescent="0.25">
      <c r="T98" s="205"/>
      <c r="U98" s="185"/>
    </row>
    <row r="99" spans="20:21" x14ac:dyDescent="0.25">
      <c r="T99" s="205"/>
      <c r="U99" s="185"/>
    </row>
    <row r="100" spans="20:21" x14ac:dyDescent="0.25">
      <c r="T100" s="205"/>
      <c r="U100" s="185"/>
    </row>
  </sheetData>
  <mergeCells count="8">
    <mergeCell ref="K39:L39"/>
    <mergeCell ref="N39:O39"/>
    <mergeCell ref="Q39:R39"/>
    <mergeCell ref="K3:R3"/>
    <mergeCell ref="K4:L4"/>
    <mergeCell ref="N4:O4"/>
    <mergeCell ref="Q4:R4"/>
    <mergeCell ref="K38:R38"/>
  </mergeCells>
  <pageMargins left="0.39370078740157483" right="0.39370078740157483" top="0.51181102362204722" bottom="0.51181102362204722" header="0.31496062992125984" footer="0.31496062992125984"/>
  <pageSetup paperSize="9" scale="59" fitToHeight="0" orientation="landscape" r:id="rId1"/>
  <rowBreaks count="2" manualBreakCount="2">
    <brk id="69" max="16383" man="1"/>
    <brk id="142" max="16383" man="1"/>
  </rowBreaks>
  <colBreaks count="1" manualBreakCount="1">
    <brk id="1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284"/>
  <sheetViews>
    <sheetView showGridLines="0" zoomScale="85" zoomScaleNormal="85" workbookViewId="0"/>
  </sheetViews>
  <sheetFormatPr defaultColWidth="9.109375" defaultRowHeight="13.2" x14ac:dyDescent="0.25"/>
  <cols>
    <col min="1" max="1" width="40.88671875" style="86" customWidth="1"/>
    <col min="2" max="3" width="9.6640625" style="89" customWidth="1"/>
    <col min="4" max="7" width="11.6640625" style="89" customWidth="1"/>
    <col min="8" max="8" width="7.6640625" style="86" customWidth="1"/>
    <col min="9" max="9" width="47" style="86" customWidth="1"/>
    <col min="10" max="14" width="11.6640625" style="86" customWidth="1"/>
    <col min="15" max="15" width="7.6640625" style="250" customWidth="1"/>
    <col min="16" max="16" width="53.5546875" style="250" customWidth="1"/>
    <col min="17" max="21" width="11.6640625" style="250" customWidth="1"/>
    <col min="22" max="22" width="11.88671875" style="86" customWidth="1"/>
    <col min="23" max="23" width="5.44140625" style="251" customWidth="1"/>
    <col min="24" max="24" width="32.33203125" style="86" customWidth="1"/>
    <col min="25" max="29" width="11.6640625" style="86" customWidth="1"/>
    <col min="30" max="30" width="11.88671875" style="86" customWidth="1"/>
    <col min="31" max="16384" width="9.109375" style="86"/>
  </cols>
  <sheetData>
    <row r="1" spans="1:30" ht="15.6" x14ac:dyDescent="0.3">
      <c r="A1" s="406" t="str">
        <f>CONCATENATE("Replacement Demand Table 1  Replacement Demand by Occupation and Qualification, ",$B$6,"-",$C$6)</f>
        <v>Replacement Demand Table 1  Replacement Demand by Occupation and Qualification, 2017-2027</v>
      </c>
      <c r="B1"/>
      <c r="I1" s="406" t="str">
        <f>CONCATENATE("Replacement Demand Table 1.1  Replacement Demand by Occupation Group and Qualification, ",$B$6,"-",$C$6)</f>
        <v>Replacement Demand Table 1.1  Replacement Demand by Occupation Group and Qualification, 2017-2027</v>
      </c>
      <c r="P1" s="406" t="str">
        <f>CONCATENATE("Replacement Demand Table 1.2  Replacement Demand by Occupation and Gender, ",$B$6,"-",$C$6)</f>
        <v>Replacement Demand Table 1.2  Replacement Demand by Occupation and Gender, 2017-2027</v>
      </c>
      <c r="Q1" s="251"/>
      <c r="R1" s="251"/>
      <c r="S1" s="121"/>
      <c r="T1" s="121"/>
      <c r="U1" s="121"/>
      <c r="V1" s="121"/>
      <c r="W1" s="121"/>
      <c r="X1" s="406" t="str">
        <f>CONCATENATE("Replacement Demand Table 1.3  Replacement Demand by Industry, ",$B$6,"-",$C$6)</f>
        <v>Replacement Demand Table 1.3  Replacement Demand by Industry, 2017-2027</v>
      </c>
    </row>
    <row r="2" spans="1:30" x14ac:dyDescent="0.25">
      <c r="B2"/>
      <c r="C2" s="251"/>
      <c r="D2" s="286"/>
      <c r="E2" s="251"/>
      <c r="F2" s="286"/>
      <c r="G2" s="251"/>
      <c r="H2" s="286"/>
      <c r="I2" s="251"/>
      <c r="J2" s="286"/>
      <c r="K2" s="251"/>
      <c r="L2" s="286"/>
      <c r="M2" s="251"/>
      <c r="N2" s="286"/>
      <c r="O2" s="251"/>
      <c r="P2" s="286"/>
      <c r="Q2" s="251"/>
      <c r="R2" s="286"/>
      <c r="S2" s="251"/>
      <c r="T2" s="286"/>
      <c r="U2" s="251"/>
      <c r="V2" s="286"/>
      <c r="X2" s="286"/>
      <c r="Y2" s="251"/>
      <c r="Z2" s="286"/>
      <c r="AA2" s="251"/>
      <c r="AB2" s="286"/>
      <c r="AC2" s="251"/>
      <c r="AD2" s="286"/>
    </row>
    <row r="3" spans="1:30" ht="15.6" x14ac:dyDescent="0.3">
      <c r="B3" s="406"/>
      <c r="C3" s="406"/>
      <c r="D3" s="406"/>
      <c r="E3" s="406"/>
      <c r="F3" s="406"/>
      <c r="G3" s="406"/>
      <c r="P3" s="118"/>
      <c r="Q3" s="114"/>
      <c r="R3" s="114"/>
      <c r="S3" s="488"/>
      <c r="T3" s="488"/>
      <c r="U3" s="488"/>
      <c r="V3" s="121"/>
      <c r="W3" s="121"/>
    </row>
    <row r="4" spans="1:30" ht="12.75" customHeight="1" x14ac:dyDescent="0.3">
      <c r="A4" s="406"/>
      <c r="B4" s="406"/>
      <c r="C4" s="406"/>
      <c r="D4" s="406"/>
      <c r="E4" s="406"/>
      <c r="F4" s="406"/>
      <c r="G4" s="406"/>
      <c r="I4" s="110"/>
      <c r="P4" s="297"/>
      <c r="Q4" s="114"/>
      <c r="R4" s="114"/>
      <c r="S4" s="488"/>
      <c r="T4" s="488"/>
      <c r="U4" s="488"/>
      <c r="V4" s="121"/>
      <c r="W4" s="121"/>
    </row>
    <row r="5" spans="1:30" s="90" customFormat="1" x14ac:dyDescent="0.25">
      <c r="B5" s="19"/>
      <c r="C5" s="88"/>
      <c r="D5" s="88"/>
      <c r="E5" s="88"/>
      <c r="F5" s="19" t="s">
        <v>35</v>
      </c>
      <c r="G5" s="88"/>
      <c r="N5" s="19" t="s">
        <v>35</v>
      </c>
      <c r="Q5" s="19"/>
      <c r="R5" s="88"/>
      <c r="S5" s="489"/>
      <c r="T5" s="489"/>
      <c r="U5" s="107" t="s">
        <v>35</v>
      </c>
      <c r="V5" s="489"/>
      <c r="W5" s="489"/>
      <c r="Y5" s="19"/>
      <c r="Z5" s="88"/>
      <c r="AA5" s="489"/>
      <c r="AB5" s="489"/>
      <c r="AC5" s="107" t="s">
        <v>35</v>
      </c>
      <c r="AD5" s="489"/>
    </row>
    <row r="6" spans="1:30" ht="24.9" customHeight="1" x14ac:dyDescent="0.25">
      <c r="A6" s="299" t="str">
        <f>CONCATENATE(name!F3," (Constrained)")</f>
        <v>All qualifications (Constrained)</v>
      </c>
      <c r="B6" s="96">
        <v>2017</v>
      </c>
      <c r="C6" s="96">
        <v>2027</v>
      </c>
      <c r="D6" s="117" t="s">
        <v>40</v>
      </c>
      <c r="E6" s="117" t="s">
        <v>139</v>
      </c>
      <c r="F6" s="117" t="s">
        <v>39</v>
      </c>
      <c r="G6" s="117" t="s">
        <v>138</v>
      </c>
      <c r="I6" s="300"/>
      <c r="J6" s="96">
        <f>B6</f>
        <v>2017</v>
      </c>
      <c r="K6" s="96">
        <f>C6</f>
        <v>2027</v>
      </c>
      <c r="L6" s="117" t="str">
        <f>D6</f>
        <v>Net Change</v>
      </c>
      <c r="M6" s="117" t="str">
        <f>E6</f>
        <v>Replacement Demand level</v>
      </c>
      <c r="N6" s="117" t="str">
        <f>F6</f>
        <v>Total Requirement</v>
      </c>
      <c r="P6" s="299" t="s">
        <v>98</v>
      </c>
      <c r="Q6" s="96">
        <f>B6</f>
        <v>2017</v>
      </c>
      <c r="R6" s="96">
        <f>C6</f>
        <v>2027</v>
      </c>
      <c r="S6" s="490" t="str">
        <f t="shared" ref="S6:V6" si="0">D6</f>
        <v>Net Change</v>
      </c>
      <c r="T6" s="490" t="str">
        <f t="shared" si="0"/>
        <v>Replacement Demand level</v>
      </c>
      <c r="U6" s="490" t="str">
        <f t="shared" si="0"/>
        <v>Total Requirement</v>
      </c>
      <c r="V6" s="490" t="str">
        <f t="shared" si="0"/>
        <v>Replacement Demand rate</v>
      </c>
      <c r="W6" s="494"/>
      <c r="X6" s="299"/>
      <c r="Y6" s="96">
        <f>J6</f>
        <v>2017</v>
      </c>
      <c r="Z6" s="96">
        <f>K6</f>
        <v>2027</v>
      </c>
      <c r="AA6" s="490" t="str">
        <f t="shared" ref="AA6" si="1">L6</f>
        <v>Net Change</v>
      </c>
      <c r="AB6" s="490" t="str">
        <f t="shared" ref="AB6" si="2">M6</f>
        <v>Replacement Demand level</v>
      </c>
      <c r="AC6" s="490" t="str">
        <f t="shared" ref="AC6" si="3">N6</f>
        <v>Total Requirement</v>
      </c>
      <c r="AD6" s="490" t="str">
        <f>G6</f>
        <v>Replacement Demand rate</v>
      </c>
    </row>
    <row r="7" spans="1:30" x14ac:dyDescent="0.25">
      <c r="A7" s="340" t="str">
        <f>name!D4</f>
        <v xml:space="preserve"> 11 Corporate managers and directors</v>
      </c>
      <c r="B7" s="87">
        <f>SUM(B35,B63,B91,B119,B147,B175,B203,B231,B259)</f>
        <v>2526.0004771128451</v>
      </c>
      <c r="C7" s="87">
        <f>SUM(C35,C63,C91,C119,C147,C175,C203,C231,C259)</f>
        <v>2874.8665595685729</v>
      </c>
      <c r="D7" s="87">
        <f>SUM(D35,D63,D91,D119,D147,D175,D203,D231,D259)</f>
        <v>348.86608245572762</v>
      </c>
      <c r="E7" s="87">
        <f>SUM(E35,E63,E91,E119,E147,E175,E203,E231,E259)</f>
        <v>954.53757289252019</v>
      </c>
      <c r="F7" s="87">
        <f>SUM(F35,F63,F91,F119,F147,F175,F203,F231,F259)</f>
        <v>1303.4036553482476</v>
      </c>
      <c r="G7" s="298">
        <f>IF(B7&gt;0,(1+(E7/B7))^(1/($C$6-$B$6))-1,0)</f>
        <v>3.2574262400478338E-2</v>
      </c>
      <c r="H7" s="87"/>
      <c r="I7" s="341" t="str">
        <f>name!F3</f>
        <v>All qualifications</v>
      </c>
      <c r="J7" s="113"/>
      <c r="K7" s="113"/>
      <c r="L7" s="113"/>
      <c r="M7" s="113"/>
      <c r="N7" s="113"/>
      <c r="O7" s="87"/>
      <c r="P7" s="340" t="str">
        <f>name!D4</f>
        <v xml:space="preserve"> 11 Corporate managers and directors</v>
      </c>
      <c r="Q7" s="87">
        <v>1726.2314897407989</v>
      </c>
      <c r="R7" s="87">
        <v>1849.2595669097982</v>
      </c>
      <c r="S7" s="491">
        <f>R7-Q7</f>
        <v>123.02807716899929</v>
      </c>
      <c r="T7" s="491">
        <v>581.09622705437857</v>
      </c>
      <c r="U7" s="491">
        <f>SUM(S7:T7)</f>
        <v>704.12430422337786</v>
      </c>
      <c r="V7" s="492">
        <f>IF(Q7&gt;0,(1+(T7/Q7))^(1/($C$6-$B$6))-1,0)</f>
        <v>2.9439965902476439E-2</v>
      </c>
      <c r="W7" s="492"/>
      <c r="X7" s="340" t="str">
        <f>name!A4</f>
        <v>Agriculture, etc</v>
      </c>
      <c r="Y7" s="340">
        <v>442.01100000123665</v>
      </c>
      <c r="Z7" s="340">
        <v>419.4320000009501</v>
      </c>
      <c r="AA7" s="491">
        <f>Z7-Y7</f>
        <v>-22.579000000286555</v>
      </c>
      <c r="AB7" s="340">
        <v>144.20522155147853</v>
      </c>
      <c r="AC7" s="491">
        <f>SUM(AA7:AB7)</f>
        <v>121.62622155119197</v>
      </c>
      <c r="AD7" s="492">
        <f>IF(Y7&gt;0,(1+(AB7/Y7))^(1/($C$6-$B$6))-1,0)</f>
        <v>2.8637790228442261E-2</v>
      </c>
    </row>
    <row r="8" spans="1:30" x14ac:dyDescent="0.25">
      <c r="A8" s="340" t="str">
        <f>name!D5</f>
        <v xml:space="preserve"> 12 Other managers and proprietors</v>
      </c>
      <c r="B8" s="87">
        <f t="shared" ref="B8:F8" si="4">SUM(B36,B64,B92,B120,B148,B176,B204,B232,B260)</f>
        <v>1040.4238796553404</v>
      </c>
      <c r="C8" s="87">
        <f t="shared" si="4"/>
        <v>1130.1048523887075</v>
      </c>
      <c r="D8" s="87">
        <f t="shared" si="4"/>
        <v>89.680972733366644</v>
      </c>
      <c r="E8" s="87">
        <f t="shared" si="4"/>
        <v>425.92351610692054</v>
      </c>
      <c r="F8" s="87">
        <f t="shared" si="4"/>
        <v>515.60448884028699</v>
      </c>
      <c r="G8" s="298">
        <f t="shared" ref="G8:G32" si="5">IF(B8&gt;0,(1+(E8/B8))^(1/($C$6-$B$6))-1,0)</f>
        <v>3.4910173140153988E-2</v>
      </c>
      <c r="H8" s="87"/>
      <c r="I8" s="342" t="str">
        <f>name!E4</f>
        <v>Managers, directors and senior officials</v>
      </c>
      <c r="J8" s="108">
        <f t="array" ref="J8:J16">MMULT(aggregation!$B$38:$Z$46,B7:B31)</f>
        <v>3566.4243567681856</v>
      </c>
      <c r="K8" s="108">
        <f t="array" ref="K8:K16">MMULT(aggregation!$B$38:$Z$46,C7:C31)</f>
        <v>4004.9714119572805</v>
      </c>
      <c r="L8" s="108">
        <f t="array" ref="L8:L16">MMULT(aggregation!$B$38:$Z$46,D7:D31)</f>
        <v>438.54705518909429</v>
      </c>
      <c r="M8" s="108">
        <f t="array" ref="M8:M16">MMULT(aggregation!$B$38:$Z$46,E7:E31)</f>
        <v>1380.4610889994408</v>
      </c>
      <c r="N8" s="108">
        <f t="array" ref="N8:N16">MMULT(aggregation!$B$38:$Z$46,F7:F31)</f>
        <v>1819.0081441885345</v>
      </c>
      <c r="O8" s="87"/>
      <c r="P8" s="340" t="str">
        <f>name!D5</f>
        <v xml:space="preserve"> 12 Other managers and proprietors</v>
      </c>
      <c r="Q8" s="87">
        <v>561.10202389216329</v>
      </c>
      <c r="R8" s="87">
        <v>587.06385860667126</v>
      </c>
      <c r="S8" s="491">
        <f t="shared" ref="S8:S32" si="6">R8-Q8</f>
        <v>25.961834714507972</v>
      </c>
      <c r="T8" s="491">
        <v>198.87545545963073</v>
      </c>
      <c r="U8" s="491">
        <f t="shared" ref="U8:U32" si="7">SUM(S8:T8)</f>
        <v>224.8372901741387</v>
      </c>
      <c r="V8" s="492">
        <f t="shared" ref="V8:V32" si="8">IF(Q8&gt;0,(1+(T8/Q8))^(1/($C$6-$B$6))-1,0)</f>
        <v>3.0803510157300096E-2</v>
      </c>
      <c r="W8" s="492"/>
      <c r="X8" s="340" t="str">
        <f>name!A5</f>
        <v>Coal, oil &amp; gas; Mining &amp; related</v>
      </c>
      <c r="Y8" s="340">
        <v>64.003999999661374</v>
      </c>
      <c r="Z8" s="340">
        <v>55.927999999928552</v>
      </c>
      <c r="AA8" s="491">
        <f t="shared" ref="AA8:AA71" si="9">Z8-Y8</f>
        <v>-8.0759999997328222</v>
      </c>
      <c r="AB8" s="340">
        <v>17.071565755648518</v>
      </c>
      <c r="AC8" s="491">
        <f t="shared" ref="AC8:AC71" si="10">SUM(AA8:AB8)</f>
        <v>8.9955657559156954</v>
      </c>
      <c r="AD8" s="492">
        <f t="shared" ref="AD8:AD71" si="11">IF(Y8&gt;0,(1+(AB8/Y8))^(1/($C$6-$B$6))-1,0)</f>
        <v>2.3925330877845985E-2</v>
      </c>
    </row>
    <row r="9" spans="1:30" x14ac:dyDescent="0.25">
      <c r="A9" s="340" t="str">
        <f>name!D6</f>
        <v xml:space="preserve"> 21 Science, research, engineering and technology professionals</v>
      </c>
      <c r="B9" s="87">
        <f t="shared" ref="B9:F9" si="12">SUM(B37,B65,B93,B121,B149,B177,B205,B233,B261)</f>
        <v>1754.0433374737433</v>
      </c>
      <c r="C9" s="87">
        <f t="shared" si="12"/>
        <v>1913.5093729856737</v>
      </c>
      <c r="D9" s="87">
        <f t="shared" si="12"/>
        <v>159.46603551193067</v>
      </c>
      <c r="E9" s="87">
        <f t="shared" si="12"/>
        <v>463.38614489392023</v>
      </c>
      <c r="F9" s="87">
        <f t="shared" si="12"/>
        <v>622.85218040585085</v>
      </c>
      <c r="G9" s="298">
        <f t="shared" si="5"/>
        <v>2.3719438538886806E-2</v>
      </c>
      <c r="H9" s="87"/>
      <c r="I9" s="342" t="str">
        <f>name!E5</f>
        <v>Professional occupations</v>
      </c>
      <c r="J9" s="108">
        <v>6873.4918385641813</v>
      </c>
      <c r="K9" s="108">
        <v>7694.618883667923</v>
      </c>
      <c r="L9" s="108">
        <v>821.12704510374147</v>
      </c>
      <c r="M9" s="108">
        <v>2361.8673479049908</v>
      </c>
      <c r="N9" s="108">
        <v>3182.994393008732</v>
      </c>
      <c r="O9" s="87"/>
      <c r="P9" s="340" t="str">
        <f>name!D6</f>
        <v xml:space="preserve"> 21 Science, research, engineering and technology professionals</v>
      </c>
      <c r="Q9" s="87">
        <v>1417.3468717952001</v>
      </c>
      <c r="R9" s="87">
        <v>1499.457680342754</v>
      </c>
      <c r="S9" s="491">
        <f t="shared" si="6"/>
        <v>82.110808547553916</v>
      </c>
      <c r="T9" s="491">
        <v>330.6839227763075</v>
      </c>
      <c r="U9" s="491">
        <f t="shared" si="7"/>
        <v>412.79473132386141</v>
      </c>
      <c r="V9" s="492">
        <f t="shared" si="8"/>
        <v>2.1191739181615654E-2</v>
      </c>
      <c r="W9" s="492"/>
      <c r="X9" s="340" t="str">
        <f>name!A6</f>
        <v>Food products</v>
      </c>
      <c r="Y9" s="340">
        <v>392.30099999932452</v>
      </c>
      <c r="Z9" s="340">
        <v>361.94299999846402</v>
      </c>
      <c r="AA9" s="491">
        <f t="shared" si="9"/>
        <v>-30.3580000008605</v>
      </c>
      <c r="AB9" s="340">
        <v>112.46481159194433</v>
      </c>
      <c r="AC9" s="491">
        <f t="shared" si="10"/>
        <v>82.106811591083826</v>
      </c>
      <c r="AD9" s="492">
        <f t="shared" si="11"/>
        <v>2.5526888419869609E-2</v>
      </c>
    </row>
    <row r="10" spans="1:30" x14ac:dyDescent="0.25">
      <c r="A10" s="340" t="str">
        <f>name!D7</f>
        <v xml:space="preserve"> 22 Health professionals</v>
      </c>
      <c r="B10" s="87">
        <f t="shared" ref="B10:F10" si="13">SUM(B38,B66,B94,B122,B150,B178,B206,B234,B262)</f>
        <v>1543.0008922696516</v>
      </c>
      <c r="C10" s="87">
        <f t="shared" si="13"/>
        <v>1773.4125813814887</v>
      </c>
      <c r="D10" s="87">
        <f t="shared" si="13"/>
        <v>230.41168911183715</v>
      </c>
      <c r="E10" s="87">
        <f t="shared" si="13"/>
        <v>606.04904676536603</v>
      </c>
      <c r="F10" s="87">
        <f t="shared" si="13"/>
        <v>836.46073587720321</v>
      </c>
      <c r="G10" s="298">
        <f t="shared" si="5"/>
        <v>3.3684568843497908E-2</v>
      </c>
      <c r="H10" s="87"/>
      <c r="I10" s="342" t="str">
        <f>name!E6</f>
        <v>Associate professional and technical</v>
      </c>
      <c r="J10" s="108">
        <v>4884.3836819220596</v>
      </c>
      <c r="K10" s="108">
        <v>5309.5219594020818</v>
      </c>
      <c r="L10" s="108">
        <v>425.13827748002194</v>
      </c>
      <c r="M10" s="108">
        <v>1599.2493031477861</v>
      </c>
      <c r="N10" s="108">
        <v>2024.3875806278079</v>
      </c>
      <c r="O10" s="87"/>
      <c r="P10" s="340" t="str">
        <f>name!D7</f>
        <v xml:space="preserve"> 22 Health professionals</v>
      </c>
      <c r="Q10" s="87">
        <v>378.22462746518778</v>
      </c>
      <c r="R10" s="87">
        <v>389.37896782496114</v>
      </c>
      <c r="S10" s="491">
        <f t="shared" si="6"/>
        <v>11.154340359773357</v>
      </c>
      <c r="T10" s="491">
        <v>100.85987576504327</v>
      </c>
      <c r="U10" s="491">
        <f t="shared" si="7"/>
        <v>112.01421612481663</v>
      </c>
      <c r="V10" s="492">
        <f t="shared" si="8"/>
        <v>2.3920485384486323E-2</v>
      </c>
      <c r="W10" s="492"/>
      <c r="X10" s="340" t="str">
        <f>name!A7</f>
        <v>Beverages and tobacco</v>
      </c>
      <c r="Y10" s="340">
        <v>44.590999999977946</v>
      </c>
      <c r="Z10" s="340">
        <v>41.483999999879863</v>
      </c>
      <c r="AA10" s="491">
        <f t="shared" si="9"/>
        <v>-3.1070000000980826</v>
      </c>
      <c r="AB10" s="340">
        <v>13.078815558168294</v>
      </c>
      <c r="AC10" s="491">
        <f t="shared" si="10"/>
        <v>9.9718155580702117</v>
      </c>
      <c r="AD10" s="492">
        <f t="shared" si="11"/>
        <v>2.6053804539568182E-2</v>
      </c>
    </row>
    <row r="11" spans="1:30" x14ac:dyDescent="0.25">
      <c r="A11" s="340" t="str">
        <f>name!D8</f>
        <v xml:space="preserve"> 23 Teaching and educational professionals</v>
      </c>
      <c r="B11" s="87">
        <f t="shared" ref="B11:F11" si="14">SUM(B39,B67,B95,B123,B151,B179,B207,B235,B263)</f>
        <v>1720.7393221292114</v>
      </c>
      <c r="C11" s="87">
        <f t="shared" si="14"/>
        <v>1932.8816486014689</v>
      </c>
      <c r="D11" s="87">
        <f t="shared" si="14"/>
        <v>212.14232647225742</v>
      </c>
      <c r="E11" s="87">
        <f t="shared" si="14"/>
        <v>632.46384891749949</v>
      </c>
      <c r="F11" s="87">
        <f t="shared" si="14"/>
        <v>844.60617538975714</v>
      </c>
      <c r="G11" s="298">
        <f t="shared" si="5"/>
        <v>3.179741187236873E-2</v>
      </c>
      <c r="H11" s="87"/>
      <c r="I11" s="342" t="str">
        <f>name!E7</f>
        <v>Administrative and secretarial</v>
      </c>
      <c r="J11" s="108">
        <v>3680.786397542056</v>
      </c>
      <c r="K11" s="108">
        <v>3077.1550769501682</v>
      </c>
      <c r="L11" s="108">
        <v>-603.63132059188683</v>
      </c>
      <c r="M11" s="108">
        <v>1152.1599282978825</v>
      </c>
      <c r="N11" s="108">
        <v>548.52860770599568</v>
      </c>
      <c r="O11" s="87"/>
      <c r="P11" s="340" t="str">
        <f>name!D8</f>
        <v xml:space="preserve"> 23 Teaching and educational professionals</v>
      </c>
      <c r="Q11" s="87">
        <v>569.42129059785782</v>
      </c>
      <c r="R11" s="87">
        <v>600.46352773716023</v>
      </c>
      <c r="S11" s="491">
        <f t="shared" si="6"/>
        <v>31.042237139302415</v>
      </c>
      <c r="T11" s="491">
        <v>166.99752888023565</v>
      </c>
      <c r="U11" s="491">
        <f t="shared" si="7"/>
        <v>198.03976601953806</v>
      </c>
      <c r="V11" s="492">
        <f t="shared" si="8"/>
        <v>2.6051401032184618E-2</v>
      </c>
      <c r="W11" s="492"/>
      <c r="X11" s="340" t="str">
        <f>name!A8</f>
        <v>Textiles</v>
      </c>
      <c r="Y11" s="340">
        <v>61.378000000038824</v>
      </c>
      <c r="Z11" s="340">
        <v>46.958999999979113</v>
      </c>
      <c r="AA11" s="491">
        <f t="shared" si="9"/>
        <v>-14.419000000059711</v>
      </c>
      <c r="AB11" s="340">
        <v>16.023996056329562</v>
      </c>
      <c r="AC11" s="491">
        <f t="shared" si="10"/>
        <v>1.6049960562698509</v>
      </c>
      <c r="AD11" s="492">
        <f t="shared" si="11"/>
        <v>2.3467232471479971E-2</v>
      </c>
    </row>
    <row r="12" spans="1:30" x14ac:dyDescent="0.25">
      <c r="A12" s="340" t="str">
        <f>name!D9</f>
        <v xml:space="preserve"> 24 Business, media and public service professionals</v>
      </c>
      <c r="B12" s="87">
        <f t="shared" ref="B12:F12" si="15">SUM(B40,B68,B96,B124,B152,B180,B208,B236,B264)</f>
        <v>1855.7082866915753</v>
      </c>
      <c r="C12" s="87">
        <f t="shared" si="15"/>
        <v>2074.8152806992916</v>
      </c>
      <c r="D12" s="87">
        <f t="shared" si="15"/>
        <v>219.10699400771628</v>
      </c>
      <c r="E12" s="87">
        <f t="shared" si="15"/>
        <v>659.96830732820479</v>
      </c>
      <c r="F12" s="87">
        <f t="shared" si="15"/>
        <v>879.07530133592104</v>
      </c>
      <c r="G12" s="298">
        <f t="shared" si="5"/>
        <v>3.0895182692276313E-2</v>
      </c>
      <c r="H12" s="87"/>
      <c r="I12" s="342" t="str">
        <f>name!E8</f>
        <v>Skilled trades occupations</v>
      </c>
      <c r="J12" s="108">
        <v>3432.8363588721941</v>
      </c>
      <c r="K12" s="108">
        <v>3126.1855521756047</v>
      </c>
      <c r="L12" s="108">
        <v>-306.65080669658971</v>
      </c>
      <c r="M12" s="108">
        <v>929.36811598039412</v>
      </c>
      <c r="N12" s="108">
        <v>622.71730928380452</v>
      </c>
      <c r="O12" s="87"/>
      <c r="P12" s="340" t="str">
        <f>name!D9</f>
        <v xml:space="preserve"> 24 Business, media and public service professionals</v>
      </c>
      <c r="Q12" s="87">
        <v>1021.0551135465674</v>
      </c>
      <c r="R12" s="87">
        <v>1050.6449304522987</v>
      </c>
      <c r="S12" s="491">
        <f t="shared" si="6"/>
        <v>29.589816905731254</v>
      </c>
      <c r="T12" s="491">
        <v>305.5082316921667</v>
      </c>
      <c r="U12" s="491">
        <f t="shared" si="7"/>
        <v>335.09804859789796</v>
      </c>
      <c r="V12" s="492">
        <f t="shared" si="8"/>
        <v>2.6521100402779219E-2</v>
      </c>
      <c r="W12" s="492"/>
      <c r="X12" s="340" t="str">
        <f>name!A9</f>
        <v>Wearing apparel; Leather, etc</v>
      </c>
      <c r="Y12" s="340">
        <v>44.506000000190738</v>
      </c>
      <c r="Z12" s="340">
        <v>33.956000000164913</v>
      </c>
      <c r="AA12" s="491">
        <f t="shared" si="9"/>
        <v>-10.550000000025825</v>
      </c>
      <c r="AB12" s="340">
        <v>12.429535540177387</v>
      </c>
      <c r="AC12" s="491">
        <f t="shared" si="10"/>
        <v>1.8795355401515614</v>
      </c>
      <c r="AD12" s="492">
        <f t="shared" si="11"/>
        <v>2.4935379368198118E-2</v>
      </c>
    </row>
    <row r="13" spans="1:30" x14ac:dyDescent="0.25">
      <c r="A13" s="340" t="str">
        <f>name!D10</f>
        <v xml:space="preserve"> 31 Science, engineering and technology associate professionals</v>
      </c>
      <c r="B13" s="87">
        <f t="shared" ref="B13:F13" si="16">SUM(B41,B69,B97,B125,B153,B181,B209,B237,B265)</f>
        <v>671.15032184498114</v>
      </c>
      <c r="C13" s="87">
        <f t="shared" si="16"/>
        <v>680.11357914850703</v>
      </c>
      <c r="D13" s="87">
        <f t="shared" si="16"/>
        <v>8.9632573035257188</v>
      </c>
      <c r="E13" s="87">
        <f t="shared" si="16"/>
        <v>185.56752079332244</v>
      </c>
      <c r="F13" s="87">
        <f t="shared" si="16"/>
        <v>194.53077809684817</v>
      </c>
      <c r="G13" s="298">
        <f t="shared" si="5"/>
        <v>2.4711950040512631E-2</v>
      </c>
      <c r="H13" s="87"/>
      <c r="I13" s="342" t="str">
        <f>name!E9</f>
        <v>Caring, leisure and other service</v>
      </c>
      <c r="J13" s="108">
        <v>3345.0861257252491</v>
      </c>
      <c r="K13" s="108">
        <v>3810.809193642383</v>
      </c>
      <c r="L13" s="108">
        <v>465.72306791713424</v>
      </c>
      <c r="M13" s="108">
        <v>1335.4403846861048</v>
      </c>
      <c r="N13" s="108">
        <v>1801.163452603239</v>
      </c>
      <c r="O13" s="87"/>
      <c r="P13" s="340" t="str">
        <f>name!D10</f>
        <v xml:space="preserve"> 31 Science, engineering and technology associate professionals</v>
      </c>
      <c r="Q13" s="87">
        <v>508.19227290930024</v>
      </c>
      <c r="R13" s="87">
        <v>517.1781555997527</v>
      </c>
      <c r="S13" s="491">
        <f t="shared" si="6"/>
        <v>8.9858826904524562</v>
      </c>
      <c r="T13" s="491">
        <v>128.71592609397155</v>
      </c>
      <c r="U13" s="491">
        <f t="shared" si="7"/>
        <v>137.701808784424</v>
      </c>
      <c r="V13" s="492">
        <f t="shared" si="8"/>
        <v>2.2833345899342383E-2</v>
      </c>
      <c r="W13" s="492"/>
      <c r="X13" s="340" t="str">
        <f>name!A10</f>
        <v xml:space="preserve">Wood and cork </v>
      </c>
      <c r="Y13" s="340">
        <v>82.419999999812617</v>
      </c>
      <c r="Z13" s="340">
        <v>75.395999999662621</v>
      </c>
      <c r="AA13" s="491">
        <f t="shared" si="9"/>
        <v>-7.0240000001499965</v>
      </c>
      <c r="AB13" s="340">
        <v>23.097580175607018</v>
      </c>
      <c r="AC13" s="491">
        <f t="shared" si="10"/>
        <v>16.073580175457021</v>
      </c>
      <c r="AD13" s="492">
        <f t="shared" si="11"/>
        <v>2.5012640783382611E-2</v>
      </c>
    </row>
    <row r="14" spans="1:30" x14ac:dyDescent="0.25">
      <c r="A14" s="340" t="str">
        <f>name!D11</f>
        <v xml:space="preserve"> 32 Health and social care associate professionals</v>
      </c>
      <c r="B14" s="87">
        <f t="shared" ref="B14:F14" si="17">SUM(B42,B70,B98,B126,B154,B182,B210,B238,B266)</f>
        <v>529.88238393074403</v>
      </c>
      <c r="C14" s="87">
        <f t="shared" si="17"/>
        <v>612.80601566154212</v>
      </c>
      <c r="D14" s="87">
        <f t="shared" si="17"/>
        <v>82.92363173079805</v>
      </c>
      <c r="E14" s="87">
        <f t="shared" si="17"/>
        <v>222.11012087649291</v>
      </c>
      <c r="F14" s="87">
        <f t="shared" si="17"/>
        <v>305.03375260729092</v>
      </c>
      <c r="G14" s="298">
        <f t="shared" si="5"/>
        <v>3.5627091974399061E-2</v>
      </c>
      <c r="H14" s="87"/>
      <c r="I14" s="342" t="str">
        <f>name!E10</f>
        <v>Sales and customer service</v>
      </c>
      <c r="J14" s="108">
        <v>2929.0335907758245</v>
      </c>
      <c r="K14" s="108">
        <v>2876.6137458960357</v>
      </c>
      <c r="L14" s="108">
        <v>-52.419844879789551</v>
      </c>
      <c r="M14" s="108">
        <v>907.18412159496904</v>
      </c>
      <c r="N14" s="108">
        <v>854.76427671517945</v>
      </c>
      <c r="O14" s="87"/>
      <c r="P14" s="340" t="str">
        <f>name!D11</f>
        <v xml:space="preserve"> 32 Health and social care associate professionals</v>
      </c>
      <c r="Q14" s="87">
        <v>150.88246112444585</v>
      </c>
      <c r="R14" s="87">
        <v>161.17315046990177</v>
      </c>
      <c r="S14" s="491">
        <f t="shared" si="6"/>
        <v>10.290689345455917</v>
      </c>
      <c r="T14" s="491">
        <v>51.587178260061329</v>
      </c>
      <c r="U14" s="491">
        <f t="shared" si="7"/>
        <v>61.877867605517245</v>
      </c>
      <c r="V14" s="492">
        <f t="shared" si="8"/>
        <v>2.9845593292061601E-2</v>
      </c>
      <c r="W14" s="492"/>
      <c r="X14" s="340" t="str">
        <f>name!A11</f>
        <v>Paper, etc</v>
      </c>
      <c r="Y14" s="340">
        <v>65.529999999524563</v>
      </c>
      <c r="Z14" s="340">
        <v>60.309999999586196</v>
      </c>
      <c r="AA14" s="491">
        <f t="shared" si="9"/>
        <v>-5.2199999999383664</v>
      </c>
      <c r="AB14" s="340">
        <v>17.82802682724747</v>
      </c>
      <c r="AC14" s="491">
        <f t="shared" si="10"/>
        <v>12.608026827309104</v>
      </c>
      <c r="AD14" s="492">
        <f t="shared" si="11"/>
        <v>2.4355552324538676E-2</v>
      </c>
    </row>
    <row r="15" spans="1:30" x14ac:dyDescent="0.25">
      <c r="A15" s="340" t="str">
        <f>name!D12</f>
        <v xml:space="preserve"> 33 Protective service occupations</v>
      </c>
      <c r="B15" s="87">
        <f t="shared" ref="B15:F15" si="18">SUM(B43,B71,B99,B127,B155,B183,B211,B239,B267)</f>
        <v>386.2491872195726</v>
      </c>
      <c r="C15" s="87">
        <f t="shared" si="18"/>
        <v>375.37070820018738</v>
      </c>
      <c r="D15" s="87">
        <f t="shared" si="18"/>
        <v>-10.8784790193852</v>
      </c>
      <c r="E15" s="87">
        <f t="shared" si="18"/>
        <v>88.251477237004309</v>
      </c>
      <c r="F15" s="87">
        <f t="shared" si="18"/>
        <v>77.372998217619113</v>
      </c>
      <c r="G15" s="298">
        <f t="shared" si="5"/>
        <v>2.0791216908323529E-2</v>
      </c>
      <c r="H15" s="87"/>
      <c r="I15" s="342" t="str">
        <f>name!E11</f>
        <v>Process, plant and machine operatives</v>
      </c>
      <c r="J15" s="108">
        <v>2179.9565386857662</v>
      </c>
      <c r="K15" s="108">
        <v>1974.1259137814245</v>
      </c>
      <c r="L15" s="108">
        <v>-205.83062490434173</v>
      </c>
      <c r="M15" s="108">
        <v>657.40921221407928</v>
      </c>
      <c r="N15" s="108">
        <v>451.57858730973754</v>
      </c>
      <c r="O15" s="87"/>
      <c r="P15" s="340" t="str">
        <f>name!D12</f>
        <v xml:space="preserve"> 33 Protective service occupations</v>
      </c>
      <c r="Q15" s="87">
        <v>293.13459307738009</v>
      </c>
      <c r="R15" s="87">
        <v>254.16796912706928</v>
      </c>
      <c r="S15" s="491">
        <f t="shared" si="6"/>
        <v>-38.966623950310805</v>
      </c>
      <c r="T15" s="491">
        <v>52.237462890855085</v>
      </c>
      <c r="U15" s="491">
        <f t="shared" si="7"/>
        <v>13.27083894054428</v>
      </c>
      <c r="V15" s="492">
        <f t="shared" si="8"/>
        <v>1.653424164382411E-2</v>
      </c>
      <c r="W15" s="492"/>
      <c r="X15" s="340" t="str">
        <f>name!A12</f>
        <v>Printing and recording</v>
      </c>
      <c r="Y15" s="340">
        <v>116.96199999942091</v>
      </c>
      <c r="Z15" s="340">
        <v>102.47799999956645</v>
      </c>
      <c r="AA15" s="491">
        <f t="shared" si="9"/>
        <v>-14.483999999854461</v>
      </c>
      <c r="AB15" s="340">
        <v>33.164637576136073</v>
      </c>
      <c r="AC15" s="491">
        <f t="shared" si="10"/>
        <v>18.680637576281612</v>
      </c>
      <c r="AD15" s="492">
        <f t="shared" si="11"/>
        <v>2.5277194071872344E-2</v>
      </c>
    </row>
    <row r="16" spans="1:30" x14ac:dyDescent="0.25">
      <c r="A16" s="340" t="str">
        <f>name!D13</f>
        <v xml:space="preserve"> 34 Culture, media and sports occupations</v>
      </c>
      <c r="B16" s="87">
        <f t="shared" ref="B16:F16" si="19">SUM(B44,B72,B100,B128,B156,B184,B212,B240,B268)</f>
        <v>839.68302886898482</v>
      </c>
      <c r="C16" s="87">
        <f t="shared" si="19"/>
        <v>891.90974845505161</v>
      </c>
      <c r="D16" s="87">
        <f t="shared" si="19"/>
        <v>52.22671958606653</v>
      </c>
      <c r="E16" s="87">
        <f t="shared" si="19"/>
        <v>278.66073051467652</v>
      </c>
      <c r="F16" s="87">
        <f t="shared" si="19"/>
        <v>330.88745010074308</v>
      </c>
      <c r="G16" s="298">
        <f t="shared" si="5"/>
        <v>2.9072551274619496E-2</v>
      </c>
      <c r="H16" s="87"/>
      <c r="I16" s="342" t="str">
        <f>name!E12</f>
        <v>Elementary occupations</v>
      </c>
      <c r="J16" s="108">
        <v>3955.9931111444798</v>
      </c>
      <c r="K16" s="108">
        <v>3946.9512625272482</v>
      </c>
      <c r="L16" s="108">
        <v>-9.0418486172317358</v>
      </c>
      <c r="M16" s="108">
        <v>1257.7425630667244</v>
      </c>
      <c r="N16" s="108">
        <v>1248.7007144494926</v>
      </c>
      <c r="O16" s="87"/>
      <c r="P16" s="340" t="str">
        <f>name!D13</f>
        <v xml:space="preserve"> 34 Culture, media and sports occupations</v>
      </c>
      <c r="Q16" s="87">
        <v>448.75607783125827</v>
      </c>
      <c r="R16" s="87">
        <v>483.52815062273726</v>
      </c>
      <c r="S16" s="491">
        <f t="shared" si="6"/>
        <v>34.77207279147899</v>
      </c>
      <c r="T16" s="491">
        <v>130.38906514465165</v>
      </c>
      <c r="U16" s="491">
        <f t="shared" si="7"/>
        <v>165.16113793613064</v>
      </c>
      <c r="V16" s="492">
        <f t="shared" si="8"/>
        <v>2.5835460623063966E-2</v>
      </c>
      <c r="W16" s="492"/>
      <c r="X16" s="340" t="str">
        <f>name!A13</f>
        <v>Coke and petroleum; Chemicals, etc</v>
      </c>
      <c r="Y16" s="340">
        <v>105.98799999958885</v>
      </c>
      <c r="Z16" s="340">
        <v>93.119999999869876</v>
      </c>
      <c r="AA16" s="491">
        <f t="shared" si="9"/>
        <v>-12.867999999718975</v>
      </c>
      <c r="AB16" s="340">
        <v>28.427799071285243</v>
      </c>
      <c r="AC16" s="491">
        <f t="shared" si="10"/>
        <v>15.559799071566268</v>
      </c>
      <c r="AD16" s="492">
        <f t="shared" si="11"/>
        <v>2.4045756154687403E-2</v>
      </c>
    </row>
    <row r="17" spans="1:30" x14ac:dyDescent="0.25">
      <c r="A17" s="340" t="str">
        <f>name!D14</f>
        <v xml:space="preserve"> 35 Business and public service associate professionals</v>
      </c>
      <c r="B17" s="87">
        <f t="shared" ref="B17:F17" si="20">SUM(B45,B73,B101,B129,B157,B185,B213,B241,B269)</f>
        <v>2457.4187600577766</v>
      </c>
      <c r="C17" s="87">
        <f t="shared" si="20"/>
        <v>2749.3219079367937</v>
      </c>
      <c r="D17" s="87">
        <f t="shared" si="20"/>
        <v>291.90314787901684</v>
      </c>
      <c r="E17" s="87">
        <f t="shared" si="20"/>
        <v>824.65945372628983</v>
      </c>
      <c r="F17" s="87">
        <f t="shared" si="20"/>
        <v>1116.5626016053066</v>
      </c>
      <c r="G17" s="298">
        <f t="shared" si="5"/>
        <v>2.9359259894764733E-2</v>
      </c>
      <c r="H17" s="87"/>
      <c r="O17" s="87"/>
      <c r="P17" s="340" t="str">
        <f>name!D14</f>
        <v xml:space="preserve"> 35 Business and public service associate professionals</v>
      </c>
      <c r="Q17" s="87">
        <v>1348.8965734484989</v>
      </c>
      <c r="R17" s="87">
        <v>1400.5112660945288</v>
      </c>
      <c r="S17" s="491">
        <f t="shared" si="6"/>
        <v>51.61469264602988</v>
      </c>
      <c r="T17" s="491">
        <v>367.81583848041043</v>
      </c>
      <c r="U17" s="491">
        <f t="shared" si="7"/>
        <v>419.43053112644031</v>
      </c>
      <c r="V17" s="492">
        <f t="shared" si="8"/>
        <v>2.4405471817670277E-2</v>
      </c>
      <c r="W17" s="492"/>
      <c r="X17" s="340" t="str">
        <f>name!A14</f>
        <v>Pharmaceuticals</v>
      </c>
      <c r="Y17" s="340">
        <v>44.973999999894147</v>
      </c>
      <c r="Z17" s="340">
        <v>42.571000000008645</v>
      </c>
      <c r="AA17" s="491">
        <f t="shared" si="9"/>
        <v>-2.4029999998855018</v>
      </c>
      <c r="AB17" s="340">
        <v>13.766044922476377</v>
      </c>
      <c r="AC17" s="491">
        <f t="shared" si="10"/>
        <v>11.363044922590875</v>
      </c>
      <c r="AD17" s="492">
        <f t="shared" si="11"/>
        <v>2.7063453723536579E-2</v>
      </c>
    </row>
    <row r="18" spans="1:30" x14ac:dyDescent="0.25">
      <c r="A18" s="340" t="str">
        <f>name!D15</f>
        <v xml:space="preserve"> 41 Administrative occupations</v>
      </c>
      <c r="B18" s="87">
        <f t="shared" ref="B18:F18" si="21">SUM(B46,B74,B102,B130,B158,B186,B214,B242,B270)</f>
        <v>2931.8021720360402</v>
      </c>
      <c r="C18" s="87">
        <f t="shared" si="21"/>
        <v>2688.2376263800115</v>
      </c>
      <c r="D18" s="87">
        <f t="shared" si="21"/>
        <v>-243.56454565602797</v>
      </c>
      <c r="E18" s="87">
        <f t="shared" si="21"/>
        <v>960.49746626655337</v>
      </c>
      <c r="F18" s="87">
        <f t="shared" si="21"/>
        <v>716.93292061052546</v>
      </c>
      <c r="G18" s="298">
        <f t="shared" si="5"/>
        <v>2.8743633065367868E-2</v>
      </c>
      <c r="H18" s="87"/>
      <c r="I18" s="115" t="str">
        <f>name!F4</f>
        <v>RQF8 Doctorate</v>
      </c>
      <c r="J18" s="108"/>
      <c r="K18" s="108"/>
      <c r="L18" s="108"/>
      <c r="M18" s="108"/>
      <c r="N18" s="108"/>
      <c r="O18" s="87"/>
      <c r="P18" s="340" t="str">
        <f>name!D15</f>
        <v xml:space="preserve"> 41 Administrative occupations</v>
      </c>
      <c r="Q18" s="87">
        <v>865.49314287638765</v>
      </c>
      <c r="R18" s="87">
        <v>850.47165791337102</v>
      </c>
      <c r="S18" s="491">
        <f t="shared" si="6"/>
        <v>-15.021484963016633</v>
      </c>
      <c r="T18" s="491">
        <v>220.66016030301444</v>
      </c>
      <c r="U18" s="491">
        <f t="shared" si="7"/>
        <v>205.6386753399978</v>
      </c>
      <c r="V18" s="492">
        <f t="shared" si="8"/>
        <v>2.2969651327184426E-2</v>
      </c>
      <c r="W18" s="492"/>
      <c r="X18" s="340" t="str">
        <f>name!A15</f>
        <v>Rubber and plastic</v>
      </c>
      <c r="Y18" s="340">
        <v>166.9639999993274</v>
      </c>
      <c r="Z18" s="340">
        <v>132.81599999941474</v>
      </c>
      <c r="AA18" s="491">
        <f t="shared" si="9"/>
        <v>-34.147999999912656</v>
      </c>
      <c r="AB18" s="340">
        <v>43.078146711230808</v>
      </c>
      <c r="AC18" s="491">
        <f t="shared" si="10"/>
        <v>8.9301467113181516</v>
      </c>
      <c r="AD18" s="492">
        <f t="shared" si="11"/>
        <v>2.3218446013218319E-2</v>
      </c>
    </row>
    <row r="19" spans="1:30" x14ac:dyDescent="0.25">
      <c r="A19" s="340" t="str">
        <f>name!D16</f>
        <v xml:space="preserve"> 42 Secretarial and related occupations</v>
      </c>
      <c r="B19" s="87">
        <f t="shared" ref="B19:F19" si="22">SUM(B47,B75,B103,B131,B159,B187,B215,B243,B271)</f>
        <v>748.98422550601572</v>
      </c>
      <c r="C19" s="87">
        <f t="shared" si="22"/>
        <v>388.91745057015669</v>
      </c>
      <c r="D19" s="87">
        <f t="shared" si="22"/>
        <v>-360.06677493585892</v>
      </c>
      <c r="E19" s="87">
        <f t="shared" si="22"/>
        <v>191.66246203132914</v>
      </c>
      <c r="F19" s="87">
        <f t="shared" si="22"/>
        <v>-168.4043129045298</v>
      </c>
      <c r="G19" s="298">
        <f t="shared" si="5"/>
        <v>2.3046528319418114E-2</v>
      </c>
      <c r="H19" s="87"/>
      <c r="I19" s="108" t="str">
        <f t="shared" ref="I19:I27" si="23">I8</f>
        <v>Managers, directors and senior officials</v>
      </c>
      <c r="J19" s="108">
        <f t="array" ref="J19:J27">MMULT(aggregation!$B$38:$Z$46,B35:B59)</f>
        <v>54.906202762605034</v>
      </c>
      <c r="K19" s="108">
        <f t="array" ref="K19:K27">MMULT(aggregation!$B$38:$Z$46,C35:C59)</f>
        <v>79.064075074497623</v>
      </c>
      <c r="L19" s="108">
        <f t="array" ref="L19:L27">MMULT(aggregation!$B$38:$Z$46,D35:D59)</f>
        <v>24.157872311892589</v>
      </c>
      <c r="M19" s="108">
        <f t="array" ref="M19:M27">MMULT(aggregation!$B$38:$Z$46,E35:E59)</f>
        <v>25.266704870136245</v>
      </c>
      <c r="N19" s="108">
        <f t="array" ref="N19:N27">MMULT(aggregation!$B$38:$Z$46,F35:F59)</f>
        <v>49.424577182028834</v>
      </c>
      <c r="O19" s="87"/>
      <c r="P19" s="340" t="str">
        <f>name!D16</f>
        <v xml:space="preserve"> 42 Secretarial and related occupations</v>
      </c>
      <c r="Q19" s="87">
        <v>59.380126521524275</v>
      </c>
      <c r="R19" s="87">
        <v>60.980771408561374</v>
      </c>
      <c r="S19" s="491">
        <f t="shared" si="6"/>
        <v>1.6006448870370988</v>
      </c>
      <c r="T19" s="491">
        <v>13.632442105988083</v>
      </c>
      <c r="U19" s="491">
        <f t="shared" si="7"/>
        <v>15.233086993025182</v>
      </c>
      <c r="V19" s="492">
        <f t="shared" si="8"/>
        <v>2.0882245410609235E-2</v>
      </c>
      <c r="W19" s="492"/>
      <c r="X19" s="340" t="str">
        <f>name!A16</f>
        <v>Other non-metallic</v>
      </c>
      <c r="Y19" s="340">
        <v>75.960999999833376</v>
      </c>
      <c r="Z19" s="340">
        <v>60.170999999836333</v>
      </c>
      <c r="AA19" s="491">
        <f t="shared" si="9"/>
        <v>-15.789999999997043</v>
      </c>
      <c r="AB19" s="340">
        <v>19.881598633983032</v>
      </c>
      <c r="AC19" s="491">
        <f t="shared" si="10"/>
        <v>4.0915986339859884</v>
      </c>
      <c r="AD19" s="492">
        <f t="shared" si="11"/>
        <v>2.3521077809763646E-2</v>
      </c>
    </row>
    <row r="20" spans="1:30" x14ac:dyDescent="0.25">
      <c r="A20" s="340" t="str">
        <f>name!D17</f>
        <v xml:space="preserve"> 51 Skilled agricultural and related trades</v>
      </c>
      <c r="B20" s="87">
        <f t="shared" ref="B20:F20" si="24">SUM(B48,B76,B104,B132,B160,B188,B216,B244,B272)</f>
        <v>354.96114624116751</v>
      </c>
      <c r="C20" s="87">
        <f t="shared" si="24"/>
        <v>360.42857252278895</v>
      </c>
      <c r="D20" s="87">
        <f t="shared" si="24"/>
        <v>5.4674262816214352</v>
      </c>
      <c r="E20" s="87">
        <f t="shared" si="24"/>
        <v>129.89677238858209</v>
      </c>
      <c r="F20" s="87">
        <f t="shared" si="24"/>
        <v>135.36419867020351</v>
      </c>
      <c r="G20" s="298">
        <f t="shared" si="5"/>
        <v>3.1676094675828104E-2</v>
      </c>
      <c r="H20" s="87"/>
      <c r="I20" s="108" t="str">
        <f t="shared" si="23"/>
        <v>Professional occupations</v>
      </c>
      <c r="J20" s="108">
        <v>384.77190107138978</v>
      </c>
      <c r="K20" s="108">
        <v>493.89762490429342</v>
      </c>
      <c r="L20" s="108">
        <v>109.1257238329037</v>
      </c>
      <c r="M20" s="108">
        <v>140.58455966827657</v>
      </c>
      <c r="N20" s="108">
        <v>249.7102835011803</v>
      </c>
      <c r="O20" s="87"/>
      <c r="P20" s="340" t="str">
        <f>name!D17</f>
        <v xml:space="preserve"> 51 Skilled agricultural and related trades</v>
      </c>
      <c r="Q20" s="87">
        <v>306.41072262869426</v>
      </c>
      <c r="R20" s="87">
        <v>313.95691907405677</v>
      </c>
      <c r="S20" s="491">
        <f t="shared" si="6"/>
        <v>7.5461964453625114</v>
      </c>
      <c r="T20" s="491">
        <v>107.85161889697216</v>
      </c>
      <c r="U20" s="491">
        <f t="shared" si="7"/>
        <v>115.39781534233467</v>
      </c>
      <c r="V20" s="492">
        <f t="shared" si="8"/>
        <v>3.0616638802596352E-2</v>
      </c>
      <c r="W20" s="492"/>
      <c r="X20" s="340" t="str">
        <f>name!A17</f>
        <v>Basic metals</v>
      </c>
      <c r="Y20" s="340">
        <v>68.630999999807429</v>
      </c>
      <c r="Z20" s="340">
        <v>56.631999999698451</v>
      </c>
      <c r="AA20" s="491">
        <f t="shared" si="9"/>
        <v>-11.999000000108978</v>
      </c>
      <c r="AB20" s="340">
        <v>16.840354967148642</v>
      </c>
      <c r="AC20" s="491">
        <f t="shared" si="10"/>
        <v>4.8413549670396634</v>
      </c>
      <c r="AD20" s="492">
        <f t="shared" si="11"/>
        <v>2.2186229930458712E-2</v>
      </c>
    </row>
    <row r="21" spans="1:30" x14ac:dyDescent="0.25">
      <c r="A21" s="340" t="str">
        <f>name!D18</f>
        <v xml:space="preserve"> 52 Skilled metal, electrical and electronic trades</v>
      </c>
      <c r="B21" s="87">
        <f t="shared" ref="B21:F21" si="25">SUM(B49,B77,B105,B133,B161,B189,B217,B245,B273)</f>
        <v>1228.0409620922539</v>
      </c>
      <c r="C21" s="87">
        <f t="shared" si="25"/>
        <v>1043.8089392652892</v>
      </c>
      <c r="D21" s="87">
        <f t="shared" si="25"/>
        <v>-184.23202282696474</v>
      </c>
      <c r="E21" s="87">
        <f t="shared" si="25"/>
        <v>289.96483773706444</v>
      </c>
      <c r="F21" s="87">
        <f t="shared" si="25"/>
        <v>105.73281491009971</v>
      </c>
      <c r="G21" s="298">
        <f t="shared" si="5"/>
        <v>2.1423999242937475E-2</v>
      </c>
      <c r="H21" s="87"/>
      <c r="I21" s="108" t="str">
        <f t="shared" si="23"/>
        <v>Associate professional and technical</v>
      </c>
      <c r="J21" s="108">
        <v>66.224412589166178</v>
      </c>
      <c r="K21" s="108">
        <v>95.669379660627555</v>
      </c>
      <c r="L21" s="108">
        <v>29.444967071461374</v>
      </c>
      <c r="M21" s="108">
        <v>26.729804022784187</v>
      </c>
      <c r="N21" s="108">
        <v>56.174771094245564</v>
      </c>
      <c r="O21" s="87"/>
      <c r="P21" s="340" t="str">
        <f>name!D18</f>
        <v xml:space="preserve"> 52 Skilled metal, electrical and electronic trades</v>
      </c>
      <c r="Q21" s="87">
        <v>1197.4415647505721</v>
      </c>
      <c r="R21" s="87">
        <v>1018.9832719874057</v>
      </c>
      <c r="S21" s="491">
        <f t="shared" si="6"/>
        <v>-178.45829276316636</v>
      </c>
      <c r="T21" s="491">
        <v>279.33359257529139</v>
      </c>
      <c r="U21" s="491">
        <f t="shared" si="7"/>
        <v>100.87529981212504</v>
      </c>
      <c r="V21" s="492">
        <f t="shared" si="8"/>
        <v>2.1188710431033986E-2</v>
      </c>
      <c r="W21" s="492"/>
      <c r="X21" s="340" t="str">
        <f>name!A18</f>
        <v>Metal products</v>
      </c>
      <c r="Y21" s="340">
        <v>333.29999999873661</v>
      </c>
      <c r="Z21" s="340">
        <v>278.80999999890543</v>
      </c>
      <c r="AA21" s="491">
        <f t="shared" si="9"/>
        <v>-54.489999999831184</v>
      </c>
      <c r="AB21" s="340">
        <v>84.605090389332759</v>
      </c>
      <c r="AC21" s="491">
        <f t="shared" si="10"/>
        <v>30.115090389501574</v>
      </c>
      <c r="AD21" s="492">
        <f t="shared" si="11"/>
        <v>2.2878934628376424E-2</v>
      </c>
    </row>
    <row r="22" spans="1:30" x14ac:dyDescent="0.25">
      <c r="A22" s="340" t="str">
        <f>name!D19</f>
        <v xml:space="preserve"> 53 Skilled construction and building trades</v>
      </c>
      <c r="B22" s="87">
        <f t="shared" ref="B22:F22" si="26">SUM(B50,B78,B106,B134,B162,B190,B218,B246,B274)</f>
        <v>1069.1049856779716</v>
      </c>
      <c r="C22" s="87">
        <f t="shared" si="26"/>
        <v>1063.8777838174137</v>
      </c>
      <c r="D22" s="87">
        <f t="shared" si="26"/>
        <v>-5.2272018605579618</v>
      </c>
      <c r="E22" s="87">
        <f t="shared" si="26"/>
        <v>307.90512775491777</v>
      </c>
      <c r="F22" s="87">
        <f t="shared" si="26"/>
        <v>302.67792589435987</v>
      </c>
      <c r="G22" s="298">
        <f t="shared" si="5"/>
        <v>2.5632271622642477E-2</v>
      </c>
      <c r="H22" s="87"/>
      <c r="I22" s="108" t="str">
        <f t="shared" si="23"/>
        <v>Administrative and secretarial</v>
      </c>
      <c r="J22" s="108">
        <v>18.416563707580245</v>
      </c>
      <c r="K22" s="108">
        <v>24.993544759385742</v>
      </c>
      <c r="L22" s="108">
        <v>6.576981051805495</v>
      </c>
      <c r="M22" s="108">
        <v>7.9708312613014227</v>
      </c>
      <c r="N22" s="108">
        <v>14.547812313106919</v>
      </c>
      <c r="O22" s="87"/>
      <c r="P22" s="340" t="str">
        <f>name!D19</f>
        <v xml:space="preserve"> 53 Skilled construction and building trades</v>
      </c>
      <c r="Q22" s="87">
        <v>1045.5692954804213</v>
      </c>
      <c r="R22" s="87">
        <v>1034.2090868069351</v>
      </c>
      <c r="S22" s="491">
        <f t="shared" si="6"/>
        <v>-11.360208673486113</v>
      </c>
      <c r="T22" s="491">
        <v>298.02351632983596</v>
      </c>
      <c r="U22" s="491">
        <f t="shared" si="7"/>
        <v>286.66330765634984</v>
      </c>
      <c r="V22" s="492">
        <f t="shared" si="8"/>
        <v>2.5395683862333041E-2</v>
      </c>
      <c r="W22" s="492"/>
      <c r="X22" s="340" t="str">
        <f>name!A19</f>
        <v>Computer, etc</v>
      </c>
      <c r="Y22" s="340">
        <v>125.97099999971756</v>
      </c>
      <c r="Z22" s="340">
        <v>119.90199999976502</v>
      </c>
      <c r="AA22" s="491">
        <f t="shared" si="9"/>
        <v>-6.0689999999525384</v>
      </c>
      <c r="AB22" s="340">
        <v>36.738702872241987</v>
      </c>
      <c r="AC22" s="491">
        <f t="shared" si="10"/>
        <v>30.669702872289449</v>
      </c>
      <c r="AD22" s="492">
        <f t="shared" si="11"/>
        <v>2.5921868952048399E-2</v>
      </c>
    </row>
    <row r="23" spans="1:30" x14ac:dyDescent="0.25">
      <c r="A23" s="340" t="str">
        <f>name!D20</f>
        <v xml:space="preserve"> 54 Textiles, printing and other skilled trades</v>
      </c>
      <c r="B23" s="87">
        <f t="shared" ref="B23:F23" si="27">SUM(B51,B79,B107,B135,B163,B191,B219,B247,B275)</f>
        <v>780.72926486080098</v>
      </c>
      <c r="C23" s="87">
        <f t="shared" si="27"/>
        <v>658.07025657011252</v>
      </c>
      <c r="D23" s="87">
        <f t="shared" si="27"/>
        <v>-122.65900829068845</v>
      </c>
      <c r="E23" s="87">
        <f t="shared" si="27"/>
        <v>201.60137809982982</v>
      </c>
      <c r="F23" s="87">
        <f t="shared" si="27"/>
        <v>78.942369809141383</v>
      </c>
      <c r="G23" s="298">
        <f t="shared" si="5"/>
        <v>2.3235792637623653E-2</v>
      </c>
      <c r="H23" s="87"/>
      <c r="I23" s="108" t="str">
        <f t="shared" si="23"/>
        <v>Skilled trades occupations</v>
      </c>
      <c r="J23" s="108">
        <v>5.552012641550669</v>
      </c>
      <c r="K23" s="108">
        <v>8.1239675079190015</v>
      </c>
      <c r="L23" s="108">
        <v>2.5719548663683316</v>
      </c>
      <c r="M23" s="108">
        <v>2.4025829546870412</v>
      </c>
      <c r="N23" s="108">
        <v>4.9745378210553728</v>
      </c>
      <c r="O23" s="87"/>
      <c r="P23" s="340" t="str">
        <f>name!D20</f>
        <v xml:space="preserve"> 54 Textiles, printing and other skilled trades</v>
      </c>
      <c r="Q23" s="87">
        <v>521.91847980432783</v>
      </c>
      <c r="R23" s="87">
        <v>413.65143810546431</v>
      </c>
      <c r="S23" s="491">
        <f t="shared" si="6"/>
        <v>-108.26704169886352</v>
      </c>
      <c r="T23" s="491">
        <v>102.93978631323256</v>
      </c>
      <c r="U23" s="491">
        <f t="shared" si="7"/>
        <v>-5.3272553856309628</v>
      </c>
      <c r="V23" s="492">
        <f t="shared" si="8"/>
        <v>1.8164345115100566E-2</v>
      </c>
      <c r="W23" s="492"/>
      <c r="X23" s="340" t="str">
        <f>name!A20</f>
        <v>Electrical equipment</v>
      </c>
      <c r="Y23" s="340">
        <v>81.982999999743029</v>
      </c>
      <c r="Z23" s="340">
        <v>78.983999999742878</v>
      </c>
      <c r="AA23" s="491">
        <f t="shared" si="9"/>
        <v>-2.9990000000001515</v>
      </c>
      <c r="AB23" s="340">
        <v>23.859662782210201</v>
      </c>
      <c r="AC23" s="491">
        <f t="shared" si="10"/>
        <v>20.860662782210049</v>
      </c>
      <c r="AD23" s="492">
        <f t="shared" si="11"/>
        <v>2.5873225204721129E-2</v>
      </c>
    </row>
    <row r="24" spans="1:30" x14ac:dyDescent="0.25">
      <c r="A24" s="340" t="str">
        <f>name!D21</f>
        <v xml:space="preserve"> 61 Caring personal service occupations</v>
      </c>
      <c r="B24" s="87">
        <f t="shared" ref="B24:F24" si="28">SUM(B52,B80,B108,B136,B164,B192,B220,B248,B276)</f>
        <v>2578.4645595026009</v>
      </c>
      <c r="C24" s="87">
        <f t="shared" si="28"/>
        <v>3056.526203700806</v>
      </c>
      <c r="D24" s="87">
        <f t="shared" si="28"/>
        <v>478.06164419820522</v>
      </c>
      <c r="E24" s="87">
        <f t="shared" si="28"/>
        <v>1074.6766906809703</v>
      </c>
      <c r="F24" s="87">
        <f t="shared" si="28"/>
        <v>1552.7383348791755</v>
      </c>
      <c r="G24" s="298">
        <f t="shared" si="5"/>
        <v>3.5453331650018738E-2</v>
      </c>
      <c r="H24" s="87"/>
      <c r="I24" s="108" t="str">
        <f t="shared" si="23"/>
        <v>Caring, leisure and other service</v>
      </c>
      <c r="J24" s="108">
        <v>3.1337159256043781</v>
      </c>
      <c r="K24" s="108">
        <v>4.822372922560155</v>
      </c>
      <c r="L24" s="108">
        <v>1.688656996955777</v>
      </c>
      <c r="M24" s="108">
        <v>1.5454578385788733</v>
      </c>
      <c r="N24" s="108">
        <v>3.2341148355346498</v>
      </c>
      <c r="O24" s="87"/>
      <c r="P24" s="340" t="str">
        <f>name!D21</f>
        <v xml:space="preserve"> 61 Caring personal service occupations</v>
      </c>
      <c r="Q24" s="87">
        <v>374.99676792649984</v>
      </c>
      <c r="R24" s="87">
        <v>475.44484243020986</v>
      </c>
      <c r="S24" s="491">
        <f t="shared" si="6"/>
        <v>100.44807450371002</v>
      </c>
      <c r="T24" s="491">
        <v>129.071416184409</v>
      </c>
      <c r="U24" s="491">
        <f t="shared" si="7"/>
        <v>229.51949068811902</v>
      </c>
      <c r="V24" s="492">
        <f t="shared" si="8"/>
        <v>3.0021230101834773E-2</v>
      </c>
      <c r="W24" s="492"/>
      <c r="X24" s="340" t="str">
        <f>name!A21</f>
        <v>Machinery n.e.c.</v>
      </c>
      <c r="Y24" s="340">
        <v>188.97999999927654</v>
      </c>
      <c r="Z24" s="340">
        <v>178.02599999946545</v>
      </c>
      <c r="AA24" s="491">
        <f t="shared" si="9"/>
        <v>-10.953999999811089</v>
      </c>
      <c r="AB24" s="340">
        <v>52.931462252753285</v>
      </c>
      <c r="AC24" s="491">
        <f t="shared" si="10"/>
        <v>41.977462252942196</v>
      </c>
      <c r="AD24" s="492">
        <f t="shared" si="11"/>
        <v>2.5000459763555583E-2</v>
      </c>
    </row>
    <row r="25" spans="1:30" x14ac:dyDescent="0.25">
      <c r="A25" s="340" t="str">
        <f>name!D22</f>
        <v xml:space="preserve"> 62 Leisure, travel and related personal service occupations</v>
      </c>
      <c r="B25" s="87">
        <f t="shared" ref="B25:F25" si="29">SUM(B53,B81,B109,B137,B165,B193,B221,B249,B277)</f>
        <v>766.62156622264808</v>
      </c>
      <c r="C25" s="87">
        <f t="shared" si="29"/>
        <v>754.28298994157706</v>
      </c>
      <c r="D25" s="87">
        <f t="shared" si="29"/>
        <v>-12.338576281070999</v>
      </c>
      <c r="E25" s="87">
        <f t="shared" si="29"/>
        <v>260.76369400513448</v>
      </c>
      <c r="F25" s="87">
        <f t="shared" si="29"/>
        <v>248.42511772406354</v>
      </c>
      <c r="G25" s="298">
        <f t="shared" si="5"/>
        <v>2.9710709924058332E-2</v>
      </c>
      <c r="H25" s="87"/>
      <c r="I25" s="108" t="str">
        <f t="shared" si="23"/>
        <v>Sales and customer service</v>
      </c>
      <c r="J25" s="108">
        <v>7.3775173774115448</v>
      </c>
      <c r="K25" s="108">
        <v>10.404008559290556</v>
      </c>
      <c r="L25" s="108">
        <v>3.0264911818790106</v>
      </c>
      <c r="M25" s="108">
        <v>3.0064301967268934</v>
      </c>
      <c r="N25" s="108">
        <v>6.0329213786059039</v>
      </c>
      <c r="O25" s="87"/>
      <c r="P25" s="340" t="str">
        <f>name!D22</f>
        <v xml:space="preserve"> 62 Leisure, travel and related personal service occupations</v>
      </c>
      <c r="Q25" s="87">
        <v>261.99192391992858</v>
      </c>
      <c r="R25" s="87">
        <v>274.05884704230584</v>
      </c>
      <c r="S25" s="491">
        <f t="shared" si="6"/>
        <v>12.066923122377261</v>
      </c>
      <c r="T25" s="491">
        <v>79.504548841149727</v>
      </c>
      <c r="U25" s="491">
        <f t="shared" si="7"/>
        <v>91.571471963526989</v>
      </c>
      <c r="V25" s="492">
        <f t="shared" si="8"/>
        <v>2.6856678007246337E-2</v>
      </c>
      <c r="W25" s="492"/>
      <c r="X25" s="340" t="str">
        <f>name!A22</f>
        <v>Motor vehicles, etc</v>
      </c>
      <c r="Y25" s="340">
        <v>180.97899999906687</v>
      </c>
      <c r="Z25" s="340">
        <v>167.16399999919992</v>
      </c>
      <c r="AA25" s="491">
        <f t="shared" si="9"/>
        <v>-13.814999999866956</v>
      </c>
      <c r="AB25" s="340">
        <v>47.368067314112693</v>
      </c>
      <c r="AC25" s="491">
        <f t="shared" si="10"/>
        <v>33.553067314245737</v>
      </c>
      <c r="AD25" s="492">
        <f t="shared" si="11"/>
        <v>2.3520923929367443E-2</v>
      </c>
    </row>
    <row r="26" spans="1:30" x14ac:dyDescent="0.25">
      <c r="A26" s="340" t="str">
        <f>name!D23</f>
        <v xml:space="preserve"> 71 Sales occupations</v>
      </c>
      <c r="B26" s="87">
        <f t="shared" ref="B26:F26" si="30">SUM(B54,B82,B110,B138,B166,B194,B222,B250,B278)</f>
        <v>2232.1008314340852</v>
      </c>
      <c r="C26" s="87">
        <f t="shared" si="30"/>
        <v>2077.8628337740415</v>
      </c>
      <c r="D26" s="87">
        <f t="shared" si="30"/>
        <v>-154.23799766004407</v>
      </c>
      <c r="E26" s="87">
        <f t="shared" si="30"/>
        <v>673.40743790417287</v>
      </c>
      <c r="F26" s="87">
        <f t="shared" si="30"/>
        <v>519.16944024412874</v>
      </c>
      <c r="G26" s="298">
        <f t="shared" si="5"/>
        <v>2.6717183665120103E-2</v>
      </c>
      <c r="H26" s="87"/>
      <c r="I26" s="108" t="str">
        <f t="shared" si="23"/>
        <v>Process, plant and machine operatives</v>
      </c>
      <c r="J26" s="108">
        <v>5.5501458864483491</v>
      </c>
      <c r="K26" s="108">
        <v>9.4448710013755335</v>
      </c>
      <c r="L26" s="108">
        <v>3.8947251149271844</v>
      </c>
      <c r="M26" s="108">
        <v>3.131303971560139</v>
      </c>
      <c r="N26" s="108">
        <v>7.0260290864873234</v>
      </c>
      <c r="O26" s="87"/>
      <c r="P26" s="340" t="str">
        <f>name!D23</f>
        <v xml:space="preserve"> 71 Sales occupations</v>
      </c>
      <c r="Q26" s="87">
        <v>866.89845362455344</v>
      </c>
      <c r="R26" s="87">
        <v>847.40896512919085</v>
      </c>
      <c r="S26" s="491">
        <f t="shared" si="6"/>
        <v>-19.489488495362593</v>
      </c>
      <c r="T26" s="491">
        <v>195.69427641209913</v>
      </c>
      <c r="U26" s="491">
        <f t="shared" si="7"/>
        <v>176.20478791673654</v>
      </c>
      <c r="V26" s="492">
        <f t="shared" si="8"/>
        <v>2.0563098809212033E-2</v>
      </c>
      <c r="W26" s="492"/>
      <c r="X26" s="340" t="str">
        <f>name!A23</f>
        <v>Other transport equipment</v>
      </c>
      <c r="Y26" s="340">
        <v>150.9629999995478</v>
      </c>
      <c r="Z26" s="340">
        <v>162.53199999955078</v>
      </c>
      <c r="AA26" s="491">
        <f t="shared" si="9"/>
        <v>11.569000000002973</v>
      </c>
      <c r="AB26" s="340">
        <v>42.945050526452526</v>
      </c>
      <c r="AC26" s="491">
        <f t="shared" si="10"/>
        <v>54.514050526455499</v>
      </c>
      <c r="AD26" s="492">
        <f t="shared" si="11"/>
        <v>2.5350936091115717E-2</v>
      </c>
    </row>
    <row r="27" spans="1:30" x14ac:dyDescent="0.25">
      <c r="A27" s="340" t="str">
        <f>name!D24</f>
        <v xml:space="preserve"> 72 Customer service occupations</v>
      </c>
      <c r="B27" s="87">
        <f t="shared" ref="B27:F27" si="31">SUM(B55,B83,B111,B139,B167,B195,B223,B251,B279)</f>
        <v>696.93275934173926</v>
      </c>
      <c r="C27" s="87">
        <f t="shared" si="31"/>
        <v>798.75091212199391</v>
      </c>
      <c r="D27" s="87">
        <f t="shared" si="31"/>
        <v>101.81815278025452</v>
      </c>
      <c r="E27" s="87">
        <f t="shared" si="31"/>
        <v>233.77668369079618</v>
      </c>
      <c r="F27" s="87">
        <f t="shared" si="31"/>
        <v>335.59483647105071</v>
      </c>
      <c r="G27" s="298">
        <f t="shared" si="5"/>
        <v>2.9348234871693801E-2</v>
      </c>
      <c r="H27" s="87"/>
      <c r="I27" s="108" t="str">
        <f t="shared" si="23"/>
        <v>Elementary occupations</v>
      </c>
      <c r="J27" s="108">
        <v>2.7845361809305635</v>
      </c>
      <c r="K27" s="108">
        <v>5.3128224237568373</v>
      </c>
      <c r="L27" s="108">
        <v>2.5282862428262742</v>
      </c>
      <c r="M27" s="108">
        <v>1.5730586186654618</v>
      </c>
      <c r="N27" s="108">
        <v>4.1013448614917349</v>
      </c>
      <c r="O27" s="87"/>
      <c r="P27" s="340" t="str">
        <f>name!D24</f>
        <v xml:space="preserve"> 72 Customer service occupations</v>
      </c>
      <c r="Q27" s="87">
        <v>284.07936230390033</v>
      </c>
      <c r="R27" s="87">
        <v>334.65890181273278</v>
      </c>
      <c r="S27" s="491">
        <f t="shared" si="6"/>
        <v>50.579539508832454</v>
      </c>
      <c r="T27" s="491">
        <v>73.356346638302981</v>
      </c>
      <c r="U27" s="491">
        <f t="shared" si="7"/>
        <v>123.93588614713543</v>
      </c>
      <c r="V27" s="492">
        <f t="shared" si="8"/>
        <v>2.3236033047521643E-2</v>
      </c>
      <c r="W27" s="492"/>
      <c r="X27" s="340" t="str">
        <f>name!A24</f>
        <v>Furniture</v>
      </c>
      <c r="Y27" s="340">
        <v>95.174999999729252</v>
      </c>
      <c r="Z27" s="340">
        <v>91.713999999683509</v>
      </c>
      <c r="AA27" s="491">
        <f t="shared" si="9"/>
        <v>-3.4610000000457433</v>
      </c>
      <c r="AB27" s="340">
        <v>26.680067755907942</v>
      </c>
      <c r="AC27" s="491">
        <f t="shared" si="10"/>
        <v>23.219067755862199</v>
      </c>
      <c r="AD27" s="492">
        <f t="shared" si="11"/>
        <v>2.5019366651135799E-2</v>
      </c>
    </row>
    <row r="28" spans="1:30" x14ac:dyDescent="0.25">
      <c r="A28" s="340" t="str">
        <f>name!D25</f>
        <v xml:space="preserve"> 81 Process, plant and machine operatives</v>
      </c>
      <c r="B28" s="87">
        <f t="shared" ref="B28:F28" si="32">SUM(B56,B84,B112,B140,B168,B196,B224,B252,B280)</f>
        <v>910.36505814126065</v>
      </c>
      <c r="C28" s="87">
        <f t="shared" si="32"/>
        <v>708.95931242337554</v>
      </c>
      <c r="D28" s="87">
        <f t="shared" si="32"/>
        <v>-201.40574571788514</v>
      </c>
      <c r="E28" s="87">
        <f t="shared" si="32"/>
        <v>206.58997935358079</v>
      </c>
      <c r="F28" s="87">
        <f t="shared" si="32"/>
        <v>5.1842336356956338</v>
      </c>
      <c r="G28" s="298">
        <f t="shared" si="5"/>
        <v>2.0662153065304389E-2</v>
      </c>
      <c r="H28" s="87"/>
      <c r="O28" s="87"/>
      <c r="P28" s="340" t="str">
        <f>name!D25</f>
        <v xml:space="preserve"> 81 Process, plant and machine operatives</v>
      </c>
      <c r="Q28" s="87">
        <v>719.68703195597607</v>
      </c>
      <c r="R28" s="87">
        <v>589.65211558646297</v>
      </c>
      <c r="S28" s="491">
        <f t="shared" si="6"/>
        <v>-130.0349163695131</v>
      </c>
      <c r="T28" s="491">
        <v>157.8510803914524</v>
      </c>
      <c r="U28" s="491">
        <f t="shared" si="7"/>
        <v>27.816164021939301</v>
      </c>
      <c r="V28" s="492">
        <f t="shared" si="8"/>
        <v>2.0028323206328968E-2</v>
      </c>
      <c r="W28" s="492"/>
      <c r="X28" s="340" t="str">
        <f>name!A25</f>
        <v>Other manufacturing</v>
      </c>
      <c r="Y28" s="340">
        <v>103.46499999981707</v>
      </c>
      <c r="Z28" s="340">
        <v>98.352999999705261</v>
      </c>
      <c r="AA28" s="491">
        <f t="shared" si="9"/>
        <v>-5.1120000001118058</v>
      </c>
      <c r="AB28" s="340">
        <v>31.125094207911435</v>
      </c>
      <c r="AC28" s="491">
        <f t="shared" si="10"/>
        <v>26.013094207799629</v>
      </c>
      <c r="AD28" s="492">
        <f t="shared" si="11"/>
        <v>2.664894098545445E-2</v>
      </c>
    </row>
    <row r="29" spans="1:30" x14ac:dyDescent="0.25">
      <c r="A29" s="340" t="str">
        <f>name!D26</f>
        <v xml:space="preserve"> 82 Transport and mobile machine drivers and operatives</v>
      </c>
      <c r="B29" s="87">
        <f t="shared" ref="B29:F29" si="33">SUM(B57,B85,B113,B141,B169,B197,B225,B253,B281)</f>
        <v>1269.5914805445057</v>
      </c>
      <c r="C29" s="87">
        <f t="shared" si="33"/>
        <v>1265.1666013580489</v>
      </c>
      <c r="D29" s="87">
        <f t="shared" si="33"/>
        <v>-4.4248791864565789</v>
      </c>
      <c r="E29" s="87">
        <f t="shared" si="33"/>
        <v>450.81923286049846</v>
      </c>
      <c r="F29" s="87">
        <f t="shared" si="33"/>
        <v>446.39435367404189</v>
      </c>
      <c r="G29" s="298">
        <f t="shared" si="5"/>
        <v>3.085317739157456E-2</v>
      </c>
      <c r="H29" s="87"/>
      <c r="I29" s="115" t="str">
        <f>name!F5</f>
        <v>RQF7 Other higher degree</v>
      </c>
      <c r="J29" s="108"/>
      <c r="K29" s="108"/>
      <c r="L29" s="108"/>
      <c r="M29" s="108"/>
      <c r="N29" s="108"/>
      <c r="O29" s="87"/>
      <c r="P29" s="340" t="str">
        <f>name!D26</f>
        <v xml:space="preserve"> 82 Transport and mobile machine drivers and operatives</v>
      </c>
      <c r="Q29" s="87">
        <v>1209.5642662460725</v>
      </c>
      <c r="R29" s="87">
        <v>1192.7583410923617</v>
      </c>
      <c r="S29" s="491">
        <f t="shared" si="6"/>
        <v>-16.805925153710859</v>
      </c>
      <c r="T29" s="491">
        <v>422.3688726733069</v>
      </c>
      <c r="U29" s="491">
        <f t="shared" si="7"/>
        <v>405.56294751959604</v>
      </c>
      <c r="V29" s="492">
        <f t="shared" si="8"/>
        <v>3.0403538297758992E-2</v>
      </c>
      <c r="W29" s="492"/>
      <c r="X29" s="340" t="str">
        <f>name!A26</f>
        <v>Repair and installation</v>
      </c>
      <c r="Y29" s="340">
        <v>141.05299999966789</v>
      </c>
      <c r="Z29" s="340">
        <v>131.13799999973722</v>
      </c>
      <c r="AA29" s="491">
        <f t="shared" si="9"/>
        <v>-9.9149999999306715</v>
      </c>
      <c r="AB29" s="340">
        <v>37.967947545248968</v>
      </c>
      <c r="AC29" s="491">
        <f t="shared" si="10"/>
        <v>28.052947545318297</v>
      </c>
      <c r="AD29" s="492">
        <f t="shared" si="11"/>
        <v>2.412307703434835E-2</v>
      </c>
    </row>
    <row r="30" spans="1:30" x14ac:dyDescent="0.25">
      <c r="A30" s="340" t="str">
        <f>name!D27</f>
        <v xml:space="preserve"> 91 Elementary trades and related occupations</v>
      </c>
      <c r="B30" s="87">
        <f t="shared" ref="B30:F30" si="34">SUM(B58,B86,B114,B142,B170,B198,B226,B254,B282)</f>
        <v>555.1337895899768</v>
      </c>
      <c r="C30" s="87">
        <f t="shared" si="34"/>
        <v>530.97531625291219</v>
      </c>
      <c r="D30" s="87">
        <f t="shared" si="34"/>
        <v>-24.158473337064649</v>
      </c>
      <c r="E30" s="87">
        <f t="shared" si="34"/>
        <v>147.4889730119375</v>
      </c>
      <c r="F30" s="87">
        <f t="shared" si="34"/>
        <v>123.3304996748729</v>
      </c>
      <c r="G30" s="298">
        <f t="shared" si="5"/>
        <v>2.3840854483447416E-2</v>
      </c>
      <c r="H30" s="87"/>
      <c r="I30" s="108" t="str">
        <f>I19</f>
        <v>Managers, directors and senior officials</v>
      </c>
      <c r="J30" s="108">
        <f t="array" ref="J30:J38">MMULT(aggregation!$B$38:$Z$46,B63:B87)</f>
        <v>450.94150978356981</v>
      </c>
      <c r="K30" s="108">
        <f t="array" ref="K30:K38">MMULT(aggregation!$B$38:$Z$46,C63:C87)</f>
        <v>625.57034640243864</v>
      </c>
      <c r="L30" s="108">
        <f t="array" ref="L30:L38">MMULT(aggregation!$B$38:$Z$46,D63:D87)</f>
        <v>174.62883661886892</v>
      </c>
      <c r="M30" s="108">
        <f t="array" ref="M30:M38">MMULT(aggregation!$B$38:$Z$46,E63:E87)</f>
        <v>203.55978032238153</v>
      </c>
      <c r="N30" s="108">
        <f t="array" ref="N30:N38">MMULT(aggregation!$B$38:$Z$46,F63:F87)</f>
        <v>378.18861694125042</v>
      </c>
      <c r="O30" s="87"/>
      <c r="P30" s="340" t="str">
        <f>name!D27</f>
        <v xml:space="preserve"> 91 Elementary trades and related occupations</v>
      </c>
      <c r="Q30" s="87">
        <v>442.18288190204635</v>
      </c>
      <c r="R30" s="87">
        <v>399.61327908899227</v>
      </c>
      <c r="S30" s="491">
        <f t="shared" si="6"/>
        <v>-42.569602813054075</v>
      </c>
      <c r="T30" s="491">
        <v>95.311107518979512</v>
      </c>
      <c r="U30" s="491">
        <f t="shared" si="7"/>
        <v>52.741504705925436</v>
      </c>
      <c r="V30" s="492">
        <f t="shared" si="8"/>
        <v>1.9711151206940336E-2</v>
      </c>
      <c r="W30" s="492"/>
      <c r="X30" s="340" t="str">
        <f>name!A27</f>
        <v>Electricity, gas, etc</v>
      </c>
      <c r="Y30" s="340">
        <v>143.9989999994973</v>
      </c>
      <c r="Z30" s="340">
        <v>145.17299999955003</v>
      </c>
      <c r="AA30" s="491">
        <f t="shared" si="9"/>
        <v>1.1740000000527289</v>
      </c>
      <c r="AB30" s="340">
        <v>41.883502172578112</v>
      </c>
      <c r="AC30" s="491">
        <f t="shared" si="10"/>
        <v>43.057502172630841</v>
      </c>
      <c r="AD30" s="492">
        <f t="shared" si="11"/>
        <v>2.585954434189941E-2</v>
      </c>
    </row>
    <row r="31" spans="1:30" x14ac:dyDescent="0.25">
      <c r="A31" s="340" t="str">
        <f>name!D28</f>
        <v xml:space="preserve"> 92 Elementary administration and service occupations</v>
      </c>
      <c r="B31" s="87">
        <f t="shared" ref="B31:F32" si="35">SUM(B59,B87,B115,B143,B171,B199,B227,B255,B283)</f>
        <v>3400.8593215545029</v>
      </c>
      <c r="C31" s="87">
        <f t="shared" si="35"/>
        <v>3415.9759462743359</v>
      </c>
      <c r="D31" s="87">
        <f t="shared" si="35"/>
        <v>15.116624719832913</v>
      </c>
      <c r="E31" s="87">
        <f t="shared" si="35"/>
        <v>1110.2535900547869</v>
      </c>
      <c r="F31" s="87">
        <f t="shared" si="35"/>
        <v>1125.3702147746196</v>
      </c>
      <c r="G31" s="298">
        <f t="shared" si="5"/>
        <v>2.8654435311110671E-2</v>
      </c>
      <c r="H31" s="87"/>
      <c r="I31" s="108" t="str">
        <f>I20</f>
        <v>Professional occupations</v>
      </c>
      <c r="J31" s="108">
        <v>2027.7869453798576</v>
      </c>
      <c r="K31" s="108">
        <v>2551.5875516532083</v>
      </c>
      <c r="L31" s="108">
        <v>523.80060627335047</v>
      </c>
      <c r="M31" s="108">
        <v>773.74429834635635</v>
      </c>
      <c r="N31" s="108">
        <v>1297.5449046197068</v>
      </c>
      <c r="O31" s="87"/>
      <c r="P31" s="340" t="str">
        <f>name!D28</f>
        <v xml:space="preserve"> 92 Elementary administration and service occupations</v>
      </c>
      <c r="Q31" s="87">
        <v>1653.0345846304847</v>
      </c>
      <c r="R31" s="87">
        <v>1815.3093387344427</v>
      </c>
      <c r="S31" s="491">
        <f t="shared" si="6"/>
        <v>162.274754103958</v>
      </c>
      <c r="T31" s="491">
        <v>471.22966648651413</v>
      </c>
      <c r="U31" s="491">
        <f t="shared" si="7"/>
        <v>633.50442059047214</v>
      </c>
      <c r="V31" s="492">
        <f t="shared" si="8"/>
        <v>2.5398458109093802E-2</v>
      </c>
      <c r="W31" s="492"/>
      <c r="X31" s="340" t="str">
        <f>name!A28</f>
        <v>Water</v>
      </c>
      <c r="Y31" s="340">
        <v>37.092999999870166</v>
      </c>
      <c r="Z31" s="340">
        <v>42.30999999989421</v>
      </c>
      <c r="AA31" s="491">
        <f t="shared" si="9"/>
        <v>5.2170000000240435</v>
      </c>
      <c r="AB31" s="340">
        <v>11.433503984920105</v>
      </c>
      <c r="AC31" s="491">
        <f t="shared" si="10"/>
        <v>16.650503984944148</v>
      </c>
      <c r="AD31" s="492">
        <f t="shared" si="11"/>
        <v>2.7232389204790763E-2</v>
      </c>
    </row>
    <row r="32" spans="1:30" x14ac:dyDescent="0.25">
      <c r="A32" s="86" t="str">
        <f>name!D3</f>
        <v>All occupations</v>
      </c>
      <c r="B32" s="87">
        <f t="shared" si="35"/>
        <v>34847.991999999998</v>
      </c>
      <c r="C32" s="87">
        <f t="shared" si="35"/>
        <v>35820.953000000154</v>
      </c>
      <c r="D32" s="87">
        <f t="shared" si="35"/>
        <v>972.96100000015201</v>
      </c>
      <c r="E32" s="87">
        <f t="shared" si="35"/>
        <v>11580.882065892372</v>
      </c>
      <c r="F32" s="87">
        <f t="shared" si="35"/>
        <v>12553.843065892521</v>
      </c>
      <c r="G32" s="298">
        <f t="shared" si="5"/>
        <v>2.9108201528928346E-2</v>
      </c>
      <c r="H32" s="87"/>
      <c r="I32" s="108" t="str">
        <f>I21</f>
        <v>Associate professional and technical</v>
      </c>
      <c r="J32" s="108">
        <v>716.11503026273454</v>
      </c>
      <c r="K32" s="108">
        <v>951.53674404674575</v>
      </c>
      <c r="L32" s="108">
        <v>235.4217137840113</v>
      </c>
      <c r="M32" s="108">
        <v>281.52627164164136</v>
      </c>
      <c r="N32" s="108">
        <v>516.94798542565263</v>
      </c>
      <c r="O32" s="87"/>
      <c r="P32" s="340" t="str">
        <f>name!D3</f>
        <v>All occupations</v>
      </c>
      <c r="Q32" s="87">
        <f>SUM(Q7:Q31)</f>
        <v>18231.892000000047</v>
      </c>
      <c r="R32" s="87">
        <f>SUM(R7:R31)</f>
        <v>18413.985000000124</v>
      </c>
      <c r="S32" s="491">
        <f t="shared" si="6"/>
        <v>182.09300000007715</v>
      </c>
      <c r="T32" s="87">
        <f>SUM(T7:T31)</f>
        <v>5061.595144168261</v>
      </c>
      <c r="U32" s="491">
        <f t="shared" si="7"/>
        <v>5243.6881441683381</v>
      </c>
      <c r="V32" s="492">
        <f t="shared" si="8"/>
        <v>2.4802737809088482E-2</v>
      </c>
      <c r="W32" s="492"/>
      <c r="X32" s="340" t="str">
        <f>name!A29</f>
        <v>Sewerage</v>
      </c>
      <c r="Y32" s="340">
        <v>21.783999999952226</v>
      </c>
      <c r="Z32" s="340">
        <v>21.402999999932653</v>
      </c>
      <c r="AA32" s="491">
        <f t="shared" si="9"/>
        <v>-0.38100000001957213</v>
      </c>
      <c r="AB32" s="340">
        <v>6.8813013778528394</v>
      </c>
      <c r="AC32" s="491">
        <f t="shared" si="10"/>
        <v>6.5003013778332672</v>
      </c>
      <c r="AD32" s="492">
        <f t="shared" si="11"/>
        <v>2.7831417136526593E-2</v>
      </c>
    </row>
    <row r="33" spans="1:30" x14ac:dyDescent="0.25">
      <c r="A33" s="226"/>
      <c r="B33" s="87"/>
      <c r="C33" s="87"/>
      <c r="D33" s="87"/>
      <c r="E33" s="87"/>
      <c r="F33" s="87"/>
      <c r="G33" s="87"/>
      <c r="H33" s="87"/>
      <c r="I33" s="108" t="str">
        <f>I22</f>
        <v>Administrative and secretarial</v>
      </c>
      <c r="J33" s="108">
        <v>226.57155206100614</v>
      </c>
      <c r="K33" s="108">
        <v>279.05017653443161</v>
      </c>
      <c r="L33" s="108">
        <v>52.478624473425484</v>
      </c>
      <c r="M33" s="108">
        <v>93.607788764118652</v>
      </c>
      <c r="N33" s="108">
        <v>146.08641323754415</v>
      </c>
      <c r="O33" s="87"/>
      <c r="P33" s="343"/>
      <c r="Q33" s="116"/>
      <c r="R33" s="116"/>
      <c r="S33" s="116"/>
      <c r="T33" s="116"/>
      <c r="U33" s="116"/>
      <c r="V33" s="116"/>
      <c r="W33" s="108"/>
      <c r="X33" s="340" t="str">
        <f>name!A30</f>
        <v>Waste management</v>
      </c>
      <c r="Y33" s="340">
        <v>149.12299999945731</v>
      </c>
      <c r="Z33" s="340">
        <v>157.82199999926144</v>
      </c>
      <c r="AA33" s="491">
        <f t="shared" si="9"/>
        <v>8.6989999998041299</v>
      </c>
      <c r="AB33" s="340">
        <v>47.296378644118107</v>
      </c>
      <c r="AC33" s="491">
        <f t="shared" si="10"/>
        <v>55.995378643922237</v>
      </c>
      <c r="AD33" s="492">
        <f t="shared" si="11"/>
        <v>2.7931015417251626E-2</v>
      </c>
    </row>
    <row r="34" spans="1:30" ht="30" customHeight="1" x14ac:dyDescent="0.25">
      <c r="A34" s="299" t="str">
        <f>CONCATENATE(name!F4," (Constrained)")</f>
        <v>RQF8 Doctorate (Constrained)</v>
      </c>
      <c r="B34" s="96">
        <f t="shared" ref="B34:G34" si="36">B6</f>
        <v>2017</v>
      </c>
      <c r="C34" s="96">
        <f t="shared" si="36"/>
        <v>2027</v>
      </c>
      <c r="D34" s="117" t="str">
        <f t="shared" si="36"/>
        <v>Net Change</v>
      </c>
      <c r="E34" s="117" t="str">
        <f t="shared" si="36"/>
        <v>Replacement Demand level</v>
      </c>
      <c r="F34" s="117" t="str">
        <f t="shared" si="36"/>
        <v>Total Requirement</v>
      </c>
      <c r="G34" s="117" t="str">
        <f t="shared" si="36"/>
        <v>Replacement Demand rate</v>
      </c>
      <c r="H34" s="87"/>
      <c r="I34" s="108" t="str">
        <f>I23</f>
        <v>Skilled trades occupations</v>
      </c>
      <c r="J34" s="108">
        <v>71.439426652229244</v>
      </c>
      <c r="K34" s="108">
        <v>100.37741918445377</v>
      </c>
      <c r="L34" s="108">
        <v>28.937992532224527</v>
      </c>
      <c r="M34" s="108">
        <v>29.583882402694101</v>
      </c>
      <c r="N34" s="108">
        <v>58.521874934918628</v>
      </c>
      <c r="O34" s="87"/>
      <c r="P34" s="299" t="s">
        <v>99</v>
      </c>
      <c r="Q34" s="96">
        <f>B34</f>
        <v>2017</v>
      </c>
      <c r="R34" s="96">
        <f>C34</f>
        <v>2027</v>
      </c>
      <c r="S34" s="490" t="str">
        <f t="shared" ref="S34:V34" si="37">D34</f>
        <v>Net Change</v>
      </c>
      <c r="T34" s="490" t="str">
        <f t="shared" si="37"/>
        <v>Replacement Demand level</v>
      </c>
      <c r="U34" s="490" t="str">
        <f t="shared" si="37"/>
        <v>Total Requirement</v>
      </c>
      <c r="V34" s="490" t="str">
        <f t="shared" si="37"/>
        <v>Replacement Demand rate</v>
      </c>
      <c r="W34" s="494"/>
      <c r="X34" s="340" t="str">
        <f>name!A31</f>
        <v>Construction</v>
      </c>
      <c r="Y34" s="340">
        <v>704.99900000155344</v>
      </c>
      <c r="Z34" s="340">
        <v>720.8450000095396</v>
      </c>
      <c r="AA34" s="491">
        <f t="shared" si="9"/>
        <v>15.846000007986163</v>
      </c>
      <c r="AB34" s="340">
        <v>206.81478279672109</v>
      </c>
      <c r="AC34" s="491">
        <f t="shared" si="10"/>
        <v>222.66078280470725</v>
      </c>
      <c r="AD34" s="492">
        <f t="shared" si="11"/>
        <v>2.6057655826484893E-2</v>
      </c>
    </row>
    <row r="35" spans="1:30" s="226" customFormat="1" x14ac:dyDescent="0.25">
      <c r="A35" s="86" t="str">
        <f t="shared" ref="A35:A60" si="38">A7</f>
        <v xml:space="preserve"> 11 Corporate managers and directors</v>
      </c>
      <c r="B35" s="87">
        <v>41.264513599111396</v>
      </c>
      <c r="C35" s="87">
        <v>58.613615982104243</v>
      </c>
      <c r="D35" s="87">
        <f>C35-B35</f>
        <v>17.349102382992847</v>
      </c>
      <c r="E35" s="87">
        <v>18.058996357395216</v>
      </c>
      <c r="F35" s="87">
        <f>SUM(D35:E35)</f>
        <v>35.408098740388063</v>
      </c>
      <c r="G35" s="298">
        <f>IF(B35&gt;0,(1+(E35/B35))^(1/($C$6-$B$6))-1,0)</f>
        <v>3.6967179177744836E-2</v>
      </c>
      <c r="H35" s="87"/>
      <c r="I35" s="108" t="str">
        <f t="shared" ref="I35:I38" si="39">I24</f>
        <v>Caring, leisure and other service</v>
      </c>
      <c r="J35" s="108">
        <v>121.56391201120499</v>
      </c>
      <c r="K35" s="108">
        <v>197.42306315710533</v>
      </c>
      <c r="L35" s="108">
        <v>75.859151145900341</v>
      </c>
      <c r="M35" s="108">
        <v>65.198921373864948</v>
      </c>
      <c r="N35" s="108">
        <v>141.05807251976526</v>
      </c>
      <c r="O35" s="87"/>
      <c r="P35" s="340" t="str">
        <f>name!D4</f>
        <v xml:space="preserve"> 11 Corporate managers and directors</v>
      </c>
      <c r="Q35" s="87">
        <v>799.76898737204874</v>
      </c>
      <c r="R35" s="87">
        <v>1025.606992658777</v>
      </c>
      <c r="S35" s="491">
        <f>R35-Q35</f>
        <v>225.83800528672828</v>
      </c>
      <c r="T35" s="491">
        <v>373.44134583814133</v>
      </c>
      <c r="U35" s="491">
        <f>SUM(S35:T35)</f>
        <v>599.27935112486966</v>
      </c>
      <c r="V35" s="492">
        <f>IF(Q35&gt;0,(1+(T35/Q35))^(1/($C$6-$B$6))-1,0)</f>
        <v>3.9061209648841855E-2</v>
      </c>
      <c r="W35" s="492"/>
      <c r="X35" s="340" t="str">
        <f>name!A32</f>
        <v>Civil engineering</v>
      </c>
      <c r="Y35" s="340">
        <v>346.35000000039383</v>
      </c>
      <c r="Z35" s="340">
        <v>353.0720000043973</v>
      </c>
      <c r="AA35" s="491">
        <f t="shared" si="9"/>
        <v>6.722000004003462</v>
      </c>
      <c r="AB35" s="340">
        <v>97.809714938520315</v>
      </c>
      <c r="AC35" s="491">
        <f t="shared" si="10"/>
        <v>104.53171494252378</v>
      </c>
      <c r="AD35" s="492">
        <f t="shared" si="11"/>
        <v>2.5185363993780685E-2</v>
      </c>
    </row>
    <row r="36" spans="1:30" s="109" customFormat="1" ht="12.75" customHeight="1" x14ac:dyDescent="0.25">
      <c r="A36" s="244" t="str">
        <f t="shared" si="38"/>
        <v xml:space="preserve"> 12 Other managers and proprietors</v>
      </c>
      <c r="B36" s="87">
        <v>13.641689163493639</v>
      </c>
      <c r="C36" s="87">
        <v>20.450459092393384</v>
      </c>
      <c r="D36" s="87">
        <f t="shared" ref="D36:D59" si="40">C36-B36</f>
        <v>6.8087699288997445</v>
      </c>
      <c r="E36" s="87">
        <v>7.2077085127410276</v>
      </c>
      <c r="F36" s="87">
        <f t="shared" ref="F36:F59" si="41">SUM(D36:E36)</f>
        <v>14.016478441640771</v>
      </c>
      <c r="G36" s="298">
        <f t="shared" ref="G36:G60" si="42">IF(B36&gt;0,(1+(E36/B36))^(1/($C$6-$B$6))-1,0)</f>
        <v>4.3332020491581691E-2</v>
      </c>
      <c r="I36" s="108" t="str">
        <f t="shared" si="39"/>
        <v>Sales and customer service</v>
      </c>
      <c r="J36" s="108">
        <v>102.83465466549264</v>
      </c>
      <c r="K36" s="108">
        <v>156.24477873532283</v>
      </c>
      <c r="L36" s="108">
        <v>53.410124069830189</v>
      </c>
      <c r="M36" s="108">
        <v>43.794735781769823</v>
      </c>
      <c r="N36" s="108">
        <v>97.20485985160002</v>
      </c>
      <c r="O36" s="250"/>
      <c r="P36" s="340" t="str">
        <f>name!D5</f>
        <v xml:space="preserve"> 12 Other managers and proprietors</v>
      </c>
      <c r="Q36" s="87">
        <v>479.32185576317693</v>
      </c>
      <c r="R36" s="87">
        <v>543.04099378203591</v>
      </c>
      <c r="S36" s="491">
        <f t="shared" ref="S36:S60" si="43">R36-Q36</f>
        <v>63.719138018858985</v>
      </c>
      <c r="T36" s="491">
        <v>227.04806064728976</v>
      </c>
      <c r="U36" s="491">
        <f t="shared" ref="U36:U60" si="44">SUM(S36:T36)</f>
        <v>290.76719866614872</v>
      </c>
      <c r="V36" s="492">
        <f t="shared" ref="V36:V60" si="45">IF(Q36&gt;0,(1+(T36/Q36))^(1/($C$6-$B$6))-1,0)</f>
        <v>3.953830353336496E-2</v>
      </c>
      <c r="W36" s="492"/>
      <c r="X36" s="340" t="str">
        <f>name!A33</f>
        <v>Specialised construction</v>
      </c>
      <c r="Y36" s="340">
        <v>1234.6990000027815</v>
      </c>
      <c r="Z36" s="340">
        <v>1262.1090000167985</v>
      </c>
      <c r="AA36" s="491">
        <f t="shared" si="9"/>
        <v>27.410000014016987</v>
      </c>
      <c r="AB36" s="340">
        <v>354.97048920963533</v>
      </c>
      <c r="AC36" s="491">
        <f t="shared" si="10"/>
        <v>382.38048922365232</v>
      </c>
      <c r="AD36" s="492">
        <f t="shared" si="11"/>
        <v>2.559188124734102E-2</v>
      </c>
    </row>
    <row r="37" spans="1:30" x14ac:dyDescent="0.25">
      <c r="A37" s="244" t="str">
        <f t="shared" si="38"/>
        <v xml:space="preserve"> 21 Science, research, engineering and technology professionals</v>
      </c>
      <c r="B37" s="87">
        <v>96.660518859770931</v>
      </c>
      <c r="C37" s="87">
        <v>120.07041248526208</v>
      </c>
      <c r="D37" s="87">
        <f t="shared" si="40"/>
        <v>23.409893625491151</v>
      </c>
      <c r="E37" s="87">
        <v>27.818804917588935</v>
      </c>
      <c r="F37" s="87">
        <f t="shared" si="41"/>
        <v>51.228698543080085</v>
      </c>
      <c r="G37" s="298">
        <f t="shared" si="42"/>
        <v>2.5616053012231133E-2</v>
      </c>
      <c r="I37" s="108" t="str">
        <f t="shared" si="39"/>
        <v>Process, plant and machine operatives</v>
      </c>
      <c r="J37" s="108">
        <v>36.340258972048758</v>
      </c>
      <c r="K37" s="108">
        <v>56.403732282035335</v>
      </c>
      <c r="L37" s="108">
        <v>20.063473309986577</v>
      </c>
      <c r="M37" s="108">
        <v>18.776509177265442</v>
      </c>
      <c r="N37" s="108">
        <v>38.839982487252016</v>
      </c>
      <c r="P37" s="340" t="str">
        <f>name!D6</f>
        <v xml:space="preserve"> 21 Science, research, engineering and technology professionals</v>
      </c>
      <c r="Q37" s="87">
        <v>336.69646567854301</v>
      </c>
      <c r="R37" s="87">
        <v>414.05169264291754</v>
      </c>
      <c r="S37" s="491">
        <f t="shared" si="43"/>
        <v>77.355226964374538</v>
      </c>
      <c r="T37" s="491">
        <v>132.70222211761276</v>
      </c>
      <c r="U37" s="491">
        <f t="shared" si="44"/>
        <v>210.0574490819873</v>
      </c>
      <c r="V37" s="492">
        <f t="shared" si="45"/>
        <v>3.3785249945709417E-2</v>
      </c>
      <c r="W37" s="492"/>
      <c r="X37" s="340" t="str">
        <f>name!A34</f>
        <v>Motor vehicle trade</v>
      </c>
      <c r="Y37" s="340">
        <v>632.12499999983629</v>
      </c>
      <c r="Z37" s="340">
        <v>632.07799999743645</v>
      </c>
      <c r="AA37" s="491">
        <f t="shared" si="9"/>
        <v>-4.7000002399840923E-2</v>
      </c>
      <c r="AB37" s="340">
        <v>175.88001025370181</v>
      </c>
      <c r="AC37" s="491">
        <f t="shared" si="10"/>
        <v>175.83301025130197</v>
      </c>
      <c r="AD37" s="492">
        <f t="shared" si="11"/>
        <v>2.4851895536725621E-2</v>
      </c>
    </row>
    <row r="38" spans="1:30" x14ac:dyDescent="0.25">
      <c r="A38" s="244" t="str">
        <f t="shared" si="38"/>
        <v xml:space="preserve"> 22 Health professionals</v>
      </c>
      <c r="B38" s="87">
        <v>98.550187866531402</v>
      </c>
      <c r="C38" s="87">
        <v>134.48409997852238</v>
      </c>
      <c r="D38" s="87">
        <f t="shared" si="40"/>
        <v>35.933912111990978</v>
      </c>
      <c r="E38" s="87">
        <v>39.527304282499934</v>
      </c>
      <c r="F38" s="87">
        <f t="shared" si="41"/>
        <v>75.461216394490918</v>
      </c>
      <c r="G38" s="298">
        <f t="shared" si="42"/>
        <v>3.4300044572752375E-2</v>
      </c>
      <c r="I38" s="108" t="str">
        <f t="shared" si="39"/>
        <v>Elementary occupations</v>
      </c>
      <c r="J38" s="108">
        <v>85.801075540148318</v>
      </c>
      <c r="K38" s="108">
        <v>158.04035477239935</v>
      </c>
      <c r="L38" s="108">
        <v>72.239279232251022</v>
      </c>
      <c r="M38" s="108">
        <v>47.099215147994776</v>
      </c>
      <c r="N38" s="108">
        <v>119.33849438024581</v>
      </c>
      <c r="P38" s="340" t="str">
        <f>name!D7</f>
        <v xml:space="preserve"> 22 Health professionals</v>
      </c>
      <c r="Q38" s="87">
        <v>1164.7762648044641</v>
      </c>
      <c r="R38" s="87">
        <v>1384.0336135565285</v>
      </c>
      <c r="S38" s="491">
        <f t="shared" si="43"/>
        <v>219.25734875206444</v>
      </c>
      <c r="T38" s="491">
        <v>505.18917100032274</v>
      </c>
      <c r="U38" s="491">
        <f t="shared" si="44"/>
        <v>724.44651975238719</v>
      </c>
      <c r="V38" s="492">
        <f t="shared" si="45"/>
        <v>3.6684241701935738E-2</v>
      </c>
      <c r="W38" s="492"/>
      <c r="X38" s="340" t="str">
        <f>name!A35</f>
        <v>Wholesale trade</v>
      </c>
      <c r="Y38" s="340">
        <v>1225.9319999996226</v>
      </c>
      <c r="Z38" s="340">
        <v>1196.4899999944462</v>
      </c>
      <c r="AA38" s="491">
        <f t="shared" si="9"/>
        <v>-29.442000005176396</v>
      </c>
      <c r="AB38" s="340">
        <v>368.39767085024346</v>
      </c>
      <c r="AC38" s="491">
        <f t="shared" si="10"/>
        <v>338.95567084506706</v>
      </c>
      <c r="AD38" s="492">
        <f t="shared" si="11"/>
        <v>2.6623437170803399E-2</v>
      </c>
    </row>
    <row r="39" spans="1:30" x14ac:dyDescent="0.25">
      <c r="A39" s="244" t="str">
        <f t="shared" si="38"/>
        <v xml:space="preserve"> 23 Teaching and educational professionals</v>
      </c>
      <c r="B39" s="87">
        <v>150.19196571200069</v>
      </c>
      <c r="C39" s="87">
        <v>187.26283791072174</v>
      </c>
      <c r="D39" s="87">
        <f>C39-B39</f>
        <v>37.070872198721048</v>
      </c>
      <c r="E39" s="87">
        <v>57.744073916527462</v>
      </c>
      <c r="F39" s="87">
        <f>SUM(D39:E39)</f>
        <v>94.814946115248517</v>
      </c>
      <c r="G39" s="298">
        <f>IF(B39&gt;0,(1+(E39/B39))^(1/($C$6-$B$6))-1,0)</f>
        <v>3.3066566800324937E-2</v>
      </c>
      <c r="I39" s="114"/>
      <c r="J39" s="108"/>
      <c r="K39" s="108"/>
      <c r="L39" s="108"/>
      <c r="M39" s="108"/>
      <c r="N39" s="108"/>
      <c r="P39" s="340" t="str">
        <f>name!D8</f>
        <v xml:space="preserve"> 23 Teaching and educational professionals</v>
      </c>
      <c r="Q39" s="87">
        <v>1151.3180315313523</v>
      </c>
      <c r="R39" s="87">
        <v>1332.418120864306</v>
      </c>
      <c r="S39" s="491">
        <f t="shared" si="43"/>
        <v>181.10008933295376</v>
      </c>
      <c r="T39" s="491">
        <v>465.46632003726381</v>
      </c>
      <c r="U39" s="491">
        <f t="shared" si="44"/>
        <v>646.56640937021757</v>
      </c>
      <c r="V39" s="492">
        <f t="shared" si="45"/>
        <v>3.4536169433647013E-2</v>
      </c>
      <c r="W39" s="492"/>
      <c r="X39" s="340" t="str">
        <f>name!A36</f>
        <v>Retail trade</v>
      </c>
      <c r="Y39" s="340">
        <v>3122.0890000533796</v>
      </c>
      <c r="Z39" s="340">
        <v>3217.2620000108604</v>
      </c>
      <c r="AA39" s="491">
        <f t="shared" si="9"/>
        <v>95.172999957480897</v>
      </c>
      <c r="AB39" s="340">
        <v>1021.7120001859068</v>
      </c>
      <c r="AC39" s="491">
        <f t="shared" si="10"/>
        <v>1116.8850001433877</v>
      </c>
      <c r="AD39" s="492">
        <f t="shared" si="11"/>
        <v>2.8715683886198384E-2</v>
      </c>
    </row>
    <row r="40" spans="1:30" x14ac:dyDescent="0.25">
      <c r="A40" s="244" t="str">
        <f t="shared" si="38"/>
        <v xml:space="preserve"> 24 Business, media and public service professionals</v>
      </c>
      <c r="B40" s="87">
        <v>39.36922863308672</v>
      </c>
      <c r="C40" s="87">
        <v>52.080274529787246</v>
      </c>
      <c r="D40" s="87">
        <f t="shared" si="40"/>
        <v>12.711045896700526</v>
      </c>
      <c r="E40" s="87">
        <v>15.494376551660229</v>
      </c>
      <c r="F40" s="87">
        <f t="shared" si="41"/>
        <v>28.205422448360757</v>
      </c>
      <c r="G40" s="298">
        <f t="shared" si="42"/>
        <v>3.3743385455861086E-2</v>
      </c>
      <c r="I40" s="115" t="str">
        <f>name!F6</f>
        <v>RQF6 First degree</v>
      </c>
      <c r="J40" s="108"/>
      <c r="K40" s="108"/>
      <c r="L40" s="108"/>
      <c r="M40" s="108"/>
      <c r="N40" s="108"/>
      <c r="P40" s="340" t="str">
        <f>name!D9</f>
        <v xml:space="preserve"> 24 Business, media and public service professionals</v>
      </c>
      <c r="Q40" s="87">
        <v>834.65317314500714</v>
      </c>
      <c r="R40" s="87">
        <v>1024.1703502469923</v>
      </c>
      <c r="S40" s="491">
        <f t="shared" si="43"/>
        <v>189.51717710198511</v>
      </c>
      <c r="T40" s="491">
        <v>354.46007563603808</v>
      </c>
      <c r="U40" s="491">
        <f t="shared" si="44"/>
        <v>543.97725273802325</v>
      </c>
      <c r="V40" s="492">
        <f t="shared" si="45"/>
        <v>3.6028534298963688E-2</v>
      </c>
      <c r="W40" s="492"/>
      <c r="X40" s="340" t="str">
        <f>name!A37</f>
        <v>Land transport, etc</v>
      </c>
      <c r="Y40" s="340">
        <v>844.0760000171631</v>
      </c>
      <c r="Z40" s="340">
        <v>795.67999999672213</v>
      </c>
      <c r="AA40" s="491">
        <f t="shared" si="9"/>
        <v>-48.396000020440965</v>
      </c>
      <c r="AB40" s="340">
        <v>268.8740464331679</v>
      </c>
      <c r="AC40" s="491">
        <f t="shared" si="10"/>
        <v>220.47804641272694</v>
      </c>
      <c r="AD40" s="492">
        <f t="shared" si="11"/>
        <v>2.8038577460817171E-2</v>
      </c>
    </row>
    <row r="41" spans="1:30" x14ac:dyDescent="0.25">
      <c r="A41" s="244" t="str">
        <f t="shared" si="38"/>
        <v xml:space="preserve"> 31 Science, engineering and technology associate professionals</v>
      </c>
      <c r="B41" s="87">
        <v>14.545339003139937</v>
      </c>
      <c r="C41" s="87">
        <v>19.711204328330023</v>
      </c>
      <c r="D41" s="87">
        <f t="shared" si="40"/>
        <v>5.1658653251900866</v>
      </c>
      <c r="E41" s="87">
        <v>5.3257752955026936</v>
      </c>
      <c r="F41" s="87">
        <f t="shared" si="41"/>
        <v>10.491640620692781</v>
      </c>
      <c r="G41" s="298">
        <f t="shared" si="42"/>
        <v>3.169146419604818E-2</v>
      </c>
      <c r="I41" s="108" t="str">
        <f>I30</f>
        <v>Managers, directors and senior officials</v>
      </c>
      <c r="J41" s="108">
        <f t="array" ref="J41:J49">MMULT(aggregation!$B$38:$Z$46,B91:B115)</f>
        <v>947.04073862454675</v>
      </c>
      <c r="K41" s="108">
        <f t="array" ref="K41:K49">MMULT(aggregation!$B$38:$Z$46,C91:C115)</f>
        <v>1337.2723015053532</v>
      </c>
      <c r="L41" s="108">
        <f t="array" ref="L41:L49">MMULT(aggregation!$B$38:$Z$46,D91:D115)</f>
        <v>390.23156288080645</v>
      </c>
      <c r="M41" s="108">
        <f t="array" ref="M41:M49">MMULT(aggregation!$B$38:$Z$46,E91:E115)</f>
        <v>479.6255494667156</v>
      </c>
      <c r="N41" s="108">
        <f t="array" ref="N41:N49">MMULT(aggregation!$B$38:$Z$46,F91:F115)</f>
        <v>869.85711234752205</v>
      </c>
      <c r="P41" s="340" t="str">
        <f>name!D10</f>
        <v xml:space="preserve"> 31 Science, engineering and technology associate professionals</v>
      </c>
      <c r="Q41" s="87">
        <v>162.95804893568049</v>
      </c>
      <c r="R41" s="87">
        <v>162.93542354875376</v>
      </c>
      <c r="S41" s="491">
        <f t="shared" si="43"/>
        <v>-2.2625386926733881E-2</v>
      </c>
      <c r="T41" s="491">
        <v>56.851594699350855</v>
      </c>
      <c r="U41" s="491">
        <f t="shared" si="44"/>
        <v>56.828969312424121</v>
      </c>
      <c r="V41" s="492">
        <f t="shared" si="45"/>
        <v>3.0379222474700596E-2</v>
      </c>
      <c r="W41" s="492"/>
      <c r="X41" s="340" t="str">
        <f>name!A38</f>
        <v>Water transport</v>
      </c>
      <c r="Y41" s="340">
        <v>14.975999999988062</v>
      </c>
      <c r="Z41" s="340">
        <v>10.677999999962854</v>
      </c>
      <c r="AA41" s="491">
        <f t="shared" si="9"/>
        <v>-4.2980000000252083</v>
      </c>
      <c r="AB41" s="340">
        <v>3.7970345957775478</v>
      </c>
      <c r="AC41" s="491">
        <f t="shared" si="10"/>
        <v>-0.50096540424766056</v>
      </c>
      <c r="AD41" s="492">
        <f t="shared" si="11"/>
        <v>2.2854511180088855E-2</v>
      </c>
    </row>
    <row r="42" spans="1:30" x14ac:dyDescent="0.25">
      <c r="A42" s="244" t="str">
        <f t="shared" si="38"/>
        <v xml:space="preserve"> 32 Health and social care associate professionals</v>
      </c>
      <c r="B42" s="87">
        <v>3.0863500176622636</v>
      </c>
      <c r="C42" s="87">
        <v>4.4773711015031097</v>
      </c>
      <c r="D42" s="87">
        <f t="shared" si="40"/>
        <v>1.3910210838408461</v>
      </c>
      <c r="E42" s="87">
        <v>1.56643372485772</v>
      </c>
      <c r="F42" s="87">
        <f t="shared" si="41"/>
        <v>2.9574548086985661</v>
      </c>
      <c r="G42" s="298">
        <f t="shared" si="42"/>
        <v>4.190175370312299E-2</v>
      </c>
      <c r="I42" s="108" t="str">
        <f>I31</f>
        <v>Professional occupations</v>
      </c>
      <c r="J42" s="108">
        <v>2370.5144041968288</v>
      </c>
      <c r="K42" s="108">
        <v>2865.9155377063571</v>
      </c>
      <c r="L42" s="108">
        <v>495.40113350952873</v>
      </c>
      <c r="M42" s="108">
        <v>922.97029000164025</v>
      </c>
      <c r="N42" s="108">
        <v>1418.3714235111688</v>
      </c>
      <c r="P42" s="340" t="str">
        <f>name!D11</f>
        <v xml:space="preserve"> 32 Health and social care associate professionals</v>
      </c>
      <c r="Q42" s="87">
        <v>378.99992280629897</v>
      </c>
      <c r="R42" s="87">
        <v>451.63286519164058</v>
      </c>
      <c r="S42" s="491">
        <f t="shared" si="43"/>
        <v>72.632942385341607</v>
      </c>
      <c r="T42" s="491">
        <v>170.52294261643158</v>
      </c>
      <c r="U42" s="491">
        <f t="shared" si="44"/>
        <v>243.15588500177319</v>
      </c>
      <c r="V42" s="492">
        <f t="shared" si="45"/>
        <v>3.7850179194083733E-2</v>
      </c>
      <c r="W42" s="492"/>
      <c r="X42" s="340" t="str">
        <f>name!A39</f>
        <v>Air transport</v>
      </c>
      <c r="Y42" s="340">
        <v>77.938000000403036</v>
      </c>
      <c r="Z42" s="340">
        <v>78.192000000076291</v>
      </c>
      <c r="AA42" s="491">
        <f t="shared" si="9"/>
        <v>0.25399999967325471</v>
      </c>
      <c r="AB42" s="340">
        <v>24.990000525847286</v>
      </c>
      <c r="AC42" s="491">
        <f t="shared" si="10"/>
        <v>25.244000525520541</v>
      </c>
      <c r="AD42" s="492">
        <f t="shared" si="11"/>
        <v>2.8201961248846663E-2</v>
      </c>
    </row>
    <row r="43" spans="1:30" x14ac:dyDescent="0.25">
      <c r="A43" s="244" t="str">
        <f t="shared" si="38"/>
        <v xml:space="preserve"> 33 Protective service occupations</v>
      </c>
      <c r="B43" s="87">
        <v>1.6870178935393156</v>
      </c>
      <c r="C43" s="87">
        <v>2.3526740236140347</v>
      </c>
      <c r="D43" s="87">
        <f t="shared" si="40"/>
        <v>0.66565613007471902</v>
      </c>
      <c r="E43" s="87">
        <v>0.50199611398347777</v>
      </c>
      <c r="F43" s="87">
        <f t="shared" si="41"/>
        <v>1.1676522440581967</v>
      </c>
      <c r="G43" s="298">
        <f t="shared" si="42"/>
        <v>2.6391117998710634E-2</v>
      </c>
      <c r="I43" s="108" t="str">
        <f>I32</f>
        <v>Associate professional and technical</v>
      </c>
      <c r="J43" s="108">
        <v>1478.1762560108264</v>
      </c>
      <c r="K43" s="108">
        <v>1939.6866202656747</v>
      </c>
      <c r="L43" s="108">
        <v>461.51036425484841</v>
      </c>
      <c r="M43" s="108">
        <v>610.2439327261676</v>
      </c>
      <c r="N43" s="108">
        <v>1071.7542969810161</v>
      </c>
      <c r="P43" s="340" t="str">
        <f>name!D12</f>
        <v xml:space="preserve"> 33 Protective service occupations</v>
      </c>
      <c r="Q43" s="87">
        <v>93.114594142192203</v>
      </c>
      <c r="R43" s="87">
        <v>121.20273907311801</v>
      </c>
      <c r="S43" s="491">
        <f t="shared" si="43"/>
        <v>28.088144930925807</v>
      </c>
      <c r="T43" s="491">
        <v>36.014014346149253</v>
      </c>
      <c r="U43" s="491">
        <f t="shared" si="44"/>
        <v>64.10215927707506</v>
      </c>
      <c r="V43" s="492">
        <f t="shared" si="45"/>
        <v>3.3238241573381844E-2</v>
      </c>
      <c r="W43" s="492"/>
      <c r="X43" s="340" t="str">
        <f>name!A40</f>
        <v>Warehousing, etc</v>
      </c>
      <c r="Y43" s="340">
        <v>579.10799999939559</v>
      </c>
      <c r="Z43" s="340">
        <v>582.62799999733613</v>
      </c>
      <c r="AA43" s="491">
        <f t="shared" si="9"/>
        <v>3.5199999979405447</v>
      </c>
      <c r="AB43" s="340">
        <v>175.09558009886572</v>
      </c>
      <c r="AC43" s="491">
        <f t="shared" si="10"/>
        <v>178.61558009680627</v>
      </c>
      <c r="AD43" s="492">
        <f t="shared" si="11"/>
        <v>2.676936514702688E-2</v>
      </c>
    </row>
    <row r="44" spans="1:30" x14ac:dyDescent="0.25">
      <c r="A44" s="244" t="str">
        <f t="shared" si="38"/>
        <v xml:space="preserve"> 34 Culture, media and sports occupations</v>
      </c>
      <c r="B44" s="87">
        <v>10.102745679451035</v>
      </c>
      <c r="C44" s="87">
        <v>13.450324188395015</v>
      </c>
      <c r="D44" s="87">
        <f t="shared" ref="D44:D45" si="46">C44-B44</f>
        <v>3.3475785089439807</v>
      </c>
      <c r="E44" s="87">
        <v>4.4113220009555167</v>
      </c>
      <c r="F44" s="87">
        <f t="shared" ref="F44:F45" si="47">SUM(D44:E44)</f>
        <v>7.7589005098994974</v>
      </c>
      <c r="G44" s="298">
        <f t="shared" si="42"/>
        <v>3.6895458572783424E-2</v>
      </c>
      <c r="I44" s="108" t="str">
        <f>I33</f>
        <v>Administrative and secretarial</v>
      </c>
      <c r="J44" s="108">
        <v>696.12335533337159</v>
      </c>
      <c r="K44" s="108">
        <v>889.05484030422974</v>
      </c>
      <c r="L44" s="108">
        <v>192.93148497085821</v>
      </c>
      <c r="M44" s="108">
        <v>315.11378450776192</v>
      </c>
      <c r="N44" s="108">
        <v>508.04526947862013</v>
      </c>
      <c r="P44" s="340" t="str">
        <f>name!D13</f>
        <v xml:space="preserve"> 34 Culture, media and sports occupations</v>
      </c>
      <c r="Q44" s="87">
        <v>390.92695103772684</v>
      </c>
      <c r="R44" s="87">
        <v>408.38159783231447</v>
      </c>
      <c r="S44" s="491">
        <f t="shared" si="43"/>
        <v>17.454646794587632</v>
      </c>
      <c r="T44" s="491">
        <v>148.27166537002489</v>
      </c>
      <c r="U44" s="491">
        <f t="shared" si="44"/>
        <v>165.72631216461252</v>
      </c>
      <c r="V44" s="492">
        <f t="shared" si="45"/>
        <v>3.2678929013717495E-2</v>
      </c>
      <c r="W44" s="492"/>
      <c r="X44" s="340" t="str">
        <f>name!A41</f>
        <v>Postal and courier</v>
      </c>
      <c r="Y44" s="340">
        <v>286.94500000099475</v>
      </c>
      <c r="Z44" s="340">
        <v>302.30899999903937</v>
      </c>
      <c r="AA44" s="491">
        <f t="shared" si="9"/>
        <v>15.363999998044619</v>
      </c>
      <c r="AB44" s="340">
        <v>95.508986006681624</v>
      </c>
      <c r="AC44" s="491">
        <f t="shared" si="10"/>
        <v>110.87298600472624</v>
      </c>
      <c r="AD44" s="492">
        <f t="shared" si="11"/>
        <v>2.9148518026584247E-2</v>
      </c>
    </row>
    <row r="45" spans="1:30" x14ac:dyDescent="0.25">
      <c r="A45" s="244" t="str">
        <f t="shared" si="38"/>
        <v xml:space="preserve"> 35 Business and public service associate professionals</v>
      </c>
      <c r="B45" s="87">
        <v>36.802959995373634</v>
      </c>
      <c r="C45" s="87">
        <v>55.677806018785375</v>
      </c>
      <c r="D45" s="87">
        <f t="shared" si="46"/>
        <v>18.874846023411742</v>
      </c>
      <c r="E45" s="87">
        <v>14.924276887484778</v>
      </c>
      <c r="F45" s="87">
        <f t="shared" si="47"/>
        <v>33.799122910896521</v>
      </c>
      <c r="G45" s="298">
        <f t="shared" si="42"/>
        <v>3.4626631557980403E-2</v>
      </c>
      <c r="I45" s="108" t="str">
        <f t="shared" ref="I45:I49" si="48">I34</f>
        <v>Skilled trades occupations</v>
      </c>
      <c r="J45" s="108">
        <v>221.9025892883289</v>
      </c>
      <c r="K45" s="108">
        <v>330.21426966439901</v>
      </c>
      <c r="L45" s="108">
        <v>108.31168037607013</v>
      </c>
      <c r="M45" s="108">
        <v>105.98089345732487</v>
      </c>
      <c r="N45" s="108">
        <v>214.29257383339501</v>
      </c>
      <c r="P45" s="340" t="str">
        <f>name!D14</f>
        <v xml:space="preserve"> 35 Business and public service associate professionals</v>
      </c>
      <c r="Q45" s="87">
        <v>1108.5221866092768</v>
      </c>
      <c r="R45" s="87">
        <v>1348.8106418422626</v>
      </c>
      <c r="S45" s="491">
        <f t="shared" si="43"/>
        <v>240.28845523298583</v>
      </c>
      <c r="T45" s="491">
        <v>456.84361524587945</v>
      </c>
      <c r="U45" s="491">
        <f t="shared" si="44"/>
        <v>697.13207047886522</v>
      </c>
      <c r="V45" s="492">
        <f t="shared" si="45"/>
        <v>3.5111527657264219E-2</v>
      </c>
      <c r="W45" s="492"/>
      <c r="X45" s="340" t="str">
        <f>name!A42</f>
        <v>Accommodation</v>
      </c>
      <c r="Y45" s="340">
        <v>546.40200000535958</v>
      </c>
      <c r="Z45" s="340">
        <v>576.94300000132455</v>
      </c>
      <c r="AA45" s="491">
        <f t="shared" si="9"/>
        <v>30.540999995964967</v>
      </c>
      <c r="AB45" s="340">
        <v>192.77911068474006</v>
      </c>
      <c r="AC45" s="491">
        <f t="shared" si="10"/>
        <v>223.32011068070503</v>
      </c>
      <c r="AD45" s="492">
        <f t="shared" si="11"/>
        <v>3.0680021835894467E-2</v>
      </c>
    </row>
    <row r="46" spans="1:30" x14ac:dyDescent="0.25">
      <c r="A46" s="244" t="str">
        <f t="shared" si="38"/>
        <v xml:space="preserve"> 41 Administrative occupations</v>
      </c>
      <c r="B46" s="87">
        <v>16.664037401165782</v>
      </c>
      <c r="C46" s="87">
        <v>22.83324177167351</v>
      </c>
      <c r="D46" s="87">
        <f t="shared" si="40"/>
        <v>6.1692043705077282</v>
      </c>
      <c r="E46" s="87">
        <v>7.1619132067162123</v>
      </c>
      <c r="F46" s="87">
        <f t="shared" si="41"/>
        <v>13.331117577223941</v>
      </c>
      <c r="G46" s="298">
        <f t="shared" si="42"/>
        <v>3.6399036448715671E-2</v>
      </c>
      <c r="I46" s="108" t="str">
        <f t="shared" si="48"/>
        <v>Caring, leisure and other service</v>
      </c>
      <c r="J46" s="108">
        <v>382.21926209869991</v>
      </c>
      <c r="K46" s="108">
        <v>606.03298089360328</v>
      </c>
      <c r="L46" s="108">
        <v>223.81371879490337</v>
      </c>
      <c r="M46" s="108">
        <v>227.56551144346165</v>
      </c>
      <c r="N46" s="108">
        <v>451.37923023836504</v>
      </c>
      <c r="P46" s="340" t="str">
        <f>name!D15</f>
        <v xml:space="preserve"> 41 Administrative occupations</v>
      </c>
      <c r="Q46" s="87">
        <v>2066.3090291596477</v>
      </c>
      <c r="R46" s="87">
        <v>1837.7659684666426</v>
      </c>
      <c r="S46" s="491">
        <f t="shared" si="43"/>
        <v>-228.54306069300515</v>
      </c>
      <c r="T46" s="491">
        <v>739.83730596353894</v>
      </c>
      <c r="U46" s="491">
        <f t="shared" si="44"/>
        <v>511.29424527053379</v>
      </c>
      <c r="V46" s="492">
        <f t="shared" si="45"/>
        <v>3.1077961266337883E-2</v>
      </c>
      <c r="W46" s="492"/>
      <c r="X46" s="340" t="str">
        <f>name!A43</f>
        <v>Food and beverage services</v>
      </c>
      <c r="Y46" s="340">
        <v>1888.6740000166171</v>
      </c>
      <c r="Z46" s="340">
        <v>1930.9960000039553</v>
      </c>
      <c r="AA46" s="491">
        <f t="shared" si="9"/>
        <v>42.321999987338131</v>
      </c>
      <c r="AB46" s="340">
        <v>630.11302942820248</v>
      </c>
      <c r="AC46" s="491">
        <f t="shared" si="10"/>
        <v>672.43502941554061</v>
      </c>
      <c r="AD46" s="492">
        <f t="shared" si="11"/>
        <v>2.9208690428132345E-2</v>
      </c>
    </row>
    <row r="47" spans="1:30" x14ac:dyDescent="0.25">
      <c r="A47" s="244" t="str">
        <f t="shared" si="38"/>
        <v xml:space="preserve"> 42 Secretarial and related occupations</v>
      </c>
      <c r="B47" s="87">
        <v>1.7525263064144636</v>
      </c>
      <c r="C47" s="87">
        <v>2.1603029877122304</v>
      </c>
      <c r="D47" s="87">
        <f t="shared" si="40"/>
        <v>0.40777668129776679</v>
      </c>
      <c r="E47" s="87">
        <v>0.8089180545852106</v>
      </c>
      <c r="F47" s="87">
        <f t="shared" si="41"/>
        <v>1.2166947358829774</v>
      </c>
      <c r="G47" s="298">
        <f t="shared" si="42"/>
        <v>3.8680642944414645E-2</v>
      </c>
      <c r="I47" s="108" t="str">
        <f t="shared" si="48"/>
        <v>Sales and customer service</v>
      </c>
      <c r="J47" s="108">
        <v>388.23239850750991</v>
      </c>
      <c r="K47" s="108">
        <v>602.4784778934827</v>
      </c>
      <c r="L47" s="108">
        <v>214.24607938597279</v>
      </c>
      <c r="M47" s="108">
        <v>188.883431526214</v>
      </c>
      <c r="N47" s="108">
        <v>403.12951091218679</v>
      </c>
      <c r="P47" s="340" t="str">
        <f>name!D16</f>
        <v xml:space="preserve"> 42 Secretarial and related occupations</v>
      </c>
      <c r="Q47" s="87">
        <v>689.604098984492</v>
      </c>
      <c r="R47" s="87">
        <v>327.93667916159518</v>
      </c>
      <c r="S47" s="491">
        <f t="shared" si="43"/>
        <v>-361.66741982289682</v>
      </c>
      <c r="T47" s="491">
        <v>178.03001992534109</v>
      </c>
      <c r="U47" s="491">
        <f t="shared" si="44"/>
        <v>-183.63739989755572</v>
      </c>
      <c r="V47" s="492">
        <f t="shared" si="45"/>
        <v>2.3230975561173928E-2</v>
      </c>
      <c r="W47" s="492"/>
      <c r="X47" s="340" t="str">
        <f>name!A44</f>
        <v>Publishing activities</v>
      </c>
      <c r="Y47" s="340">
        <v>175.66799999857798</v>
      </c>
      <c r="Z47" s="340">
        <v>174.89199999887589</v>
      </c>
      <c r="AA47" s="491">
        <f t="shared" si="9"/>
        <v>-0.7759999997020941</v>
      </c>
      <c r="AB47" s="340">
        <v>55.57355932584337</v>
      </c>
      <c r="AC47" s="491">
        <f t="shared" si="10"/>
        <v>54.797559326141275</v>
      </c>
      <c r="AD47" s="492">
        <f t="shared" si="11"/>
        <v>2.7867946997701454E-2</v>
      </c>
    </row>
    <row r="48" spans="1:30" x14ac:dyDescent="0.25">
      <c r="A48" s="244" t="str">
        <f t="shared" si="38"/>
        <v xml:space="preserve"> 51 Skilled agricultural and related trades</v>
      </c>
      <c r="B48" s="87">
        <v>0.8886531154141103</v>
      </c>
      <c r="C48" s="87">
        <v>1.3150650291269688</v>
      </c>
      <c r="D48" s="87">
        <f t="shared" si="40"/>
        <v>0.42641191371285847</v>
      </c>
      <c r="E48" s="87">
        <v>0.52167907176456885</v>
      </c>
      <c r="F48" s="87">
        <f t="shared" si="41"/>
        <v>0.94809098547742732</v>
      </c>
      <c r="G48" s="298">
        <f t="shared" si="42"/>
        <v>4.7270607772013529E-2</v>
      </c>
      <c r="I48" s="108" t="str">
        <f t="shared" si="48"/>
        <v>Process, plant and machine operatives</v>
      </c>
      <c r="J48" s="108">
        <v>93.709250504074092</v>
      </c>
      <c r="K48" s="108">
        <v>146.00533713083325</v>
      </c>
      <c r="L48" s="108">
        <v>52.296086626759177</v>
      </c>
      <c r="M48" s="108">
        <v>53.141553129184636</v>
      </c>
      <c r="N48" s="108">
        <v>105.43763975594382</v>
      </c>
      <c r="P48" s="340" t="str">
        <f>name!D17</f>
        <v xml:space="preserve"> 51 Skilled agricultural and related trades</v>
      </c>
      <c r="Q48" s="87">
        <v>48.550423612473352</v>
      </c>
      <c r="R48" s="87">
        <v>46.471653448732688</v>
      </c>
      <c r="S48" s="491">
        <f t="shared" si="43"/>
        <v>-2.0787701637406641</v>
      </c>
      <c r="T48" s="491">
        <v>22.045153491609984</v>
      </c>
      <c r="U48" s="491">
        <f t="shared" si="44"/>
        <v>19.96638332786932</v>
      </c>
      <c r="V48" s="492">
        <f t="shared" si="45"/>
        <v>3.814602862347316E-2</v>
      </c>
      <c r="W48" s="492"/>
      <c r="X48" s="340" t="str">
        <f>name!A45</f>
        <v>Film and music</v>
      </c>
      <c r="Y48" s="340">
        <v>172.77299999912742</v>
      </c>
      <c r="Z48" s="340">
        <v>180.72799999892004</v>
      </c>
      <c r="AA48" s="491">
        <f t="shared" si="9"/>
        <v>7.9549999997926193</v>
      </c>
      <c r="AB48" s="340">
        <v>59.152008130179752</v>
      </c>
      <c r="AC48" s="491">
        <f t="shared" si="10"/>
        <v>67.107008129972371</v>
      </c>
      <c r="AD48" s="492">
        <f t="shared" si="11"/>
        <v>2.98812954286376E-2</v>
      </c>
    </row>
    <row r="49" spans="1:30" x14ac:dyDescent="0.25">
      <c r="A49" s="244" t="str">
        <f t="shared" si="38"/>
        <v xml:space="preserve"> 52 Skilled metal, electrical and electronic trades</v>
      </c>
      <c r="B49" s="87">
        <v>1.4089075812846301</v>
      </c>
      <c r="C49" s="87">
        <v>2.1908102910455254</v>
      </c>
      <c r="D49" s="87">
        <f t="shared" si="40"/>
        <v>0.78190270976089526</v>
      </c>
      <c r="E49" s="87">
        <v>0.54760233408568282</v>
      </c>
      <c r="F49" s="87">
        <f t="shared" si="41"/>
        <v>1.3295050438465781</v>
      </c>
      <c r="G49" s="298">
        <f t="shared" si="42"/>
        <v>3.337976858220526E-2</v>
      </c>
      <c r="I49" s="108" t="str">
        <f t="shared" si="48"/>
        <v>Elementary occupations</v>
      </c>
      <c r="J49" s="108">
        <v>272.62324617887839</v>
      </c>
      <c r="K49" s="108">
        <v>507.30956545384703</v>
      </c>
      <c r="L49" s="108">
        <v>234.68631927496858</v>
      </c>
      <c r="M49" s="108">
        <v>173.50457892442614</v>
      </c>
      <c r="N49" s="108">
        <v>408.19089819939472</v>
      </c>
      <c r="P49" s="340" t="str">
        <f>name!D18</f>
        <v xml:space="preserve"> 52 Skilled metal, electrical and electronic trades</v>
      </c>
      <c r="Q49" s="87">
        <v>30.599397341679701</v>
      </c>
      <c r="R49" s="87">
        <v>24.825667277881504</v>
      </c>
      <c r="S49" s="491">
        <f t="shared" si="43"/>
        <v>-5.7737300637981974</v>
      </c>
      <c r="T49" s="491">
        <v>10.631245161773009</v>
      </c>
      <c r="U49" s="491">
        <f t="shared" si="44"/>
        <v>4.8575150979748116</v>
      </c>
      <c r="V49" s="492">
        <f t="shared" si="45"/>
        <v>3.0269214710335834E-2</v>
      </c>
      <c r="W49" s="492"/>
      <c r="X49" s="340" t="str">
        <f>name!A46</f>
        <v>Broadcasting</v>
      </c>
      <c r="Y49" s="340">
        <v>45.80299999965947</v>
      </c>
      <c r="Z49" s="340">
        <v>47.883999999567507</v>
      </c>
      <c r="AA49" s="491">
        <f t="shared" si="9"/>
        <v>2.0809999999080375</v>
      </c>
      <c r="AB49" s="340">
        <v>14.506988935688199</v>
      </c>
      <c r="AC49" s="491">
        <f t="shared" si="10"/>
        <v>16.587988935596236</v>
      </c>
      <c r="AD49" s="492">
        <f t="shared" si="11"/>
        <v>2.7896843579026775E-2</v>
      </c>
    </row>
    <row r="50" spans="1:30" x14ac:dyDescent="0.25">
      <c r="A50" s="244" t="str">
        <f t="shared" si="38"/>
        <v xml:space="preserve"> 53 Skilled construction and building trades</v>
      </c>
      <c r="B50" s="87">
        <v>0.49699512297141513</v>
      </c>
      <c r="C50" s="87">
        <v>0.67760938178570196</v>
      </c>
      <c r="D50" s="87">
        <f t="shared" ref="D50" si="49">C50-B50</f>
        <v>0.18061425881428683</v>
      </c>
      <c r="E50" s="87">
        <v>0.18149514829625144</v>
      </c>
      <c r="F50" s="87">
        <f t="shared" ref="F50" si="50">SUM(D50:E50)</f>
        <v>0.36210940711053829</v>
      </c>
      <c r="G50" s="298">
        <f t="shared" si="42"/>
        <v>3.1618566617025223E-2</v>
      </c>
      <c r="O50" s="90"/>
      <c r="P50" s="340" t="str">
        <f>name!D19</f>
        <v xml:space="preserve"> 53 Skilled construction and building trades</v>
      </c>
      <c r="Q50" s="87">
        <v>23.53569019755037</v>
      </c>
      <c r="R50" s="87">
        <v>29.668697010478695</v>
      </c>
      <c r="S50" s="491">
        <f t="shared" si="43"/>
        <v>6.1330068129283255</v>
      </c>
      <c r="T50" s="491">
        <v>9.8816114250818927</v>
      </c>
      <c r="U50" s="491">
        <f t="shared" si="44"/>
        <v>16.014618238010218</v>
      </c>
      <c r="V50" s="492">
        <f t="shared" si="45"/>
        <v>3.5677267828962522E-2</v>
      </c>
      <c r="W50" s="492"/>
      <c r="X50" s="340" t="str">
        <f>name!A47</f>
        <v>Telecommunications</v>
      </c>
      <c r="Y50" s="340">
        <v>211.41499999840494</v>
      </c>
      <c r="Z50" s="340">
        <v>223.55999999963234</v>
      </c>
      <c r="AA50" s="491">
        <f t="shared" si="9"/>
        <v>12.145000001227402</v>
      </c>
      <c r="AB50" s="340">
        <v>64.08462410245852</v>
      </c>
      <c r="AC50" s="491">
        <f t="shared" si="10"/>
        <v>76.229624103685921</v>
      </c>
      <c r="AD50" s="492">
        <f t="shared" si="11"/>
        <v>2.6829935514306236E-2</v>
      </c>
    </row>
    <row r="51" spans="1:30" x14ac:dyDescent="0.25">
      <c r="A51" s="244" t="str">
        <f t="shared" si="38"/>
        <v xml:space="preserve"> 54 Textiles, printing and other skilled trades</v>
      </c>
      <c r="B51" s="87">
        <v>2.7574568218805133</v>
      </c>
      <c r="C51" s="87">
        <v>3.9404828059608046</v>
      </c>
      <c r="D51" s="87">
        <f t="shared" si="40"/>
        <v>1.1830259840802912</v>
      </c>
      <c r="E51" s="87">
        <v>1.1518064005405377</v>
      </c>
      <c r="F51" s="87">
        <f t="shared" si="41"/>
        <v>2.334832384620829</v>
      </c>
      <c r="G51" s="298">
        <f t="shared" si="42"/>
        <v>3.5520305313355482E-2</v>
      </c>
      <c r="I51" s="115" t="str">
        <f>name!F7</f>
        <v>RQF5 Foundation degree;Nursing;Teaching</v>
      </c>
      <c r="J51" s="108"/>
      <c r="K51" s="108"/>
      <c r="L51" s="108"/>
      <c r="M51" s="108"/>
      <c r="N51" s="108"/>
      <c r="P51" s="340" t="str">
        <f>name!D20</f>
        <v xml:space="preserve"> 54 Textiles, printing and other skilled trades</v>
      </c>
      <c r="Q51" s="87">
        <v>258.81078505647423</v>
      </c>
      <c r="R51" s="87">
        <v>244.41881846464725</v>
      </c>
      <c r="S51" s="491">
        <f t="shared" si="43"/>
        <v>-14.391966591826986</v>
      </c>
      <c r="T51" s="491">
        <v>98.66159178659727</v>
      </c>
      <c r="U51" s="491">
        <f t="shared" si="44"/>
        <v>84.269625194770285</v>
      </c>
      <c r="V51" s="492">
        <f t="shared" si="45"/>
        <v>3.2823264184331125E-2</v>
      </c>
      <c r="W51" s="492"/>
      <c r="X51" s="340" t="str">
        <f>name!A48</f>
        <v>Computing services</v>
      </c>
      <c r="Y51" s="340">
        <v>801.27799999279375</v>
      </c>
      <c r="Z51" s="340">
        <v>865.29599999661787</v>
      </c>
      <c r="AA51" s="491">
        <f t="shared" si="9"/>
        <v>64.018000003824113</v>
      </c>
      <c r="AB51" s="340">
        <v>251.19114041834104</v>
      </c>
      <c r="AC51" s="491">
        <f t="shared" si="10"/>
        <v>315.20914042216515</v>
      </c>
      <c r="AD51" s="492">
        <f t="shared" si="11"/>
        <v>2.7643820809513331E-2</v>
      </c>
    </row>
    <row r="52" spans="1:30" x14ac:dyDescent="0.25">
      <c r="A52" s="244" t="str">
        <f t="shared" si="38"/>
        <v xml:space="preserve"> 61 Caring personal service occupations</v>
      </c>
      <c r="B52" s="87">
        <v>2.1703394505887266</v>
      </c>
      <c r="C52" s="87">
        <v>3.5276865795336252</v>
      </c>
      <c r="D52" s="87">
        <f t="shared" si="40"/>
        <v>1.3573471289448986</v>
      </c>
      <c r="E52" s="87">
        <v>1.1094611141578017</v>
      </c>
      <c r="F52" s="87">
        <f t="shared" si="41"/>
        <v>2.4668082431027001</v>
      </c>
      <c r="G52" s="298">
        <f t="shared" si="42"/>
        <v>4.2154185689213142E-2</v>
      </c>
      <c r="I52" s="108" t="str">
        <f>I41</f>
        <v>Managers, directors and senior officials</v>
      </c>
      <c r="J52" s="108">
        <f t="array" ref="J52:J60">MMULT(aggregation!$B$38:$Z$46,B119:B143)</f>
        <v>206.25552506360728</v>
      </c>
      <c r="K52" s="108">
        <f t="array" ref="K52:K60">MMULT(aggregation!$B$38:$Z$46,C119:C143)</f>
        <v>263.17465864959826</v>
      </c>
      <c r="L52" s="108">
        <f t="array" ref="L52:L60">MMULT(aggregation!$B$38:$Z$46,D119:D143)</f>
        <v>56.919133585990963</v>
      </c>
      <c r="M52" s="108">
        <f t="array" ref="M52:M60">MMULT(aggregation!$B$38:$Z$46,E119:E143)</f>
        <v>94.720967922771052</v>
      </c>
      <c r="N52" s="108">
        <f t="array" ref="N52:N60">MMULT(aggregation!$B$38:$Z$46,F119:F143)</f>
        <v>151.640101508762</v>
      </c>
      <c r="P52" s="340" t="str">
        <f>name!D21</f>
        <v xml:space="preserve"> 61 Caring personal service occupations</v>
      </c>
      <c r="Q52" s="87">
        <v>2203.4677915760963</v>
      </c>
      <c r="R52" s="87">
        <v>2581.0813612706002</v>
      </c>
      <c r="S52" s="491">
        <f t="shared" si="43"/>
        <v>377.61356969450389</v>
      </c>
      <c r="T52" s="491">
        <v>945.60527449656138</v>
      </c>
      <c r="U52" s="491">
        <f t="shared" si="44"/>
        <v>1323.2188441910653</v>
      </c>
      <c r="V52" s="492">
        <f t="shared" si="45"/>
        <v>3.6352747401894536E-2</v>
      </c>
      <c r="W52" s="492"/>
      <c r="X52" s="340" t="str">
        <f>name!A49</f>
        <v>Information services</v>
      </c>
      <c r="Y52" s="340">
        <v>90.106999999527858</v>
      </c>
      <c r="Z52" s="340">
        <v>99.485999999515911</v>
      </c>
      <c r="AA52" s="491">
        <f t="shared" si="9"/>
        <v>9.3789999999880536</v>
      </c>
      <c r="AB52" s="340">
        <v>30.035968288193221</v>
      </c>
      <c r="AC52" s="491">
        <f t="shared" si="10"/>
        <v>39.414968288181271</v>
      </c>
      <c r="AD52" s="492">
        <f t="shared" si="11"/>
        <v>2.9186267344631034E-2</v>
      </c>
    </row>
    <row r="53" spans="1:30" x14ac:dyDescent="0.25">
      <c r="A53" s="244" t="str">
        <f t="shared" si="38"/>
        <v xml:space="preserve"> 62 Leisure, travel and related personal service occupations</v>
      </c>
      <c r="B53" s="87">
        <v>0.9633764750156516</v>
      </c>
      <c r="C53" s="87">
        <v>1.2946863430265299</v>
      </c>
      <c r="D53" s="87">
        <f t="shared" ref="D53:D54" si="51">C53-B53</f>
        <v>0.33130986801087825</v>
      </c>
      <c r="E53" s="87">
        <v>0.43599672442107151</v>
      </c>
      <c r="F53" s="87">
        <f t="shared" ref="F53:F54" si="52">SUM(D53:E53)</f>
        <v>0.76730659243194976</v>
      </c>
      <c r="G53" s="298">
        <f t="shared" si="42"/>
        <v>3.8039193339987065E-2</v>
      </c>
      <c r="I53" s="108" t="str">
        <f>I42</f>
        <v>Professional occupations</v>
      </c>
      <c r="J53" s="108">
        <v>412.85523308881284</v>
      </c>
      <c r="K53" s="108">
        <v>242.83864963794599</v>
      </c>
      <c r="L53" s="108">
        <v>-170.01658345086685</v>
      </c>
      <c r="M53" s="108">
        <v>84.722657261543716</v>
      </c>
      <c r="N53" s="108">
        <v>-85.293926189323159</v>
      </c>
      <c r="P53" s="340" t="str">
        <f>name!D22</f>
        <v xml:space="preserve"> 62 Leisure, travel and related personal service occupations</v>
      </c>
      <c r="Q53" s="87">
        <v>504.62964230271922</v>
      </c>
      <c r="R53" s="87">
        <v>480.22414289927156</v>
      </c>
      <c r="S53" s="491">
        <f t="shared" si="43"/>
        <v>-24.405499403447664</v>
      </c>
      <c r="T53" s="491">
        <v>181.25914516398475</v>
      </c>
      <c r="U53" s="491">
        <f t="shared" si="44"/>
        <v>156.85364576053709</v>
      </c>
      <c r="V53" s="492">
        <f t="shared" si="45"/>
        <v>3.1164835866856144E-2</v>
      </c>
      <c r="W53" s="492"/>
      <c r="X53" s="340" t="str">
        <f>name!A50</f>
        <v>Financial services</v>
      </c>
      <c r="Y53" s="340">
        <v>513.96899999663572</v>
      </c>
      <c r="Z53" s="340">
        <v>511.1519999970306</v>
      </c>
      <c r="AA53" s="491">
        <f t="shared" si="9"/>
        <v>-2.816999999605116</v>
      </c>
      <c r="AB53" s="340">
        <v>169.06234363605327</v>
      </c>
      <c r="AC53" s="491">
        <f t="shared" si="10"/>
        <v>166.24534363644815</v>
      </c>
      <c r="AD53" s="492">
        <f t="shared" si="11"/>
        <v>2.8845993766284383E-2</v>
      </c>
    </row>
    <row r="54" spans="1:30" x14ac:dyDescent="0.25">
      <c r="A54" s="244" t="str">
        <f t="shared" si="38"/>
        <v xml:space="preserve"> 71 Sales occupations</v>
      </c>
      <c r="B54" s="87">
        <v>4.6011435035710013</v>
      </c>
      <c r="C54" s="87">
        <v>6.2077124183393</v>
      </c>
      <c r="D54" s="87">
        <f t="shared" si="51"/>
        <v>1.6065689147682987</v>
      </c>
      <c r="E54" s="87">
        <v>1.9033835394273801</v>
      </c>
      <c r="F54" s="87">
        <f t="shared" si="52"/>
        <v>3.5099524541956786</v>
      </c>
      <c r="G54" s="298">
        <f t="shared" si="42"/>
        <v>3.5225579554582609E-2</v>
      </c>
      <c r="I54" s="108" t="str">
        <f>I43</f>
        <v>Associate professional and technical</v>
      </c>
      <c r="J54" s="108">
        <v>385.79043463831499</v>
      </c>
      <c r="K54" s="108">
        <v>440.10871925560366</v>
      </c>
      <c r="L54" s="108">
        <v>54.318284617288597</v>
      </c>
      <c r="M54" s="108">
        <v>135.73668377310497</v>
      </c>
      <c r="N54" s="108">
        <v>190.05496839039353</v>
      </c>
      <c r="P54" s="340" t="str">
        <f>name!D23</f>
        <v xml:space="preserve"> 71 Sales occupations</v>
      </c>
      <c r="Q54" s="87">
        <v>1365.2023778095363</v>
      </c>
      <c r="R54" s="87">
        <v>1230.4538686448473</v>
      </c>
      <c r="S54" s="491">
        <f t="shared" si="43"/>
        <v>-134.74850916468904</v>
      </c>
      <c r="T54" s="491">
        <v>477.71316149207388</v>
      </c>
      <c r="U54" s="491">
        <f t="shared" si="44"/>
        <v>342.96465232738484</v>
      </c>
      <c r="V54" s="492">
        <f t="shared" si="45"/>
        <v>3.0459291575625658E-2</v>
      </c>
      <c r="W54" s="492"/>
      <c r="X54" s="340" t="str">
        <f>name!A51</f>
        <v>Insurance and pensions</v>
      </c>
      <c r="Y54" s="340">
        <v>115.34599999925126</v>
      </c>
      <c r="Z54" s="340">
        <v>111.86899999967196</v>
      </c>
      <c r="AA54" s="491">
        <f t="shared" si="9"/>
        <v>-3.4769999995793057</v>
      </c>
      <c r="AB54" s="340">
        <v>37.853609649308474</v>
      </c>
      <c r="AC54" s="491">
        <f t="shared" si="10"/>
        <v>34.376609649729168</v>
      </c>
      <c r="AD54" s="492">
        <f t="shared" si="11"/>
        <v>2.8787104830315435E-2</v>
      </c>
    </row>
    <row r="55" spans="1:30" s="244" customFormat="1" x14ac:dyDescent="0.25">
      <c r="A55" s="244" t="str">
        <f t="shared" si="38"/>
        <v xml:space="preserve"> 72 Customer service occupations</v>
      </c>
      <c r="B55" s="87">
        <v>2.7763738738405435</v>
      </c>
      <c r="C55" s="87">
        <v>4.1962961409512554</v>
      </c>
      <c r="D55" s="87">
        <f t="shared" si="40"/>
        <v>1.4199222671107119</v>
      </c>
      <c r="E55" s="87">
        <v>1.1030466572995132</v>
      </c>
      <c r="F55" s="87">
        <f t="shared" si="41"/>
        <v>2.5229689244102254</v>
      </c>
      <c r="G55" s="298">
        <f t="shared" si="42"/>
        <v>3.4019886040015157E-2</v>
      </c>
      <c r="I55" s="108" t="str">
        <f>I44</f>
        <v>Administrative and secretarial</v>
      </c>
      <c r="J55" s="108">
        <v>254.56148836604243</v>
      </c>
      <c r="K55" s="108">
        <v>305.32639645049966</v>
      </c>
      <c r="L55" s="108">
        <v>50.764908084457218</v>
      </c>
      <c r="M55" s="108">
        <v>116.10625052063915</v>
      </c>
      <c r="N55" s="108">
        <v>166.87115860509635</v>
      </c>
      <c r="O55" s="250"/>
      <c r="P55" s="340" t="str">
        <f>name!D24</f>
        <v xml:space="preserve"> 72 Customer service occupations</v>
      </c>
      <c r="Q55" s="87">
        <v>412.85339703783899</v>
      </c>
      <c r="R55" s="87">
        <v>464.09201030925942</v>
      </c>
      <c r="S55" s="491">
        <f t="shared" si="43"/>
        <v>51.238613271420434</v>
      </c>
      <c r="T55" s="491">
        <v>160.42033705249318</v>
      </c>
      <c r="U55" s="491">
        <f t="shared" si="44"/>
        <v>211.65895032391361</v>
      </c>
      <c r="V55" s="492">
        <f t="shared" si="45"/>
        <v>3.3371829462556013E-2</v>
      </c>
      <c r="W55" s="492"/>
      <c r="X55" s="340" t="str">
        <f>name!A52</f>
        <v>Auxiliary financial services</v>
      </c>
      <c r="Y55" s="340">
        <v>504.72399999599395</v>
      </c>
      <c r="Z55" s="340">
        <v>499.61099999660735</v>
      </c>
      <c r="AA55" s="491">
        <f t="shared" si="9"/>
        <v>-5.1129999993866022</v>
      </c>
      <c r="AB55" s="340">
        <v>165.44440783674355</v>
      </c>
      <c r="AC55" s="491">
        <f t="shared" si="10"/>
        <v>160.33140783735695</v>
      </c>
      <c r="AD55" s="492">
        <f t="shared" si="11"/>
        <v>2.8757464685844614E-2</v>
      </c>
    </row>
    <row r="56" spans="1:30" x14ac:dyDescent="0.25">
      <c r="A56" s="244" t="str">
        <f t="shared" si="38"/>
        <v xml:space="preserve"> 81 Process, plant and machine operatives</v>
      </c>
      <c r="B56" s="87">
        <v>1.8287993377712841</v>
      </c>
      <c r="C56" s="87">
        <v>2.7740841758839676</v>
      </c>
      <c r="D56" s="87">
        <f t="shared" si="40"/>
        <v>0.94528483811268349</v>
      </c>
      <c r="E56" s="87">
        <v>0.79617433732843657</v>
      </c>
      <c r="F56" s="87">
        <f t="shared" si="41"/>
        <v>1.7414591754411202</v>
      </c>
      <c r="G56" s="298">
        <f t="shared" si="42"/>
        <v>3.6802151295239227E-2</v>
      </c>
      <c r="I56" s="108" t="str">
        <f t="shared" ref="I56:I60" si="53">I45</f>
        <v>Skilled trades occupations</v>
      </c>
      <c r="J56" s="108">
        <v>94.655908369853904</v>
      </c>
      <c r="K56" s="108">
        <v>140.519562069568</v>
      </c>
      <c r="L56" s="108">
        <v>45.863653699714092</v>
      </c>
      <c r="M56" s="108">
        <v>47.383269358153953</v>
      </c>
      <c r="N56" s="108">
        <v>93.246923057868031</v>
      </c>
      <c r="P56" s="340" t="str">
        <f>name!D25</f>
        <v xml:space="preserve"> 81 Process, plant and machine operatives</v>
      </c>
      <c r="Q56" s="87">
        <v>190.67802618528535</v>
      </c>
      <c r="R56" s="87">
        <v>119.3071968369111</v>
      </c>
      <c r="S56" s="491">
        <f t="shared" si="43"/>
        <v>-71.370829348374244</v>
      </c>
      <c r="T56" s="491">
        <v>48.73889896212841</v>
      </c>
      <c r="U56" s="491">
        <f t="shared" si="44"/>
        <v>-22.631930386245834</v>
      </c>
      <c r="V56" s="492">
        <f t="shared" si="45"/>
        <v>2.3023052571519376E-2</v>
      </c>
      <c r="W56" s="492"/>
      <c r="X56" s="340" t="str">
        <f>name!A53</f>
        <v>Real estate</v>
      </c>
      <c r="Y56" s="340">
        <v>546.01899999880891</v>
      </c>
      <c r="Z56" s="340">
        <v>570.10899999955313</v>
      </c>
      <c r="AA56" s="491">
        <f t="shared" si="9"/>
        <v>24.090000000744226</v>
      </c>
      <c r="AB56" s="340">
        <v>189.65662043173853</v>
      </c>
      <c r="AC56" s="491">
        <f t="shared" si="10"/>
        <v>213.74662043248276</v>
      </c>
      <c r="AD56" s="492">
        <f t="shared" si="11"/>
        <v>3.0262425139952143E-2</v>
      </c>
    </row>
    <row r="57" spans="1:30" x14ac:dyDescent="0.25">
      <c r="A57" s="244" t="str">
        <f t="shared" si="38"/>
        <v xml:space="preserve"> 82 Transport and mobile machine drivers and operatives</v>
      </c>
      <c r="B57" s="87">
        <v>3.7213465486770652</v>
      </c>
      <c r="C57" s="87">
        <v>6.6707868254915663</v>
      </c>
      <c r="D57" s="87">
        <f t="shared" ref="D57:D58" si="54">C57-B57</f>
        <v>2.9494402768145012</v>
      </c>
      <c r="E57" s="87">
        <v>2.3351296342317025</v>
      </c>
      <c r="F57" s="87">
        <f t="shared" ref="F57:F58" si="55">SUM(D57:E57)</f>
        <v>5.2845699110462032</v>
      </c>
      <c r="G57" s="298">
        <f t="shared" si="42"/>
        <v>4.9909800794685877E-2</v>
      </c>
      <c r="I57" s="108" t="str">
        <f t="shared" si="53"/>
        <v>Caring, leisure and other service</v>
      </c>
      <c r="J57" s="108">
        <v>311.10777768446565</v>
      </c>
      <c r="K57" s="108">
        <v>413.22144889367343</v>
      </c>
      <c r="L57" s="108">
        <v>102.11367120920775</v>
      </c>
      <c r="M57" s="108">
        <v>153.15510964587997</v>
      </c>
      <c r="N57" s="108">
        <v>255.26878085508773</v>
      </c>
      <c r="P57" s="340" t="str">
        <f>name!D26</f>
        <v xml:space="preserve"> 82 Transport and mobile machine drivers and operatives</v>
      </c>
      <c r="Q57" s="87">
        <v>60.027214298433236</v>
      </c>
      <c r="R57" s="87">
        <v>72.408260265688924</v>
      </c>
      <c r="S57" s="491">
        <f t="shared" si="43"/>
        <v>12.381045967255687</v>
      </c>
      <c r="T57" s="491">
        <v>28.450360187191659</v>
      </c>
      <c r="U57" s="491">
        <f t="shared" si="44"/>
        <v>40.83140615444735</v>
      </c>
      <c r="V57" s="492">
        <f t="shared" si="45"/>
        <v>3.955746619533218E-2</v>
      </c>
      <c r="W57" s="492"/>
      <c r="X57" s="340" t="str">
        <f>name!A54</f>
        <v>Legal and accounting</v>
      </c>
      <c r="Y57" s="340">
        <v>777.99299999175355</v>
      </c>
      <c r="Z57" s="340">
        <v>817.35099999651675</v>
      </c>
      <c r="AA57" s="491">
        <f t="shared" si="9"/>
        <v>39.358000004763198</v>
      </c>
      <c r="AB57" s="340">
        <v>270.95712353963035</v>
      </c>
      <c r="AC57" s="491">
        <f t="shared" si="10"/>
        <v>310.31512354439354</v>
      </c>
      <c r="AD57" s="492">
        <f t="shared" si="11"/>
        <v>3.0333723733711349E-2</v>
      </c>
    </row>
    <row r="58" spans="1:30" x14ac:dyDescent="0.25">
      <c r="A58" s="244" t="str">
        <f t="shared" si="38"/>
        <v xml:space="preserve"> 91 Elementary trades and related occupations</v>
      </c>
      <c r="B58" s="87">
        <v>4.0098957654546005E-2</v>
      </c>
      <c r="C58" s="87">
        <v>7.8340565555453379E-2</v>
      </c>
      <c r="D58" s="87">
        <f t="shared" si="54"/>
        <v>3.8241607900907373E-2</v>
      </c>
      <c r="E58" s="87">
        <v>2.3065653422861224E-2</v>
      </c>
      <c r="F58" s="87">
        <f t="shared" si="55"/>
        <v>6.1307261323768597E-2</v>
      </c>
      <c r="G58" s="298">
        <f t="shared" si="42"/>
        <v>4.648757012911009E-2</v>
      </c>
      <c r="I58" s="108" t="str">
        <f t="shared" si="53"/>
        <v>Sales and customer service</v>
      </c>
      <c r="J58" s="108">
        <v>122.9055021479162</v>
      </c>
      <c r="K58" s="108">
        <v>182.27271978946428</v>
      </c>
      <c r="L58" s="108">
        <v>59.367217641548088</v>
      </c>
      <c r="M58" s="108">
        <v>59.790091855392326</v>
      </c>
      <c r="N58" s="108">
        <v>119.15730949694043</v>
      </c>
      <c r="P58" s="340" t="str">
        <f>name!D27</f>
        <v xml:space="preserve"> 91 Elementary trades and related occupations</v>
      </c>
      <c r="Q58" s="87">
        <v>112.95090768793037</v>
      </c>
      <c r="R58" s="87">
        <v>131.36203716391941</v>
      </c>
      <c r="S58" s="491">
        <f t="shared" si="43"/>
        <v>18.411129475989043</v>
      </c>
      <c r="T58" s="491">
        <v>52.177865492957999</v>
      </c>
      <c r="U58" s="491">
        <f t="shared" si="44"/>
        <v>70.588994968947048</v>
      </c>
      <c r="V58" s="492">
        <f t="shared" si="45"/>
        <v>3.8707584764980485E-2</v>
      </c>
      <c r="W58" s="492"/>
      <c r="X58" s="340" t="str">
        <f>name!A55</f>
        <v>Head offices, etc</v>
      </c>
      <c r="Y58" s="340">
        <v>852.8949999911041</v>
      </c>
      <c r="Z58" s="340">
        <v>896.38899999633111</v>
      </c>
      <c r="AA58" s="491">
        <f t="shared" si="9"/>
        <v>43.494000005227008</v>
      </c>
      <c r="AB58" s="340">
        <v>290.86843600742429</v>
      </c>
      <c r="AC58" s="491">
        <f t="shared" si="10"/>
        <v>334.3624360126513</v>
      </c>
      <c r="AD58" s="492">
        <f t="shared" si="11"/>
        <v>2.9779078033407513E-2</v>
      </c>
    </row>
    <row r="59" spans="1:30" x14ac:dyDescent="0.25">
      <c r="A59" s="244" t="str">
        <f t="shared" si="38"/>
        <v xml:space="preserve"> 92 Elementary administration and service occupations</v>
      </c>
      <c r="B59" s="87">
        <v>2.7444372232760177</v>
      </c>
      <c r="C59" s="87">
        <v>5.2344818582013843</v>
      </c>
      <c r="D59" s="87">
        <f t="shared" si="40"/>
        <v>2.4900446349253667</v>
      </c>
      <c r="E59" s="87">
        <v>1.5499929652426006</v>
      </c>
      <c r="F59" s="87">
        <f t="shared" si="41"/>
        <v>4.0400376001679668</v>
      </c>
      <c r="G59" s="298">
        <f t="shared" si="42"/>
        <v>4.5791781639449525E-2</v>
      </c>
      <c r="I59" s="108" t="str">
        <f t="shared" si="53"/>
        <v>Process, plant and machine operatives</v>
      </c>
      <c r="J59" s="108">
        <v>44.216601557390462</v>
      </c>
      <c r="K59" s="108">
        <v>67.283906006904417</v>
      </c>
      <c r="L59" s="108">
        <v>23.067304449513955</v>
      </c>
      <c r="M59" s="108">
        <v>23.969628905752259</v>
      </c>
      <c r="N59" s="108">
        <v>47.036933355266214</v>
      </c>
      <c r="P59" s="340" t="str">
        <f>name!D28</f>
        <v xml:space="preserve"> 92 Elementary administration and service occupations</v>
      </c>
      <c r="Q59" s="87">
        <v>1747.8247369240221</v>
      </c>
      <c r="R59" s="87">
        <v>1600.6666075398941</v>
      </c>
      <c r="S59" s="491">
        <f t="shared" si="43"/>
        <v>-147.15812938412796</v>
      </c>
      <c r="T59" s="491">
        <v>639.02392356827283</v>
      </c>
      <c r="U59" s="491">
        <f t="shared" si="44"/>
        <v>491.86579418414487</v>
      </c>
      <c r="V59" s="492">
        <f t="shared" si="45"/>
        <v>3.1650754550483384E-2</v>
      </c>
      <c r="W59" s="492"/>
      <c r="X59" s="340" t="str">
        <f>name!A56</f>
        <v>Architectural and related</v>
      </c>
      <c r="Y59" s="340">
        <v>601.980999994066</v>
      </c>
      <c r="Z59" s="340">
        <v>651.83999999849061</v>
      </c>
      <c r="AA59" s="491">
        <f t="shared" si="9"/>
        <v>49.859000004424615</v>
      </c>
      <c r="AB59" s="340">
        <v>198.44759128177415</v>
      </c>
      <c r="AC59" s="491">
        <f t="shared" si="10"/>
        <v>248.30659128619877</v>
      </c>
      <c r="AD59" s="492">
        <f t="shared" si="11"/>
        <v>2.8901927745800693E-2</v>
      </c>
    </row>
    <row r="60" spans="1:30" s="244" customFormat="1" x14ac:dyDescent="0.25">
      <c r="A60" s="109" t="str">
        <f t="shared" si="38"/>
        <v>All occupations</v>
      </c>
      <c r="B60" s="87">
        <f>SUM(B35:B59)</f>
        <v>548.71700814268661</v>
      </c>
      <c r="C60" s="87">
        <f>SUM(C35:C59)</f>
        <v>731.7326668137066</v>
      </c>
      <c r="D60" s="87">
        <f>SUM(D35:D59)</f>
        <v>183.01565867101974</v>
      </c>
      <c r="E60" s="87">
        <f>SUM(E35:E59)</f>
        <v>212.21073340271681</v>
      </c>
      <c r="F60" s="87">
        <f>SUM(F35:F59)</f>
        <v>395.22639207373669</v>
      </c>
      <c r="G60" s="298">
        <f t="shared" si="42"/>
        <v>3.3235928939078896E-2</v>
      </c>
      <c r="I60" s="108" t="str">
        <f t="shared" si="53"/>
        <v>Elementary occupations</v>
      </c>
      <c r="J60" s="108">
        <v>133.77885435908681</v>
      </c>
      <c r="K60" s="108">
        <v>233.99577110810293</v>
      </c>
      <c r="L60" s="108">
        <v>100.21691674901614</v>
      </c>
      <c r="M60" s="108">
        <v>80.477056625760923</v>
      </c>
      <c r="N60" s="108">
        <v>180.69397337477707</v>
      </c>
      <c r="O60" s="250"/>
      <c r="P60" s="340" t="str">
        <f>name!D3</f>
        <v>All occupations</v>
      </c>
      <c r="Q60" s="87">
        <f>SUM(Q35:Q59)</f>
        <v>16616.099999999948</v>
      </c>
      <c r="R60" s="87">
        <f>SUM(R35:R59)</f>
        <v>17406.968000000015</v>
      </c>
      <c r="S60" s="491">
        <f t="shared" si="43"/>
        <v>790.8680000000677</v>
      </c>
      <c r="T60" s="87">
        <f>SUM(T35:T59)</f>
        <v>6519.2869217241105</v>
      </c>
      <c r="U60" s="491">
        <f t="shared" si="44"/>
        <v>7310.1549217241782</v>
      </c>
      <c r="V60" s="492">
        <f t="shared" si="45"/>
        <v>3.3652994177661322E-2</v>
      </c>
      <c r="W60" s="492"/>
      <c r="X60" s="340" t="str">
        <f>name!A57</f>
        <v>Scientific research and development</v>
      </c>
      <c r="Y60" s="340">
        <v>156.65799999918147</v>
      </c>
      <c r="Z60" s="340">
        <v>174.72400000115371</v>
      </c>
      <c r="AA60" s="491">
        <f t="shared" si="9"/>
        <v>18.066000001972242</v>
      </c>
      <c r="AB60" s="340">
        <v>50.629550551666334</v>
      </c>
      <c r="AC60" s="491">
        <f t="shared" si="10"/>
        <v>68.695550553638583</v>
      </c>
      <c r="AD60" s="492">
        <f t="shared" si="11"/>
        <v>2.8399991048891682E-2</v>
      </c>
    </row>
    <row r="61" spans="1:30" s="244" customFormat="1" x14ac:dyDescent="0.25">
      <c r="A61" s="86"/>
      <c r="B61" s="89"/>
      <c r="C61" s="89"/>
      <c r="D61" s="89"/>
      <c r="E61" s="89"/>
      <c r="F61" s="89"/>
      <c r="G61" s="89"/>
      <c r="O61" s="250"/>
      <c r="P61" s="343"/>
      <c r="Q61" s="116"/>
      <c r="R61" s="116"/>
      <c r="S61" s="116"/>
      <c r="T61" s="116"/>
      <c r="U61" s="116"/>
      <c r="V61" s="116"/>
      <c r="W61" s="108"/>
      <c r="X61" s="340" t="str">
        <f>name!A58</f>
        <v>Advertising, etc</v>
      </c>
      <c r="Y61" s="340">
        <v>278.67099999653612</v>
      </c>
      <c r="Z61" s="340">
        <v>309.33899999778987</v>
      </c>
      <c r="AA61" s="491">
        <f t="shared" si="9"/>
        <v>30.668000001253745</v>
      </c>
      <c r="AB61" s="340">
        <v>101.23594795701385</v>
      </c>
      <c r="AC61" s="491">
        <f t="shared" si="10"/>
        <v>131.90394795826759</v>
      </c>
      <c r="AD61" s="492">
        <f t="shared" si="11"/>
        <v>3.1474619131801163E-2</v>
      </c>
    </row>
    <row r="62" spans="1:30" ht="39.6" x14ac:dyDescent="0.25">
      <c r="A62" s="299" t="str">
        <f>CONCATENATE(name!F5," (Constrained)")</f>
        <v>RQF7 Other higher degree (Constrained)</v>
      </c>
      <c r="B62" s="96">
        <f t="shared" ref="B62:G62" si="56">B6</f>
        <v>2017</v>
      </c>
      <c r="C62" s="96">
        <f t="shared" si="56"/>
        <v>2027</v>
      </c>
      <c r="D62" s="117" t="str">
        <f t="shared" si="56"/>
        <v>Net Change</v>
      </c>
      <c r="E62" s="117" t="str">
        <f t="shared" si="56"/>
        <v>Replacement Demand level</v>
      </c>
      <c r="F62" s="117" t="str">
        <f t="shared" si="56"/>
        <v>Total Requirement</v>
      </c>
      <c r="G62" s="117" t="str">
        <f t="shared" si="56"/>
        <v>Replacement Demand rate</v>
      </c>
      <c r="I62" s="115" t="str">
        <f>name!F8</f>
        <v>RQF4 HE below degree level</v>
      </c>
      <c r="J62" s="108"/>
      <c r="K62" s="108"/>
      <c r="L62" s="108"/>
      <c r="M62" s="108"/>
      <c r="N62" s="108"/>
      <c r="P62" s="87"/>
      <c r="Q62" s="87"/>
      <c r="R62" s="87"/>
      <c r="S62" s="87"/>
      <c r="T62" s="87"/>
      <c r="U62" s="87"/>
      <c r="X62" s="340" t="str">
        <f>name!A59</f>
        <v>Other professional</v>
      </c>
      <c r="Y62" s="340">
        <v>259.80699999765943</v>
      </c>
      <c r="Z62" s="340">
        <v>291.28899999787495</v>
      </c>
      <c r="AA62" s="491">
        <f t="shared" si="9"/>
        <v>31.482000000215521</v>
      </c>
      <c r="AB62" s="340">
        <v>90.491871362759397</v>
      </c>
      <c r="AC62" s="491">
        <f t="shared" si="10"/>
        <v>121.97387136297492</v>
      </c>
      <c r="AD62" s="492">
        <f t="shared" si="11"/>
        <v>3.0335797459765335E-2</v>
      </c>
    </row>
    <row r="63" spans="1:30" x14ac:dyDescent="0.25">
      <c r="A63" s="86" t="str">
        <f t="shared" ref="A63:A88" si="57">A7</f>
        <v xml:space="preserve"> 11 Corporate managers and directors</v>
      </c>
      <c r="B63" s="87">
        <v>345.93872689942737</v>
      </c>
      <c r="C63" s="87">
        <v>476.63646061884816</v>
      </c>
      <c r="D63" s="87">
        <f>C63-B63</f>
        <v>130.6977337194208</v>
      </c>
      <c r="E63" s="87">
        <v>150.14874027901868</v>
      </c>
      <c r="F63" s="87">
        <f>SUM(D63:E63)</f>
        <v>280.84647399843948</v>
      </c>
      <c r="G63" s="298">
        <f>IF(B63&gt;0,(1+(E63/B63))^(1/($C$6-$B$6))-1,0)</f>
        <v>3.6706704706536364E-2</v>
      </c>
      <c r="I63" s="108" t="str">
        <f>I52</f>
        <v>Managers, directors and senior officials</v>
      </c>
      <c r="J63" s="108">
        <f t="array" ref="J63:J71">MMULT(aggregation!$B$38:$Z$46,B147:B171)</f>
        <v>274.53598601578688</v>
      </c>
      <c r="K63" s="108">
        <f t="array" ref="K63:K71">MMULT(aggregation!$B$38:$Z$46,C147:C171)</f>
        <v>353.13627609954517</v>
      </c>
      <c r="L63" s="108">
        <f t="array" ref="L63:L71">MMULT(aggregation!$B$38:$Z$46,D147:D171)</f>
        <v>78.600290083758239</v>
      </c>
      <c r="M63" s="108">
        <f t="array" ref="M63:M71">MMULT(aggregation!$B$38:$Z$46,E147:E171)</f>
        <v>123.30519565011764</v>
      </c>
      <c r="N63" s="108">
        <f t="array" ref="N63:N71">MMULT(aggregation!$B$38:$Z$46,F147:F171)</f>
        <v>201.90548573387588</v>
      </c>
      <c r="P63" s="87"/>
      <c r="Q63" s="87"/>
      <c r="R63" s="87"/>
      <c r="S63" s="87"/>
      <c r="T63" s="87"/>
      <c r="U63" s="87"/>
      <c r="X63" s="340" t="str">
        <f>name!A60</f>
        <v>Veterinary</v>
      </c>
      <c r="Y63" s="340">
        <v>86.082999998234897</v>
      </c>
      <c r="Z63" s="340">
        <v>95.258999998872824</v>
      </c>
      <c r="AA63" s="491">
        <f t="shared" si="9"/>
        <v>9.1760000006379272</v>
      </c>
      <c r="AB63" s="340">
        <v>33.102546388441972</v>
      </c>
      <c r="AC63" s="491">
        <f t="shared" si="10"/>
        <v>42.278546389079899</v>
      </c>
      <c r="AD63" s="492">
        <f t="shared" si="11"/>
        <v>3.3072069105227975E-2</v>
      </c>
    </row>
    <row r="64" spans="1:30" x14ac:dyDescent="0.25">
      <c r="A64" s="244" t="str">
        <f t="shared" si="57"/>
        <v xml:space="preserve"> 12 Other managers and proprietors</v>
      </c>
      <c r="B64" s="87">
        <v>105.00278288414242</v>
      </c>
      <c r="C64" s="87">
        <v>148.93388578359054</v>
      </c>
      <c r="D64" s="87">
        <f t="shared" ref="D64:D87" si="58">C64-B64</f>
        <v>43.931102899448121</v>
      </c>
      <c r="E64" s="87">
        <v>53.411040043362839</v>
      </c>
      <c r="F64" s="87">
        <f t="shared" ref="F64:F87" si="59">SUM(D64:E64)</f>
        <v>97.342142942810966</v>
      </c>
      <c r="G64" s="298">
        <f t="shared" ref="G64:G88" si="60">IF(B64&gt;0,(1+(E64/B64))^(1/($C$6-$B$6))-1,0)</f>
        <v>4.1979624384458791E-2</v>
      </c>
      <c r="I64" s="108" t="str">
        <f>I53</f>
        <v>Professional occupations</v>
      </c>
      <c r="J64" s="108">
        <v>314.31712507047973</v>
      </c>
      <c r="K64" s="108">
        <v>355.0466411869441</v>
      </c>
      <c r="L64" s="108">
        <v>40.729516116464353</v>
      </c>
      <c r="M64" s="108">
        <v>101.14264737617239</v>
      </c>
      <c r="N64" s="108">
        <v>141.87216349263673</v>
      </c>
      <c r="P64" s="87"/>
      <c r="Q64" s="87"/>
      <c r="R64" s="87"/>
      <c r="S64" s="87"/>
      <c r="T64" s="87"/>
      <c r="U64" s="87"/>
      <c r="X64" s="340" t="str">
        <f>name!A61</f>
        <v>Rental and leasing</v>
      </c>
      <c r="Y64" s="340">
        <v>151.88899999989192</v>
      </c>
      <c r="Z64" s="340">
        <v>163.84199999957113</v>
      </c>
      <c r="AA64" s="491">
        <f t="shared" si="9"/>
        <v>11.952999999679207</v>
      </c>
      <c r="AB64" s="340">
        <v>48.400837353677389</v>
      </c>
      <c r="AC64" s="491">
        <f t="shared" si="10"/>
        <v>60.353837353356596</v>
      </c>
      <c r="AD64" s="492">
        <f t="shared" si="11"/>
        <v>2.8047684167601172E-2</v>
      </c>
    </row>
    <row r="65" spans="1:30" s="244" customFormat="1" x14ac:dyDescent="0.25">
      <c r="A65" s="244" t="str">
        <f t="shared" si="57"/>
        <v xml:space="preserve"> 21 Science, research, engineering and technology professionals</v>
      </c>
      <c r="B65" s="87">
        <v>379.18222475223979</v>
      </c>
      <c r="C65" s="87">
        <v>502.89867674393935</v>
      </c>
      <c r="D65" s="87">
        <f t="shared" si="58"/>
        <v>123.71645199169956</v>
      </c>
      <c r="E65" s="87">
        <v>118.07489530108927</v>
      </c>
      <c r="F65" s="87">
        <f t="shared" si="59"/>
        <v>241.79134729278883</v>
      </c>
      <c r="G65" s="298">
        <f t="shared" si="60"/>
        <v>2.7479827185788785E-2</v>
      </c>
      <c r="I65" s="108" t="str">
        <f>I54</f>
        <v>Associate professional and technical</v>
      </c>
      <c r="J65" s="108">
        <v>330.8474696064709</v>
      </c>
      <c r="K65" s="108">
        <v>389.09464748388905</v>
      </c>
      <c r="L65" s="108">
        <v>58.247177877418096</v>
      </c>
      <c r="M65" s="108">
        <v>114.15352495807358</v>
      </c>
      <c r="N65" s="108">
        <v>172.4007028354917</v>
      </c>
      <c r="O65" s="250"/>
      <c r="P65" s="87"/>
      <c r="Q65" s="87"/>
      <c r="R65" s="87"/>
      <c r="S65" s="87"/>
      <c r="T65" s="87"/>
      <c r="U65" s="87"/>
      <c r="W65" s="251"/>
      <c r="X65" s="340" t="str">
        <f>name!A62</f>
        <v>Employment activities</v>
      </c>
      <c r="Y65" s="340">
        <v>1135.0140000004797</v>
      </c>
      <c r="Z65" s="340">
        <v>1210.7139999977931</v>
      </c>
      <c r="AA65" s="491">
        <f t="shared" si="9"/>
        <v>75.699999997313398</v>
      </c>
      <c r="AB65" s="340">
        <v>370.62864255168785</v>
      </c>
      <c r="AC65" s="491">
        <f t="shared" si="10"/>
        <v>446.32864254900124</v>
      </c>
      <c r="AD65" s="492">
        <f t="shared" si="11"/>
        <v>2.8660512551999195E-2</v>
      </c>
    </row>
    <row r="66" spans="1:30" x14ac:dyDescent="0.25">
      <c r="A66" s="244" t="str">
        <f t="shared" si="57"/>
        <v xml:space="preserve"> 22 Health professionals</v>
      </c>
      <c r="B66" s="87">
        <v>288.42624430102529</v>
      </c>
      <c r="C66" s="87">
        <v>378.01131040317159</v>
      </c>
      <c r="D66" s="87">
        <f t="shared" si="58"/>
        <v>89.5850661021463</v>
      </c>
      <c r="E66" s="87">
        <v>121.5046324316458</v>
      </c>
      <c r="F66" s="87">
        <f t="shared" si="59"/>
        <v>211.0896985337921</v>
      </c>
      <c r="G66" s="298">
        <f t="shared" si="60"/>
        <v>3.5780154380825158E-2</v>
      </c>
      <c r="I66" s="108" t="str">
        <f>I55</f>
        <v>Administrative and secretarial</v>
      </c>
      <c r="J66" s="108">
        <v>233.20306216894767</v>
      </c>
      <c r="K66" s="108">
        <v>273.5778422065718</v>
      </c>
      <c r="L66" s="108">
        <v>40.374780037624163</v>
      </c>
      <c r="M66" s="108">
        <v>99.343043372127752</v>
      </c>
      <c r="N66" s="108">
        <v>139.7178234097519</v>
      </c>
      <c r="P66" s="87"/>
      <c r="Q66" s="87"/>
      <c r="R66" s="87"/>
      <c r="S66" s="87"/>
      <c r="T66" s="87"/>
      <c r="U66" s="87"/>
      <c r="X66" s="340" t="str">
        <f>name!A63</f>
        <v>Travel, etc</v>
      </c>
      <c r="Y66" s="340">
        <v>102.0340000003452</v>
      </c>
      <c r="Z66" s="340">
        <v>109.71199999994703</v>
      </c>
      <c r="AA66" s="491">
        <f t="shared" si="9"/>
        <v>7.6779999996018233</v>
      </c>
      <c r="AB66" s="340">
        <v>33.862058661043292</v>
      </c>
      <c r="AC66" s="491">
        <f t="shared" si="10"/>
        <v>41.540058660645116</v>
      </c>
      <c r="AD66" s="492">
        <f t="shared" si="11"/>
        <v>2.9073026541766245E-2</v>
      </c>
    </row>
    <row r="67" spans="1:30" x14ac:dyDescent="0.25">
      <c r="A67" s="244" t="str">
        <f t="shared" si="57"/>
        <v xml:space="preserve"> 23 Teaching and educational professionals</v>
      </c>
      <c r="B67" s="87">
        <v>853.9183878252046</v>
      </c>
      <c r="C67" s="87">
        <v>1050.4931357537175</v>
      </c>
      <c r="D67" s="87">
        <f t="shared" ref="D67" si="61">C67-B67</f>
        <v>196.57474792851292</v>
      </c>
      <c r="E67" s="87">
        <v>341.31905296732867</v>
      </c>
      <c r="F67" s="87">
        <f t="shared" ref="F67" si="62">SUM(D67:E67)</f>
        <v>537.89380089584165</v>
      </c>
      <c r="G67" s="298">
        <f t="shared" si="60"/>
        <v>3.4198211397931555E-2</v>
      </c>
      <c r="I67" s="108" t="str">
        <f t="shared" ref="I67:I71" si="63">I56</f>
        <v>Skilled trades occupations</v>
      </c>
      <c r="J67" s="108">
        <v>201.78709355495701</v>
      </c>
      <c r="K67" s="108">
        <v>279.75065977844804</v>
      </c>
      <c r="L67" s="108">
        <v>77.963566223491014</v>
      </c>
      <c r="M67" s="108">
        <v>86.657743661767711</v>
      </c>
      <c r="N67" s="108">
        <v>164.62130988525874</v>
      </c>
      <c r="P67" s="87"/>
      <c r="Q67" s="87"/>
      <c r="R67" s="87"/>
      <c r="S67" s="87"/>
      <c r="T67" s="87"/>
      <c r="U67" s="87"/>
      <c r="X67" s="340" t="str">
        <f>name!A64</f>
        <v>Security, etc</v>
      </c>
      <c r="Y67" s="340">
        <v>209.20499999989735</v>
      </c>
      <c r="Z67" s="340">
        <v>223.62499999943518</v>
      </c>
      <c r="AA67" s="491">
        <f t="shared" si="9"/>
        <v>14.419999999537822</v>
      </c>
      <c r="AB67" s="340">
        <v>65.743598273702631</v>
      </c>
      <c r="AC67" s="491">
        <f t="shared" si="10"/>
        <v>80.163598273240453</v>
      </c>
      <c r="AD67" s="492">
        <f t="shared" si="11"/>
        <v>2.7703758907986931E-2</v>
      </c>
    </row>
    <row r="68" spans="1:30" x14ac:dyDescent="0.25">
      <c r="A68" s="244" t="str">
        <f t="shared" si="57"/>
        <v xml:space="preserve"> 24 Business, media and public service professionals</v>
      </c>
      <c r="B68" s="87">
        <v>506.26008850138811</v>
      </c>
      <c r="C68" s="87">
        <v>620.18442875237986</v>
      </c>
      <c r="D68" s="87">
        <f t="shared" si="58"/>
        <v>113.92434025099175</v>
      </c>
      <c r="E68" s="87">
        <v>192.84571764629251</v>
      </c>
      <c r="F68" s="87">
        <f t="shared" si="59"/>
        <v>306.77005789728423</v>
      </c>
      <c r="G68" s="298">
        <f t="shared" si="60"/>
        <v>3.2801647010478163E-2</v>
      </c>
      <c r="I68" s="108" t="str">
        <f t="shared" si="63"/>
        <v>Caring, leisure and other service</v>
      </c>
      <c r="J68" s="108">
        <v>206.10507431226299</v>
      </c>
      <c r="K68" s="108">
        <v>305.64399906008134</v>
      </c>
      <c r="L68" s="108">
        <v>99.538924747818328</v>
      </c>
      <c r="M68" s="108">
        <v>111.51659440251746</v>
      </c>
      <c r="N68" s="108">
        <v>211.05551915033578</v>
      </c>
      <c r="P68" s="87"/>
      <c r="Q68" s="87"/>
      <c r="R68" s="87"/>
      <c r="S68" s="87"/>
      <c r="T68" s="87"/>
      <c r="U68" s="87"/>
      <c r="X68" s="340" t="str">
        <f>name!A65</f>
        <v>Services to buildings</v>
      </c>
      <c r="Y68" s="340">
        <v>847.40900000210911</v>
      </c>
      <c r="Z68" s="340">
        <v>894.8529999992528</v>
      </c>
      <c r="AA68" s="491">
        <f t="shared" si="9"/>
        <v>47.443999997143692</v>
      </c>
      <c r="AB68" s="340">
        <v>300.7047563775501</v>
      </c>
      <c r="AC68" s="491">
        <f t="shared" si="10"/>
        <v>348.14875637469379</v>
      </c>
      <c r="AD68" s="492">
        <f t="shared" si="11"/>
        <v>3.0835069038422258E-2</v>
      </c>
    </row>
    <row r="69" spans="1:30" x14ac:dyDescent="0.25">
      <c r="A69" s="244" t="str">
        <f t="shared" si="57"/>
        <v xml:space="preserve"> 31 Science, engineering and technology associate professionals</v>
      </c>
      <c r="B69" s="87">
        <v>80.897460692186058</v>
      </c>
      <c r="C69" s="87">
        <v>103.32002098210472</v>
      </c>
      <c r="D69" s="87">
        <f t="shared" si="58"/>
        <v>22.422560289918664</v>
      </c>
      <c r="E69" s="87">
        <v>26.964144184679125</v>
      </c>
      <c r="F69" s="87">
        <f t="shared" si="59"/>
        <v>49.386704474597792</v>
      </c>
      <c r="G69" s="298">
        <f t="shared" si="60"/>
        <v>2.9184409741010331E-2</v>
      </c>
      <c r="I69" s="108" t="str">
        <f t="shared" si="63"/>
        <v>Sales and customer service</v>
      </c>
      <c r="J69" s="108">
        <v>118.88680318331402</v>
      </c>
      <c r="K69" s="108">
        <v>158.14133633905868</v>
      </c>
      <c r="L69" s="108">
        <v>39.254533155744674</v>
      </c>
      <c r="M69" s="108">
        <v>47.145519555638089</v>
      </c>
      <c r="N69" s="108">
        <v>86.400052711382756</v>
      </c>
      <c r="P69" s="87"/>
      <c r="Q69" s="87"/>
      <c r="R69" s="87"/>
      <c r="S69" s="87"/>
      <c r="T69" s="87"/>
      <c r="U69" s="87"/>
      <c r="X69" s="340" t="str">
        <f>name!A66</f>
        <v>Office administrative</v>
      </c>
      <c r="Y69" s="340">
        <v>551.53400000058957</v>
      </c>
      <c r="Z69" s="340">
        <v>590.99499999946784</v>
      </c>
      <c r="AA69" s="491">
        <f t="shared" si="9"/>
        <v>39.460999998878265</v>
      </c>
      <c r="AB69" s="340">
        <v>176.90607223474345</v>
      </c>
      <c r="AC69" s="491">
        <f t="shared" si="10"/>
        <v>216.36707223362171</v>
      </c>
      <c r="AD69" s="492">
        <f t="shared" si="11"/>
        <v>2.8210782497896103E-2</v>
      </c>
    </row>
    <row r="70" spans="1:30" x14ac:dyDescent="0.25">
      <c r="A70" s="244" t="str">
        <f t="shared" si="57"/>
        <v xml:space="preserve"> 32 Health and social care associate professionals</v>
      </c>
      <c r="B70" s="87">
        <v>69.709386409747182</v>
      </c>
      <c r="C70" s="87">
        <v>96.305966511763472</v>
      </c>
      <c r="D70" s="87">
        <f t="shared" si="58"/>
        <v>26.59658010201629</v>
      </c>
      <c r="E70" s="87">
        <v>33.102549702926922</v>
      </c>
      <c r="F70" s="87">
        <f t="shared" si="59"/>
        <v>59.699129804943212</v>
      </c>
      <c r="G70" s="298">
        <f t="shared" si="60"/>
        <v>3.9621441041216565E-2</v>
      </c>
      <c r="I70" s="108" t="str">
        <f t="shared" si="63"/>
        <v>Process, plant and machine operatives</v>
      </c>
      <c r="J70" s="108">
        <v>83.365117105088018</v>
      </c>
      <c r="K70" s="108">
        <v>130.97318234042609</v>
      </c>
      <c r="L70" s="108">
        <v>47.608065235338096</v>
      </c>
      <c r="M70" s="108">
        <v>45.187159471549698</v>
      </c>
      <c r="N70" s="108">
        <v>92.79522470688778</v>
      </c>
      <c r="P70" s="87"/>
      <c r="Q70" s="87"/>
      <c r="R70" s="87"/>
      <c r="S70" s="87"/>
      <c r="T70" s="87"/>
      <c r="U70" s="87"/>
      <c r="X70" s="340" t="str">
        <f>name!A67</f>
        <v>Public administration and defence</v>
      </c>
      <c r="Y70" s="340">
        <v>1330.0479999937118</v>
      </c>
      <c r="Z70" s="340">
        <v>1323.1529999996937</v>
      </c>
      <c r="AA70" s="491">
        <f t="shared" si="9"/>
        <v>-6.8949999940180078</v>
      </c>
      <c r="AB70" s="340">
        <v>434.7102150372823</v>
      </c>
      <c r="AC70" s="491">
        <f t="shared" si="10"/>
        <v>427.81521504326429</v>
      </c>
      <c r="AD70" s="492">
        <f t="shared" si="11"/>
        <v>2.8683537742623111E-2</v>
      </c>
    </row>
    <row r="71" spans="1:30" x14ac:dyDescent="0.25">
      <c r="A71" s="244" t="str">
        <f t="shared" si="57"/>
        <v xml:space="preserve"> 33 Protective service occupations</v>
      </c>
      <c r="B71" s="87">
        <v>26.291902678048448</v>
      </c>
      <c r="C71" s="87">
        <v>33.694973675661821</v>
      </c>
      <c r="D71" s="87">
        <f t="shared" si="58"/>
        <v>7.4030709976133728</v>
      </c>
      <c r="E71" s="87">
        <v>6.7377013022953474</v>
      </c>
      <c r="F71" s="87">
        <f t="shared" si="59"/>
        <v>14.14077229990872</v>
      </c>
      <c r="G71" s="298">
        <f t="shared" si="60"/>
        <v>2.307656123095625E-2</v>
      </c>
      <c r="I71" s="108" t="str">
        <f t="shared" si="63"/>
        <v>Elementary occupations</v>
      </c>
      <c r="J71" s="108">
        <v>127.34783216583284</v>
      </c>
      <c r="K71" s="108">
        <v>212.87797429257557</v>
      </c>
      <c r="L71" s="108">
        <v>85.530142126742732</v>
      </c>
      <c r="M71" s="108">
        <v>69.729786005244392</v>
      </c>
      <c r="N71" s="108">
        <v>155.25992813198712</v>
      </c>
      <c r="P71" s="87"/>
      <c r="Q71" s="87"/>
      <c r="R71" s="87"/>
      <c r="S71" s="87"/>
      <c r="T71" s="87"/>
      <c r="U71" s="87"/>
      <c r="X71" s="340" t="str">
        <f>name!A68</f>
        <v xml:space="preserve">Education </v>
      </c>
      <c r="Y71" s="340">
        <v>2926.0890000192853</v>
      </c>
      <c r="Z71" s="340">
        <v>2935.584000038913</v>
      </c>
      <c r="AA71" s="491">
        <f t="shared" si="9"/>
        <v>9.495000019627696</v>
      </c>
      <c r="AB71" s="340">
        <v>1041.3355911725785</v>
      </c>
      <c r="AC71" s="491">
        <f t="shared" si="10"/>
        <v>1050.8305911922062</v>
      </c>
      <c r="AD71" s="492">
        <f t="shared" si="11"/>
        <v>3.0913234398897593E-2</v>
      </c>
    </row>
    <row r="72" spans="1:30" x14ac:dyDescent="0.25">
      <c r="A72" s="244" t="str">
        <f t="shared" si="57"/>
        <v xml:space="preserve"> 34 Culture, media and sports occupations</v>
      </c>
      <c r="B72" s="87">
        <v>163.49130722362574</v>
      </c>
      <c r="C72" s="87">
        <v>195.32886192720363</v>
      </c>
      <c r="D72" s="87">
        <f t="shared" ref="D72:D73" si="64">C72-B72</f>
        <v>31.837554703577894</v>
      </c>
      <c r="E72" s="87">
        <v>63.240359963905874</v>
      </c>
      <c r="F72" s="87">
        <f t="shared" ref="F72:F73" si="65">SUM(D72:E72)</f>
        <v>95.077914667483768</v>
      </c>
      <c r="G72" s="298">
        <f t="shared" si="60"/>
        <v>3.3241286557149863E-2</v>
      </c>
      <c r="I72" s="87"/>
      <c r="J72" s="87"/>
      <c r="K72" s="87"/>
      <c r="L72" s="87"/>
      <c r="M72" s="87"/>
      <c r="N72" s="87"/>
      <c r="P72" s="87"/>
      <c r="Q72" s="87"/>
      <c r="R72" s="87"/>
      <c r="S72" s="87"/>
      <c r="T72" s="87"/>
      <c r="U72" s="87"/>
      <c r="X72" s="340" t="str">
        <f>name!A69</f>
        <v>Health</v>
      </c>
      <c r="Y72" s="340">
        <v>2589.0749999706618</v>
      </c>
      <c r="Z72" s="340">
        <v>2798.2849999855348</v>
      </c>
      <c r="AA72" s="491">
        <f t="shared" ref="AA72:AA82" si="66">Z72-Y72</f>
        <v>209.210000014873</v>
      </c>
      <c r="AB72" s="340">
        <v>998.02649389129681</v>
      </c>
      <c r="AC72" s="491">
        <f t="shared" ref="AC72:AC82" si="67">SUM(AA72:AB72)</f>
        <v>1207.2364939061699</v>
      </c>
      <c r="AD72" s="492">
        <f t="shared" ref="AD72:AD82" si="68">IF(Y72&gt;0,(1+(AB72/Y72))^(1/($C$6-$B$6))-1,0)</f>
        <v>3.3141729330375291E-2</v>
      </c>
    </row>
    <row r="73" spans="1:30" s="244" customFormat="1" x14ac:dyDescent="0.25">
      <c r="A73" s="244" t="str">
        <f t="shared" si="57"/>
        <v xml:space="preserve"> 35 Business and public service associate professionals</v>
      </c>
      <c r="B73" s="87">
        <v>375.72497325912707</v>
      </c>
      <c r="C73" s="87">
        <v>522.88692095001215</v>
      </c>
      <c r="D73" s="87">
        <f t="shared" si="64"/>
        <v>147.16194769088509</v>
      </c>
      <c r="E73" s="87">
        <v>151.48151648783409</v>
      </c>
      <c r="F73" s="87">
        <f t="shared" si="65"/>
        <v>298.64346417871917</v>
      </c>
      <c r="G73" s="298">
        <f t="shared" si="60"/>
        <v>3.445372673969449E-2</v>
      </c>
      <c r="I73" s="115" t="str">
        <f>name!F9</f>
        <v>RQF3 A level &amp; equivalent</v>
      </c>
      <c r="J73" s="108"/>
      <c r="K73" s="108"/>
      <c r="L73" s="108"/>
      <c r="M73" s="108"/>
      <c r="N73" s="108"/>
      <c r="O73" s="250"/>
      <c r="P73" s="87"/>
      <c r="Q73" s="87"/>
      <c r="R73" s="87"/>
      <c r="S73" s="87"/>
      <c r="T73" s="87"/>
      <c r="U73" s="87"/>
      <c r="W73" s="251"/>
      <c r="X73" s="340" t="str">
        <f>name!A70</f>
        <v>Residential care</v>
      </c>
      <c r="Y73" s="340">
        <v>778.19999999143363</v>
      </c>
      <c r="Z73" s="340">
        <v>868.94999999526931</v>
      </c>
      <c r="AA73" s="491">
        <f t="shared" si="66"/>
        <v>90.75000000383568</v>
      </c>
      <c r="AB73" s="340">
        <v>307.91024864181662</v>
      </c>
      <c r="AC73" s="491">
        <f t="shared" si="67"/>
        <v>398.6602486456523</v>
      </c>
      <c r="AD73" s="492">
        <f t="shared" si="68"/>
        <v>3.3899364852185032E-2</v>
      </c>
    </row>
    <row r="74" spans="1:30" s="244" customFormat="1" x14ac:dyDescent="0.25">
      <c r="A74" s="244" t="str">
        <f t="shared" si="57"/>
        <v xml:space="preserve"> 41 Administrative occupations</v>
      </c>
      <c r="B74" s="87">
        <v>192.37018653564658</v>
      </c>
      <c r="C74" s="87">
        <v>247.74511266196589</v>
      </c>
      <c r="D74" s="87">
        <f t="shared" si="58"/>
        <v>55.374926126319309</v>
      </c>
      <c r="E74" s="87">
        <v>81.125502485119185</v>
      </c>
      <c r="F74" s="87">
        <f t="shared" si="59"/>
        <v>136.50042861143851</v>
      </c>
      <c r="G74" s="298">
        <f t="shared" si="60"/>
        <v>3.5812796228810395E-2</v>
      </c>
      <c r="I74" s="108" t="str">
        <f>I63</f>
        <v>Managers, directors and senior officials</v>
      </c>
      <c r="J74" s="108">
        <f t="array" ref="J74:J82">MMULT(aggregation!$B$38:$Z$46,B175:B199)</f>
        <v>622.81931074255101</v>
      </c>
      <c r="K74" s="108">
        <f t="array" ref="K74:K82">MMULT(aggregation!$B$38:$Z$46,C175:C199)</f>
        <v>533.91668679691531</v>
      </c>
      <c r="L74" s="108">
        <f t="array" ref="L74:L82">MMULT(aggregation!$B$38:$Z$46,D175:D199)</f>
        <v>-88.902623945635668</v>
      </c>
      <c r="M74" s="108">
        <f t="array" ref="M74:M82">MMULT(aggregation!$B$38:$Z$46,E175:E199)</f>
        <v>176.85296002250658</v>
      </c>
      <c r="N74" s="108">
        <f t="array" ref="N74:N82">MMULT(aggregation!$B$38:$Z$46,F175:F199)</f>
        <v>87.950336076870926</v>
      </c>
      <c r="O74" s="250"/>
      <c r="P74" s="87"/>
      <c r="Q74" s="87"/>
      <c r="R74" s="87"/>
      <c r="S74" s="87"/>
      <c r="T74" s="87"/>
      <c r="U74" s="87"/>
      <c r="W74" s="251"/>
      <c r="X74" s="340" t="str">
        <f>name!A71</f>
        <v>Social work</v>
      </c>
      <c r="Y74" s="340">
        <v>1013.8509999872468</v>
      </c>
      <c r="Z74" s="340">
        <v>1140.7869999925317</v>
      </c>
      <c r="AA74" s="491">
        <f t="shared" si="66"/>
        <v>126.93600000528488</v>
      </c>
      <c r="AB74" s="340">
        <v>403.52359028074096</v>
      </c>
      <c r="AC74" s="491">
        <f t="shared" si="67"/>
        <v>530.45959028602579</v>
      </c>
      <c r="AD74" s="492">
        <f t="shared" si="68"/>
        <v>3.4072648063628863E-2</v>
      </c>
    </row>
    <row r="75" spans="1:30" s="244" customFormat="1" x14ac:dyDescent="0.25">
      <c r="A75" s="244" t="str">
        <f t="shared" si="57"/>
        <v xml:space="preserve"> 42 Secretarial and related occupations</v>
      </c>
      <c r="B75" s="87">
        <v>34.20136552535957</v>
      </c>
      <c r="C75" s="87">
        <v>31.305063872465741</v>
      </c>
      <c r="D75" s="87">
        <f t="shared" si="58"/>
        <v>-2.896301652893829</v>
      </c>
      <c r="E75" s="87">
        <v>12.482286278999471</v>
      </c>
      <c r="F75" s="87">
        <f t="shared" si="59"/>
        <v>9.5859846261056418</v>
      </c>
      <c r="G75" s="298">
        <f t="shared" si="60"/>
        <v>3.1601909884691137E-2</v>
      </c>
      <c r="I75" s="108" t="str">
        <f>I64</f>
        <v>Professional occupations</v>
      </c>
      <c r="J75" s="108">
        <v>608.64489151997327</v>
      </c>
      <c r="K75" s="108">
        <v>564.54526165164316</v>
      </c>
      <c r="L75" s="108">
        <v>-44.099629868330133</v>
      </c>
      <c r="M75" s="108">
        <v>163.04221139549873</v>
      </c>
      <c r="N75" s="108">
        <v>118.94258152716858</v>
      </c>
      <c r="O75" s="250"/>
      <c r="P75" s="87"/>
      <c r="Q75" s="87"/>
      <c r="R75" s="87"/>
      <c r="S75" s="87"/>
      <c r="T75" s="87"/>
      <c r="U75" s="87"/>
      <c r="W75" s="251"/>
      <c r="X75" s="340" t="str">
        <f>name!A72</f>
        <v>Arts and entertainment</v>
      </c>
      <c r="Y75" s="340">
        <v>146.36899999895658</v>
      </c>
      <c r="Z75" s="340">
        <v>165.02799999861557</v>
      </c>
      <c r="AA75" s="491">
        <f t="shared" si="66"/>
        <v>18.658999999658988</v>
      </c>
      <c r="AB75" s="340">
        <v>53.686736718873036</v>
      </c>
      <c r="AC75" s="491">
        <f t="shared" si="67"/>
        <v>72.345736718532024</v>
      </c>
      <c r="AD75" s="492">
        <f t="shared" si="68"/>
        <v>3.1739815062286514E-2</v>
      </c>
    </row>
    <row r="76" spans="1:30" x14ac:dyDescent="0.25">
      <c r="A76" s="244" t="str">
        <f t="shared" si="57"/>
        <v xml:space="preserve"> 51 Skilled agricultural and related trades</v>
      </c>
      <c r="B76" s="87">
        <v>4.7551897034515216</v>
      </c>
      <c r="C76" s="87">
        <v>4.9730449796886127</v>
      </c>
      <c r="D76" s="87">
        <f t="shared" si="58"/>
        <v>0.21785527623709111</v>
      </c>
      <c r="E76" s="87">
        <v>1.6640296997202852</v>
      </c>
      <c r="F76" s="87">
        <f t="shared" si="59"/>
        <v>1.8818849759573764</v>
      </c>
      <c r="G76" s="298">
        <f t="shared" si="60"/>
        <v>3.0460709614178683E-2</v>
      </c>
      <c r="I76" s="108" t="str">
        <f>I65</f>
        <v>Associate professional and technical</v>
      </c>
      <c r="J76" s="108">
        <v>799.8450942090733</v>
      </c>
      <c r="K76" s="108">
        <v>681.54169974342085</v>
      </c>
      <c r="L76" s="108">
        <v>-118.30339446565245</v>
      </c>
      <c r="M76" s="108">
        <v>197.86384948340066</v>
      </c>
      <c r="N76" s="108">
        <v>79.560455017748183</v>
      </c>
      <c r="O76" s="251"/>
      <c r="P76" s="87"/>
      <c r="Q76" s="87"/>
      <c r="R76" s="87"/>
      <c r="S76" s="87"/>
      <c r="T76" s="87"/>
      <c r="U76" s="87"/>
      <c r="X76" s="340" t="str">
        <f>name!A73</f>
        <v>Libraries, etc</v>
      </c>
      <c r="Y76" s="340">
        <v>189.63499999912665</v>
      </c>
      <c r="Z76" s="340">
        <v>218.39199999907416</v>
      </c>
      <c r="AA76" s="491">
        <f t="shared" si="66"/>
        <v>28.75699999994751</v>
      </c>
      <c r="AB76" s="340">
        <v>71.830978260935751</v>
      </c>
      <c r="AC76" s="491">
        <f t="shared" si="67"/>
        <v>100.58797826088326</v>
      </c>
      <c r="AD76" s="492">
        <f t="shared" si="68"/>
        <v>3.2641724720306575E-2</v>
      </c>
    </row>
    <row r="77" spans="1:30" x14ac:dyDescent="0.25">
      <c r="A77" s="244" t="str">
        <f t="shared" si="57"/>
        <v xml:space="preserve"> 52 Skilled metal, electrical and electronic trades</v>
      </c>
      <c r="B77" s="87">
        <v>27.418344362304239</v>
      </c>
      <c r="C77" s="87">
        <v>35.779939368270895</v>
      </c>
      <c r="D77" s="87">
        <f t="shared" si="58"/>
        <v>8.3615950059666559</v>
      </c>
      <c r="E77" s="87">
        <v>9.9737132398200092</v>
      </c>
      <c r="F77" s="87">
        <f t="shared" si="59"/>
        <v>18.335308245786663</v>
      </c>
      <c r="G77" s="298">
        <f t="shared" si="60"/>
        <v>3.1510881489699161E-2</v>
      </c>
      <c r="I77" s="108" t="str">
        <f>I66</f>
        <v>Administrative and secretarial</v>
      </c>
      <c r="J77" s="108">
        <v>754.24871035364617</v>
      </c>
      <c r="K77" s="108">
        <v>555.4287939162258</v>
      </c>
      <c r="L77" s="108">
        <v>-198.81991643742049</v>
      </c>
      <c r="M77" s="108">
        <v>211.78499932694828</v>
      </c>
      <c r="N77" s="108">
        <v>12.9650828895278</v>
      </c>
      <c r="X77" s="340" t="str">
        <f>name!A74</f>
        <v>Gambling and betting</v>
      </c>
      <c r="Y77" s="340">
        <v>107.9519999997556</v>
      </c>
      <c r="Z77" s="340">
        <v>116.55799999972228</v>
      </c>
      <c r="AA77" s="491">
        <f t="shared" si="66"/>
        <v>8.6059999999666843</v>
      </c>
      <c r="AB77" s="340">
        <v>35.652553194589416</v>
      </c>
      <c r="AC77" s="491">
        <f t="shared" si="67"/>
        <v>44.2585531945561</v>
      </c>
      <c r="AD77" s="492">
        <f t="shared" si="68"/>
        <v>2.8948768516946943E-2</v>
      </c>
    </row>
    <row r="78" spans="1:30" x14ac:dyDescent="0.25">
      <c r="A78" s="244" t="str">
        <f t="shared" si="57"/>
        <v xml:space="preserve"> 53 Skilled construction and building trades</v>
      </c>
      <c r="B78" s="87">
        <v>13.649069397277223</v>
      </c>
      <c r="C78" s="87">
        <v>23.711023136946807</v>
      </c>
      <c r="D78" s="87">
        <f t="shared" ref="D78" si="69">C78-B78</f>
        <v>10.061953739669583</v>
      </c>
      <c r="E78" s="87">
        <v>6.5813001294620888</v>
      </c>
      <c r="F78" s="87">
        <f t="shared" ref="F78" si="70">SUM(D78:E78)</f>
        <v>16.643253869131673</v>
      </c>
      <c r="G78" s="298">
        <f t="shared" si="60"/>
        <v>4.0135878892749721E-2</v>
      </c>
      <c r="I78" s="108" t="str">
        <f t="shared" ref="I78:I82" si="71">I67</f>
        <v>Skilled trades occupations</v>
      </c>
      <c r="J78" s="108">
        <v>1129.3086927103695</v>
      </c>
      <c r="K78" s="108">
        <v>970.67075298556176</v>
      </c>
      <c r="L78" s="108">
        <v>-158.63793972480775</v>
      </c>
      <c r="M78" s="108">
        <v>262.50339813587766</v>
      </c>
      <c r="N78" s="108">
        <v>103.86545841106985</v>
      </c>
      <c r="O78" s="90"/>
      <c r="P78" s="111"/>
      <c r="Q78" s="93"/>
      <c r="R78" s="93"/>
      <c r="S78" s="91"/>
      <c r="T78" s="91"/>
      <c r="U78" s="91"/>
      <c r="X78" s="340" t="str">
        <f>name!A75</f>
        <v>Sport and recreation</v>
      </c>
      <c r="Y78" s="340">
        <v>537.0699999990486</v>
      </c>
      <c r="Z78" s="340">
        <v>570.55199999868739</v>
      </c>
      <c r="AA78" s="491">
        <f t="shared" si="66"/>
        <v>33.481999999638788</v>
      </c>
      <c r="AB78" s="340">
        <v>185.82151339064393</v>
      </c>
      <c r="AC78" s="491">
        <f t="shared" si="67"/>
        <v>219.30351339028272</v>
      </c>
      <c r="AD78" s="492">
        <f t="shared" si="68"/>
        <v>3.015891015312544E-2</v>
      </c>
    </row>
    <row r="79" spans="1:30" x14ac:dyDescent="0.25">
      <c r="A79" s="244" t="str">
        <f t="shared" si="57"/>
        <v xml:space="preserve"> 54 Textiles, printing and other skilled trades</v>
      </c>
      <c r="B79" s="87">
        <v>25.616823189196264</v>
      </c>
      <c r="C79" s="87">
        <v>35.91341169954746</v>
      </c>
      <c r="D79" s="87">
        <f t="shared" si="58"/>
        <v>10.296588510351196</v>
      </c>
      <c r="E79" s="87">
        <v>11.364839333691721</v>
      </c>
      <c r="F79" s="87">
        <f t="shared" si="59"/>
        <v>21.661427844042919</v>
      </c>
      <c r="G79" s="298">
        <f t="shared" si="60"/>
        <v>3.7399695156729029E-2</v>
      </c>
      <c r="I79" s="108" t="str">
        <f t="shared" si="71"/>
        <v>Caring, leisure and other service</v>
      </c>
      <c r="J79" s="108">
        <v>1094.5170035660044</v>
      </c>
      <c r="K79" s="108">
        <v>1275.9376186190414</v>
      </c>
      <c r="L79" s="108">
        <v>181.42061505303684</v>
      </c>
      <c r="M79" s="108">
        <v>440.84045514289602</v>
      </c>
      <c r="N79" s="108">
        <v>622.26107019593292</v>
      </c>
      <c r="P79" s="87"/>
      <c r="Q79" s="87"/>
      <c r="R79" s="87"/>
      <c r="S79" s="87"/>
      <c r="T79" s="87"/>
      <c r="U79" s="87"/>
      <c r="X79" s="340" t="str">
        <f>name!A76</f>
        <v>Membership organisations</v>
      </c>
      <c r="Y79" s="340">
        <v>419.73999999753113</v>
      </c>
      <c r="Z79" s="340">
        <v>436.83499999923777</v>
      </c>
      <c r="AA79" s="491">
        <f t="shared" si="66"/>
        <v>17.095000001706637</v>
      </c>
      <c r="AB79" s="340">
        <v>152.88774113265319</v>
      </c>
      <c r="AC79" s="491">
        <f t="shared" si="67"/>
        <v>169.98274113435983</v>
      </c>
      <c r="AD79" s="492">
        <f t="shared" si="68"/>
        <v>3.1547432750566706E-2</v>
      </c>
    </row>
    <row r="80" spans="1:30" x14ac:dyDescent="0.25">
      <c r="A80" s="244" t="str">
        <f t="shared" si="57"/>
        <v xml:space="preserve"> 61 Caring personal service occupations</v>
      </c>
      <c r="B80" s="87">
        <v>103.19218410270646</v>
      </c>
      <c r="C80" s="87">
        <v>172.56519431683873</v>
      </c>
      <c r="D80" s="87">
        <f t="shared" si="58"/>
        <v>69.373010214132265</v>
      </c>
      <c r="E80" s="87">
        <v>56.746803361777005</v>
      </c>
      <c r="F80" s="87">
        <f t="shared" si="59"/>
        <v>126.11981357590926</v>
      </c>
      <c r="G80" s="298">
        <f t="shared" si="60"/>
        <v>4.4794201796298339E-2</v>
      </c>
      <c r="I80" s="108" t="str">
        <f t="shared" si="71"/>
        <v>Sales and customer service</v>
      </c>
      <c r="J80" s="108">
        <v>741.42978474258985</v>
      </c>
      <c r="K80" s="108">
        <v>732.5341361737411</v>
      </c>
      <c r="L80" s="108">
        <v>-8.895648568848685</v>
      </c>
      <c r="M80" s="108">
        <v>227.46782684905571</v>
      </c>
      <c r="N80" s="108">
        <v>218.57217828020703</v>
      </c>
      <c r="P80" s="87"/>
      <c r="Q80" s="87"/>
      <c r="R80" s="87"/>
      <c r="S80" s="87"/>
      <c r="T80" s="87"/>
      <c r="U80" s="87"/>
      <c r="X80" s="340" t="str">
        <f>name!A77</f>
        <v>Repair of goods</v>
      </c>
      <c r="Y80" s="340">
        <v>56.498000000023943</v>
      </c>
      <c r="Z80" s="340">
        <v>60.750000000120572</v>
      </c>
      <c r="AA80" s="491">
        <f t="shared" si="66"/>
        <v>4.2520000000966292</v>
      </c>
      <c r="AB80" s="340">
        <v>18.641933998744154</v>
      </c>
      <c r="AC80" s="491">
        <f t="shared" si="67"/>
        <v>22.893933998840783</v>
      </c>
      <c r="AD80" s="492">
        <f t="shared" si="68"/>
        <v>2.8925127945847784E-2</v>
      </c>
    </row>
    <row r="81" spans="1:30" x14ac:dyDescent="0.25">
      <c r="A81" s="244" t="str">
        <f t="shared" si="57"/>
        <v xml:space="preserve"> 62 Leisure, travel and related personal service occupations</v>
      </c>
      <c r="B81" s="87">
        <v>18.371727908498528</v>
      </c>
      <c r="C81" s="87">
        <v>24.857868840266597</v>
      </c>
      <c r="D81" s="87">
        <f t="shared" ref="D81:D82" si="72">C81-B81</f>
        <v>6.4861409317680696</v>
      </c>
      <c r="E81" s="87">
        <v>8.4521180120879382</v>
      </c>
      <c r="F81" s="87">
        <f t="shared" ref="F81:F82" si="73">SUM(D81:E81)</f>
        <v>14.938258943856008</v>
      </c>
      <c r="G81" s="298">
        <f t="shared" si="60"/>
        <v>3.8573182088938562E-2</v>
      </c>
      <c r="I81" s="108" t="str">
        <f t="shared" si="71"/>
        <v>Process, plant and machine operatives</v>
      </c>
      <c r="J81" s="108">
        <v>471.60947125875907</v>
      </c>
      <c r="K81" s="108">
        <v>477.12905606894867</v>
      </c>
      <c r="L81" s="108">
        <v>5.519584810189599</v>
      </c>
      <c r="M81" s="108">
        <v>141.16267335316925</v>
      </c>
      <c r="N81" s="108">
        <v>146.68225816335885</v>
      </c>
      <c r="P81" s="87"/>
      <c r="Q81" s="87"/>
      <c r="R81" s="87"/>
      <c r="S81" s="87"/>
      <c r="T81" s="87"/>
      <c r="U81" s="87"/>
      <c r="X81" s="340" t="str">
        <f>name!A78</f>
        <v>Other personal service</v>
      </c>
      <c r="Y81" s="340">
        <v>530.78800000337401</v>
      </c>
      <c r="Z81" s="340">
        <v>555.75100000095927</v>
      </c>
      <c r="AA81" s="491">
        <f t="shared" si="66"/>
        <v>24.962999997585257</v>
      </c>
      <c r="AB81" s="340">
        <v>188.49774410404075</v>
      </c>
      <c r="AC81" s="491">
        <f t="shared" si="67"/>
        <v>213.46074410162601</v>
      </c>
      <c r="AD81" s="492">
        <f t="shared" si="68"/>
        <v>3.0856077537309456E-2</v>
      </c>
    </row>
    <row r="82" spans="1:30" x14ac:dyDescent="0.25">
      <c r="A82" s="244" t="str">
        <f t="shared" si="57"/>
        <v xml:space="preserve"> 71 Sales occupations</v>
      </c>
      <c r="B82" s="87">
        <v>69.876571116921795</v>
      </c>
      <c r="C82" s="87">
        <v>106.07202325969747</v>
      </c>
      <c r="D82" s="87">
        <f t="shared" si="72"/>
        <v>36.195452142775679</v>
      </c>
      <c r="E82" s="87">
        <v>29.541631586304891</v>
      </c>
      <c r="F82" s="87">
        <f t="shared" si="73"/>
        <v>65.737083729080567</v>
      </c>
      <c r="G82" s="298">
        <f t="shared" si="60"/>
        <v>3.5889502860364741E-2</v>
      </c>
      <c r="I82" s="108" t="str">
        <f t="shared" si="71"/>
        <v>Elementary occupations</v>
      </c>
      <c r="J82" s="108">
        <v>694.24027382456939</v>
      </c>
      <c r="K82" s="108">
        <v>674.3896763500079</v>
      </c>
      <c r="L82" s="108">
        <v>-19.850597474561468</v>
      </c>
      <c r="M82" s="108">
        <v>216.14074507720071</v>
      </c>
      <c r="N82" s="108">
        <v>196.29014760263922</v>
      </c>
      <c r="P82" s="87"/>
      <c r="Q82" s="87"/>
      <c r="R82" s="87"/>
      <c r="S82" s="87"/>
      <c r="T82" s="87"/>
      <c r="U82" s="87"/>
      <c r="X82" s="495" t="str">
        <f>name!A3</f>
        <v>All industries</v>
      </c>
      <c r="Y82" s="495">
        <f>SUM(Y7:Y81)</f>
        <v>34847.991999999998</v>
      </c>
      <c r="Z82" s="495">
        <f>SUM(Z7:Z81)</f>
        <v>35820.953000000154</v>
      </c>
      <c r="AA82" s="496">
        <f t="shared" si="66"/>
        <v>972.96100000015576</v>
      </c>
      <c r="AB82" s="495">
        <f>SUM(AB7:AB81)</f>
        <v>11580.882065892372</v>
      </c>
      <c r="AC82" s="496">
        <f t="shared" si="67"/>
        <v>12553.843065892528</v>
      </c>
      <c r="AD82" s="497">
        <f t="shared" si="68"/>
        <v>2.9108201528928346E-2</v>
      </c>
    </row>
    <row r="83" spans="1:30" s="244" customFormat="1" x14ac:dyDescent="0.25">
      <c r="A83" s="244" t="str">
        <f t="shared" si="57"/>
        <v xml:space="preserve"> 72 Customer service occupations</v>
      </c>
      <c r="B83" s="87">
        <v>32.958083548570841</v>
      </c>
      <c r="C83" s="87">
        <v>50.172755475625351</v>
      </c>
      <c r="D83" s="87">
        <f t="shared" si="58"/>
        <v>17.214671927054511</v>
      </c>
      <c r="E83" s="87">
        <v>14.253104195464934</v>
      </c>
      <c r="F83" s="87">
        <f t="shared" si="59"/>
        <v>31.467776122519446</v>
      </c>
      <c r="G83" s="298">
        <f t="shared" si="60"/>
        <v>3.6593061713068975E-2</v>
      </c>
      <c r="I83" s="87"/>
      <c r="J83" s="87"/>
      <c r="K83" s="87"/>
      <c r="L83" s="87"/>
      <c r="M83" s="87"/>
      <c r="N83" s="87"/>
      <c r="O83" s="250"/>
      <c r="P83" s="87"/>
      <c r="Q83" s="87"/>
      <c r="R83" s="87"/>
      <c r="S83" s="87"/>
      <c r="T83" s="87"/>
      <c r="U83" s="87"/>
      <c r="W83" s="251"/>
      <c r="X83" s="340"/>
    </row>
    <row r="84" spans="1:30" x14ac:dyDescent="0.25">
      <c r="A84" s="244" t="str">
        <f t="shared" si="57"/>
        <v xml:space="preserve"> 81 Process, plant and machine operatives</v>
      </c>
      <c r="B84" s="87">
        <v>13.205845090602185</v>
      </c>
      <c r="C84" s="87">
        <v>18.198066218550867</v>
      </c>
      <c r="D84" s="87">
        <f t="shared" si="58"/>
        <v>4.9922211279486817</v>
      </c>
      <c r="E84" s="87">
        <v>5.1811399370197195</v>
      </c>
      <c r="F84" s="87">
        <f t="shared" si="59"/>
        <v>10.1733610649684</v>
      </c>
      <c r="G84" s="298">
        <f t="shared" si="60"/>
        <v>3.3652197801982364E-2</v>
      </c>
      <c r="I84" s="115" t="str">
        <f>name!F10</f>
        <v>RQF2 GCSE(A-C) &amp; equivalent</v>
      </c>
      <c r="J84" s="108"/>
      <c r="K84" s="108"/>
      <c r="L84" s="108"/>
      <c r="M84" s="108"/>
      <c r="N84" s="108"/>
      <c r="P84" s="87"/>
      <c r="Q84" s="87"/>
      <c r="R84" s="87"/>
      <c r="S84" s="87"/>
      <c r="T84" s="87"/>
      <c r="U84" s="87"/>
    </row>
    <row r="85" spans="1:30" x14ac:dyDescent="0.25">
      <c r="A85" s="244" t="str">
        <f t="shared" si="57"/>
        <v xml:space="preserve"> 82 Transport and mobile machine drivers and operatives</v>
      </c>
      <c r="B85" s="87">
        <v>23.134413881446577</v>
      </c>
      <c r="C85" s="87">
        <v>38.205666063484472</v>
      </c>
      <c r="D85" s="87">
        <f t="shared" ref="D85:D86" si="74">C85-B85</f>
        <v>15.071252182037895</v>
      </c>
      <c r="E85" s="87">
        <v>13.595369240245722</v>
      </c>
      <c r="F85" s="87">
        <f t="shared" ref="F85:F86" si="75">SUM(D85:E85)</f>
        <v>28.666621422283619</v>
      </c>
      <c r="G85" s="298">
        <f t="shared" si="60"/>
        <v>4.7311774844815302E-2</v>
      </c>
      <c r="I85" s="108" t="str">
        <f>I74</f>
        <v>Managers, directors and senior officials</v>
      </c>
      <c r="J85" s="108">
        <f t="array" ref="J85:J93">MMULT(aggregation!$B$38:$Z$46,B203:B227)</f>
        <v>542.50064101957537</v>
      </c>
      <c r="K85" s="108">
        <f t="array" ref="K85:K93">MMULT(aggregation!$B$38:$Z$46,C203:C227)</f>
        <v>462.71132950780304</v>
      </c>
      <c r="L85" s="108">
        <f t="array" ref="L85:L93">MMULT(aggregation!$B$38:$Z$46,D203:D227)</f>
        <v>-79.789311511772382</v>
      </c>
      <c r="M85" s="108">
        <f t="array" ref="M85:M93">MMULT(aggregation!$B$38:$Z$46,E203:E227)</f>
        <v>165.86205885077757</v>
      </c>
      <c r="N85" s="108">
        <f t="array" ref="N85:N93">MMULT(aggregation!$B$38:$Z$46,F203:F227)</f>
        <v>86.07274733900519</v>
      </c>
      <c r="P85" s="87"/>
      <c r="Q85" s="87"/>
      <c r="R85" s="87"/>
      <c r="S85" s="87"/>
      <c r="T85" s="87"/>
      <c r="U85" s="87"/>
    </row>
    <row r="86" spans="1:30" x14ac:dyDescent="0.25">
      <c r="A86" s="244" t="str">
        <f t="shared" si="57"/>
        <v xml:space="preserve"> 91 Elementary trades and related occupations</v>
      </c>
      <c r="B86" s="87">
        <v>7.6494410015002234</v>
      </c>
      <c r="C86" s="87">
        <v>12.814932261020965</v>
      </c>
      <c r="D86" s="87">
        <f t="shared" si="74"/>
        <v>5.1654912595207421</v>
      </c>
      <c r="E86" s="87">
        <v>3.5506278829218987</v>
      </c>
      <c r="F86" s="87">
        <f t="shared" si="75"/>
        <v>8.7161191424426399</v>
      </c>
      <c r="G86" s="298">
        <f t="shared" si="60"/>
        <v>3.8864963092432925E-2</v>
      </c>
      <c r="I86" s="108" t="str">
        <f>I75</f>
        <v>Professional occupations</v>
      </c>
      <c r="J86" s="108">
        <v>431.50647234434911</v>
      </c>
      <c r="K86" s="108">
        <v>369.58562016857621</v>
      </c>
      <c r="L86" s="108">
        <v>-61.920852175772907</v>
      </c>
      <c r="M86" s="108">
        <v>108.89618366851735</v>
      </c>
      <c r="N86" s="108">
        <v>46.975331492744438</v>
      </c>
      <c r="P86" s="87"/>
      <c r="Q86" s="87"/>
      <c r="R86" s="87"/>
      <c r="S86" s="87"/>
      <c r="T86" s="87"/>
      <c r="U86" s="87"/>
    </row>
    <row r="87" spans="1:30" x14ac:dyDescent="0.25">
      <c r="A87" s="244" t="str">
        <f t="shared" si="57"/>
        <v xml:space="preserve"> 92 Elementary administration and service occupations</v>
      </c>
      <c r="B87" s="87">
        <v>78.151634538648096</v>
      </c>
      <c r="C87" s="87">
        <v>145.22542251137838</v>
      </c>
      <c r="D87" s="87">
        <f t="shared" si="58"/>
        <v>67.073787972730287</v>
      </c>
      <c r="E87" s="87">
        <v>43.548587265072875</v>
      </c>
      <c r="F87" s="87">
        <f t="shared" si="59"/>
        <v>110.62237523780317</v>
      </c>
      <c r="G87" s="298">
        <f t="shared" si="60"/>
        <v>4.5286473374613223E-2</v>
      </c>
      <c r="I87" s="108" t="str">
        <f>I76</f>
        <v>Associate professional and technical</v>
      </c>
      <c r="J87" s="108">
        <v>621.10548994530336</v>
      </c>
      <c r="K87" s="108">
        <v>474.802912730103</v>
      </c>
      <c r="L87" s="108">
        <v>-146.3025772152003</v>
      </c>
      <c r="M87" s="108">
        <v>141.07066179802496</v>
      </c>
      <c r="N87" s="108">
        <v>-5.2319154171753741</v>
      </c>
      <c r="P87" s="87"/>
      <c r="Q87" s="87"/>
      <c r="R87" s="87"/>
      <c r="S87" s="87"/>
      <c r="T87" s="87"/>
      <c r="U87" s="87"/>
    </row>
    <row r="88" spans="1:30" s="244" customFormat="1" x14ac:dyDescent="0.25">
      <c r="A88" s="109" t="str">
        <f t="shared" si="57"/>
        <v>All occupations</v>
      </c>
      <c r="B88" s="87">
        <f>SUM(B63:B87)</f>
        <v>3839.3943653282918</v>
      </c>
      <c r="C88" s="87">
        <f>SUM(C63:C87)</f>
        <v>5076.2341667681412</v>
      </c>
      <c r="D88" s="87">
        <f>SUM(D63:D87)</f>
        <v>1236.8398014398485</v>
      </c>
      <c r="E88" s="87">
        <f>SUM(E63:E87)</f>
        <v>1556.8914029580865</v>
      </c>
      <c r="F88" s="87">
        <f>SUM(F63:F87)</f>
        <v>2793.731204397935</v>
      </c>
      <c r="G88" s="298">
        <f t="shared" si="60"/>
        <v>3.4625603930715565E-2</v>
      </c>
      <c r="I88" s="108" t="str">
        <f>I77</f>
        <v>Administrative and secretarial</v>
      </c>
      <c r="J88" s="108">
        <v>855.3122117847463</v>
      </c>
      <c r="K88" s="108">
        <v>523.00701185471689</v>
      </c>
      <c r="L88" s="108">
        <v>-332.30519993002935</v>
      </c>
      <c r="M88" s="108">
        <v>206.13343642008476</v>
      </c>
      <c r="N88" s="108">
        <v>-126.17176350994457</v>
      </c>
      <c r="O88" s="250"/>
      <c r="P88" s="87"/>
      <c r="Q88" s="87"/>
      <c r="R88" s="87"/>
      <c r="S88" s="87"/>
      <c r="T88" s="87"/>
      <c r="U88" s="87"/>
      <c r="W88" s="251"/>
    </row>
    <row r="89" spans="1:30" s="244" customFormat="1" x14ac:dyDescent="0.25">
      <c r="A89" s="226"/>
      <c r="B89" s="87"/>
      <c r="C89" s="87"/>
      <c r="D89" s="87"/>
      <c r="E89" s="87"/>
      <c r="F89" s="87"/>
      <c r="G89" s="87"/>
      <c r="I89" s="108" t="str">
        <f t="shared" ref="I89:I93" si="76">I78</f>
        <v>Skilled trades occupations</v>
      </c>
      <c r="J89" s="108">
        <v>905.83359563969475</v>
      </c>
      <c r="K89" s="108">
        <v>779.56279849532962</v>
      </c>
      <c r="L89" s="108">
        <v>-126.27079714436512</v>
      </c>
      <c r="M89" s="108">
        <v>236.96137478992927</v>
      </c>
      <c r="N89" s="108">
        <v>110.69057764556415</v>
      </c>
      <c r="O89" s="250"/>
      <c r="P89" s="87"/>
      <c r="Q89" s="87"/>
      <c r="R89" s="87"/>
      <c r="S89" s="87"/>
      <c r="T89" s="87"/>
      <c r="U89" s="87"/>
      <c r="W89" s="251"/>
    </row>
    <row r="90" spans="1:30" ht="39.6" x14ac:dyDescent="0.25">
      <c r="A90" s="299" t="str">
        <f>CONCATENATE(name!F6," (Constrained)")</f>
        <v>RQF6 First degree (Constrained)</v>
      </c>
      <c r="B90" s="96">
        <f t="shared" ref="B90:G90" si="77">B6</f>
        <v>2017</v>
      </c>
      <c r="C90" s="96">
        <f t="shared" si="77"/>
        <v>2027</v>
      </c>
      <c r="D90" s="117" t="str">
        <f t="shared" si="77"/>
        <v>Net Change</v>
      </c>
      <c r="E90" s="117" t="str">
        <f t="shared" si="77"/>
        <v>Replacement Demand level</v>
      </c>
      <c r="F90" s="117" t="str">
        <f t="shared" si="77"/>
        <v>Total Requirement</v>
      </c>
      <c r="G90" s="117" t="str">
        <f t="shared" si="77"/>
        <v>Replacement Demand rate</v>
      </c>
      <c r="I90" s="108" t="str">
        <f t="shared" si="76"/>
        <v>Caring, leisure and other service</v>
      </c>
      <c r="J90" s="108">
        <v>871.86248802560931</v>
      </c>
      <c r="K90" s="108">
        <v>794.10132611491213</v>
      </c>
      <c r="L90" s="108">
        <v>-77.761161910697183</v>
      </c>
      <c r="M90" s="108">
        <v>274.59689775154766</v>
      </c>
      <c r="N90" s="108">
        <v>196.83573584085048</v>
      </c>
      <c r="P90" s="87"/>
      <c r="Q90" s="87"/>
      <c r="R90" s="87"/>
      <c r="S90" s="87"/>
      <c r="T90" s="87"/>
      <c r="U90" s="87"/>
    </row>
    <row r="91" spans="1:30" x14ac:dyDescent="0.25">
      <c r="A91" s="109" t="str">
        <f t="shared" ref="A91:A116" si="78">A7</f>
        <v xml:space="preserve"> 11 Corporate managers and directors</v>
      </c>
      <c r="B91" s="87">
        <v>729.86031263428833</v>
      </c>
      <c r="C91" s="87">
        <v>1027.843168694608</v>
      </c>
      <c r="D91" s="87">
        <f>C91-B91</f>
        <v>297.9828560603197</v>
      </c>
      <c r="E91" s="87">
        <v>358.17450787145503</v>
      </c>
      <c r="F91" s="87">
        <f>SUM(D91:E91)</f>
        <v>656.15736393177474</v>
      </c>
      <c r="G91" s="298">
        <f>IF(B91&gt;0,(1+(E91/B91))^(1/($C$6-$B$6))-1,0)</f>
        <v>4.0735346014202811E-2</v>
      </c>
      <c r="I91" s="108" t="str">
        <f t="shared" si="76"/>
        <v>Sales and customer service</v>
      </c>
      <c r="J91" s="108">
        <v>762.12137970799586</v>
      </c>
      <c r="K91" s="108">
        <v>641.87389906282942</v>
      </c>
      <c r="L91" s="108">
        <v>-120.24748064516641</v>
      </c>
      <c r="M91" s="108">
        <v>217.79681791811382</v>
      </c>
      <c r="N91" s="108">
        <v>97.549337272947412</v>
      </c>
      <c r="P91" s="87"/>
      <c r="Q91" s="87"/>
      <c r="R91" s="87"/>
      <c r="S91" s="87"/>
      <c r="T91" s="87"/>
      <c r="U91" s="87"/>
    </row>
    <row r="92" spans="1:30" x14ac:dyDescent="0.25">
      <c r="A92" s="244" t="str">
        <f t="shared" si="78"/>
        <v xml:space="preserve"> 12 Other managers and proprietors</v>
      </c>
      <c r="B92" s="87">
        <v>217.18042599025841</v>
      </c>
      <c r="C92" s="87">
        <v>309.42913281074516</v>
      </c>
      <c r="D92" s="87">
        <f t="shared" ref="D92:D115" si="79">C92-B92</f>
        <v>92.248706820486746</v>
      </c>
      <c r="E92" s="87">
        <v>121.45104159526056</v>
      </c>
      <c r="F92" s="87">
        <f t="shared" ref="F92:F115" si="80">SUM(D92:E92)</f>
        <v>213.69974841574731</v>
      </c>
      <c r="G92" s="298">
        <f t="shared" ref="G92:G116" si="81">IF(B92&gt;0,(1+(E92/B92))^(1/($C$6-$B$6))-1,0)</f>
        <v>4.5419660244747639E-2</v>
      </c>
      <c r="I92" s="108" t="str">
        <f t="shared" si="76"/>
        <v>Process, plant and machine operatives</v>
      </c>
      <c r="J92" s="108">
        <v>656.86732623608509</v>
      </c>
      <c r="K92" s="108">
        <v>630.69831475740864</v>
      </c>
      <c r="L92" s="108">
        <v>-26.169011478676481</v>
      </c>
      <c r="M92" s="108">
        <v>207.78287129672185</v>
      </c>
      <c r="N92" s="108">
        <v>181.61385981804534</v>
      </c>
      <c r="P92" s="87"/>
      <c r="Q92" s="87"/>
      <c r="R92" s="87"/>
      <c r="S92" s="87"/>
      <c r="T92" s="87"/>
      <c r="U92" s="87"/>
    </row>
    <row r="93" spans="1:30" s="244" customFormat="1" x14ac:dyDescent="0.25">
      <c r="A93" s="244" t="str">
        <f t="shared" si="78"/>
        <v xml:space="preserve"> 21 Science, research, engineering and technology professionals</v>
      </c>
      <c r="B93" s="87">
        <v>589.77124498257479</v>
      </c>
      <c r="C93" s="87">
        <v>708.36723369104004</v>
      </c>
      <c r="D93" s="87">
        <f t="shared" si="79"/>
        <v>118.59598870846526</v>
      </c>
      <c r="E93" s="87">
        <v>178.12840997836412</v>
      </c>
      <c r="F93" s="87">
        <f t="shared" si="80"/>
        <v>296.72439868682937</v>
      </c>
      <c r="G93" s="298">
        <f t="shared" si="81"/>
        <v>2.6743797125738489E-2</v>
      </c>
      <c r="I93" s="108" t="str">
        <f t="shared" si="76"/>
        <v>Elementary occupations</v>
      </c>
      <c r="J93" s="108">
        <v>1105.661146998337</v>
      </c>
      <c r="K93" s="108">
        <v>1098.4399659121125</v>
      </c>
      <c r="L93" s="108">
        <v>-7.2211810862246182</v>
      </c>
      <c r="M93" s="108">
        <v>348.23247900955556</v>
      </c>
      <c r="N93" s="108">
        <v>341.01129792333091</v>
      </c>
      <c r="O93" s="250"/>
      <c r="P93" s="87"/>
      <c r="Q93" s="87"/>
      <c r="R93" s="87"/>
      <c r="S93" s="87"/>
      <c r="T93" s="87"/>
      <c r="U93" s="87"/>
      <c r="W93" s="251"/>
    </row>
    <row r="94" spans="1:30" x14ac:dyDescent="0.25">
      <c r="A94" s="244" t="str">
        <f t="shared" si="78"/>
        <v xml:space="preserve"> 22 Health professionals</v>
      </c>
      <c r="B94" s="87">
        <v>555.63112764232471</v>
      </c>
      <c r="C94" s="87">
        <v>780.71417897251933</v>
      </c>
      <c r="D94" s="87">
        <f t="shared" si="79"/>
        <v>225.08305133019462</v>
      </c>
      <c r="E94" s="87">
        <v>271.70420732987577</v>
      </c>
      <c r="F94" s="87">
        <f t="shared" si="80"/>
        <v>496.78725866007039</v>
      </c>
      <c r="G94" s="298">
        <f t="shared" si="81"/>
        <v>4.0613607302780297E-2</v>
      </c>
      <c r="I94" s="111"/>
      <c r="J94" s="93"/>
      <c r="K94" s="93"/>
      <c r="L94" s="91"/>
      <c r="M94" s="91"/>
      <c r="N94" s="91"/>
      <c r="P94" s="87"/>
      <c r="Q94" s="87"/>
      <c r="R94" s="87"/>
      <c r="S94" s="87"/>
      <c r="T94" s="87"/>
      <c r="U94" s="87"/>
    </row>
    <row r="95" spans="1:30" x14ac:dyDescent="0.25">
      <c r="A95" s="244" t="str">
        <f t="shared" si="78"/>
        <v xml:space="preserve"> 23 Teaching and educational professionals</v>
      </c>
      <c r="B95" s="87">
        <v>482.45605429599721</v>
      </c>
      <c r="C95" s="87">
        <v>477.14093598884239</v>
      </c>
      <c r="D95" s="87">
        <f t="shared" ref="D95" si="82">C95-B95</f>
        <v>-5.3151183071548189</v>
      </c>
      <c r="E95" s="87">
        <v>171.73324299773535</v>
      </c>
      <c r="F95" s="87">
        <f t="shared" ref="F95" si="83">SUM(D95:E95)</f>
        <v>166.41812469058053</v>
      </c>
      <c r="G95" s="298">
        <f t="shared" si="81"/>
        <v>3.0919055983806398E-2</v>
      </c>
      <c r="I95" s="115" t="str">
        <f>name!F11</f>
        <v>RQF1 GCSE(below grade C) &amp; equivalent</v>
      </c>
      <c r="J95" s="108"/>
      <c r="K95" s="108"/>
      <c r="L95" s="108"/>
      <c r="M95" s="108"/>
      <c r="N95" s="108"/>
      <c r="P95" s="87"/>
      <c r="Q95" s="87"/>
      <c r="R95" s="87"/>
      <c r="S95" s="87"/>
      <c r="T95" s="87"/>
      <c r="U95" s="87"/>
    </row>
    <row r="96" spans="1:30" x14ac:dyDescent="0.25">
      <c r="A96" s="244" t="str">
        <f t="shared" si="78"/>
        <v xml:space="preserve"> 24 Business, media and public service professionals</v>
      </c>
      <c r="B96" s="87">
        <v>742.65597727593195</v>
      </c>
      <c r="C96" s="87">
        <v>899.69318905395562</v>
      </c>
      <c r="D96" s="87">
        <f t="shared" si="79"/>
        <v>157.03721177802367</v>
      </c>
      <c r="E96" s="87">
        <v>301.40442969566499</v>
      </c>
      <c r="F96" s="87">
        <f t="shared" si="80"/>
        <v>458.44164147368866</v>
      </c>
      <c r="G96" s="298">
        <f t="shared" si="81"/>
        <v>3.4650792136117659E-2</v>
      </c>
      <c r="I96" s="108" t="str">
        <f>I85</f>
        <v>Managers, directors and senior officials</v>
      </c>
      <c r="J96" s="108">
        <f t="array" ref="J96:J104">MMULT(aggregation!$B$38:$Z$46,B231:B255)</f>
        <v>368.85620227499669</v>
      </c>
      <c r="K96" s="108">
        <f t="array" ref="K96:K104">MMULT(aggregation!$B$38:$Z$46,C231:C255)</f>
        <v>275.23731625031235</v>
      </c>
      <c r="L96" s="108">
        <f t="array" ref="L96:L104">MMULT(aggregation!$B$38:$Z$46,D231:D255)</f>
        <v>-93.618886024684315</v>
      </c>
      <c r="M96" s="108">
        <f t="array" ref="M96:M104">MMULT(aggregation!$B$38:$Z$46,E231:E255)</f>
        <v>92.811040632231268</v>
      </c>
      <c r="N96" s="108">
        <f t="array" ref="N96:N104">MMULT(aggregation!$B$38:$Z$46,F231:F255)</f>
        <v>-0.80784539245304643</v>
      </c>
      <c r="P96" s="87"/>
      <c r="Q96" s="87"/>
      <c r="R96" s="87"/>
      <c r="S96" s="87"/>
      <c r="T96" s="87"/>
      <c r="U96" s="87"/>
    </row>
    <row r="97" spans="1:23" x14ac:dyDescent="0.25">
      <c r="A97" s="244" t="str">
        <f t="shared" si="78"/>
        <v xml:space="preserve"> 31 Science, engineering and technology associate professionals</v>
      </c>
      <c r="B97" s="87">
        <v>182.0275485159527</v>
      </c>
      <c r="C97" s="87">
        <v>227.51117039205366</v>
      </c>
      <c r="D97" s="87">
        <f t="shared" si="79"/>
        <v>45.483621876100955</v>
      </c>
      <c r="E97" s="87">
        <v>63.793140075711207</v>
      </c>
      <c r="F97" s="87">
        <f t="shared" si="80"/>
        <v>109.27676195181216</v>
      </c>
      <c r="G97" s="298">
        <f t="shared" si="81"/>
        <v>3.0500320218386889E-2</v>
      </c>
      <c r="I97" s="108" t="str">
        <f>I86</f>
        <v>Professional occupations</v>
      </c>
      <c r="J97" s="108">
        <v>268.73022066917844</v>
      </c>
      <c r="K97" s="108">
        <v>190.6666328391226</v>
      </c>
      <c r="L97" s="108">
        <v>-78.063587830055781</v>
      </c>
      <c r="M97" s="108">
        <v>54.756430644135627</v>
      </c>
      <c r="N97" s="108">
        <v>-23.307157185920161</v>
      </c>
      <c r="P97" s="87"/>
      <c r="Q97" s="87"/>
      <c r="R97" s="87"/>
      <c r="S97" s="87"/>
      <c r="T97" s="87"/>
      <c r="U97" s="87"/>
    </row>
    <row r="98" spans="1:23" x14ac:dyDescent="0.25">
      <c r="A98" s="244" t="str">
        <f t="shared" si="78"/>
        <v xml:space="preserve"> 32 Health and social care associate professionals</v>
      </c>
      <c r="B98" s="87">
        <v>188.05596785208076</v>
      </c>
      <c r="C98" s="87">
        <v>279.57491453401536</v>
      </c>
      <c r="D98" s="87">
        <f t="shared" si="79"/>
        <v>91.518946681934608</v>
      </c>
      <c r="E98" s="87">
        <v>103.52897245913408</v>
      </c>
      <c r="F98" s="87">
        <f t="shared" si="80"/>
        <v>195.04791914106869</v>
      </c>
      <c r="G98" s="298">
        <f t="shared" si="81"/>
        <v>4.4835203928676348E-2</v>
      </c>
      <c r="I98" s="108" t="str">
        <f>I87</f>
        <v>Associate professional and technical</v>
      </c>
      <c r="J98" s="108">
        <v>402.53298035138249</v>
      </c>
      <c r="K98" s="108">
        <v>264.28521345295815</v>
      </c>
      <c r="L98" s="108">
        <v>-138.24776689842432</v>
      </c>
      <c r="M98" s="108">
        <v>76.241496692844862</v>
      </c>
      <c r="N98" s="108">
        <v>-62.006270205579455</v>
      </c>
      <c r="P98" s="87"/>
      <c r="Q98" s="87"/>
      <c r="R98" s="87"/>
      <c r="S98" s="87"/>
      <c r="T98" s="87"/>
      <c r="U98" s="87"/>
    </row>
    <row r="99" spans="1:23" x14ac:dyDescent="0.25">
      <c r="A99" s="244" t="str">
        <f t="shared" si="78"/>
        <v xml:space="preserve"> 33 Protective service occupations</v>
      </c>
      <c r="B99" s="87">
        <v>98.494663680763637</v>
      </c>
      <c r="C99" s="87">
        <v>136.7346603978562</v>
      </c>
      <c r="D99" s="87">
        <f t="shared" si="79"/>
        <v>38.239996717092566</v>
      </c>
      <c r="E99" s="87">
        <v>34.340417567697052</v>
      </c>
      <c r="F99" s="87">
        <f t="shared" si="80"/>
        <v>72.580414284789612</v>
      </c>
      <c r="G99" s="298">
        <f t="shared" si="81"/>
        <v>3.0362415158106115E-2</v>
      </c>
      <c r="I99" s="108" t="str">
        <f>I88</f>
        <v>Administrative and secretarial</v>
      </c>
      <c r="J99" s="108">
        <v>518.43006880203075</v>
      </c>
      <c r="K99" s="108">
        <v>159.84863176785851</v>
      </c>
      <c r="L99" s="108">
        <v>-358.58143703417227</v>
      </c>
      <c r="M99" s="108">
        <v>81.802818890811494</v>
      </c>
      <c r="N99" s="108">
        <v>-276.77861814336075</v>
      </c>
      <c r="P99" s="87"/>
      <c r="Q99" s="87"/>
      <c r="R99" s="87"/>
      <c r="S99" s="87"/>
      <c r="T99" s="87"/>
      <c r="U99" s="87"/>
    </row>
    <row r="100" spans="1:23" x14ac:dyDescent="0.25">
      <c r="A100" s="244" t="str">
        <f t="shared" si="78"/>
        <v xml:space="preserve"> 34 Culture, media and sports occupations</v>
      </c>
      <c r="B100" s="87">
        <v>323.44176150169676</v>
      </c>
      <c r="C100" s="87">
        <v>384.22841385170557</v>
      </c>
      <c r="D100" s="87">
        <f t="shared" ref="D100:D101" si="84">C100-B100</f>
        <v>60.786652350008808</v>
      </c>
      <c r="E100" s="87">
        <v>123.03356294924323</v>
      </c>
      <c r="F100" s="87">
        <f t="shared" ref="F100:F101" si="85">SUM(D100:E100)</f>
        <v>183.82021529925203</v>
      </c>
      <c r="G100" s="298">
        <f t="shared" si="81"/>
        <v>3.2761731072848965E-2</v>
      </c>
      <c r="I100" s="108" t="str">
        <f t="shared" ref="I100:I104" si="86">I89</f>
        <v>Skilled trades occupations</v>
      </c>
      <c r="J100" s="108">
        <v>542.12257117051752</v>
      </c>
      <c r="K100" s="108">
        <v>400.479391711132</v>
      </c>
      <c r="L100" s="108">
        <v>-141.64317945938558</v>
      </c>
      <c r="M100" s="108">
        <v>119.43672556935249</v>
      </c>
      <c r="N100" s="108">
        <v>-22.206453890033107</v>
      </c>
      <c r="P100" s="87"/>
      <c r="Q100" s="87"/>
      <c r="R100" s="87"/>
      <c r="S100" s="87"/>
      <c r="T100" s="87"/>
      <c r="U100" s="87"/>
    </row>
    <row r="101" spans="1:23" s="244" customFormat="1" x14ac:dyDescent="0.25">
      <c r="A101" s="244" t="str">
        <f t="shared" si="78"/>
        <v xml:space="preserve"> 35 Business and public service associate professionals</v>
      </c>
      <c r="B101" s="87">
        <v>686.15631446033251</v>
      </c>
      <c r="C101" s="87">
        <v>911.63746109004398</v>
      </c>
      <c r="D101" s="87">
        <f t="shared" si="84"/>
        <v>225.48114662971147</v>
      </c>
      <c r="E101" s="87">
        <v>285.54783967438203</v>
      </c>
      <c r="F101" s="87">
        <f t="shared" si="85"/>
        <v>511.02898630409351</v>
      </c>
      <c r="G101" s="298">
        <f t="shared" si="81"/>
        <v>3.5407006543050512E-2</v>
      </c>
      <c r="I101" s="108" t="str">
        <f t="shared" si="86"/>
        <v>Caring, leisure and other service</v>
      </c>
      <c r="J101" s="108">
        <v>282.39076710155462</v>
      </c>
      <c r="K101" s="108">
        <v>162.14887783358677</v>
      </c>
      <c r="L101" s="108">
        <v>-120.24188926796782</v>
      </c>
      <c r="M101" s="108">
        <v>49.531020050158716</v>
      </c>
      <c r="N101" s="108">
        <v>-70.710869217809091</v>
      </c>
      <c r="O101" s="250"/>
      <c r="P101" s="87"/>
      <c r="Q101" s="87"/>
      <c r="R101" s="87"/>
      <c r="S101" s="87"/>
      <c r="T101" s="87"/>
      <c r="U101" s="87"/>
      <c r="W101" s="251"/>
    </row>
    <row r="102" spans="1:23" s="244" customFormat="1" x14ac:dyDescent="0.25">
      <c r="A102" s="244" t="str">
        <f t="shared" si="78"/>
        <v xml:space="preserve"> 41 Administrative occupations</v>
      </c>
      <c r="B102" s="87">
        <v>584.56063153452305</v>
      </c>
      <c r="C102" s="87">
        <v>774.81422797627272</v>
      </c>
      <c r="D102" s="87">
        <f t="shared" si="79"/>
        <v>190.25359644174966</v>
      </c>
      <c r="E102" s="87">
        <v>267.79391729435156</v>
      </c>
      <c r="F102" s="87">
        <f t="shared" si="80"/>
        <v>458.04751373610122</v>
      </c>
      <c r="G102" s="298">
        <f t="shared" si="81"/>
        <v>3.8434413133069167E-2</v>
      </c>
      <c r="I102" s="108" t="str">
        <f t="shared" si="86"/>
        <v>Sales and customer service</v>
      </c>
      <c r="J102" s="108">
        <v>490.67325253256757</v>
      </c>
      <c r="K102" s="108">
        <v>285.56437434289944</v>
      </c>
      <c r="L102" s="108">
        <v>-205.10887818966813</v>
      </c>
      <c r="M102" s="108">
        <v>93.661281471185305</v>
      </c>
      <c r="N102" s="108">
        <v>-111.44759671848284</v>
      </c>
      <c r="O102" s="250"/>
      <c r="P102" s="87"/>
      <c r="Q102" s="87"/>
      <c r="R102" s="87"/>
      <c r="S102" s="87"/>
      <c r="T102" s="87"/>
      <c r="U102" s="87"/>
      <c r="W102" s="251"/>
    </row>
    <row r="103" spans="1:23" s="244" customFormat="1" x14ac:dyDescent="0.25">
      <c r="A103" s="244" t="str">
        <f t="shared" si="78"/>
        <v xml:space="preserve"> 42 Secretarial and related occupations</v>
      </c>
      <c r="B103" s="87">
        <v>111.56272379884851</v>
      </c>
      <c r="C103" s="87">
        <v>114.24061232795707</v>
      </c>
      <c r="D103" s="87">
        <f t="shared" si="79"/>
        <v>2.6778885291085572</v>
      </c>
      <c r="E103" s="87">
        <v>47.319867213410348</v>
      </c>
      <c r="F103" s="87">
        <f t="shared" si="80"/>
        <v>49.997755742518905</v>
      </c>
      <c r="G103" s="298">
        <f t="shared" si="81"/>
        <v>3.5990374751197152E-2</v>
      </c>
      <c r="I103" s="108" t="str">
        <f t="shared" si="86"/>
        <v>Process, plant and machine operatives</v>
      </c>
      <c r="J103" s="108">
        <v>547.14047714382741</v>
      </c>
      <c r="K103" s="108">
        <v>358.08572282650545</v>
      </c>
      <c r="L103" s="108">
        <v>-189.05475431732191</v>
      </c>
      <c r="M103" s="108">
        <v>126.11166264982452</v>
      </c>
      <c r="N103" s="108">
        <v>-62.94309166749737</v>
      </c>
      <c r="O103" s="250"/>
      <c r="P103" s="87"/>
      <c r="Q103" s="87"/>
      <c r="R103" s="87"/>
      <c r="S103" s="87"/>
      <c r="T103" s="87"/>
      <c r="U103" s="87"/>
      <c r="W103" s="251"/>
    </row>
    <row r="104" spans="1:23" x14ac:dyDescent="0.25">
      <c r="A104" s="244" t="str">
        <f t="shared" si="78"/>
        <v xml:space="preserve"> 51 Skilled agricultural and related trades</v>
      </c>
      <c r="B104" s="87">
        <v>43.111379589418434</v>
      </c>
      <c r="C104" s="87">
        <v>64.982575819641525</v>
      </c>
      <c r="D104" s="87">
        <f t="shared" si="79"/>
        <v>21.871196230223092</v>
      </c>
      <c r="E104" s="87">
        <v>24.552193817128568</v>
      </c>
      <c r="F104" s="87">
        <f t="shared" si="80"/>
        <v>46.42339004735166</v>
      </c>
      <c r="G104" s="298">
        <f t="shared" si="81"/>
        <v>4.6107464221279981E-2</v>
      </c>
      <c r="I104" s="108" t="str">
        <f t="shared" si="86"/>
        <v>Elementary occupations</v>
      </c>
      <c r="J104" s="108">
        <v>1055.9388782691781</v>
      </c>
      <c r="K104" s="108">
        <v>837.58657220817884</v>
      </c>
      <c r="L104" s="108">
        <v>-218.35230606099918</v>
      </c>
      <c r="M104" s="108">
        <v>259.17247646464489</v>
      </c>
      <c r="N104" s="108">
        <v>40.82017040364569</v>
      </c>
      <c r="O104" s="251"/>
      <c r="P104" s="87"/>
      <c r="Q104" s="87"/>
      <c r="R104" s="87"/>
      <c r="S104" s="87"/>
      <c r="T104" s="87"/>
      <c r="U104" s="87"/>
    </row>
    <row r="105" spans="1:23" x14ac:dyDescent="0.25">
      <c r="A105" s="244" t="str">
        <f t="shared" si="78"/>
        <v xml:space="preserve"> 52 Skilled metal, electrical and electronic trades</v>
      </c>
      <c r="B105" s="87">
        <v>72.054795184350851</v>
      </c>
      <c r="C105" s="87">
        <v>101.30840960846851</v>
      </c>
      <c r="D105" s="87">
        <f t="shared" si="79"/>
        <v>29.253614424117657</v>
      </c>
      <c r="E105" s="87">
        <v>29.902469241899354</v>
      </c>
      <c r="F105" s="87">
        <f t="shared" si="80"/>
        <v>59.156083666017011</v>
      </c>
      <c r="G105" s="298">
        <f t="shared" si="81"/>
        <v>3.5322205102068294E-2</v>
      </c>
      <c r="I105" s="87"/>
      <c r="J105" s="87"/>
      <c r="K105" s="87"/>
      <c r="L105" s="87"/>
      <c r="M105" s="87"/>
      <c r="N105" s="87"/>
      <c r="P105" s="87"/>
      <c r="Q105" s="87"/>
      <c r="R105" s="87"/>
      <c r="S105" s="87"/>
      <c r="T105" s="87"/>
      <c r="U105" s="87"/>
    </row>
    <row r="106" spans="1:23" x14ac:dyDescent="0.25">
      <c r="A106" s="244" t="str">
        <f t="shared" si="78"/>
        <v xml:space="preserve"> 53 Skilled construction and building trades</v>
      </c>
      <c r="B106" s="87">
        <v>40.201652327263552</v>
      </c>
      <c r="C106" s="87">
        <v>66.592278088254687</v>
      </c>
      <c r="D106" s="87">
        <f t="shared" ref="D106" si="87">C106-B106</f>
        <v>26.390625760991135</v>
      </c>
      <c r="E106" s="87">
        <v>20.284393698985387</v>
      </c>
      <c r="F106" s="87">
        <f t="shared" ref="F106" si="88">SUM(D106:E106)</f>
        <v>46.675019459976525</v>
      </c>
      <c r="G106" s="298">
        <f t="shared" si="81"/>
        <v>4.1696318295873169E-2</v>
      </c>
      <c r="I106" s="115" t="str">
        <f>name!F12</f>
        <v>No Qualification</v>
      </c>
      <c r="J106" s="108"/>
      <c r="K106" s="108"/>
      <c r="L106" s="108"/>
      <c r="M106" s="108"/>
      <c r="N106" s="108"/>
      <c r="O106" s="90"/>
      <c r="P106" s="111"/>
      <c r="Q106" s="93"/>
      <c r="R106" s="93"/>
      <c r="S106" s="91"/>
      <c r="T106" s="91"/>
      <c r="U106" s="91"/>
    </row>
    <row r="107" spans="1:23" x14ac:dyDescent="0.25">
      <c r="A107" s="244" t="str">
        <f t="shared" si="78"/>
        <v xml:space="preserve"> 54 Textiles, printing and other skilled trades</v>
      </c>
      <c r="B107" s="87">
        <v>66.534762187296039</v>
      </c>
      <c r="C107" s="87">
        <v>97.331006148034277</v>
      </c>
      <c r="D107" s="87">
        <f t="shared" si="79"/>
        <v>30.796243960738238</v>
      </c>
      <c r="E107" s="87">
        <v>31.241836699311563</v>
      </c>
      <c r="F107" s="87">
        <f t="shared" si="80"/>
        <v>62.0380806600498</v>
      </c>
      <c r="G107" s="298">
        <f t="shared" si="81"/>
        <v>3.9246646447104183E-2</v>
      </c>
      <c r="I107" s="108" t="str">
        <f>I96</f>
        <v>Managers, directors and senior officials</v>
      </c>
      <c r="J107" s="108">
        <f t="array" ref="J107:J115">MMULT(aggregation!$B$38:$Z$46,B259:B283)</f>
        <v>98.568240480946827</v>
      </c>
      <c r="K107" s="108">
        <f t="array" ref="K107:K115">MMULT(aggregation!$B$38:$Z$46,C259:C283)</f>
        <v>74.888421670816285</v>
      </c>
      <c r="L107" s="108">
        <f t="array" ref="L107:L115">MMULT(aggregation!$B$38:$Z$46,D259:D283)</f>
        <v>-23.679818810130541</v>
      </c>
      <c r="M107" s="108">
        <f t="array" ref="M107:M115">MMULT(aggregation!$B$38:$Z$46,E259:E283)</f>
        <v>18.456831261803131</v>
      </c>
      <c r="N107" s="108">
        <f t="array" ref="N107:N115">MMULT(aggregation!$B$38:$Z$46,F259:F283)</f>
        <v>-5.2229875483274117</v>
      </c>
      <c r="P107" s="87"/>
      <c r="Q107" s="87"/>
      <c r="R107" s="87"/>
      <c r="S107" s="87"/>
      <c r="T107" s="87"/>
      <c r="U107" s="87"/>
    </row>
    <row r="108" spans="1:23" x14ac:dyDescent="0.25">
      <c r="A108" s="244" t="str">
        <f t="shared" si="78"/>
        <v xml:space="preserve"> 61 Caring personal service occupations</v>
      </c>
      <c r="B108" s="87">
        <v>305.3483931309363</v>
      </c>
      <c r="C108" s="87">
        <v>491.04690139731116</v>
      </c>
      <c r="D108" s="87">
        <f>C108-B108</f>
        <v>185.69850826637486</v>
      </c>
      <c r="E108" s="87">
        <v>186.14483999083802</v>
      </c>
      <c r="F108" s="87">
        <f>SUM(D108:E108)</f>
        <v>371.84334825721288</v>
      </c>
      <c r="G108" s="298">
        <f t="shared" si="81"/>
        <v>4.8750522950876229E-2</v>
      </c>
      <c r="I108" s="108" t="str">
        <f>I97</f>
        <v>Professional occupations</v>
      </c>
      <c r="J108" s="108">
        <v>54.364645223312053</v>
      </c>
      <c r="K108" s="108">
        <v>60.535363919831909</v>
      </c>
      <c r="L108" s="108">
        <v>6.1707186965198666</v>
      </c>
      <c r="M108" s="108">
        <v>12.008069542849716</v>
      </c>
      <c r="N108" s="108">
        <v>18.178788239369581</v>
      </c>
      <c r="P108" s="87"/>
      <c r="Q108" s="87"/>
      <c r="R108" s="87"/>
      <c r="S108" s="87"/>
      <c r="T108" s="87"/>
      <c r="U108" s="87"/>
    </row>
    <row r="109" spans="1:23" x14ac:dyDescent="0.25">
      <c r="A109" s="244" t="str">
        <f t="shared" si="78"/>
        <v xml:space="preserve"> 62 Leisure, travel and related personal service occupations</v>
      </c>
      <c r="B109" s="87">
        <v>76.870868967763641</v>
      </c>
      <c r="C109" s="87">
        <v>114.98607949629216</v>
      </c>
      <c r="D109" s="87">
        <f t="shared" ref="D109:D110" si="89">C109-B109</f>
        <v>38.115210528528522</v>
      </c>
      <c r="E109" s="87">
        <v>41.420671452623623</v>
      </c>
      <c r="F109" s="87">
        <f t="shared" ref="F109:F110" si="90">SUM(D109:E109)</f>
        <v>79.535881981152144</v>
      </c>
      <c r="G109" s="298">
        <f t="shared" si="81"/>
        <v>4.4044932283519467E-2</v>
      </c>
      <c r="I109" s="108" t="str">
        <f>I98</f>
        <v>Associate professional and technical</v>
      </c>
      <c r="J109" s="108">
        <v>83.746514308787596</v>
      </c>
      <c r="K109" s="108">
        <v>72.796022763058801</v>
      </c>
      <c r="L109" s="108">
        <v>-10.95049154572879</v>
      </c>
      <c r="M109" s="108">
        <v>15.683078051743987</v>
      </c>
      <c r="N109" s="108">
        <v>4.7325865060151981</v>
      </c>
      <c r="P109" s="87"/>
      <c r="Q109" s="87"/>
      <c r="R109" s="87"/>
      <c r="S109" s="87"/>
      <c r="T109" s="87"/>
      <c r="U109" s="87"/>
    </row>
    <row r="110" spans="1:23" x14ac:dyDescent="0.25">
      <c r="A110" s="244" t="str">
        <f t="shared" si="78"/>
        <v xml:space="preserve"> 71 Sales occupations</v>
      </c>
      <c r="B110" s="87">
        <v>270.60132524267635</v>
      </c>
      <c r="C110" s="87">
        <v>424.47918399796288</v>
      </c>
      <c r="D110" s="87">
        <f t="shared" si="89"/>
        <v>153.87785875528652</v>
      </c>
      <c r="E110" s="87">
        <v>135.17950789271327</v>
      </c>
      <c r="F110" s="87">
        <f t="shared" si="90"/>
        <v>289.0573666479998</v>
      </c>
      <c r="G110" s="298">
        <f t="shared" si="81"/>
        <v>4.1348656430929775E-2</v>
      </c>
      <c r="I110" s="108" t="str">
        <f>I99</f>
        <v>Administrative and secretarial</v>
      </c>
      <c r="J110" s="108">
        <v>123.91938496468435</v>
      </c>
      <c r="K110" s="108">
        <v>66.867839156248891</v>
      </c>
      <c r="L110" s="108">
        <v>-57.051545808435449</v>
      </c>
      <c r="M110" s="108">
        <v>20.296975234089281</v>
      </c>
      <c r="N110" s="108">
        <v>-36.754570574346168</v>
      </c>
      <c r="P110" s="87"/>
      <c r="Q110" s="87"/>
      <c r="R110" s="87"/>
      <c r="S110" s="87"/>
      <c r="T110" s="87"/>
      <c r="U110" s="87"/>
    </row>
    <row r="111" spans="1:23" s="244" customFormat="1" x14ac:dyDescent="0.25">
      <c r="A111" s="244" t="str">
        <f t="shared" si="78"/>
        <v xml:space="preserve"> 72 Customer service occupations</v>
      </c>
      <c r="B111" s="87">
        <v>117.63107326483356</v>
      </c>
      <c r="C111" s="87">
        <v>177.99929389551983</v>
      </c>
      <c r="D111" s="87">
        <f t="shared" si="79"/>
        <v>60.368220630686267</v>
      </c>
      <c r="E111" s="87">
        <v>53.703923633500715</v>
      </c>
      <c r="F111" s="87">
        <f t="shared" si="80"/>
        <v>114.07214426418699</v>
      </c>
      <c r="G111" s="298">
        <f t="shared" si="81"/>
        <v>3.8322827690278061E-2</v>
      </c>
      <c r="I111" s="108" t="str">
        <f t="shared" ref="I111:I115" si="91">I100</f>
        <v>Skilled trades occupations</v>
      </c>
      <c r="J111" s="108">
        <v>260.23446884469269</v>
      </c>
      <c r="K111" s="108">
        <v>116.48673077879333</v>
      </c>
      <c r="L111" s="108">
        <v>-143.74773806589934</v>
      </c>
      <c r="M111" s="108">
        <v>38.458245650607189</v>
      </c>
      <c r="N111" s="108">
        <v>-105.28949241529216</v>
      </c>
      <c r="O111" s="250"/>
      <c r="P111" s="87"/>
      <c r="Q111" s="87"/>
      <c r="R111" s="87"/>
      <c r="S111" s="87"/>
      <c r="T111" s="87"/>
      <c r="U111" s="87"/>
      <c r="W111" s="251"/>
    </row>
    <row r="112" spans="1:23" x14ac:dyDescent="0.25">
      <c r="A112" s="244" t="str">
        <f t="shared" si="78"/>
        <v xml:space="preserve"> 81 Process, plant and machine operatives</v>
      </c>
      <c r="B112" s="87">
        <v>32.249237396272761</v>
      </c>
      <c r="C112" s="87">
        <v>42.829033757202197</v>
      </c>
      <c r="D112" s="87">
        <f t="shared" si="79"/>
        <v>10.579796360929436</v>
      </c>
      <c r="E112" s="87">
        <v>13.086624149695304</v>
      </c>
      <c r="F112" s="87">
        <f t="shared" si="80"/>
        <v>23.666420510624739</v>
      </c>
      <c r="G112" s="298">
        <f t="shared" si="81"/>
        <v>3.4647094274111057E-2</v>
      </c>
      <c r="I112" s="108" t="str">
        <f t="shared" si="91"/>
        <v>Caring, leisure and other service</v>
      </c>
      <c r="J112" s="108">
        <v>72.186124999842434</v>
      </c>
      <c r="K112" s="108">
        <v>51.477506147819142</v>
      </c>
      <c r="L112" s="108">
        <v>-20.708618852023285</v>
      </c>
      <c r="M112" s="108">
        <v>11.490417037199624</v>
      </c>
      <c r="N112" s="108">
        <v>-9.2182018148236615</v>
      </c>
      <c r="P112" s="87"/>
      <c r="Q112" s="87"/>
      <c r="R112" s="87"/>
      <c r="S112" s="87"/>
      <c r="T112" s="87"/>
      <c r="U112" s="87"/>
    </row>
    <row r="113" spans="1:23" x14ac:dyDescent="0.25">
      <c r="A113" s="244" t="str">
        <f t="shared" si="78"/>
        <v xml:space="preserve"> 82 Transport and mobile machine drivers and operatives</v>
      </c>
      <c r="B113" s="87">
        <v>61.460013107801331</v>
      </c>
      <c r="C113" s="87">
        <v>103.17630337363107</v>
      </c>
      <c r="D113" s="87">
        <f t="shared" ref="D113:D114" si="92">C113-B113</f>
        <v>41.716290265829741</v>
      </c>
      <c r="E113" s="87">
        <v>40.054928979489333</v>
      </c>
      <c r="F113" s="87">
        <f t="shared" ref="F113:F114" si="93">SUM(D113:E113)</f>
        <v>81.771219245319074</v>
      </c>
      <c r="G113" s="298">
        <f t="shared" si="81"/>
        <v>5.1462364202365496E-2</v>
      </c>
      <c r="I113" s="108" t="str">
        <f t="shared" si="91"/>
        <v>Sales and customer service</v>
      </c>
      <c r="J113" s="108">
        <v>194.57229791102733</v>
      </c>
      <c r="K113" s="108">
        <v>107.10001499994627</v>
      </c>
      <c r="L113" s="108">
        <v>-87.472282911081081</v>
      </c>
      <c r="M113" s="108">
        <v>25.637986440873</v>
      </c>
      <c r="N113" s="108">
        <v>-61.834296470208074</v>
      </c>
      <c r="P113" s="87"/>
      <c r="Q113" s="87"/>
      <c r="R113" s="87"/>
      <c r="S113" s="87"/>
      <c r="T113" s="87"/>
      <c r="U113" s="87"/>
    </row>
    <row r="114" spans="1:23" x14ac:dyDescent="0.25">
      <c r="A114" s="244" t="str">
        <f t="shared" si="78"/>
        <v xml:space="preserve"> 91 Elementary trades and related occupations</v>
      </c>
      <c r="B114" s="87">
        <v>23.727233462255462</v>
      </c>
      <c r="C114" s="87">
        <v>40.056910083740526</v>
      </c>
      <c r="D114" s="87">
        <f t="shared" si="92"/>
        <v>16.329676621485063</v>
      </c>
      <c r="E114" s="87">
        <v>13.364799563393822</v>
      </c>
      <c r="F114" s="87">
        <f t="shared" si="93"/>
        <v>29.694476184878887</v>
      </c>
      <c r="G114" s="298">
        <f t="shared" si="81"/>
        <v>4.5690959691664368E-2</v>
      </c>
      <c r="I114" s="108" t="str">
        <f t="shared" si="91"/>
        <v>Process, plant and machine operatives</v>
      </c>
      <c r="J114" s="108">
        <v>241.15789002204508</v>
      </c>
      <c r="K114" s="108">
        <v>98.101791366987158</v>
      </c>
      <c r="L114" s="108">
        <v>-143.05609865505795</v>
      </c>
      <c r="M114" s="108">
        <v>38.145850259051471</v>
      </c>
      <c r="N114" s="108">
        <v>-104.91024839600647</v>
      </c>
      <c r="P114" s="87"/>
      <c r="Q114" s="87"/>
      <c r="R114" s="87"/>
      <c r="S114" s="87"/>
      <c r="T114" s="87"/>
      <c r="U114" s="87"/>
    </row>
    <row r="115" spans="1:23" x14ac:dyDescent="0.25">
      <c r="A115" s="244" t="str">
        <f t="shared" si="78"/>
        <v xml:space="preserve"> 92 Elementary administration and service occupations</v>
      </c>
      <c r="B115" s="87">
        <v>248.89601271662295</v>
      </c>
      <c r="C115" s="87">
        <v>467.25265537010648</v>
      </c>
      <c r="D115" s="87">
        <f t="shared" si="79"/>
        <v>218.35664265348353</v>
      </c>
      <c r="E115" s="87">
        <v>160.13977936103231</v>
      </c>
      <c r="F115" s="87">
        <f t="shared" si="80"/>
        <v>378.49642201451582</v>
      </c>
      <c r="G115" s="298">
        <f t="shared" si="81"/>
        <v>5.0931325156702956E-2</v>
      </c>
      <c r="I115" s="108" t="str">
        <f t="shared" si="91"/>
        <v>Elementary occupations</v>
      </c>
      <c r="J115" s="108">
        <v>477.81726762751873</v>
      </c>
      <c r="K115" s="108">
        <v>218.99856000626744</v>
      </c>
      <c r="L115" s="108">
        <v>-258.81870762125129</v>
      </c>
      <c r="M115" s="108">
        <v>61.813167193231735</v>
      </c>
      <c r="N115" s="108">
        <v>-197.00554042801954</v>
      </c>
      <c r="P115" s="87"/>
      <c r="Q115" s="87"/>
      <c r="R115" s="87"/>
      <c r="S115" s="87"/>
      <c r="T115" s="87"/>
      <c r="U115" s="87"/>
    </row>
    <row r="116" spans="1:23" s="244" customFormat="1" x14ac:dyDescent="0.25">
      <c r="A116" s="109" t="str">
        <f t="shared" si="78"/>
        <v>All occupations</v>
      </c>
      <c r="B116" s="87">
        <f>SUM(B91:B115)</f>
        <v>6850.5415007430638</v>
      </c>
      <c r="C116" s="87">
        <f>SUM(C91:C115)</f>
        <v>9223.9699308177787</v>
      </c>
      <c r="D116" s="87">
        <f>SUM(D91:D115)</f>
        <v>2373.4284300747154</v>
      </c>
      <c r="E116" s="87">
        <f>SUM(E91:E115)</f>
        <v>3077.0295251828966</v>
      </c>
      <c r="F116" s="87">
        <f>SUM(F91:F115)</f>
        <v>5450.4579552576124</v>
      </c>
      <c r="G116" s="298">
        <f t="shared" si="81"/>
        <v>3.7795564306155605E-2</v>
      </c>
      <c r="I116" s="87"/>
      <c r="J116" s="87"/>
      <c r="K116" s="87"/>
      <c r="L116" s="87"/>
      <c r="M116" s="87"/>
      <c r="N116" s="87"/>
      <c r="O116" s="250"/>
      <c r="P116" s="87"/>
      <c r="Q116" s="87"/>
      <c r="R116" s="87"/>
      <c r="S116" s="87"/>
      <c r="T116" s="87"/>
      <c r="U116" s="87"/>
      <c r="W116" s="251"/>
    </row>
    <row r="117" spans="1:23" s="244" customFormat="1" x14ac:dyDescent="0.25">
      <c r="A117" s="86"/>
      <c r="B117" s="89"/>
      <c r="C117" s="89"/>
      <c r="D117" s="89"/>
      <c r="E117" s="89"/>
      <c r="F117" s="89"/>
      <c r="G117" s="89"/>
      <c r="I117" s="87"/>
      <c r="J117" s="87"/>
      <c r="K117" s="87"/>
      <c r="L117" s="87"/>
      <c r="M117" s="87"/>
      <c r="N117" s="87"/>
      <c r="O117" s="250"/>
      <c r="P117" s="87"/>
      <c r="Q117" s="87"/>
      <c r="R117" s="87"/>
      <c r="S117" s="87"/>
      <c r="T117" s="87"/>
      <c r="U117" s="87"/>
      <c r="W117" s="251"/>
    </row>
    <row r="118" spans="1:23" s="120" customFormat="1" ht="39.6" x14ac:dyDescent="0.25">
      <c r="A118" s="299" t="str">
        <f>CONCATENATE(name!F7," (Constrained)")</f>
        <v>RQF5 Foundation degree;Nursing;Teaching (Constrained)</v>
      </c>
      <c r="B118" s="96">
        <f t="shared" ref="B118:G118" si="94">B34</f>
        <v>2017</v>
      </c>
      <c r="C118" s="96">
        <f t="shared" si="94"/>
        <v>2027</v>
      </c>
      <c r="D118" s="117" t="str">
        <f t="shared" si="94"/>
        <v>Net Change</v>
      </c>
      <c r="E118" s="117" t="str">
        <f t="shared" si="94"/>
        <v>Replacement Demand level</v>
      </c>
      <c r="F118" s="117" t="str">
        <f t="shared" si="94"/>
        <v>Total Requirement</v>
      </c>
      <c r="G118" s="117" t="str">
        <f t="shared" si="94"/>
        <v>Replacement Demand rate</v>
      </c>
      <c r="I118" s="87"/>
      <c r="J118" s="87"/>
      <c r="K118" s="87"/>
      <c r="L118" s="87"/>
      <c r="M118" s="87"/>
      <c r="N118" s="87"/>
      <c r="O118" s="250"/>
      <c r="P118" s="87"/>
      <c r="Q118" s="87"/>
      <c r="R118" s="87"/>
      <c r="S118" s="87"/>
      <c r="T118" s="87"/>
      <c r="U118" s="87"/>
      <c r="W118" s="251"/>
    </row>
    <row r="119" spans="1:23" s="120" customFormat="1" x14ac:dyDescent="0.25">
      <c r="A119" s="251" t="str">
        <f t="shared" ref="A119:A144" si="95">A35</f>
        <v xml:space="preserve"> 11 Corporate managers and directors</v>
      </c>
      <c r="B119" s="87">
        <v>135.94376753416847</v>
      </c>
      <c r="C119" s="87">
        <v>165.19199664054619</v>
      </c>
      <c r="D119" s="87">
        <f>C119-B119</f>
        <v>29.248229106377721</v>
      </c>
      <c r="E119" s="87">
        <v>55.87077653755788</v>
      </c>
      <c r="F119" s="87">
        <f>SUM(D119:E119)</f>
        <v>85.119005643935594</v>
      </c>
      <c r="G119" s="298">
        <f>IF(B119&gt;0,(1+(E119/B119))^(1/($C$6-$B$6))-1,0)</f>
        <v>3.5028296825714067E-2</v>
      </c>
      <c r="I119" s="87"/>
      <c r="J119" s="87"/>
      <c r="K119" s="87"/>
      <c r="L119" s="87"/>
      <c r="M119" s="87"/>
      <c r="N119" s="87"/>
      <c r="O119" s="250"/>
      <c r="P119" s="87"/>
      <c r="Q119" s="87"/>
      <c r="R119" s="87"/>
      <c r="S119" s="87"/>
      <c r="T119" s="87"/>
      <c r="U119" s="87"/>
      <c r="W119" s="251"/>
    </row>
    <row r="120" spans="1:23" s="120" customFormat="1" x14ac:dyDescent="0.25">
      <c r="A120" s="251" t="str">
        <f t="shared" si="95"/>
        <v xml:space="preserve"> 12 Other managers and proprietors</v>
      </c>
      <c r="B120" s="87">
        <v>70.311757529438808</v>
      </c>
      <c r="C120" s="87">
        <v>97.982662009052049</v>
      </c>
      <c r="D120" s="87">
        <f t="shared" ref="D120:D135" si="96">C120-B120</f>
        <v>27.670904479613242</v>
      </c>
      <c r="E120" s="87">
        <v>38.850191385213165</v>
      </c>
      <c r="F120" s="87">
        <f t="shared" ref="F120:F127" si="97">SUM(D120:E120)</f>
        <v>66.521095864826407</v>
      </c>
      <c r="G120" s="298">
        <f t="shared" ref="G120:G144" si="98">IF(B120&gt;0,(1+(E120/B120))^(1/($C$6-$B$6))-1,0)</f>
        <v>4.4971227626829924E-2</v>
      </c>
      <c r="I120" s="87"/>
      <c r="J120" s="87"/>
      <c r="K120" s="87"/>
      <c r="L120" s="87"/>
      <c r="M120" s="87"/>
      <c r="N120" s="87"/>
      <c r="O120" s="250"/>
      <c r="P120" s="87"/>
      <c r="Q120" s="87"/>
      <c r="R120" s="87"/>
      <c r="S120" s="87"/>
      <c r="T120" s="87"/>
      <c r="U120" s="87"/>
      <c r="W120" s="251"/>
    </row>
    <row r="121" spans="1:23" s="244" customFormat="1" x14ac:dyDescent="0.25">
      <c r="A121" s="251" t="str">
        <f t="shared" si="95"/>
        <v xml:space="preserve"> 21 Science, research, engineering and technology professionals</v>
      </c>
      <c r="B121" s="87">
        <v>58.957197501439296</v>
      </c>
      <c r="C121" s="87">
        <v>69.837305697441153</v>
      </c>
      <c r="D121" s="87">
        <f t="shared" si="96"/>
        <v>10.880108196001856</v>
      </c>
      <c r="E121" s="87">
        <v>17.088732783178088</v>
      </c>
      <c r="F121" s="87">
        <f t="shared" si="97"/>
        <v>27.968840979179944</v>
      </c>
      <c r="G121" s="298">
        <f t="shared" si="98"/>
        <v>2.5779261540489262E-2</v>
      </c>
      <c r="I121" s="87"/>
      <c r="J121" s="87"/>
      <c r="K121" s="87"/>
      <c r="L121" s="87"/>
      <c r="M121" s="87"/>
      <c r="N121" s="87"/>
      <c r="O121" s="250"/>
      <c r="P121" s="87"/>
      <c r="Q121" s="87"/>
      <c r="R121" s="87"/>
      <c r="S121" s="87"/>
      <c r="T121" s="87"/>
      <c r="U121" s="87"/>
      <c r="W121" s="251"/>
    </row>
    <row r="122" spans="1:23" s="120" customFormat="1" x14ac:dyDescent="0.25">
      <c r="A122" s="251" t="str">
        <f t="shared" si="95"/>
        <v xml:space="preserve"> 22 Health professionals</v>
      </c>
      <c r="B122" s="87">
        <v>245.25492329758555</v>
      </c>
      <c r="C122" s="87">
        <v>99.982775818272728</v>
      </c>
      <c r="D122" s="87">
        <f t="shared" si="96"/>
        <v>-145.27214747931282</v>
      </c>
      <c r="E122" s="87">
        <v>46.977731761893217</v>
      </c>
      <c r="F122" s="87">
        <f t="shared" si="97"/>
        <v>-98.294415717419611</v>
      </c>
      <c r="G122" s="298">
        <f t="shared" si="98"/>
        <v>1.7679675096826886E-2</v>
      </c>
      <c r="I122" s="111"/>
      <c r="J122" s="93"/>
      <c r="K122" s="93"/>
      <c r="L122" s="91"/>
      <c r="M122" s="91"/>
      <c r="N122" s="91"/>
      <c r="O122" s="250"/>
      <c r="P122" s="87"/>
      <c r="Q122" s="87"/>
      <c r="R122" s="87"/>
      <c r="S122" s="87"/>
      <c r="T122" s="87"/>
      <c r="U122" s="87"/>
      <c r="W122" s="251"/>
    </row>
    <row r="123" spans="1:23" s="120" customFormat="1" x14ac:dyDescent="0.25">
      <c r="A123" s="251" t="str">
        <f t="shared" si="95"/>
        <v xml:space="preserve"> 23 Teaching and educational professionals</v>
      </c>
      <c r="B123" s="87">
        <v>56.852544902931591</v>
      </c>
      <c r="C123" s="87">
        <v>29.892259506221915</v>
      </c>
      <c r="D123" s="87">
        <f t="shared" si="96"/>
        <v>-26.960285396709676</v>
      </c>
      <c r="E123" s="87">
        <v>7.9860058372749725</v>
      </c>
      <c r="F123" s="87">
        <f t="shared" si="97"/>
        <v>-18.974279559434702</v>
      </c>
      <c r="G123" s="298">
        <f>IF(B123&gt;0,(1+(E123/B123))^(1/($C$6-$B$6))-1,0)</f>
        <v>1.3230697326954699E-2</v>
      </c>
      <c r="I123" s="87"/>
      <c r="J123" s="87"/>
      <c r="K123" s="87"/>
      <c r="L123" s="87"/>
      <c r="M123" s="87"/>
      <c r="N123" s="87"/>
      <c r="O123" s="250"/>
      <c r="P123" s="87"/>
      <c r="Q123" s="87"/>
      <c r="R123" s="87"/>
      <c r="S123" s="87"/>
      <c r="T123" s="87"/>
      <c r="U123" s="87"/>
      <c r="W123" s="251"/>
    </row>
    <row r="124" spans="1:23" s="120" customFormat="1" x14ac:dyDescent="0.25">
      <c r="A124" s="251" t="str">
        <f t="shared" si="95"/>
        <v xml:space="preserve"> 24 Business, media and public service professionals</v>
      </c>
      <c r="B124" s="87">
        <v>51.790567386856445</v>
      </c>
      <c r="C124" s="87">
        <v>43.126308616010235</v>
      </c>
      <c r="D124" s="87">
        <f t="shared" si="96"/>
        <v>-8.6642587708462102</v>
      </c>
      <c r="E124" s="87">
        <v>12.670186879197425</v>
      </c>
      <c r="F124" s="87">
        <f t="shared" si="97"/>
        <v>4.005928108351215</v>
      </c>
      <c r="G124" s="298">
        <f t="shared" si="98"/>
        <v>2.2126084139716617E-2</v>
      </c>
      <c r="I124" s="87"/>
      <c r="J124" s="87"/>
      <c r="K124" s="87"/>
      <c r="L124" s="87"/>
      <c r="M124" s="87"/>
      <c r="N124" s="87"/>
      <c r="O124" s="250"/>
      <c r="P124" s="87"/>
      <c r="Q124" s="87"/>
      <c r="R124" s="87"/>
      <c r="S124" s="87"/>
      <c r="T124" s="87"/>
      <c r="U124" s="87"/>
      <c r="W124" s="251"/>
    </row>
    <row r="125" spans="1:23" s="120" customFormat="1" x14ac:dyDescent="0.25">
      <c r="A125" s="251" t="str">
        <f t="shared" si="95"/>
        <v xml:space="preserve"> 31 Science, engineering and technology associate professionals</v>
      </c>
      <c r="B125" s="87">
        <v>28.983888254112202</v>
      </c>
      <c r="C125" s="87">
        <v>39.234575585403938</v>
      </c>
      <c r="D125" s="87">
        <f t="shared" si="96"/>
        <v>10.250687331291736</v>
      </c>
      <c r="E125" s="87">
        <v>11.059325810070312</v>
      </c>
      <c r="F125" s="87">
        <f t="shared" si="97"/>
        <v>21.310013141362049</v>
      </c>
      <c r="G125" s="298">
        <f t="shared" si="98"/>
        <v>3.2849939039717668E-2</v>
      </c>
      <c r="I125" s="87"/>
      <c r="J125" s="87"/>
      <c r="K125" s="87"/>
      <c r="L125" s="87"/>
      <c r="M125" s="87"/>
      <c r="N125" s="87"/>
      <c r="O125" s="250"/>
      <c r="P125" s="87"/>
      <c r="Q125" s="87"/>
      <c r="R125" s="87"/>
      <c r="S125" s="87"/>
      <c r="T125" s="87"/>
      <c r="U125" s="87"/>
      <c r="W125" s="251"/>
    </row>
    <row r="126" spans="1:23" s="120" customFormat="1" x14ac:dyDescent="0.25">
      <c r="A126" s="251" t="str">
        <f t="shared" si="95"/>
        <v xml:space="preserve"> 32 Health and social care associate professionals</v>
      </c>
      <c r="B126" s="87">
        <v>110.78197010029645</v>
      </c>
      <c r="C126" s="87">
        <v>69.308941805037094</v>
      </c>
      <c r="D126" s="87">
        <f t="shared" si="96"/>
        <v>-41.473028295259354</v>
      </c>
      <c r="E126" s="87">
        <v>27.531048824217734</v>
      </c>
      <c r="F126" s="87">
        <f t="shared" si="97"/>
        <v>-13.94197947104162</v>
      </c>
      <c r="G126" s="298">
        <f t="shared" si="98"/>
        <v>2.2443686743326419E-2</v>
      </c>
      <c r="I126" s="87"/>
      <c r="J126" s="87"/>
      <c r="K126" s="87"/>
      <c r="L126" s="87"/>
      <c r="M126" s="87"/>
      <c r="N126" s="87"/>
      <c r="O126" s="250"/>
      <c r="P126" s="87"/>
      <c r="Q126" s="87"/>
      <c r="R126" s="87"/>
      <c r="S126" s="87"/>
      <c r="T126" s="87"/>
      <c r="U126" s="87"/>
      <c r="W126" s="251"/>
    </row>
    <row r="127" spans="1:23" s="120" customFormat="1" x14ac:dyDescent="0.25">
      <c r="A127" s="251" t="str">
        <f t="shared" si="95"/>
        <v xml:space="preserve"> 33 Protective service occupations</v>
      </c>
      <c r="B127" s="87">
        <v>25.85830980228214</v>
      </c>
      <c r="C127" s="87">
        <v>33.472177078298579</v>
      </c>
      <c r="D127" s="87">
        <f t="shared" si="96"/>
        <v>7.613867276016439</v>
      </c>
      <c r="E127" s="87">
        <v>7.7188228692294674</v>
      </c>
      <c r="F127" s="87">
        <f t="shared" si="97"/>
        <v>15.332690145245905</v>
      </c>
      <c r="G127" s="298">
        <f t="shared" si="98"/>
        <v>2.6465476673995791E-2</v>
      </c>
      <c r="I127" s="87"/>
      <c r="J127" s="87"/>
      <c r="K127" s="87"/>
      <c r="L127" s="87"/>
      <c r="M127" s="87"/>
      <c r="N127" s="87"/>
      <c r="O127" s="250"/>
      <c r="P127" s="87"/>
      <c r="Q127" s="87"/>
      <c r="R127" s="87"/>
      <c r="S127" s="87"/>
      <c r="T127" s="87"/>
      <c r="U127" s="87"/>
      <c r="W127" s="251"/>
    </row>
    <row r="128" spans="1:23" s="120" customFormat="1" x14ac:dyDescent="0.25">
      <c r="A128" s="251" t="str">
        <f t="shared" si="95"/>
        <v xml:space="preserve"> 34 Culture, media and sports occupations</v>
      </c>
      <c r="B128" s="87">
        <v>46.319201016779267</v>
      </c>
      <c r="C128" s="87">
        <v>63.172858218923544</v>
      </c>
      <c r="D128" s="87">
        <f t="shared" si="96"/>
        <v>16.853657202144277</v>
      </c>
      <c r="E128" s="87">
        <v>18.963247701981704</v>
      </c>
      <c r="F128" s="87">
        <f t="shared" ref="F128:F129" si="99">SUM(D128:E128)</f>
        <v>35.816904904125977</v>
      </c>
      <c r="G128" s="298">
        <f t="shared" si="98"/>
        <v>3.491227400053476E-2</v>
      </c>
      <c r="I128" s="87"/>
      <c r="J128" s="87"/>
      <c r="K128" s="87"/>
      <c r="L128" s="87"/>
      <c r="M128" s="87"/>
      <c r="N128" s="87"/>
      <c r="O128" s="250"/>
      <c r="P128" s="87"/>
      <c r="Q128" s="87"/>
      <c r="R128" s="87"/>
      <c r="S128" s="87"/>
      <c r="T128" s="87"/>
      <c r="U128" s="87"/>
      <c r="W128" s="251"/>
    </row>
    <row r="129" spans="1:23" s="244" customFormat="1" x14ac:dyDescent="0.25">
      <c r="A129" s="251" t="str">
        <f t="shared" si="95"/>
        <v xml:space="preserve"> 35 Business and public service associate professionals</v>
      </c>
      <c r="B129" s="87">
        <v>173.84706546484497</v>
      </c>
      <c r="C129" s="87">
        <v>234.92016656794047</v>
      </c>
      <c r="D129" s="87">
        <f t="shared" si="96"/>
        <v>61.073101103095496</v>
      </c>
      <c r="E129" s="87">
        <v>70.464238567605733</v>
      </c>
      <c r="F129" s="87">
        <f t="shared" si="99"/>
        <v>131.53733967070121</v>
      </c>
      <c r="G129" s="298">
        <f t="shared" si="98"/>
        <v>3.4612258408245555E-2</v>
      </c>
      <c r="I129" s="87"/>
      <c r="J129" s="87"/>
      <c r="K129" s="87"/>
      <c r="L129" s="87"/>
      <c r="M129" s="87"/>
      <c r="N129" s="87"/>
      <c r="O129" s="250"/>
      <c r="P129" s="87"/>
      <c r="Q129" s="87"/>
      <c r="R129" s="87"/>
      <c r="S129" s="87"/>
      <c r="T129" s="87"/>
      <c r="U129" s="87"/>
      <c r="W129" s="251"/>
    </row>
    <row r="130" spans="1:23" s="244" customFormat="1" x14ac:dyDescent="0.25">
      <c r="A130" s="251" t="str">
        <f t="shared" si="95"/>
        <v xml:space="preserve"> 41 Administrative occupations</v>
      </c>
      <c r="B130" s="87">
        <v>204.64308070939518</v>
      </c>
      <c r="C130" s="87">
        <v>259.63978665416494</v>
      </c>
      <c r="D130" s="87">
        <f t="shared" si="96"/>
        <v>54.996705944769758</v>
      </c>
      <c r="E130" s="87">
        <v>96.607494972026316</v>
      </c>
      <c r="F130" s="87">
        <f t="shared" ref="F130:F133" si="100">SUM(D130:E130)</f>
        <v>151.60420091679606</v>
      </c>
      <c r="G130" s="298">
        <f t="shared" si="98"/>
        <v>3.942481782681484E-2</v>
      </c>
      <c r="I130" s="87"/>
      <c r="J130" s="87"/>
      <c r="K130" s="87"/>
      <c r="L130" s="87"/>
      <c r="M130" s="87"/>
      <c r="N130" s="87"/>
      <c r="O130" s="250"/>
      <c r="P130" s="87"/>
      <c r="Q130" s="87"/>
      <c r="R130" s="87"/>
      <c r="S130" s="87"/>
      <c r="T130" s="87"/>
      <c r="U130" s="87"/>
      <c r="W130" s="251"/>
    </row>
    <row r="131" spans="1:23" s="244" customFormat="1" x14ac:dyDescent="0.25">
      <c r="A131" s="251" t="str">
        <f t="shared" si="95"/>
        <v xml:space="preserve"> 42 Secretarial and related occupations</v>
      </c>
      <c r="B131" s="87">
        <v>49.91840765664724</v>
      </c>
      <c r="C131" s="87">
        <v>45.6866097963347</v>
      </c>
      <c r="D131" s="87">
        <f t="shared" si="96"/>
        <v>-4.2317978603125397</v>
      </c>
      <c r="E131" s="87">
        <v>19.498755548612838</v>
      </c>
      <c r="F131" s="87">
        <f t="shared" si="100"/>
        <v>15.266957688300298</v>
      </c>
      <c r="G131" s="298">
        <f t="shared" si="98"/>
        <v>3.3524113730158289E-2</v>
      </c>
      <c r="I131" s="87"/>
      <c r="J131" s="87"/>
      <c r="K131" s="87"/>
      <c r="L131" s="87"/>
      <c r="M131" s="87"/>
      <c r="N131" s="87"/>
      <c r="O131" s="250"/>
      <c r="P131" s="87"/>
      <c r="Q131" s="87"/>
      <c r="R131" s="87"/>
      <c r="S131" s="87"/>
      <c r="T131" s="87"/>
      <c r="U131" s="87"/>
      <c r="W131" s="251"/>
    </row>
    <row r="132" spans="1:23" s="120" customFormat="1" x14ac:dyDescent="0.25">
      <c r="A132" s="251" t="str">
        <f t="shared" si="95"/>
        <v xml:space="preserve"> 51 Skilled agricultural and related trades</v>
      </c>
      <c r="B132" s="87">
        <v>21.335392061142464</v>
      </c>
      <c r="C132" s="87">
        <v>33.804261266460124</v>
      </c>
      <c r="D132" s="87">
        <f t="shared" si="96"/>
        <v>12.46886920531766</v>
      </c>
      <c r="E132" s="87">
        <v>13.590460920056893</v>
      </c>
      <c r="F132" s="87">
        <f t="shared" si="100"/>
        <v>26.059330125374551</v>
      </c>
      <c r="G132" s="298">
        <f t="shared" si="98"/>
        <v>5.0520760411045806E-2</v>
      </c>
      <c r="I132" s="87"/>
      <c r="J132" s="87"/>
      <c r="K132" s="87"/>
      <c r="L132" s="87"/>
      <c r="M132" s="87"/>
      <c r="N132" s="87"/>
      <c r="O132" s="251"/>
      <c r="P132" s="87"/>
      <c r="Q132" s="87"/>
      <c r="R132" s="87"/>
      <c r="S132" s="87"/>
      <c r="T132" s="87"/>
      <c r="U132" s="87"/>
      <c r="W132" s="251"/>
    </row>
    <row r="133" spans="1:23" s="120" customFormat="1" x14ac:dyDescent="0.25">
      <c r="A133" s="251" t="str">
        <f t="shared" si="95"/>
        <v xml:space="preserve"> 52 Skilled metal, electrical and electronic trades</v>
      </c>
      <c r="B133" s="87">
        <v>24.404477989701384</v>
      </c>
      <c r="C133" s="87">
        <v>32.665954081986577</v>
      </c>
      <c r="D133" s="87">
        <f t="shared" si="96"/>
        <v>8.2614760922851929</v>
      </c>
      <c r="E133" s="87">
        <v>9.2643596417260277</v>
      </c>
      <c r="F133" s="87">
        <f t="shared" si="100"/>
        <v>17.525835734011221</v>
      </c>
      <c r="G133" s="298">
        <f t="shared" si="98"/>
        <v>3.2704002093574269E-2</v>
      </c>
      <c r="I133" s="87"/>
      <c r="J133" s="87"/>
      <c r="K133" s="87"/>
      <c r="L133" s="87"/>
      <c r="M133" s="87"/>
      <c r="N133" s="87"/>
      <c r="O133" s="250"/>
      <c r="P133" s="250"/>
      <c r="Q133" s="250"/>
      <c r="R133" s="250"/>
      <c r="S133" s="250"/>
      <c r="T133" s="250"/>
      <c r="U133" s="250"/>
      <c r="W133" s="251"/>
    </row>
    <row r="134" spans="1:23" s="120" customFormat="1" x14ac:dyDescent="0.25">
      <c r="A134" s="251" t="str">
        <f t="shared" si="95"/>
        <v xml:space="preserve"> 53 Skilled construction and building trades</v>
      </c>
      <c r="B134" s="87">
        <v>25.297901320116267</v>
      </c>
      <c r="C134" s="87">
        <v>44.591940888673868</v>
      </c>
      <c r="D134" s="87">
        <f t="shared" si="96"/>
        <v>19.294039568557601</v>
      </c>
      <c r="E134" s="87">
        <v>14.399253970320013</v>
      </c>
      <c r="F134" s="87">
        <f t="shared" ref="F134" si="101">SUM(D134:E134)</f>
        <v>33.693293538877612</v>
      </c>
      <c r="G134" s="298">
        <f t="shared" si="98"/>
        <v>4.6086239249501393E-2</v>
      </c>
      <c r="I134" s="87"/>
      <c r="J134" s="87"/>
      <c r="K134" s="87"/>
      <c r="L134" s="87"/>
      <c r="M134" s="87"/>
      <c r="N134" s="87"/>
      <c r="O134" s="250"/>
      <c r="P134" s="250"/>
      <c r="Q134" s="250"/>
      <c r="R134" s="250"/>
      <c r="S134" s="250"/>
      <c r="T134" s="250"/>
      <c r="U134" s="250"/>
      <c r="W134" s="251"/>
    </row>
    <row r="135" spans="1:23" s="120" customFormat="1" x14ac:dyDescent="0.25">
      <c r="A135" s="251" t="str">
        <f t="shared" si="95"/>
        <v xml:space="preserve"> 54 Textiles, printing and other skilled trades</v>
      </c>
      <c r="B135" s="87">
        <v>23.618136998893782</v>
      </c>
      <c r="C135" s="87">
        <v>29.457405832447417</v>
      </c>
      <c r="D135" s="87">
        <f t="shared" si="96"/>
        <v>5.8392688335536356</v>
      </c>
      <c r="E135" s="87">
        <v>10.129194826051023</v>
      </c>
      <c r="F135" s="87">
        <f t="shared" ref="F135" si="102">SUM(D135:E135)</f>
        <v>15.968463659604659</v>
      </c>
      <c r="G135" s="298">
        <f t="shared" si="98"/>
        <v>3.6333125993489368E-2</v>
      </c>
      <c r="I135" s="87"/>
      <c r="J135" s="87"/>
      <c r="K135" s="87"/>
      <c r="L135" s="87"/>
      <c r="M135" s="87"/>
      <c r="N135" s="87"/>
      <c r="O135" s="250"/>
      <c r="P135" s="250"/>
      <c r="Q135" s="250"/>
      <c r="R135" s="250"/>
      <c r="S135" s="250"/>
      <c r="T135" s="250"/>
      <c r="U135" s="250"/>
      <c r="W135" s="251"/>
    </row>
    <row r="136" spans="1:23" s="120" customFormat="1" x14ac:dyDescent="0.25">
      <c r="A136" s="251" t="str">
        <f t="shared" si="95"/>
        <v xml:space="preserve"> 61 Caring personal service occupations</v>
      </c>
      <c r="B136" s="87">
        <v>263.85445600921787</v>
      </c>
      <c r="C136" s="87">
        <v>342.37041500772244</v>
      </c>
      <c r="D136" s="87">
        <f>C136-B136</f>
        <v>78.515958998504573</v>
      </c>
      <c r="E136" s="87">
        <v>126.82304815187948</v>
      </c>
      <c r="F136" s="87">
        <f>SUM(D136:E136)</f>
        <v>205.33900715038405</v>
      </c>
      <c r="G136" s="298">
        <f t="shared" si="98"/>
        <v>4.002887521568943E-2</v>
      </c>
      <c r="I136" s="87"/>
      <c r="J136" s="87"/>
      <c r="K136" s="87"/>
      <c r="L136" s="87"/>
      <c r="M136" s="87"/>
      <c r="N136" s="87"/>
      <c r="O136" s="90"/>
      <c r="P136" s="111"/>
      <c r="Q136" s="93"/>
      <c r="R136" s="93"/>
      <c r="S136" s="91"/>
      <c r="T136" s="91"/>
      <c r="U136" s="91"/>
      <c r="W136" s="251"/>
    </row>
    <row r="137" spans="1:23" s="120" customFormat="1" x14ac:dyDescent="0.25">
      <c r="A137" s="251" t="str">
        <f t="shared" si="95"/>
        <v xml:space="preserve"> 62 Leisure, travel and related personal service occupations</v>
      </c>
      <c r="B137" s="87">
        <v>47.253321675247783</v>
      </c>
      <c r="C137" s="87">
        <v>70.851033885950969</v>
      </c>
      <c r="D137" s="87">
        <f t="shared" ref="D137:D143" si="103">C137-B137</f>
        <v>23.597712210703186</v>
      </c>
      <c r="E137" s="87">
        <v>26.332061494000488</v>
      </c>
      <c r="F137" s="87">
        <f t="shared" ref="F137:F138" si="104">SUM(D137:E137)</f>
        <v>49.929773704703678</v>
      </c>
      <c r="G137" s="298">
        <f t="shared" si="98"/>
        <v>4.5287895572220682E-2</v>
      </c>
      <c r="I137" s="87"/>
      <c r="J137" s="87"/>
      <c r="K137" s="87"/>
      <c r="L137" s="87"/>
      <c r="M137" s="87"/>
      <c r="N137" s="87"/>
      <c r="O137" s="250"/>
      <c r="P137" s="87"/>
      <c r="Q137" s="87"/>
      <c r="R137" s="87"/>
      <c r="S137" s="87"/>
      <c r="T137" s="87"/>
      <c r="U137" s="87"/>
      <c r="W137" s="251"/>
    </row>
    <row r="138" spans="1:23" s="120" customFormat="1" x14ac:dyDescent="0.25">
      <c r="A138" s="251" t="str">
        <f t="shared" si="95"/>
        <v xml:space="preserve"> 71 Sales occupations</v>
      </c>
      <c r="B138" s="87">
        <v>88.641730396561684</v>
      </c>
      <c r="C138" s="87">
        <v>126.54292760522799</v>
      </c>
      <c r="D138" s="87">
        <f t="shared" si="103"/>
        <v>37.901197208666304</v>
      </c>
      <c r="E138" s="87">
        <v>42.339787355074058</v>
      </c>
      <c r="F138" s="87">
        <f t="shared" si="104"/>
        <v>80.240984563740369</v>
      </c>
      <c r="G138" s="298">
        <f t="shared" si="98"/>
        <v>3.9817636538127754E-2</v>
      </c>
      <c r="I138" s="87"/>
      <c r="J138" s="87"/>
      <c r="K138" s="87"/>
      <c r="L138" s="87"/>
      <c r="M138" s="87"/>
      <c r="N138" s="87"/>
      <c r="O138" s="250"/>
      <c r="P138" s="87"/>
      <c r="Q138" s="87"/>
      <c r="R138" s="87"/>
      <c r="S138" s="87"/>
      <c r="T138" s="87"/>
      <c r="U138" s="87"/>
      <c r="W138" s="251"/>
    </row>
    <row r="139" spans="1:23" s="120" customFormat="1" x14ac:dyDescent="0.25">
      <c r="A139" s="251" t="str">
        <f t="shared" si="95"/>
        <v xml:space="preserve"> 72 Customer service occupations</v>
      </c>
      <c r="B139" s="87">
        <v>34.263771751354504</v>
      </c>
      <c r="C139" s="87">
        <v>55.729792184236288</v>
      </c>
      <c r="D139" s="87">
        <f t="shared" si="103"/>
        <v>21.466020432881784</v>
      </c>
      <c r="E139" s="87">
        <v>17.450304500318268</v>
      </c>
      <c r="F139" s="87">
        <f t="shared" ref="F139:F140" si="105">SUM(D139:E139)</f>
        <v>38.916324933200052</v>
      </c>
      <c r="G139" s="298">
        <f t="shared" si="98"/>
        <v>4.2023132682686093E-2</v>
      </c>
      <c r="I139" s="87"/>
      <c r="J139" s="87"/>
      <c r="K139" s="87"/>
      <c r="L139" s="87"/>
      <c r="M139" s="87"/>
      <c r="N139" s="87"/>
      <c r="O139" s="250"/>
      <c r="P139" s="87"/>
      <c r="Q139" s="87"/>
      <c r="R139" s="87"/>
      <c r="S139" s="87"/>
      <c r="T139" s="87"/>
      <c r="U139" s="87"/>
      <c r="W139" s="251"/>
    </row>
    <row r="140" spans="1:23" s="120" customFormat="1" x14ac:dyDescent="0.25">
      <c r="A140" s="251" t="str">
        <f t="shared" si="95"/>
        <v xml:space="preserve"> 81 Process, plant and machine operatives</v>
      </c>
      <c r="B140" s="87">
        <v>14.679585874053249</v>
      </c>
      <c r="C140" s="87">
        <v>19.928259142412745</v>
      </c>
      <c r="D140" s="87">
        <f t="shared" si="103"/>
        <v>5.2486732683594965</v>
      </c>
      <c r="E140" s="87">
        <v>5.759780055576007</v>
      </c>
      <c r="F140" s="87">
        <f t="shared" si="105"/>
        <v>11.008453323935504</v>
      </c>
      <c r="G140" s="298">
        <f t="shared" si="98"/>
        <v>3.3654409181267386E-2</v>
      </c>
      <c r="I140" s="87"/>
      <c r="J140" s="87"/>
      <c r="K140" s="87"/>
      <c r="L140" s="87"/>
      <c r="M140" s="87"/>
      <c r="N140" s="87"/>
      <c r="O140" s="250"/>
      <c r="P140" s="87"/>
      <c r="Q140" s="87"/>
      <c r="R140" s="87"/>
      <c r="S140" s="87"/>
      <c r="T140" s="87"/>
      <c r="U140" s="87"/>
      <c r="W140" s="251"/>
    </row>
    <row r="141" spans="1:23" s="244" customFormat="1" x14ac:dyDescent="0.25">
      <c r="A141" s="251" t="str">
        <f t="shared" si="95"/>
        <v xml:space="preserve"> 82 Transport and mobile machine drivers and operatives</v>
      </c>
      <c r="B141" s="87">
        <v>29.537015683337216</v>
      </c>
      <c r="C141" s="87">
        <v>47.355646864491675</v>
      </c>
      <c r="D141" s="87">
        <f t="shared" si="103"/>
        <v>17.818631181154458</v>
      </c>
      <c r="E141" s="87">
        <v>18.20984885017625</v>
      </c>
      <c r="F141" s="87">
        <f t="shared" ref="F141:F142" si="106">SUM(D141:E141)</f>
        <v>36.028480031330709</v>
      </c>
      <c r="G141" s="298">
        <f t="shared" si="98"/>
        <v>4.9198894640839486E-2</v>
      </c>
      <c r="I141" s="87"/>
      <c r="J141" s="87"/>
      <c r="K141" s="87"/>
      <c r="L141" s="87"/>
      <c r="M141" s="87"/>
      <c r="N141" s="87"/>
      <c r="O141" s="250"/>
      <c r="P141" s="87"/>
      <c r="Q141" s="87"/>
      <c r="R141" s="87"/>
      <c r="S141" s="87"/>
      <c r="T141" s="87"/>
      <c r="U141" s="87"/>
      <c r="W141" s="251"/>
    </row>
    <row r="142" spans="1:23" s="120" customFormat="1" x14ac:dyDescent="0.25">
      <c r="A142" s="251" t="str">
        <f t="shared" si="95"/>
        <v xml:space="preserve"> 91 Elementary trades and related occupations</v>
      </c>
      <c r="B142" s="87">
        <v>14.908869126711302</v>
      </c>
      <c r="C142" s="87">
        <v>24.633849997022775</v>
      </c>
      <c r="D142" s="87">
        <f t="shared" si="103"/>
        <v>9.7249808703114731</v>
      </c>
      <c r="E142" s="87">
        <v>8.4356077916879375</v>
      </c>
      <c r="F142" s="87">
        <f t="shared" si="106"/>
        <v>18.160588661999412</v>
      </c>
      <c r="G142" s="298">
        <f t="shared" si="98"/>
        <v>4.5860942069024579E-2</v>
      </c>
      <c r="I142" s="87"/>
      <c r="J142" s="87"/>
      <c r="K142" s="87"/>
      <c r="L142" s="87"/>
      <c r="M142" s="87"/>
      <c r="N142" s="87"/>
      <c r="O142" s="250"/>
      <c r="P142" s="87"/>
      <c r="Q142" s="87"/>
      <c r="R142" s="87"/>
      <c r="S142" s="87"/>
      <c r="T142" s="87"/>
      <c r="U142" s="87"/>
      <c r="W142" s="251"/>
    </row>
    <row r="143" spans="1:23" s="120" customFormat="1" x14ac:dyDescent="0.25">
      <c r="A143" s="251" t="str">
        <f t="shared" si="95"/>
        <v xml:space="preserve"> 92 Elementary administration and service occupations</v>
      </c>
      <c r="B143" s="87">
        <v>118.8699852323755</v>
      </c>
      <c r="C143" s="87">
        <v>209.36192111108016</v>
      </c>
      <c r="D143" s="87">
        <f t="shared" si="103"/>
        <v>90.491935878704666</v>
      </c>
      <c r="E143" s="87">
        <v>72.04144883407298</v>
      </c>
      <c r="F143" s="87">
        <f t="shared" ref="F143" si="107">SUM(D143:E143)</f>
        <v>162.53338471277766</v>
      </c>
      <c r="G143" s="298">
        <f t="shared" si="98"/>
        <v>4.8518199618506896E-2</v>
      </c>
      <c r="I143" s="87"/>
      <c r="J143" s="87"/>
      <c r="K143" s="87"/>
      <c r="L143" s="87"/>
      <c r="M143" s="87"/>
      <c r="N143" s="87"/>
      <c r="O143" s="250"/>
      <c r="P143" s="87"/>
      <c r="Q143" s="87"/>
      <c r="R143" s="87"/>
      <c r="S143" s="87"/>
      <c r="T143" s="87"/>
      <c r="U143" s="87"/>
      <c r="W143" s="251"/>
    </row>
    <row r="144" spans="1:23" s="120" customFormat="1" x14ac:dyDescent="0.25">
      <c r="A144" s="251" t="str">
        <f t="shared" si="95"/>
        <v>All occupations</v>
      </c>
      <c r="B144" s="87">
        <f>SUM(B119:B143)</f>
        <v>1966.1273252754909</v>
      </c>
      <c r="C144" s="87">
        <f>SUM(C119:C143)</f>
        <v>2288.7418318613609</v>
      </c>
      <c r="D144" s="87">
        <f>SUM(D119:D143)</f>
        <v>322.61450658586995</v>
      </c>
      <c r="E144" s="87">
        <f>SUM(E119:E143)</f>
        <v>796.06171586899825</v>
      </c>
      <c r="F144" s="87">
        <f>SUM(F119:F143)</f>
        <v>1118.6762224548684</v>
      </c>
      <c r="G144" s="298">
        <f t="shared" si="98"/>
        <v>3.4580231786262683E-2</v>
      </c>
      <c r="I144" s="87"/>
      <c r="J144" s="87"/>
      <c r="K144" s="87"/>
      <c r="L144" s="87"/>
      <c r="M144" s="87"/>
      <c r="N144" s="87"/>
      <c r="O144" s="250"/>
      <c r="P144" s="87"/>
      <c r="Q144" s="87"/>
      <c r="R144" s="87"/>
      <c r="S144" s="87"/>
      <c r="T144" s="87"/>
      <c r="U144" s="87"/>
      <c r="W144" s="251"/>
    </row>
    <row r="145" spans="1:23" s="120" customFormat="1" x14ac:dyDescent="0.25">
      <c r="A145" s="244"/>
      <c r="B145" s="87"/>
      <c r="C145" s="87"/>
      <c r="D145" s="87"/>
      <c r="E145" s="87"/>
      <c r="F145" s="87"/>
      <c r="G145" s="87"/>
      <c r="I145" s="87"/>
      <c r="J145" s="87"/>
      <c r="K145" s="87"/>
      <c r="L145" s="87"/>
      <c r="M145" s="87"/>
      <c r="N145" s="87"/>
      <c r="O145" s="250"/>
      <c r="P145" s="87"/>
      <c r="Q145" s="87"/>
      <c r="R145" s="87"/>
      <c r="S145" s="87"/>
      <c r="T145" s="87"/>
      <c r="U145" s="87"/>
      <c r="W145" s="251"/>
    </row>
    <row r="146" spans="1:23" s="244" customFormat="1" ht="39.6" x14ac:dyDescent="0.25">
      <c r="A146" s="299" t="str">
        <f>CONCATENATE(name!F8," (Constrained)")</f>
        <v>RQF4 HE below degree level (Constrained)</v>
      </c>
      <c r="B146" s="96">
        <f t="shared" ref="B146:G146" si="108">B62</f>
        <v>2017</v>
      </c>
      <c r="C146" s="96">
        <f t="shared" si="108"/>
        <v>2027</v>
      </c>
      <c r="D146" s="117" t="str">
        <f t="shared" si="108"/>
        <v>Net Change</v>
      </c>
      <c r="E146" s="117" t="str">
        <f t="shared" si="108"/>
        <v>Replacement Demand level</v>
      </c>
      <c r="F146" s="117" t="str">
        <f t="shared" si="108"/>
        <v>Total Requirement</v>
      </c>
      <c r="G146" s="117" t="str">
        <f t="shared" si="108"/>
        <v>Replacement Demand rate</v>
      </c>
      <c r="I146" s="87"/>
      <c r="J146" s="87"/>
      <c r="K146" s="87"/>
      <c r="L146" s="87"/>
      <c r="M146" s="87"/>
      <c r="N146" s="87"/>
      <c r="O146" s="250"/>
      <c r="P146" s="87"/>
      <c r="Q146" s="87"/>
      <c r="R146" s="87"/>
      <c r="S146" s="87"/>
      <c r="T146" s="87"/>
      <c r="U146" s="87"/>
      <c r="W146" s="251"/>
    </row>
    <row r="147" spans="1:23" s="244" customFormat="1" x14ac:dyDescent="0.25">
      <c r="A147" s="251" t="str">
        <f t="shared" ref="A147:A172" si="109">A63</f>
        <v xml:space="preserve"> 11 Corporate managers and directors</v>
      </c>
      <c r="B147" s="87">
        <v>201.57645332871192</v>
      </c>
      <c r="C147" s="87">
        <v>255.52473823354126</v>
      </c>
      <c r="D147" s="87">
        <f>C147-B147</f>
        <v>53.948284904829336</v>
      </c>
      <c r="E147" s="87">
        <v>86.037073691997819</v>
      </c>
      <c r="F147" s="87">
        <f>SUM(D147:E147)</f>
        <v>139.98535859682715</v>
      </c>
      <c r="G147" s="298">
        <f>IF(B147&gt;0,(1+(E147/B147))^(1/($C$6-$B$6))-1,0)</f>
        <v>3.6184164341810598E-2</v>
      </c>
      <c r="I147" s="87"/>
      <c r="J147" s="87"/>
      <c r="K147" s="87"/>
      <c r="L147" s="87"/>
      <c r="M147" s="87"/>
      <c r="N147" s="87"/>
      <c r="O147" s="250"/>
      <c r="P147" s="87"/>
      <c r="Q147" s="87"/>
      <c r="R147" s="87"/>
      <c r="S147" s="87"/>
      <c r="T147" s="87"/>
      <c r="U147" s="87"/>
      <c r="W147" s="251"/>
    </row>
    <row r="148" spans="1:23" s="120" customFormat="1" x14ac:dyDescent="0.25">
      <c r="A148" s="251" t="str">
        <f t="shared" si="109"/>
        <v xml:space="preserve"> 12 Other managers and proprietors</v>
      </c>
      <c r="B148" s="87">
        <v>72.959532687074983</v>
      </c>
      <c r="C148" s="87">
        <v>97.611537866003886</v>
      </c>
      <c r="D148" s="87">
        <f t="shared" ref="D148:D163" si="110">C148-B148</f>
        <v>24.652005178928903</v>
      </c>
      <c r="E148" s="87">
        <v>37.268121958119821</v>
      </c>
      <c r="F148" s="87">
        <f t="shared" ref="F148:F155" si="111">SUM(D148:E148)</f>
        <v>61.920127137048723</v>
      </c>
      <c r="G148" s="298">
        <f t="shared" ref="G148:G150" si="112">IF(B148&gt;0,(1+(E148/B148))^(1/($C$6-$B$6))-1,0)</f>
        <v>4.2127490333053519E-2</v>
      </c>
      <c r="I148" s="87"/>
      <c r="J148" s="87"/>
      <c r="K148" s="87"/>
      <c r="L148" s="87"/>
      <c r="M148" s="87"/>
      <c r="N148" s="87"/>
      <c r="O148" s="250"/>
      <c r="P148" s="87"/>
      <c r="Q148" s="87"/>
      <c r="R148" s="87"/>
      <c r="S148" s="87"/>
      <c r="T148" s="87"/>
      <c r="U148" s="87"/>
      <c r="W148" s="251"/>
    </row>
    <row r="149" spans="1:23" s="120" customFormat="1" x14ac:dyDescent="0.25">
      <c r="A149" s="251" t="str">
        <f t="shared" si="109"/>
        <v xml:space="preserve"> 21 Science, research, engineering and technology professionals</v>
      </c>
      <c r="B149" s="87">
        <v>158.93864202022169</v>
      </c>
      <c r="C149" s="87">
        <v>162.53545915938116</v>
      </c>
      <c r="D149" s="87">
        <f t="shared" si="110"/>
        <v>3.5968171391594694</v>
      </c>
      <c r="E149" s="87">
        <v>40.191377651399151</v>
      </c>
      <c r="F149" s="87">
        <f t="shared" si="111"/>
        <v>43.78819479055862</v>
      </c>
      <c r="G149" s="298">
        <f t="shared" si="112"/>
        <v>2.2800010607601617E-2</v>
      </c>
      <c r="I149" s="86"/>
      <c r="J149" s="86"/>
      <c r="K149" s="86"/>
      <c r="L149" s="86"/>
      <c r="M149" s="86"/>
      <c r="N149" s="86"/>
      <c r="O149" s="250"/>
      <c r="P149" s="87"/>
      <c r="Q149" s="87"/>
      <c r="R149" s="87"/>
      <c r="S149" s="87"/>
      <c r="T149" s="87"/>
      <c r="U149" s="87"/>
      <c r="W149" s="251"/>
    </row>
    <row r="150" spans="1:23" s="120" customFormat="1" x14ac:dyDescent="0.25">
      <c r="A150" s="251" t="str">
        <f t="shared" si="109"/>
        <v xml:space="preserve"> 22 Health professionals</v>
      </c>
      <c r="B150" s="87">
        <v>38.398071407078191</v>
      </c>
      <c r="C150" s="87">
        <v>50.067832875364722</v>
      </c>
      <c r="D150" s="87">
        <f t="shared" si="110"/>
        <v>11.669761468286531</v>
      </c>
      <c r="E150" s="87">
        <v>15.936897681020685</v>
      </c>
      <c r="F150" s="87">
        <f t="shared" si="111"/>
        <v>27.606659149307216</v>
      </c>
      <c r="G150" s="298">
        <f t="shared" si="112"/>
        <v>3.5325715633293564E-2</v>
      </c>
      <c r="I150" s="86"/>
      <c r="J150" s="86"/>
      <c r="K150" s="86"/>
      <c r="L150" s="86"/>
      <c r="M150" s="86"/>
      <c r="N150" s="86"/>
      <c r="O150" s="250"/>
      <c r="P150" s="87"/>
      <c r="Q150" s="87"/>
      <c r="R150" s="87"/>
      <c r="S150" s="87"/>
      <c r="T150" s="87"/>
      <c r="U150" s="87"/>
      <c r="W150" s="251"/>
    </row>
    <row r="151" spans="1:23" s="120" customFormat="1" x14ac:dyDescent="0.25">
      <c r="A151" s="251" t="str">
        <f t="shared" si="109"/>
        <v xml:space="preserve"> 23 Teaching and educational professionals</v>
      </c>
      <c r="B151" s="87">
        <v>17.827690148872986</v>
      </c>
      <c r="C151" s="87">
        <v>21.806068647444008</v>
      </c>
      <c r="D151" s="87">
        <f t="shared" si="110"/>
        <v>3.978378498571022</v>
      </c>
      <c r="E151" s="87">
        <v>7.0714920536039401</v>
      </c>
      <c r="F151" s="87">
        <f t="shared" si="111"/>
        <v>11.049870552174962</v>
      </c>
      <c r="G151" s="298">
        <f>IF(B151&gt;0,(1+(E151/B151))^(1/($C$6-$B$6))-1,0)</f>
        <v>3.3972529455033484E-2</v>
      </c>
      <c r="I151" s="86"/>
      <c r="J151" s="86"/>
      <c r="K151" s="86"/>
      <c r="L151" s="86"/>
      <c r="M151" s="86"/>
      <c r="N151" s="86"/>
      <c r="O151" s="250"/>
      <c r="P151" s="87"/>
      <c r="Q151" s="87"/>
      <c r="R151" s="87"/>
      <c r="S151" s="87"/>
      <c r="T151" s="87"/>
      <c r="U151" s="87"/>
      <c r="W151" s="251"/>
    </row>
    <row r="152" spans="1:23" s="244" customFormat="1" x14ac:dyDescent="0.25">
      <c r="A152" s="251" t="str">
        <f t="shared" si="109"/>
        <v xml:space="preserve"> 24 Business, media and public service professionals</v>
      </c>
      <c r="B152" s="87">
        <v>99.152721494306874</v>
      </c>
      <c r="C152" s="87">
        <v>120.6372805047542</v>
      </c>
      <c r="D152" s="87">
        <f t="shared" si="110"/>
        <v>21.484559010447327</v>
      </c>
      <c r="E152" s="87">
        <v>37.942879990148612</v>
      </c>
      <c r="F152" s="87">
        <f t="shared" si="111"/>
        <v>59.427439000595939</v>
      </c>
      <c r="G152" s="298">
        <f t="shared" ref="G152:G172" si="113">IF(B152&gt;0,(1+(E152/B152))^(1/($C$6-$B$6))-1,0)</f>
        <v>3.293237163166518E-2</v>
      </c>
      <c r="I152" s="111"/>
      <c r="J152" s="93"/>
      <c r="K152" s="93"/>
      <c r="L152" s="91"/>
      <c r="M152" s="91"/>
      <c r="N152" s="91"/>
      <c r="O152" s="250"/>
      <c r="P152" s="87"/>
      <c r="Q152" s="87"/>
      <c r="R152" s="87"/>
      <c r="S152" s="87"/>
      <c r="T152" s="87"/>
      <c r="U152" s="87"/>
      <c r="W152" s="251"/>
    </row>
    <row r="153" spans="1:23" s="120" customFormat="1" x14ac:dyDescent="0.25">
      <c r="A153" s="251" t="str">
        <f t="shared" si="109"/>
        <v xml:space="preserve"> 31 Science, engineering and technology associate professionals</v>
      </c>
      <c r="B153" s="87">
        <v>75.229765015101933</v>
      </c>
      <c r="C153" s="87">
        <v>76.44035758772506</v>
      </c>
      <c r="D153" s="87">
        <f t="shared" si="110"/>
        <v>1.2105925726231277</v>
      </c>
      <c r="E153" s="87">
        <v>19.995482816541479</v>
      </c>
      <c r="F153" s="87">
        <f t="shared" si="111"/>
        <v>21.206075389164607</v>
      </c>
      <c r="G153" s="298">
        <f t="shared" si="113"/>
        <v>2.3849778419727574E-2</v>
      </c>
      <c r="I153" s="87"/>
      <c r="J153" s="87"/>
      <c r="K153" s="87"/>
      <c r="L153" s="87"/>
      <c r="M153" s="87"/>
      <c r="N153" s="87"/>
      <c r="O153" s="250"/>
      <c r="P153" s="87"/>
      <c r="Q153" s="87"/>
      <c r="R153" s="87"/>
      <c r="S153" s="87"/>
      <c r="T153" s="87"/>
      <c r="U153" s="87"/>
      <c r="W153" s="251"/>
    </row>
    <row r="154" spans="1:23" s="120" customFormat="1" x14ac:dyDescent="0.25">
      <c r="A154" s="251" t="str">
        <f t="shared" si="109"/>
        <v xml:space="preserve"> 32 Health and social care associate professionals</v>
      </c>
      <c r="B154" s="87">
        <v>21.933896544465757</v>
      </c>
      <c r="C154" s="87">
        <v>28.757118725247437</v>
      </c>
      <c r="D154" s="87">
        <f t="shared" si="110"/>
        <v>6.8232221807816806</v>
      </c>
      <c r="E154" s="87">
        <v>10.128550248548768</v>
      </c>
      <c r="F154" s="87">
        <f t="shared" si="111"/>
        <v>16.951772429330447</v>
      </c>
      <c r="G154" s="298">
        <f t="shared" si="113"/>
        <v>3.8695110152978218E-2</v>
      </c>
      <c r="I154" s="87"/>
      <c r="J154" s="87"/>
      <c r="K154" s="87"/>
      <c r="L154" s="87"/>
      <c r="M154" s="87"/>
      <c r="N154" s="87"/>
      <c r="O154" s="250"/>
      <c r="P154" s="87"/>
      <c r="Q154" s="87"/>
      <c r="R154" s="87"/>
      <c r="S154" s="87"/>
      <c r="T154" s="87"/>
      <c r="U154" s="87"/>
      <c r="W154" s="251"/>
    </row>
    <row r="155" spans="1:23" s="244" customFormat="1" x14ac:dyDescent="0.25">
      <c r="A155" s="251" t="str">
        <f t="shared" si="109"/>
        <v xml:space="preserve"> 33 Protective service occupations</v>
      </c>
      <c r="B155" s="87">
        <v>22.645899813726736</v>
      </c>
      <c r="C155" s="87">
        <v>21.655942967104522</v>
      </c>
      <c r="D155" s="87">
        <f t="shared" si="110"/>
        <v>-0.9899568466222135</v>
      </c>
      <c r="E155" s="87">
        <v>5.4487278817594449</v>
      </c>
      <c r="F155" s="87">
        <f t="shared" si="111"/>
        <v>4.4587710351372314</v>
      </c>
      <c r="G155" s="298">
        <f t="shared" si="113"/>
        <v>2.1794051285328964E-2</v>
      </c>
      <c r="I155" s="87"/>
      <c r="J155" s="87"/>
      <c r="K155" s="87"/>
      <c r="L155" s="87"/>
      <c r="M155" s="87"/>
      <c r="N155" s="87"/>
      <c r="O155" s="250"/>
      <c r="P155" s="87"/>
      <c r="Q155" s="87"/>
      <c r="R155" s="87"/>
      <c r="S155" s="87"/>
      <c r="T155" s="87"/>
      <c r="U155" s="87"/>
      <c r="W155" s="251"/>
    </row>
    <row r="156" spans="1:23" s="244" customFormat="1" x14ac:dyDescent="0.25">
      <c r="A156" s="251" t="str">
        <f t="shared" si="109"/>
        <v xml:space="preserve"> 34 Culture, media and sports occupations</v>
      </c>
      <c r="B156" s="87">
        <v>50.132275596199342</v>
      </c>
      <c r="C156" s="87">
        <v>53.861794739292002</v>
      </c>
      <c r="D156" s="87">
        <f t="shared" si="110"/>
        <v>3.7295191430926593</v>
      </c>
      <c r="E156" s="87">
        <v>17.019842674131439</v>
      </c>
      <c r="F156" s="87">
        <f t="shared" ref="F156:F157" si="114">SUM(D156:E156)</f>
        <v>20.749361817224099</v>
      </c>
      <c r="G156" s="298">
        <f t="shared" si="113"/>
        <v>2.9660920215438757E-2</v>
      </c>
      <c r="I156" s="87"/>
      <c r="J156" s="87"/>
      <c r="K156" s="87"/>
      <c r="L156" s="87"/>
      <c r="M156" s="87"/>
      <c r="N156" s="87"/>
      <c r="O156" s="250"/>
      <c r="P156" s="87"/>
      <c r="Q156" s="87"/>
      <c r="R156" s="87"/>
      <c r="S156" s="87"/>
      <c r="T156" s="87"/>
      <c r="U156" s="87"/>
      <c r="W156" s="251"/>
    </row>
    <row r="157" spans="1:23" x14ac:dyDescent="0.25">
      <c r="A157" s="251" t="str">
        <f t="shared" si="109"/>
        <v xml:space="preserve"> 35 Business and public service associate professionals</v>
      </c>
      <c r="B157" s="87">
        <v>160.90563263697715</v>
      </c>
      <c r="C157" s="87">
        <v>208.37943346451999</v>
      </c>
      <c r="D157" s="87">
        <f t="shared" si="110"/>
        <v>47.473800827542846</v>
      </c>
      <c r="E157" s="87">
        <v>61.560921337092452</v>
      </c>
      <c r="F157" s="87">
        <f t="shared" si="114"/>
        <v>109.0347221646353</v>
      </c>
      <c r="G157" s="298">
        <f t="shared" si="113"/>
        <v>3.2926330023893557E-2</v>
      </c>
      <c r="I157" s="87"/>
      <c r="J157" s="87"/>
      <c r="K157" s="87"/>
      <c r="L157" s="87"/>
      <c r="M157" s="87"/>
      <c r="N157" s="87"/>
      <c r="P157" s="87"/>
      <c r="Q157" s="87"/>
      <c r="R157" s="87"/>
      <c r="S157" s="87"/>
      <c r="T157" s="87"/>
      <c r="U157" s="87"/>
    </row>
    <row r="158" spans="1:23" x14ac:dyDescent="0.25">
      <c r="A158" s="251" t="str">
        <f t="shared" si="109"/>
        <v xml:space="preserve"> 41 Administrative occupations</v>
      </c>
      <c r="B158" s="87">
        <v>194.39111700769115</v>
      </c>
      <c r="C158" s="87">
        <v>243.17998475590599</v>
      </c>
      <c r="D158" s="87">
        <f t="shared" si="110"/>
        <v>48.788867748214841</v>
      </c>
      <c r="E158" s="87">
        <v>86.091996513445423</v>
      </c>
      <c r="F158" s="87">
        <f t="shared" ref="F158:F161" si="115">SUM(D158:E158)</f>
        <v>134.88086426166026</v>
      </c>
      <c r="G158" s="298">
        <f t="shared" si="113"/>
        <v>3.7344552023512945E-2</v>
      </c>
      <c r="I158" s="87"/>
      <c r="J158" s="87"/>
      <c r="K158" s="87"/>
      <c r="L158" s="87"/>
      <c r="M158" s="87"/>
      <c r="N158" s="87"/>
      <c r="P158" s="87"/>
      <c r="Q158" s="87"/>
      <c r="R158" s="87"/>
      <c r="S158" s="87"/>
      <c r="T158" s="87"/>
      <c r="U158" s="87"/>
    </row>
    <row r="159" spans="1:23" s="244" customFormat="1" x14ac:dyDescent="0.25">
      <c r="A159" s="251" t="str">
        <f t="shared" si="109"/>
        <v xml:space="preserve"> 42 Secretarial and related occupations</v>
      </c>
      <c r="B159" s="87">
        <v>38.811945161256503</v>
      </c>
      <c r="C159" s="87">
        <v>30.397857450665821</v>
      </c>
      <c r="D159" s="87">
        <f t="shared" si="110"/>
        <v>-8.4140877105906817</v>
      </c>
      <c r="E159" s="87">
        <v>13.251046858682324</v>
      </c>
      <c r="F159" s="87">
        <f t="shared" si="115"/>
        <v>4.8369591480916423</v>
      </c>
      <c r="G159" s="298">
        <f t="shared" si="113"/>
        <v>2.9808261080192855E-2</v>
      </c>
      <c r="I159" s="87"/>
      <c r="J159" s="87"/>
      <c r="K159" s="87"/>
      <c r="L159" s="87"/>
      <c r="M159" s="87"/>
      <c r="N159" s="87"/>
      <c r="O159" s="250"/>
      <c r="P159" s="87"/>
      <c r="Q159" s="87"/>
      <c r="R159" s="87"/>
      <c r="S159" s="87"/>
      <c r="T159" s="87"/>
      <c r="U159" s="87"/>
      <c r="W159" s="251"/>
    </row>
    <row r="160" spans="1:23" s="244" customFormat="1" x14ac:dyDescent="0.25">
      <c r="A160" s="251" t="str">
        <f t="shared" si="109"/>
        <v xml:space="preserve"> 51 Skilled agricultural and related trades</v>
      </c>
      <c r="B160" s="87">
        <v>32.917420393591513</v>
      </c>
      <c r="C160" s="87">
        <v>48.743654042115615</v>
      </c>
      <c r="D160" s="87">
        <f t="shared" si="110"/>
        <v>15.826233648524102</v>
      </c>
      <c r="E160" s="87">
        <v>17.723598670508785</v>
      </c>
      <c r="F160" s="87">
        <f t="shared" si="115"/>
        <v>33.549832319032888</v>
      </c>
      <c r="G160" s="298">
        <f t="shared" si="113"/>
        <v>4.4017225499367152E-2</v>
      </c>
      <c r="I160" s="87"/>
      <c r="J160" s="87"/>
      <c r="K160" s="87"/>
      <c r="L160" s="87"/>
      <c r="M160" s="87"/>
      <c r="N160" s="87"/>
      <c r="O160" s="250"/>
      <c r="P160" s="87"/>
      <c r="Q160" s="87"/>
      <c r="R160" s="87"/>
      <c r="S160" s="87"/>
      <c r="T160" s="87"/>
      <c r="U160" s="87"/>
      <c r="W160" s="251"/>
    </row>
    <row r="161" spans="1:23" x14ac:dyDescent="0.25">
      <c r="A161" s="251" t="str">
        <f t="shared" si="109"/>
        <v xml:space="preserve"> 52 Skilled metal, electrical and electronic trades</v>
      </c>
      <c r="B161" s="87">
        <v>101.75285027876107</v>
      </c>
      <c r="C161" s="87">
        <v>131.07742468690117</v>
      </c>
      <c r="D161" s="87">
        <f t="shared" si="110"/>
        <v>29.324574408140094</v>
      </c>
      <c r="E161" s="87">
        <v>36.949220235759981</v>
      </c>
      <c r="F161" s="87">
        <f t="shared" si="115"/>
        <v>66.273794643900075</v>
      </c>
      <c r="G161" s="298">
        <f t="shared" si="113"/>
        <v>3.1462957790547641E-2</v>
      </c>
      <c r="I161" s="87"/>
      <c r="J161" s="87"/>
      <c r="K161" s="87"/>
      <c r="L161" s="87"/>
      <c r="M161" s="87"/>
      <c r="N161" s="87"/>
      <c r="P161" s="87"/>
      <c r="Q161" s="87"/>
      <c r="R161" s="87"/>
      <c r="S161" s="87"/>
      <c r="T161" s="87"/>
      <c r="U161" s="87"/>
    </row>
    <row r="162" spans="1:23" s="244" customFormat="1" x14ac:dyDescent="0.25">
      <c r="A162" s="251" t="str">
        <f t="shared" si="109"/>
        <v xml:space="preserve"> 53 Skilled construction and building trades</v>
      </c>
      <c r="B162" s="87">
        <v>37.790895357838849</v>
      </c>
      <c r="C162" s="87">
        <v>61.522065974629967</v>
      </c>
      <c r="D162" s="87">
        <f t="shared" si="110"/>
        <v>23.731170616791118</v>
      </c>
      <c r="E162" s="87">
        <v>19.691689251236998</v>
      </c>
      <c r="F162" s="87">
        <f t="shared" ref="F162" si="116">SUM(D162:E162)</f>
        <v>43.422859868028112</v>
      </c>
      <c r="G162" s="298">
        <f t="shared" si="113"/>
        <v>4.283334768453062E-2</v>
      </c>
      <c r="I162" s="87"/>
      <c r="J162" s="87"/>
      <c r="K162" s="87"/>
      <c r="L162" s="87"/>
      <c r="M162" s="87"/>
      <c r="N162" s="87"/>
      <c r="O162" s="250"/>
      <c r="P162" s="87"/>
      <c r="Q162" s="87"/>
      <c r="R162" s="87"/>
      <c r="S162" s="87"/>
      <c r="T162" s="87"/>
      <c r="U162" s="87"/>
      <c r="W162" s="251"/>
    </row>
    <row r="163" spans="1:23" s="244" customFormat="1" x14ac:dyDescent="0.25">
      <c r="A163" s="251" t="str">
        <f t="shared" si="109"/>
        <v xml:space="preserve"> 54 Textiles, printing and other skilled trades</v>
      </c>
      <c r="B163" s="87">
        <v>29.325927524765568</v>
      </c>
      <c r="C163" s="87">
        <v>38.407515074801275</v>
      </c>
      <c r="D163" s="87">
        <f t="shared" si="110"/>
        <v>9.0815875500357066</v>
      </c>
      <c r="E163" s="87">
        <v>12.29323550426194</v>
      </c>
      <c r="F163" s="87">
        <f t="shared" ref="F163" si="117">SUM(D163:E163)</f>
        <v>21.374823054297647</v>
      </c>
      <c r="G163" s="298">
        <f t="shared" si="113"/>
        <v>3.5628893518490523E-2</v>
      </c>
      <c r="I163" s="87"/>
      <c r="J163" s="87"/>
      <c r="K163" s="87"/>
      <c r="L163" s="87"/>
      <c r="M163" s="87"/>
      <c r="N163" s="87"/>
      <c r="O163" s="250"/>
      <c r="P163" s="87"/>
      <c r="Q163" s="87"/>
      <c r="R163" s="87"/>
      <c r="S163" s="87"/>
      <c r="T163" s="87"/>
      <c r="U163" s="87"/>
      <c r="W163" s="251"/>
    </row>
    <row r="164" spans="1:23" x14ac:dyDescent="0.25">
      <c r="A164" s="251" t="str">
        <f t="shared" si="109"/>
        <v xml:space="preserve"> 61 Caring personal service occupations</v>
      </c>
      <c r="B164" s="87">
        <v>146.46667412379537</v>
      </c>
      <c r="C164" s="87">
        <v>209.51143358317353</v>
      </c>
      <c r="D164" s="87">
        <f>C164-B164</f>
        <v>63.044759459378156</v>
      </c>
      <c r="E164" s="87">
        <v>76.695879057586296</v>
      </c>
      <c r="F164" s="87">
        <f>SUM(D164:E164)</f>
        <v>139.74063851696445</v>
      </c>
      <c r="G164" s="298">
        <f t="shared" si="113"/>
        <v>4.300946647415671E-2</v>
      </c>
      <c r="I164" s="87"/>
      <c r="J164" s="87"/>
      <c r="K164" s="87"/>
      <c r="L164" s="87"/>
      <c r="M164" s="87"/>
      <c r="N164" s="87"/>
      <c r="P164" s="87"/>
      <c r="Q164" s="87"/>
      <c r="R164" s="87"/>
      <c r="S164" s="87"/>
      <c r="T164" s="87"/>
      <c r="U164" s="87"/>
    </row>
    <row r="165" spans="1:23" x14ac:dyDescent="0.25">
      <c r="A165" s="251" t="str">
        <f t="shared" si="109"/>
        <v xml:space="preserve"> 62 Leisure, travel and related personal service occupations</v>
      </c>
      <c r="B165" s="87">
        <v>59.638400188467614</v>
      </c>
      <c r="C165" s="87">
        <v>96.132565476907786</v>
      </c>
      <c r="D165" s="87">
        <f t="shared" ref="D165:D171" si="118">C165-B165</f>
        <v>36.494165288440172</v>
      </c>
      <c r="E165" s="87">
        <v>34.820715344931166</v>
      </c>
      <c r="F165" s="87">
        <f t="shared" ref="F165:F166" si="119">SUM(D165:E165)</f>
        <v>71.314880633371331</v>
      </c>
      <c r="G165" s="298">
        <f t="shared" si="113"/>
        <v>4.7060530607684115E-2</v>
      </c>
      <c r="I165" s="87"/>
      <c r="J165" s="87"/>
      <c r="K165" s="87"/>
      <c r="L165" s="87"/>
      <c r="M165" s="87"/>
      <c r="N165" s="87"/>
      <c r="P165" s="87"/>
      <c r="Q165" s="87"/>
      <c r="R165" s="87"/>
      <c r="S165" s="87"/>
      <c r="T165" s="87"/>
      <c r="U165" s="87"/>
    </row>
    <row r="166" spans="1:23" x14ac:dyDescent="0.25">
      <c r="A166" s="251" t="str">
        <f t="shared" si="109"/>
        <v xml:space="preserve"> 71 Sales occupations</v>
      </c>
      <c r="B166" s="87">
        <v>70.915734258897317</v>
      </c>
      <c r="C166" s="87">
        <v>91.559887250515274</v>
      </c>
      <c r="D166" s="87">
        <f t="shared" si="118"/>
        <v>20.644152991617958</v>
      </c>
      <c r="E166" s="87">
        <v>27.710089583201821</v>
      </c>
      <c r="F166" s="87">
        <f t="shared" si="119"/>
        <v>48.354242574819779</v>
      </c>
      <c r="G166" s="298">
        <f t="shared" si="113"/>
        <v>3.3534085417858517E-2</v>
      </c>
      <c r="I166" s="87"/>
      <c r="J166" s="87"/>
      <c r="K166" s="87"/>
      <c r="L166" s="87"/>
      <c r="M166" s="87"/>
      <c r="N166" s="87"/>
      <c r="P166" s="87"/>
      <c r="Q166" s="87"/>
      <c r="R166" s="87"/>
      <c r="S166" s="87"/>
      <c r="T166" s="87"/>
      <c r="U166" s="87"/>
    </row>
    <row r="167" spans="1:23" s="244" customFormat="1" x14ac:dyDescent="0.25">
      <c r="A167" s="251" t="str">
        <f t="shared" si="109"/>
        <v xml:space="preserve"> 72 Customer service occupations</v>
      </c>
      <c r="B167" s="87">
        <v>47.971068924416706</v>
      </c>
      <c r="C167" s="87">
        <v>66.581449088543422</v>
      </c>
      <c r="D167" s="87">
        <f t="shared" si="118"/>
        <v>18.610380164126717</v>
      </c>
      <c r="E167" s="87">
        <v>19.435429972436268</v>
      </c>
      <c r="F167" s="87">
        <f t="shared" ref="F167:F168" si="120">SUM(D167:E167)</f>
        <v>38.045810136562984</v>
      </c>
      <c r="G167" s="298">
        <f t="shared" si="113"/>
        <v>3.4599436323970556E-2</v>
      </c>
      <c r="I167" s="87"/>
      <c r="J167" s="87"/>
      <c r="K167" s="87"/>
      <c r="L167" s="87"/>
      <c r="M167" s="87"/>
      <c r="N167" s="87"/>
      <c r="O167" s="250"/>
      <c r="P167" s="87"/>
      <c r="Q167" s="87"/>
      <c r="R167" s="87"/>
      <c r="S167" s="87"/>
      <c r="T167" s="87"/>
      <c r="U167" s="87"/>
      <c r="W167" s="251"/>
    </row>
    <row r="168" spans="1:23" x14ac:dyDescent="0.25">
      <c r="A168" s="251" t="str">
        <f t="shared" si="109"/>
        <v xml:space="preserve"> 81 Process, plant and machine operatives</v>
      </c>
      <c r="B168" s="87">
        <v>35.221887378124912</v>
      </c>
      <c r="C168" s="87">
        <v>49.886339809426374</v>
      </c>
      <c r="D168" s="87">
        <f t="shared" si="118"/>
        <v>14.664452431301463</v>
      </c>
      <c r="E168" s="87">
        <v>14.091253866623207</v>
      </c>
      <c r="F168" s="87">
        <f t="shared" si="120"/>
        <v>28.755706297924668</v>
      </c>
      <c r="G168" s="298">
        <f t="shared" si="113"/>
        <v>3.422493512490532E-2</v>
      </c>
      <c r="I168" s="87"/>
      <c r="J168" s="87"/>
      <c r="K168" s="87"/>
      <c r="L168" s="87"/>
      <c r="M168" s="87"/>
      <c r="N168" s="87"/>
      <c r="P168" s="87"/>
      <c r="Q168" s="87"/>
      <c r="R168" s="87"/>
      <c r="S168" s="87"/>
      <c r="T168" s="87"/>
      <c r="U168" s="87"/>
    </row>
    <row r="169" spans="1:23" x14ac:dyDescent="0.25">
      <c r="A169" s="251" t="str">
        <f t="shared" si="109"/>
        <v xml:space="preserve"> 82 Transport and mobile machine drivers and operatives</v>
      </c>
      <c r="B169" s="87">
        <v>48.143229726963099</v>
      </c>
      <c r="C169" s="87">
        <v>81.086842530999732</v>
      </c>
      <c r="D169" s="87">
        <f t="shared" si="118"/>
        <v>32.943612804036633</v>
      </c>
      <c r="E169" s="87">
        <v>31.095905604926489</v>
      </c>
      <c r="F169" s="87">
        <f t="shared" ref="F169:F170" si="121">SUM(D169:E169)</f>
        <v>64.039518408963119</v>
      </c>
      <c r="G169" s="298">
        <f t="shared" si="113"/>
        <v>5.109132224679569E-2</v>
      </c>
      <c r="I169" s="87"/>
      <c r="J169" s="87"/>
      <c r="K169" s="87"/>
      <c r="L169" s="87"/>
      <c r="M169" s="87"/>
      <c r="N169" s="87"/>
      <c r="P169" s="87"/>
      <c r="Q169" s="87"/>
      <c r="R169" s="87"/>
      <c r="S169" s="87"/>
      <c r="T169" s="87"/>
      <c r="U169" s="87"/>
    </row>
    <row r="170" spans="1:23" x14ac:dyDescent="0.25">
      <c r="A170" s="251" t="str">
        <f t="shared" si="109"/>
        <v xml:space="preserve"> 91 Elementary trades and related occupations</v>
      </c>
      <c r="B170" s="87">
        <v>19.247326222919561</v>
      </c>
      <c r="C170" s="87">
        <v>29.664418397858153</v>
      </c>
      <c r="D170" s="87">
        <f t="shared" si="118"/>
        <v>10.417092174938592</v>
      </c>
      <c r="E170" s="87">
        <v>8.5618301747213117</v>
      </c>
      <c r="F170" s="87">
        <f t="shared" si="121"/>
        <v>18.978922349659904</v>
      </c>
      <c r="G170" s="298">
        <f t="shared" si="113"/>
        <v>3.7484795391807602E-2</v>
      </c>
      <c r="I170" s="87"/>
      <c r="J170" s="87"/>
      <c r="K170" s="87"/>
      <c r="L170" s="87"/>
      <c r="M170" s="87"/>
      <c r="N170" s="87"/>
      <c r="P170" s="87"/>
      <c r="Q170" s="87"/>
      <c r="R170" s="87"/>
      <c r="S170" s="87"/>
      <c r="T170" s="87"/>
      <c r="U170" s="87"/>
    </row>
    <row r="171" spans="1:23" x14ac:dyDescent="0.25">
      <c r="A171" s="251" t="str">
        <f t="shared" si="109"/>
        <v xml:space="preserve"> 92 Elementary administration and service occupations</v>
      </c>
      <c r="B171" s="87">
        <v>108.10050594291327</v>
      </c>
      <c r="C171" s="87">
        <v>183.21355589471742</v>
      </c>
      <c r="D171" s="87">
        <f t="shared" si="118"/>
        <v>75.113049951804143</v>
      </c>
      <c r="E171" s="87">
        <v>61.167955830523084</v>
      </c>
      <c r="F171" s="87">
        <f t="shared" ref="F171" si="122">SUM(D171:E171)</f>
        <v>136.28100578232721</v>
      </c>
      <c r="G171" s="298">
        <f t="shared" si="113"/>
        <v>4.5863079650336536E-2</v>
      </c>
      <c r="I171" s="87"/>
      <c r="J171" s="87"/>
      <c r="K171" s="87"/>
      <c r="L171" s="87"/>
      <c r="M171" s="87"/>
      <c r="N171" s="87"/>
      <c r="P171" s="87"/>
      <c r="Q171" s="87"/>
      <c r="R171" s="87"/>
      <c r="S171" s="87"/>
      <c r="T171" s="87"/>
      <c r="U171" s="87"/>
    </row>
    <row r="172" spans="1:23" x14ac:dyDescent="0.25">
      <c r="A172" s="251" t="str">
        <f t="shared" si="109"/>
        <v>All occupations</v>
      </c>
      <c r="B172" s="87">
        <f>SUM(B147:B171)</f>
        <v>1890.39556318314</v>
      </c>
      <c r="C172" s="87">
        <f>SUM(C147:C171)</f>
        <v>2458.2425587875396</v>
      </c>
      <c r="D172" s="87">
        <f>SUM(D147:D171)</f>
        <v>567.84699560439969</v>
      </c>
      <c r="E172" s="87">
        <f>SUM(E147:E171)</f>
        <v>798.18121445320878</v>
      </c>
      <c r="F172" s="87">
        <f>SUM(F147:F171)</f>
        <v>1366.0282100576082</v>
      </c>
      <c r="G172" s="298">
        <f t="shared" si="113"/>
        <v>3.5850250437123199E-2</v>
      </c>
      <c r="I172" s="87"/>
      <c r="J172" s="87"/>
      <c r="K172" s="87"/>
      <c r="L172" s="87"/>
      <c r="M172" s="87"/>
      <c r="N172" s="87"/>
      <c r="P172" s="87"/>
      <c r="Q172" s="87"/>
      <c r="R172" s="87"/>
      <c r="S172" s="87"/>
      <c r="T172" s="87"/>
      <c r="U172" s="87"/>
    </row>
    <row r="173" spans="1:23" x14ac:dyDescent="0.25">
      <c r="I173" s="87"/>
      <c r="J173" s="87"/>
      <c r="K173" s="87"/>
      <c r="L173" s="87"/>
      <c r="M173" s="87"/>
      <c r="N173" s="87"/>
      <c r="P173" s="87"/>
      <c r="Q173" s="87"/>
      <c r="R173" s="87"/>
      <c r="S173" s="87"/>
      <c r="T173" s="87"/>
      <c r="U173" s="87"/>
    </row>
    <row r="174" spans="1:23" ht="39.6" x14ac:dyDescent="0.25">
      <c r="A174" s="299" t="str">
        <f>CONCATENATE(name!F9," (Constrained)")</f>
        <v>RQF3 A level &amp; equivalent (Constrained)</v>
      </c>
      <c r="B174" s="96">
        <f t="shared" ref="B174:G174" si="123">B90</f>
        <v>2017</v>
      </c>
      <c r="C174" s="96">
        <f t="shared" si="123"/>
        <v>2027</v>
      </c>
      <c r="D174" s="117" t="str">
        <f t="shared" si="123"/>
        <v>Net Change</v>
      </c>
      <c r="E174" s="117" t="str">
        <f t="shared" si="123"/>
        <v>Replacement Demand level</v>
      </c>
      <c r="F174" s="117" t="str">
        <f t="shared" si="123"/>
        <v>Total Requirement</v>
      </c>
      <c r="G174" s="117" t="str">
        <f t="shared" si="123"/>
        <v>Replacement Demand rate</v>
      </c>
      <c r="I174" s="87"/>
      <c r="J174" s="87"/>
      <c r="K174" s="87"/>
      <c r="L174" s="87"/>
      <c r="M174" s="87"/>
      <c r="N174" s="87"/>
      <c r="P174" s="87"/>
      <c r="Q174" s="87"/>
      <c r="R174" s="87"/>
      <c r="S174" s="87"/>
      <c r="T174" s="87"/>
      <c r="U174" s="87"/>
    </row>
    <row r="175" spans="1:23" s="244" customFormat="1" x14ac:dyDescent="0.25">
      <c r="A175" s="251" t="str">
        <f t="shared" ref="A175:A200" si="124">A91</f>
        <v xml:space="preserve"> 11 Corporate managers and directors</v>
      </c>
      <c r="B175" s="87">
        <v>441.48183103513355</v>
      </c>
      <c r="C175" s="87">
        <v>386.76453351630767</v>
      </c>
      <c r="D175" s="87">
        <f>C175-B175</f>
        <v>-54.717297518825887</v>
      </c>
      <c r="E175" s="87">
        <v>122.7546023354349</v>
      </c>
      <c r="F175" s="87">
        <f>SUM(D175:E175)</f>
        <v>68.037304816609009</v>
      </c>
      <c r="G175" s="298">
        <f>IF(B175&gt;0,(1+(E175/B175))^(1/($C$6-$B$6))-1,0)</f>
        <v>2.4837076844919093E-2</v>
      </c>
      <c r="I175" s="87"/>
      <c r="J175" s="87"/>
      <c r="K175" s="87"/>
      <c r="L175" s="87"/>
      <c r="M175" s="87"/>
      <c r="N175" s="87"/>
      <c r="O175" s="250"/>
      <c r="P175" s="87"/>
      <c r="Q175" s="87"/>
      <c r="R175" s="87"/>
      <c r="S175" s="87"/>
      <c r="T175" s="87"/>
      <c r="U175" s="87"/>
      <c r="W175" s="251"/>
    </row>
    <row r="176" spans="1:23" s="244" customFormat="1" x14ac:dyDescent="0.25">
      <c r="A176" s="251" t="str">
        <f t="shared" si="124"/>
        <v xml:space="preserve"> 12 Other managers and proprietors</v>
      </c>
      <c r="B176" s="87">
        <v>181.33747970741746</v>
      </c>
      <c r="C176" s="87">
        <v>147.15215328060768</v>
      </c>
      <c r="D176" s="87">
        <f t="shared" ref="D176:D191" si="125">C176-B176</f>
        <v>-34.18532642680978</v>
      </c>
      <c r="E176" s="87">
        <v>54.098357687071697</v>
      </c>
      <c r="F176" s="87">
        <f t="shared" ref="F176:F183" si="126">SUM(D176:E176)</f>
        <v>19.913031260261917</v>
      </c>
      <c r="G176" s="298">
        <f t="shared" ref="G176:G178" si="127">IF(B176&gt;0,(1+(E176/B176))^(1/($C$6-$B$6))-1,0)</f>
        <v>2.6451655547391262E-2</v>
      </c>
      <c r="I176" s="87"/>
      <c r="J176" s="87"/>
      <c r="K176" s="87"/>
      <c r="L176" s="87"/>
      <c r="M176" s="87"/>
      <c r="N176" s="87"/>
      <c r="O176" s="250"/>
      <c r="P176" s="87"/>
      <c r="Q176" s="87"/>
      <c r="R176" s="87"/>
      <c r="S176" s="87"/>
      <c r="T176" s="87"/>
      <c r="U176" s="87"/>
      <c r="W176" s="251"/>
    </row>
    <row r="177" spans="1:23" s="244" customFormat="1" x14ac:dyDescent="0.25">
      <c r="A177" s="251" t="str">
        <f t="shared" si="124"/>
        <v xml:space="preserve"> 21 Science, research, engineering and technology professionals</v>
      </c>
      <c r="B177" s="87">
        <v>208.22512862073785</v>
      </c>
      <c r="C177" s="87">
        <v>148.12194458274857</v>
      </c>
      <c r="D177" s="87">
        <f t="shared" si="125"/>
        <v>-60.10318403798928</v>
      </c>
      <c r="E177" s="87">
        <v>34.102633359923118</v>
      </c>
      <c r="F177" s="87">
        <f t="shared" si="126"/>
        <v>-26.000550678066162</v>
      </c>
      <c r="G177" s="298">
        <f t="shared" si="127"/>
        <v>1.5282740186572719E-2</v>
      </c>
      <c r="I177" s="87"/>
      <c r="J177" s="87"/>
      <c r="K177" s="87"/>
      <c r="L177" s="87"/>
      <c r="M177" s="87"/>
      <c r="N177" s="87"/>
      <c r="O177" s="250"/>
      <c r="P177" s="87"/>
      <c r="Q177" s="87"/>
      <c r="R177" s="87"/>
      <c r="S177" s="87"/>
      <c r="T177" s="87"/>
      <c r="U177" s="87"/>
      <c r="W177" s="251"/>
    </row>
    <row r="178" spans="1:23" x14ac:dyDescent="0.25">
      <c r="A178" s="251" t="str">
        <f t="shared" si="124"/>
        <v xml:space="preserve"> 22 Health professionals</v>
      </c>
      <c r="B178" s="87">
        <v>143.62806618839542</v>
      </c>
      <c r="C178" s="87">
        <v>173.67591606979229</v>
      </c>
      <c r="D178" s="87">
        <f t="shared" si="125"/>
        <v>30.047849881396871</v>
      </c>
      <c r="E178" s="87">
        <v>60.107232182702148</v>
      </c>
      <c r="F178" s="87">
        <f t="shared" si="126"/>
        <v>90.15508206409902</v>
      </c>
      <c r="G178" s="298">
        <f t="shared" si="127"/>
        <v>3.5577716283877958E-2</v>
      </c>
      <c r="I178" s="87"/>
      <c r="J178" s="87"/>
      <c r="K178" s="87"/>
      <c r="L178" s="87"/>
      <c r="M178" s="87"/>
      <c r="N178" s="87"/>
      <c r="P178" s="87"/>
      <c r="Q178" s="87"/>
      <c r="R178" s="87"/>
      <c r="S178" s="87"/>
      <c r="T178" s="87"/>
      <c r="U178" s="87"/>
    </row>
    <row r="179" spans="1:23" x14ac:dyDescent="0.25">
      <c r="A179" s="251" t="str">
        <f t="shared" si="124"/>
        <v xml:space="preserve"> 23 Teaching and educational professionals</v>
      </c>
      <c r="B179" s="87">
        <v>63.813797724530666</v>
      </c>
      <c r="C179" s="87">
        <v>69.109270554885939</v>
      </c>
      <c r="D179" s="87">
        <f t="shared" si="125"/>
        <v>5.2954728303552727</v>
      </c>
      <c r="E179" s="87">
        <v>18.669524254336945</v>
      </c>
      <c r="F179" s="87">
        <f t="shared" si="126"/>
        <v>23.964997084692218</v>
      </c>
      <c r="G179" s="298">
        <f>IF(B179&gt;0,(1+(E179/B179))^(1/($C$6-$B$6))-1,0)</f>
        <v>2.5994789507396199E-2</v>
      </c>
      <c r="I179" s="87"/>
      <c r="J179" s="87"/>
      <c r="K179" s="87"/>
      <c r="L179" s="87"/>
      <c r="M179" s="87"/>
      <c r="N179" s="87"/>
      <c r="P179" s="105"/>
      <c r="Q179" s="92"/>
    </row>
    <row r="180" spans="1:23" x14ac:dyDescent="0.25">
      <c r="A180" s="251" t="str">
        <f t="shared" si="124"/>
        <v xml:space="preserve"> 24 Business, media and public service professionals</v>
      </c>
      <c r="B180" s="87">
        <v>192.97789898630933</v>
      </c>
      <c r="C180" s="87">
        <v>173.63813044421633</v>
      </c>
      <c r="D180" s="87">
        <f t="shared" si="125"/>
        <v>-19.339768542092997</v>
      </c>
      <c r="E180" s="87">
        <v>50.16282159853651</v>
      </c>
      <c r="F180" s="87">
        <f t="shared" si="126"/>
        <v>30.823053056443513</v>
      </c>
      <c r="G180" s="298">
        <f t="shared" ref="G180:G200" si="128">IF(B180&gt;0,(1+(E180/B180))^(1/($C$6-$B$6))-1,0)</f>
        <v>2.3375492889992078E-2</v>
      </c>
      <c r="I180" s="87"/>
      <c r="J180" s="87"/>
      <c r="K180" s="87"/>
      <c r="L180" s="87"/>
      <c r="M180" s="87"/>
      <c r="N180" s="87"/>
    </row>
    <row r="181" spans="1:23" x14ac:dyDescent="0.25">
      <c r="A181" s="251" t="str">
        <f t="shared" si="124"/>
        <v xml:space="preserve"> 31 Science, engineering and technology associate professionals</v>
      </c>
      <c r="B181" s="87">
        <v>118.10905033639871</v>
      </c>
      <c r="C181" s="87">
        <v>75.744305952152274</v>
      </c>
      <c r="D181" s="87">
        <f t="shared" si="125"/>
        <v>-42.364744384246436</v>
      </c>
      <c r="E181" s="87">
        <v>21.732419891950904</v>
      </c>
      <c r="F181" s="87">
        <f t="shared" si="126"/>
        <v>-20.632324492295531</v>
      </c>
      <c r="G181" s="298">
        <f t="shared" si="128"/>
        <v>1.7033551560818205E-2</v>
      </c>
      <c r="I181" s="87"/>
      <c r="J181" s="87"/>
      <c r="K181" s="87"/>
      <c r="L181" s="87"/>
      <c r="M181" s="87"/>
      <c r="N181" s="87"/>
    </row>
    <row r="182" spans="1:23" x14ac:dyDescent="0.25">
      <c r="A182" s="251" t="str">
        <f t="shared" si="124"/>
        <v xml:space="preserve"> 32 Health and social care associate professionals</v>
      </c>
      <c r="B182" s="87">
        <v>59.484012377184307</v>
      </c>
      <c r="C182" s="87">
        <v>68.011347553614655</v>
      </c>
      <c r="D182" s="87">
        <f t="shared" si="125"/>
        <v>8.5273351764303484</v>
      </c>
      <c r="E182" s="87">
        <v>23.684042542914217</v>
      </c>
      <c r="F182" s="87">
        <f t="shared" si="126"/>
        <v>32.211377719344569</v>
      </c>
      <c r="G182" s="298">
        <f t="shared" si="128"/>
        <v>3.4083548615347681E-2</v>
      </c>
      <c r="I182" s="87"/>
      <c r="J182" s="87"/>
      <c r="K182" s="87"/>
      <c r="L182" s="87"/>
      <c r="M182" s="87"/>
      <c r="N182" s="87"/>
    </row>
    <row r="183" spans="1:23" x14ac:dyDescent="0.25">
      <c r="A183" s="251" t="str">
        <f t="shared" si="124"/>
        <v xml:space="preserve"> 33 Protective service occupations</v>
      </c>
      <c r="B183" s="87">
        <v>75.690019981832904</v>
      </c>
      <c r="C183" s="87">
        <v>55.01061405129856</v>
      </c>
      <c r="D183" s="87">
        <f t="shared" si="125"/>
        <v>-20.679405930534344</v>
      </c>
      <c r="E183" s="87">
        <v>10.911568821903273</v>
      </c>
      <c r="F183" s="87">
        <f t="shared" si="126"/>
        <v>-9.7678371086310705</v>
      </c>
      <c r="G183" s="298">
        <f t="shared" si="128"/>
        <v>1.3558275639663719E-2</v>
      </c>
      <c r="I183" s="87"/>
      <c r="J183" s="87"/>
      <c r="K183" s="87"/>
      <c r="L183" s="87"/>
      <c r="M183" s="87"/>
      <c r="N183" s="87"/>
    </row>
    <row r="184" spans="1:23" x14ac:dyDescent="0.25">
      <c r="A184" s="251" t="str">
        <f t="shared" si="124"/>
        <v xml:space="preserve"> 34 Culture, media and sports occupations</v>
      </c>
      <c r="B184" s="87">
        <v>120.25582139991468</v>
      </c>
      <c r="C184" s="87">
        <v>104.4610141769535</v>
      </c>
      <c r="D184" s="87">
        <f t="shared" si="125"/>
        <v>-15.794807222961182</v>
      </c>
      <c r="E184" s="87">
        <v>28.663733364249346</v>
      </c>
      <c r="F184" s="87">
        <f t="shared" ref="F184:F185" si="129">SUM(D184:E184)</f>
        <v>12.868926141288163</v>
      </c>
      <c r="G184" s="298">
        <f t="shared" si="128"/>
        <v>2.1608651277317925E-2</v>
      </c>
      <c r="I184" s="87"/>
      <c r="J184" s="87"/>
      <c r="K184" s="87"/>
      <c r="L184" s="87"/>
      <c r="M184" s="87"/>
      <c r="N184" s="87"/>
    </row>
    <row r="185" spans="1:23" x14ac:dyDescent="0.25">
      <c r="A185" s="251" t="str">
        <f t="shared" si="124"/>
        <v xml:space="preserve"> 35 Business and public service associate professionals</v>
      </c>
      <c r="B185" s="87">
        <v>426.30619011374267</v>
      </c>
      <c r="C185" s="87">
        <v>378.31441800940183</v>
      </c>
      <c r="D185" s="87">
        <f t="shared" si="125"/>
        <v>-47.991772104340839</v>
      </c>
      <c r="E185" s="87">
        <v>112.87208486238289</v>
      </c>
      <c r="F185" s="87">
        <f t="shared" si="129"/>
        <v>64.880312758042052</v>
      </c>
      <c r="G185" s="298">
        <f t="shared" si="128"/>
        <v>2.376687783469067E-2</v>
      </c>
      <c r="I185" s="87"/>
      <c r="J185" s="87"/>
      <c r="K185" s="87"/>
      <c r="L185" s="87"/>
      <c r="M185" s="87"/>
      <c r="N185" s="87"/>
    </row>
    <row r="186" spans="1:23" x14ac:dyDescent="0.25">
      <c r="A186" s="251" t="str">
        <f t="shared" si="124"/>
        <v xml:space="preserve"> 41 Administrative occupations</v>
      </c>
      <c r="B186" s="87">
        <v>611.9124820418424</v>
      </c>
      <c r="C186" s="87">
        <v>489.38958022824312</v>
      </c>
      <c r="D186" s="87">
        <f t="shared" si="125"/>
        <v>-122.52290181359928</v>
      </c>
      <c r="E186" s="87">
        <v>177.81530785050069</v>
      </c>
      <c r="F186" s="87">
        <f t="shared" ref="F186:F189" si="130">SUM(D186:E186)</f>
        <v>55.292406036901411</v>
      </c>
      <c r="G186" s="298">
        <f t="shared" si="128"/>
        <v>2.5838066863041353E-2</v>
      </c>
      <c r="I186" s="87"/>
      <c r="J186" s="87"/>
      <c r="K186" s="87"/>
      <c r="L186" s="87"/>
      <c r="M186" s="87"/>
      <c r="N186" s="87"/>
    </row>
    <row r="187" spans="1:23" x14ac:dyDescent="0.25">
      <c r="A187" s="251" t="str">
        <f t="shared" si="124"/>
        <v xml:space="preserve"> 42 Secretarial and related occupations</v>
      </c>
      <c r="B187" s="87">
        <v>142.33622831180384</v>
      </c>
      <c r="C187" s="87">
        <v>66.039213687982638</v>
      </c>
      <c r="D187" s="87">
        <f t="shared" si="125"/>
        <v>-76.297014623821198</v>
      </c>
      <c r="E187" s="87">
        <v>33.969691476447586</v>
      </c>
      <c r="F187" s="87">
        <f t="shared" si="130"/>
        <v>-42.327323147373612</v>
      </c>
      <c r="G187" s="298">
        <f t="shared" si="128"/>
        <v>2.1633544339521693E-2</v>
      </c>
      <c r="I187" s="87"/>
      <c r="J187" s="87"/>
      <c r="K187" s="87"/>
      <c r="L187" s="87"/>
      <c r="M187" s="87"/>
      <c r="N187" s="87"/>
    </row>
    <row r="188" spans="1:23" x14ac:dyDescent="0.25">
      <c r="A188" s="251" t="str">
        <f t="shared" si="124"/>
        <v xml:space="preserve"> 51 Skilled agricultural and related trades</v>
      </c>
      <c r="B188" s="87">
        <v>53.009822597831068</v>
      </c>
      <c r="C188" s="87">
        <v>46.799066061438033</v>
      </c>
      <c r="D188" s="87">
        <f t="shared" si="125"/>
        <v>-6.2107565363930348</v>
      </c>
      <c r="E188" s="87">
        <v>16.317011011504327</v>
      </c>
      <c r="F188" s="87">
        <f t="shared" si="130"/>
        <v>10.106254475111292</v>
      </c>
      <c r="G188" s="298">
        <f t="shared" si="128"/>
        <v>2.7198795369283157E-2</v>
      </c>
      <c r="I188" s="87"/>
      <c r="J188" s="87"/>
      <c r="K188" s="87"/>
      <c r="L188" s="87"/>
      <c r="M188" s="87"/>
      <c r="N188" s="87"/>
    </row>
    <row r="189" spans="1:23" x14ac:dyDescent="0.25">
      <c r="A189" s="251" t="str">
        <f t="shared" si="124"/>
        <v xml:space="preserve"> 52 Skilled metal, electrical and electronic trades</v>
      </c>
      <c r="B189" s="87">
        <v>509.10568924980123</v>
      </c>
      <c r="C189" s="87">
        <v>408.92692433906768</v>
      </c>
      <c r="D189" s="87">
        <f t="shared" si="125"/>
        <v>-100.17876491073355</v>
      </c>
      <c r="E189" s="87">
        <v>105.74459402809198</v>
      </c>
      <c r="F189" s="87">
        <f t="shared" si="130"/>
        <v>5.5658291173584331</v>
      </c>
      <c r="G189" s="298">
        <f t="shared" si="128"/>
        <v>1.9051523774810342E-2</v>
      </c>
      <c r="I189" s="87"/>
      <c r="J189" s="87"/>
      <c r="K189" s="87"/>
      <c r="L189" s="87"/>
      <c r="M189" s="87"/>
      <c r="N189" s="87"/>
    </row>
    <row r="190" spans="1:23" x14ac:dyDescent="0.25">
      <c r="A190" s="251" t="str">
        <f t="shared" si="124"/>
        <v xml:space="preserve"> 53 Skilled construction and building trades</v>
      </c>
      <c r="B190" s="87">
        <v>374.31874507950721</v>
      </c>
      <c r="C190" s="87">
        <v>337.54384055090327</v>
      </c>
      <c r="D190" s="87">
        <f t="shared" si="125"/>
        <v>-36.77490452860394</v>
      </c>
      <c r="E190" s="87">
        <v>90.659192907329995</v>
      </c>
      <c r="F190" s="87">
        <f t="shared" ref="F190" si="131">SUM(D190:E190)</f>
        <v>53.884288378726055</v>
      </c>
      <c r="G190" s="298">
        <f t="shared" si="128"/>
        <v>2.1925125651106825E-2</v>
      </c>
      <c r="I190" s="87"/>
      <c r="J190" s="87"/>
      <c r="K190" s="87"/>
      <c r="L190" s="87"/>
      <c r="M190" s="87"/>
      <c r="N190" s="87"/>
    </row>
    <row r="191" spans="1:23" x14ac:dyDescent="0.25">
      <c r="A191" s="251" t="str">
        <f t="shared" si="124"/>
        <v xml:space="preserve"> 54 Textiles, printing and other skilled trades</v>
      </c>
      <c r="B191" s="87">
        <v>192.87443578323004</v>
      </c>
      <c r="C191" s="87">
        <v>177.40092203415281</v>
      </c>
      <c r="D191" s="87">
        <f t="shared" si="125"/>
        <v>-15.473513749077227</v>
      </c>
      <c r="E191" s="87">
        <v>49.782600188951314</v>
      </c>
      <c r="F191" s="87">
        <f t="shared" ref="F191" si="132">SUM(D191:E191)</f>
        <v>34.309086439874086</v>
      </c>
      <c r="G191" s="298">
        <f t="shared" si="128"/>
        <v>2.3226600845219769E-2</v>
      </c>
      <c r="I191" s="87"/>
      <c r="J191" s="87"/>
      <c r="K191" s="87"/>
      <c r="L191" s="87"/>
      <c r="M191" s="87"/>
      <c r="N191" s="87"/>
    </row>
    <row r="192" spans="1:23" x14ac:dyDescent="0.25">
      <c r="A192" s="251" t="str">
        <f t="shared" si="124"/>
        <v xml:space="preserve"> 61 Caring personal service occupations</v>
      </c>
      <c r="B192" s="87">
        <v>895.97762724582572</v>
      </c>
      <c r="C192" s="87">
        <v>1101.0454167958831</v>
      </c>
      <c r="D192" s="87">
        <f>C192-B192</f>
        <v>205.06778955005734</v>
      </c>
      <c r="E192" s="87">
        <v>383.02868518128975</v>
      </c>
      <c r="F192" s="87">
        <f>SUM(D192:E192)</f>
        <v>588.09647473134714</v>
      </c>
      <c r="G192" s="298">
        <f t="shared" si="128"/>
        <v>3.6233318505192402E-2</v>
      </c>
      <c r="I192" s="87"/>
      <c r="J192" s="87"/>
      <c r="K192" s="87"/>
      <c r="L192" s="87"/>
      <c r="M192" s="87"/>
      <c r="N192" s="87"/>
    </row>
    <row r="193" spans="1:14" x14ac:dyDescent="0.25">
      <c r="A193" s="251" t="str">
        <f t="shared" si="124"/>
        <v xml:space="preserve"> 62 Leisure, travel and related personal service occupations</v>
      </c>
      <c r="B193" s="87">
        <v>198.5393763201788</v>
      </c>
      <c r="C193" s="87">
        <v>174.8922018231583</v>
      </c>
      <c r="D193" s="87">
        <f t="shared" ref="D193:D199" si="133">C193-B193</f>
        <v>-23.647174497020501</v>
      </c>
      <c r="E193" s="87">
        <v>57.811769961606259</v>
      </c>
      <c r="F193" s="87">
        <f t="shared" ref="F193:F194" si="134">SUM(D193:E193)</f>
        <v>34.164595464585759</v>
      </c>
      <c r="G193" s="298">
        <f t="shared" si="128"/>
        <v>2.5885428099692964E-2</v>
      </c>
      <c r="I193" s="87"/>
      <c r="J193" s="87"/>
      <c r="K193" s="87"/>
      <c r="L193" s="87"/>
      <c r="M193" s="87"/>
      <c r="N193" s="87"/>
    </row>
    <row r="194" spans="1:14" x14ac:dyDescent="0.25">
      <c r="A194" s="251" t="str">
        <f t="shared" si="124"/>
        <v xml:space="preserve"> 71 Sales occupations</v>
      </c>
      <c r="B194" s="87">
        <v>574.36606956604771</v>
      </c>
      <c r="C194" s="87">
        <v>566.08949942279753</v>
      </c>
      <c r="D194" s="87">
        <f t="shared" si="133"/>
        <v>-8.2765701432501828</v>
      </c>
      <c r="E194" s="87">
        <v>178.27088684656496</v>
      </c>
      <c r="F194" s="87">
        <f t="shared" si="134"/>
        <v>169.99431670331478</v>
      </c>
      <c r="G194" s="298">
        <f t="shared" si="128"/>
        <v>2.7400271904540752E-2</v>
      </c>
      <c r="I194" s="87"/>
      <c r="J194" s="87"/>
      <c r="K194" s="87"/>
      <c r="L194" s="87"/>
      <c r="M194" s="87"/>
      <c r="N194" s="87"/>
    </row>
    <row r="195" spans="1:14" x14ac:dyDescent="0.25">
      <c r="A195" s="251" t="str">
        <f t="shared" si="124"/>
        <v xml:space="preserve"> 72 Customer service occupations</v>
      </c>
      <c r="B195" s="87">
        <v>167.06371517654208</v>
      </c>
      <c r="C195" s="87">
        <v>166.44463675094357</v>
      </c>
      <c r="D195" s="87">
        <f t="shared" si="133"/>
        <v>-0.61907842559850224</v>
      </c>
      <c r="E195" s="87">
        <v>49.196940002490749</v>
      </c>
      <c r="F195" s="87">
        <f t="shared" ref="F195:F196" si="135">SUM(D195:E195)</f>
        <v>48.577861576892246</v>
      </c>
      <c r="G195" s="298">
        <f t="shared" si="128"/>
        <v>2.6146901084612262E-2</v>
      </c>
      <c r="I195" s="105"/>
      <c r="J195" s="92"/>
    </row>
    <row r="196" spans="1:14" x14ac:dyDescent="0.25">
      <c r="A196" s="251" t="str">
        <f t="shared" si="124"/>
        <v xml:space="preserve"> 81 Process, plant and machine operatives</v>
      </c>
      <c r="B196" s="87">
        <v>217.07629018077651</v>
      </c>
      <c r="C196" s="87">
        <v>196.23456758404384</v>
      </c>
      <c r="D196" s="87">
        <f t="shared" si="133"/>
        <v>-20.841722596732666</v>
      </c>
      <c r="E196" s="87">
        <v>50.637318531070413</v>
      </c>
      <c r="F196" s="87">
        <f t="shared" si="135"/>
        <v>29.795595934337747</v>
      </c>
      <c r="G196" s="298">
        <f t="shared" si="128"/>
        <v>2.118824213990611E-2</v>
      </c>
    </row>
    <row r="197" spans="1:14" x14ac:dyDescent="0.25">
      <c r="A197" s="251" t="str">
        <f t="shared" si="124"/>
        <v xml:space="preserve"> 82 Transport and mobile machine drivers and operatives</v>
      </c>
      <c r="B197" s="87">
        <v>254.53318107798253</v>
      </c>
      <c r="C197" s="87">
        <v>280.8944884849048</v>
      </c>
      <c r="D197" s="87">
        <f t="shared" si="133"/>
        <v>26.361307406922265</v>
      </c>
      <c r="E197" s="87">
        <v>90.525354822098834</v>
      </c>
      <c r="F197" s="87">
        <f t="shared" ref="F197:F198" si="136">SUM(D197:E197)</f>
        <v>116.8866622290211</v>
      </c>
      <c r="G197" s="298">
        <f t="shared" si="128"/>
        <v>3.0895958437041182E-2</v>
      </c>
    </row>
    <row r="198" spans="1:14" x14ac:dyDescent="0.25">
      <c r="A198" s="251" t="str">
        <f t="shared" si="124"/>
        <v xml:space="preserve"> 91 Elementary trades and related occupations</v>
      </c>
      <c r="B198" s="87">
        <v>91.800954693682399</v>
      </c>
      <c r="C198" s="87">
        <v>88.583447978435018</v>
      </c>
      <c r="D198" s="87">
        <f t="shared" si="133"/>
        <v>-3.2175067152473815</v>
      </c>
      <c r="E198" s="87">
        <v>22.038020010324171</v>
      </c>
      <c r="F198" s="87">
        <f t="shared" si="136"/>
        <v>18.82051329507679</v>
      </c>
      <c r="G198" s="298">
        <f t="shared" si="128"/>
        <v>2.1749368085390408E-2</v>
      </c>
    </row>
    <row r="199" spans="1:14" x14ac:dyDescent="0.25">
      <c r="A199" s="251" t="str">
        <f t="shared" si="124"/>
        <v xml:space="preserve"> 92 Elementary administration and service occupations</v>
      </c>
      <c r="B199" s="87">
        <v>602.43931913088693</v>
      </c>
      <c r="C199" s="87">
        <v>585.80622837157284</v>
      </c>
      <c r="D199" s="87">
        <f t="shared" si="133"/>
        <v>-16.633090759314086</v>
      </c>
      <c r="E199" s="87">
        <v>194.10272506687653</v>
      </c>
      <c r="F199" s="87">
        <f t="shared" ref="F199" si="137">SUM(D199:E199)</f>
        <v>177.46963430756244</v>
      </c>
      <c r="G199" s="298">
        <f t="shared" si="128"/>
        <v>2.8322976227498131E-2</v>
      </c>
    </row>
    <row r="200" spans="1:14" x14ac:dyDescent="0.25">
      <c r="A200" s="251" t="str">
        <f t="shared" si="124"/>
        <v>All occupations</v>
      </c>
      <c r="B200" s="87">
        <f>SUM(B175:B199)</f>
        <v>6916.6632329275371</v>
      </c>
      <c r="C200" s="87">
        <f>SUM(C175:C199)</f>
        <v>6466.0936823055072</v>
      </c>
      <c r="D200" s="87">
        <f>SUM(D175:D199)</f>
        <v>-450.56955062203014</v>
      </c>
      <c r="E200" s="87">
        <f>SUM(E175:E199)</f>
        <v>2037.6591187865529</v>
      </c>
      <c r="F200" s="87">
        <f>SUM(F175:F199)</f>
        <v>1587.0895681645236</v>
      </c>
      <c r="G200" s="298">
        <f t="shared" si="128"/>
        <v>2.615652115658551E-2</v>
      </c>
    </row>
    <row r="202" spans="1:14" ht="39.6" x14ac:dyDescent="0.25">
      <c r="A202" s="299" t="str">
        <f>CONCATENATE(name!F10," (Constrained)")</f>
        <v>RQF2 GCSE(A-C) &amp; equivalent (Constrained)</v>
      </c>
      <c r="B202" s="96">
        <f t="shared" ref="B202:G202" si="138">B118</f>
        <v>2017</v>
      </c>
      <c r="C202" s="96">
        <f t="shared" si="138"/>
        <v>2027</v>
      </c>
      <c r="D202" s="117" t="str">
        <f t="shared" si="138"/>
        <v>Net Change</v>
      </c>
      <c r="E202" s="117" t="str">
        <f t="shared" si="138"/>
        <v>Replacement Demand level</v>
      </c>
      <c r="F202" s="117" t="str">
        <f t="shared" si="138"/>
        <v>Total Requirement</v>
      </c>
      <c r="G202" s="117" t="str">
        <f t="shared" si="138"/>
        <v>Replacement Demand rate</v>
      </c>
    </row>
    <row r="203" spans="1:14" x14ac:dyDescent="0.25">
      <c r="A203" s="251" t="str">
        <f t="shared" ref="A203:A228" si="139">A119</f>
        <v xml:space="preserve"> 11 Corporate managers and directors</v>
      </c>
      <c r="B203" s="87">
        <v>346.78343073155918</v>
      </c>
      <c r="C203" s="87">
        <v>283.55496282298134</v>
      </c>
      <c r="D203" s="87">
        <f>C203-B203</f>
        <v>-63.228467908577841</v>
      </c>
      <c r="E203" s="87">
        <v>95.909758184561809</v>
      </c>
      <c r="F203" s="87">
        <f>SUM(D203:E203)</f>
        <v>32.681290275983969</v>
      </c>
      <c r="G203" s="298">
        <f>IF(B203&gt;0,(1+(E203/B203))^(1/($C$6-$B$6))-1,0)</f>
        <v>2.4718200871145957E-2</v>
      </c>
    </row>
    <row r="204" spans="1:14" x14ac:dyDescent="0.25">
      <c r="A204" s="251" t="str">
        <f t="shared" si="139"/>
        <v xml:space="preserve"> 12 Other managers and proprietors</v>
      </c>
      <c r="B204" s="87">
        <v>195.71721028801622</v>
      </c>
      <c r="C204" s="87">
        <v>179.15636668482168</v>
      </c>
      <c r="D204" s="87">
        <f t="shared" ref="D204:D219" si="140">C204-B204</f>
        <v>-16.560843603194542</v>
      </c>
      <c r="E204" s="87">
        <v>69.952300666215763</v>
      </c>
      <c r="F204" s="87">
        <f t="shared" ref="F204:F211" si="141">SUM(D204:E204)</f>
        <v>53.391457063021221</v>
      </c>
      <c r="G204" s="298">
        <f t="shared" ref="G204:G206" si="142">IF(B204&gt;0,(1+(E204/B204))^(1/($C$6-$B$6))-1,0)</f>
        <v>3.1029923478252064E-2</v>
      </c>
    </row>
    <row r="205" spans="1:14" x14ac:dyDescent="0.25">
      <c r="A205" s="251" t="str">
        <f t="shared" si="139"/>
        <v xml:space="preserve"> 21 Science, research, engineering and technology professionals</v>
      </c>
      <c r="B205" s="87">
        <v>153.61505345568193</v>
      </c>
      <c r="C205" s="87">
        <v>122.70568068936687</v>
      </c>
      <c r="D205" s="87">
        <f t="shared" si="140"/>
        <v>-30.909372766315059</v>
      </c>
      <c r="E205" s="87">
        <v>30.016524964987791</v>
      </c>
      <c r="F205" s="87">
        <f t="shared" si="141"/>
        <v>-0.89284780132726738</v>
      </c>
      <c r="G205" s="298">
        <f t="shared" si="142"/>
        <v>1.8008394227303492E-2</v>
      </c>
    </row>
    <row r="206" spans="1:14" x14ac:dyDescent="0.25">
      <c r="A206" s="251" t="str">
        <f t="shared" si="139"/>
        <v xml:space="preserve"> 22 Health professionals</v>
      </c>
      <c r="B206" s="87">
        <v>103.15522448488458</v>
      </c>
      <c r="C206" s="87">
        <v>97.889804080938262</v>
      </c>
      <c r="D206" s="87">
        <f t="shared" si="140"/>
        <v>-5.2654204039463224</v>
      </c>
      <c r="E206" s="87">
        <v>33.450848731991819</v>
      </c>
      <c r="F206" s="87">
        <f t="shared" si="141"/>
        <v>28.185428328045496</v>
      </c>
      <c r="G206" s="298">
        <f t="shared" si="142"/>
        <v>2.8484800658739928E-2</v>
      </c>
    </row>
    <row r="207" spans="1:14" x14ac:dyDescent="0.25">
      <c r="A207" s="251" t="str">
        <f t="shared" si="139"/>
        <v xml:space="preserve"> 23 Teaching and educational professionals</v>
      </c>
      <c r="B207" s="87">
        <v>48.48233201319136</v>
      </c>
      <c r="C207" s="87">
        <v>52.462260280920738</v>
      </c>
      <c r="D207" s="87">
        <f t="shared" si="140"/>
        <v>3.9799282677293775</v>
      </c>
      <c r="E207" s="87">
        <v>15.820696508245188</v>
      </c>
      <c r="F207" s="87">
        <f t="shared" si="141"/>
        <v>19.800624775974565</v>
      </c>
      <c r="G207" s="298">
        <f>IF(B207&gt;0,(1+(E207/B207))^(1/($C$6-$B$6))-1,0)</f>
        <v>2.864327855887816E-2</v>
      </c>
    </row>
    <row r="208" spans="1:14" x14ac:dyDescent="0.25">
      <c r="A208" s="251" t="str">
        <f t="shared" si="139"/>
        <v xml:space="preserve"> 24 Business, media and public service professionals</v>
      </c>
      <c r="B208" s="87">
        <v>126.25386239059122</v>
      </c>
      <c r="C208" s="87">
        <v>96.52787511735032</v>
      </c>
      <c r="D208" s="87">
        <f t="shared" si="140"/>
        <v>-29.725987273240904</v>
      </c>
      <c r="E208" s="87">
        <v>29.608113463292547</v>
      </c>
      <c r="F208" s="87">
        <f t="shared" si="141"/>
        <v>-0.11787380994835672</v>
      </c>
      <c r="G208" s="298">
        <f t="shared" ref="G208:G228" si="143">IF(B208&gt;0,(1+(E208/B208))^(1/($C$6-$B$6))-1,0)</f>
        <v>2.1291107430760459E-2</v>
      </c>
    </row>
    <row r="209" spans="1:7" x14ac:dyDescent="0.25">
      <c r="A209" s="251" t="str">
        <f t="shared" si="139"/>
        <v xml:space="preserve"> 31 Science, engineering and technology associate professionals</v>
      </c>
      <c r="B209" s="87">
        <v>88.933349650914721</v>
      </c>
      <c r="C209" s="87">
        <v>70.60327627010092</v>
      </c>
      <c r="D209" s="87">
        <f t="shared" si="140"/>
        <v>-18.330073380813801</v>
      </c>
      <c r="E209" s="87">
        <v>19.426310154755797</v>
      </c>
      <c r="F209" s="87">
        <f t="shared" si="141"/>
        <v>1.096236773941996</v>
      </c>
      <c r="G209" s="298">
        <f t="shared" si="143"/>
        <v>1.9953325451080195E-2</v>
      </c>
    </row>
    <row r="210" spans="1:7" x14ac:dyDescent="0.25">
      <c r="A210" s="251" t="str">
        <f t="shared" si="139"/>
        <v xml:space="preserve"> 32 Health and social care associate professionals</v>
      </c>
      <c r="B210" s="87">
        <v>47.273820516018219</v>
      </c>
      <c r="C210" s="87">
        <v>44.24854163772094</v>
      </c>
      <c r="D210" s="87">
        <f t="shared" si="140"/>
        <v>-3.0252788782972786</v>
      </c>
      <c r="E210" s="87">
        <v>15.684026105742438</v>
      </c>
      <c r="F210" s="87">
        <f t="shared" si="141"/>
        <v>12.65874722744516</v>
      </c>
      <c r="G210" s="298">
        <f t="shared" si="143"/>
        <v>2.906525794326198E-2</v>
      </c>
    </row>
    <row r="211" spans="1:7" x14ac:dyDescent="0.25">
      <c r="A211" s="251" t="str">
        <f t="shared" si="139"/>
        <v xml:space="preserve"> 33 Protective service occupations</v>
      </c>
      <c r="B211" s="87">
        <v>83.467875345467476</v>
      </c>
      <c r="C211" s="87">
        <v>59.41149875534721</v>
      </c>
      <c r="D211" s="87">
        <f t="shared" si="140"/>
        <v>-24.056376590120266</v>
      </c>
      <c r="E211" s="87">
        <v>13.915470143099663</v>
      </c>
      <c r="F211" s="87">
        <f t="shared" si="141"/>
        <v>-10.140906447020603</v>
      </c>
      <c r="G211" s="298">
        <f t="shared" si="143"/>
        <v>1.5538828723854037E-2</v>
      </c>
    </row>
    <row r="212" spans="1:7" x14ac:dyDescent="0.25">
      <c r="A212" s="251" t="str">
        <f t="shared" si="139"/>
        <v xml:space="preserve"> 34 Culture, media and sports occupations</v>
      </c>
      <c r="B212" s="87">
        <v>58.185352005543535</v>
      </c>
      <c r="C212" s="87">
        <v>33.120234044312404</v>
      </c>
      <c r="D212" s="87">
        <f t="shared" si="140"/>
        <v>-25.065117961231131</v>
      </c>
      <c r="E212" s="87">
        <v>11.189576924111249</v>
      </c>
      <c r="F212" s="87">
        <f t="shared" ref="F212:F213" si="144">SUM(D212:E212)</f>
        <v>-13.875541037119882</v>
      </c>
      <c r="G212" s="298">
        <f t="shared" si="143"/>
        <v>1.7744791607780641E-2</v>
      </c>
    </row>
    <row r="213" spans="1:7" x14ac:dyDescent="0.25">
      <c r="A213" s="251" t="str">
        <f t="shared" si="139"/>
        <v xml:space="preserve"> 35 Business and public service associate professionals</v>
      </c>
      <c r="B213" s="87">
        <v>343.24509242735934</v>
      </c>
      <c r="C213" s="87">
        <v>267.4193620226215</v>
      </c>
      <c r="D213" s="87">
        <f t="shared" si="140"/>
        <v>-75.82573040473784</v>
      </c>
      <c r="E213" s="87">
        <v>80.855278470315795</v>
      </c>
      <c r="F213" s="87">
        <f t="shared" si="144"/>
        <v>5.0295480655779556</v>
      </c>
      <c r="G213" s="298">
        <f t="shared" si="143"/>
        <v>2.137784112504737E-2</v>
      </c>
    </row>
    <row r="214" spans="1:7" x14ac:dyDescent="0.25">
      <c r="A214" s="251" t="str">
        <f t="shared" si="139"/>
        <v xml:space="preserve"> 41 Administrative occupations</v>
      </c>
      <c r="B214" s="87">
        <v>684.19734014775668</v>
      </c>
      <c r="C214" s="87">
        <v>470.45348382772193</v>
      </c>
      <c r="D214" s="87">
        <f t="shared" si="140"/>
        <v>-213.74385632003475</v>
      </c>
      <c r="E214" s="87">
        <v>172.73936715872642</v>
      </c>
      <c r="F214" s="87">
        <f t="shared" ref="F214:F217" si="145">SUM(D214:E214)</f>
        <v>-41.004489161308328</v>
      </c>
      <c r="G214" s="298">
        <f t="shared" si="143"/>
        <v>2.2767069718466093E-2</v>
      </c>
    </row>
    <row r="215" spans="1:7" x14ac:dyDescent="0.25">
      <c r="A215" s="251" t="str">
        <f t="shared" si="139"/>
        <v xml:space="preserve"> 42 Secretarial and related occupations</v>
      </c>
      <c r="B215" s="87">
        <v>171.11487163698959</v>
      </c>
      <c r="C215" s="87">
        <v>52.553528026995011</v>
      </c>
      <c r="D215" s="87">
        <f t="shared" si="140"/>
        <v>-118.56134360999458</v>
      </c>
      <c r="E215" s="87">
        <v>33.394069261358339</v>
      </c>
      <c r="F215" s="87">
        <f t="shared" si="145"/>
        <v>-85.167274348636241</v>
      </c>
      <c r="G215" s="298">
        <f t="shared" si="143"/>
        <v>1.7987521339731138E-2</v>
      </c>
    </row>
    <row r="216" spans="1:7" x14ac:dyDescent="0.25">
      <c r="A216" s="251" t="str">
        <f t="shared" si="139"/>
        <v xml:space="preserve"> 51 Skilled agricultural and related trades</v>
      </c>
      <c r="B216" s="87">
        <v>83.203890228505884</v>
      </c>
      <c r="C216" s="87">
        <v>78.827196655670292</v>
      </c>
      <c r="D216" s="87">
        <f t="shared" si="140"/>
        <v>-4.3766935728355918</v>
      </c>
      <c r="E216" s="87">
        <v>28.351174895794173</v>
      </c>
      <c r="F216" s="87">
        <f t="shared" si="145"/>
        <v>23.974481322958582</v>
      </c>
      <c r="G216" s="298">
        <f t="shared" si="143"/>
        <v>2.9756557363939118E-2</v>
      </c>
    </row>
    <row r="217" spans="1:7" x14ac:dyDescent="0.25">
      <c r="A217" s="251" t="str">
        <f t="shared" si="139"/>
        <v xml:space="preserve"> 52 Skilled metal, electrical and electronic trades</v>
      </c>
      <c r="B217" s="87">
        <v>293.48253815562282</v>
      </c>
      <c r="C217" s="87">
        <v>217.77655090823842</v>
      </c>
      <c r="D217" s="87">
        <f t="shared" si="140"/>
        <v>-75.7059872473844</v>
      </c>
      <c r="E217" s="87">
        <v>62.756871841800958</v>
      </c>
      <c r="F217" s="87">
        <f t="shared" si="145"/>
        <v>-12.949115405583441</v>
      </c>
      <c r="G217" s="298">
        <f t="shared" si="143"/>
        <v>1.9567467869815225E-2</v>
      </c>
    </row>
    <row r="218" spans="1:7" x14ac:dyDescent="0.25">
      <c r="A218" s="251" t="str">
        <f t="shared" si="139"/>
        <v xml:space="preserve"> 53 Skilled construction and building trades</v>
      </c>
      <c r="B218" s="87">
        <v>332.16524950637313</v>
      </c>
      <c r="C218" s="87">
        <v>356.62394534164383</v>
      </c>
      <c r="D218" s="87">
        <f t="shared" si="140"/>
        <v>24.458695835270703</v>
      </c>
      <c r="E218" s="87">
        <v>103.79574981965646</v>
      </c>
      <c r="F218" s="87">
        <f t="shared" ref="F218" si="146">SUM(D218:E218)</f>
        <v>128.25444565492717</v>
      </c>
      <c r="G218" s="298">
        <f t="shared" si="143"/>
        <v>2.7565097250637161E-2</v>
      </c>
    </row>
    <row r="219" spans="1:7" x14ac:dyDescent="0.25">
      <c r="A219" s="251" t="str">
        <f t="shared" si="139"/>
        <v xml:space="preserve"> 54 Textiles, printing and other skilled trades</v>
      </c>
      <c r="B219" s="87">
        <v>196.98191774919286</v>
      </c>
      <c r="C219" s="87">
        <v>126.33510558977703</v>
      </c>
      <c r="D219" s="87">
        <f t="shared" si="140"/>
        <v>-70.64681215941583</v>
      </c>
      <c r="E219" s="87">
        <v>42.057578232677656</v>
      </c>
      <c r="F219" s="87">
        <f t="shared" ref="F219" si="147">SUM(D219:E219)</f>
        <v>-28.589233926738174</v>
      </c>
      <c r="G219" s="298">
        <f t="shared" si="143"/>
        <v>1.9540143262181564E-2</v>
      </c>
    </row>
    <row r="220" spans="1:7" x14ac:dyDescent="0.25">
      <c r="A220" s="251" t="str">
        <f t="shared" si="139"/>
        <v xml:space="preserve"> 61 Caring personal service occupations</v>
      </c>
      <c r="B220" s="87">
        <v>678.36386057257357</v>
      </c>
      <c r="C220" s="87">
        <v>642.20659492786319</v>
      </c>
      <c r="D220" s="87">
        <f>C220-B220</f>
        <v>-36.157265644710378</v>
      </c>
      <c r="E220" s="87">
        <v>220.29784551009053</v>
      </c>
      <c r="F220" s="87">
        <f>SUM(D220:E220)</f>
        <v>184.14057986538015</v>
      </c>
      <c r="G220" s="298">
        <f t="shared" si="143"/>
        <v>2.8521449673997612E-2</v>
      </c>
    </row>
    <row r="221" spans="1:7" x14ac:dyDescent="0.25">
      <c r="A221" s="251" t="str">
        <f t="shared" si="139"/>
        <v xml:space="preserve"> 62 Leisure, travel and related personal service occupations</v>
      </c>
      <c r="B221" s="87">
        <v>193.49862745303579</v>
      </c>
      <c r="C221" s="87">
        <v>151.89473118704899</v>
      </c>
      <c r="D221" s="87">
        <f t="shared" ref="D221:D227" si="148">C221-B221</f>
        <v>-41.603896265986805</v>
      </c>
      <c r="E221" s="87">
        <v>54.299052241457133</v>
      </c>
      <c r="F221" s="87">
        <f t="shared" ref="F221:F222" si="149">SUM(D221:E221)</f>
        <v>12.695155975470328</v>
      </c>
      <c r="G221" s="298">
        <f t="shared" si="143"/>
        <v>2.5042647082986536E-2</v>
      </c>
    </row>
    <row r="222" spans="1:7" x14ac:dyDescent="0.25">
      <c r="A222" s="251" t="str">
        <f t="shared" si="139"/>
        <v xml:space="preserve"> 71 Sales occupations</v>
      </c>
      <c r="B222" s="87">
        <v>584.84190823122537</v>
      </c>
      <c r="C222" s="87">
        <v>458.08926467242708</v>
      </c>
      <c r="D222" s="87">
        <f t="shared" si="148"/>
        <v>-126.7526435587983</v>
      </c>
      <c r="E222" s="87">
        <v>161.75384080951881</v>
      </c>
      <c r="F222" s="87">
        <f t="shared" si="149"/>
        <v>35.001197250720509</v>
      </c>
      <c r="G222" s="298">
        <f t="shared" si="143"/>
        <v>2.4718796869723336E-2</v>
      </c>
    </row>
    <row r="223" spans="1:7" x14ac:dyDescent="0.25">
      <c r="A223" s="251" t="str">
        <f t="shared" si="139"/>
        <v xml:space="preserve"> 72 Customer service occupations</v>
      </c>
      <c r="B223" s="87">
        <v>177.27947147677042</v>
      </c>
      <c r="C223" s="87">
        <v>183.78463439040232</v>
      </c>
      <c r="D223" s="87">
        <f t="shared" si="148"/>
        <v>6.5051629136318923</v>
      </c>
      <c r="E223" s="87">
        <v>56.042977108595011</v>
      </c>
      <c r="F223" s="87">
        <f t="shared" ref="F223:F224" si="150">SUM(D223:E223)</f>
        <v>62.548140022226903</v>
      </c>
      <c r="G223" s="298">
        <f t="shared" si="143"/>
        <v>2.7850159749301717E-2</v>
      </c>
    </row>
    <row r="224" spans="1:7" x14ac:dyDescent="0.25">
      <c r="A224" s="251" t="str">
        <f t="shared" si="139"/>
        <v xml:space="preserve"> 81 Process, plant and machine operatives</v>
      </c>
      <c r="B224" s="87">
        <v>275.80932508279801</v>
      </c>
      <c r="C224" s="87">
        <v>238.94372129111142</v>
      </c>
      <c r="D224" s="87">
        <f t="shared" si="148"/>
        <v>-36.865603791686596</v>
      </c>
      <c r="E224" s="87">
        <v>68.392895896404625</v>
      </c>
      <c r="F224" s="87">
        <f t="shared" si="150"/>
        <v>31.527292104718029</v>
      </c>
      <c r="G224" s="298">
        <f t="shared" si="143"/>
        <v>2.2399132402814104E-2</v>
      </c>
    </row>
    <row r="225" spans="1:7" x14ac:dyDescent="0.25">
      <c r="A225" s="251" t="str">
        <f t="shared" si="139"/>
        <v xml:space="preserve"> 82 Transport and mobile machine drivers and operatives</v>
      </c>
      <c r="B225" s="87">
        <v>381.05800115328708</v>
      </c>
      <c r="C225" s="87">
        <v>391.75459346629719</v>
      </c>
      <c r="D225" s="87">
        <f t="shared" si="148"/>
        <v>10.696592313010115</v>
      </c>
      <c r="E225" s="87">
        <v>139.38997540031721</v>
      </c>
      <c r="F225" s="87">
        <f t="shared" ref="F225:F226" si="151">SUM(D225:E225)</f>
        <v>150.08656771332733</v>
      </c>
      <c r="G225" s="298">
        <f t="shared" si="143"/>
        <v>3.1664826366086141E-2</v>
      </c>
    </row>
    <row r="226" spans="1:7" x14ac:dyDescent="0.25">
      <c r="A226" s="251" t="str">
        <f t="shared" si="139"/>
        <v xml:space="preserve"> 91 Elementary trades and related occupations</v>
      </c>
      <c r="B226" s="87">
        <v>144.34314601582776</v>
      </c>
      <c r="C226" s="87">
        <v>136.64246098296204</v>
      </c>
      <c r="D226" s="87">
        <f t="shared" si="148"/>
        <v>-7.7006850328657208</v>
      </c>
      <c r="E226" s="87">
        <v>36.697227342948658</v>
      </c>
      <c r="F226" s="87">
        <f t="shared" si="151"/>
        <v>28.996542310082937</v>
      </c>
      <c r="G226" s="298">
        <f t="shared" si="143"/>
        <v>2.2911183993379103E-2</v>
      </c>
    </row>
    <row r="227" spans="1:7" x14ac:dyDescent="0.25">
      <c r="A227" s="251" t="str">
        <f t="shared" si="139"/>
        <v xml:space="preserve"> 92 Elementary administration and service occupations</v>
      </c>
      <c r="B227" s="87">
        <v>961.31800098250926</v>
      </c>
      <c r="C227" s="87">
        <v>961.79750492915036</v>
      </c>
      <c r="D227" s="87">
        <f t="shared" si="148"/>
        <v>0.47950394664110263</v>
      </c>
      <c r="E227" s="87">
        <v>311.53525166660688</v>
      </c>
      <c r="F227" s="87">
        <f t="shared" ref="F227" si="152">SUM(D227:E227)</f>
        <v>312.01475561324798</v>
      </c>
      <c r="G227" s="298">
        <f t="shared" si="143"/>
        <v>2.846881156560932E-2</v>
      </c>
    </row>
    <row r="228" spans="1:7" x14ac:dyDescent="0.25">
      <c r="A228" s="251" t="str">
        <f t="shared" si="139"/>
        <v>All occupations</v>
      </c>
      <c r="B228" s="87">
        <f>SUM(B203:B227)</f>
        <v>6752.770751701697</v>
      </c>
      <c r="C228" s="87">
        <f>SUM(C203:C227)</f>
        <v>5774.7831786037914</v>
      </c>
      <c r="D228" s="87">
        <f>SUM(D203:D227)</f>
        <v>-977.98757309790471</v>
      </c>
      <c r="E228" s="87">
        <f>SUM(E203:E227)</f>
        <v>1907.3327815032728</v>
      </c>
      <c r="F228" s="87">
        <f>SUM(F203:F227)</f>
        <v>929.345208405368</v>
      </c>
      <c r="G228" s="298">
        <f t="shared" si="143"/>
        <v>2.5189401574817527E-2</v>
      </c>
    </row>
    <row r="230" spans="1:7" ht="39.6" x14ac:dyDescent="0.25">
      <c r="A230" s="299" t="str">
        <f>CONCATENATE(name!F11," (Constrained)")</f>
        <v>RQF1 GCSE(below grade C) &amp; equivalent (Constrained)</v>
      </c>
      <c r="B230" s="96">
        <f t="shared" ref="B230:G230" si="153">B146</f>
        <v>2017</v>
      </c>
      <c r="C230" s="96">
        <f t="shared" si="153"/>
        <v>2027</v>
      </c>
      <c r="D230" s="117" t="str">
        <f t="shared" si="153"/>
        <v>Net Change</v>
      </c>
      <c r="E230" s="117" t="str">
        <f t="shared" si="153"/>
        <v>Replacement Demand level</v>
      </c>
      <c r="F230" s="117" t="str">
        <f t="shared" si="153"/>
        <v>Total Requirement</v>
      </c>
      <c r="G230" s="117" t="str">
        <f t="shared" si="153"/>
        <v>Replacement Demand rate</v>
      </c>
    </row>
    <row r="231" spans="1:7" x14ac:dyDescent="0.25">
      <c r="A231" s="251" t="str">
        <f t="shared" ref="A231:A256" si="154">A147</f>
        <v xml:space="preserve"> 11 Corporate managers and directors</v>
      </c>
      <c r="B231" s="87">
        <v>235.86216922104626</v>
      </c>
      <c r="C231" s="87">
        <v>184.1100233278361</v>
      </c>
      <c r="D231" s="87">
        <f>C231-B231</f>
        <v>-51.752145893210155</v>
      </c>
      <c r="E231" s="87">
        <v>59.115233190539897</v>
      </c>
      <c r="F231" s="87">
        <f>SUM(D231:E231)</f>
        <v>7.3630872973297414</v>
      </c>
      <c r="G231" s="298">
        <f>IF(B231&gt;0,(1+(E231/B231))^(1/($C$6-$B$6))-1,0)</f>
        <v>2.261708871765955E-2</v>
      </c>
    </row>
    <row r="232" spans="1:7" x14ac:dyDescent="0.25">
      <c r="A232" s="251" t="str">
        <f t="shared" si="154"/>
        <v xml:space="preserve"> 12 Other managers and proprietors</v>
      </c>
      <c r="B232" s="87">
        <v>132.99403305395043</v>
      </c>
      <c r="C232" s="87">
        <v>91.127292922476272</v>
      </c>
      <c r="D232" s="87">
        <f t="shared" ref="D232:D247" si="155">C232-B232</f>
        <v>-41.86674013147416</v>
      </c>
      <c r="E232" s="87">
        <v>33.695807441691372</v>
      </c>
      <c r="F232" s="87">
        <f t="shared" ref="F232:F239" si="156">SUM(D232:E232)</f>
        <v>-8.1709326897827879</v>
      </c>
      <c r="G232" s="298">
        <f t="shared" ref="G232:G234" si="157">IF(B232&gt;0,(1+(E232/B232))^(1/($C$6-$B$6))-1,0)</f>
        <v>2.2839985690515929E-2</v>
      </c>
    </row>
    <row r="233" spans="1:7" x14ac:dyDescent="0.25">
      <c r="A233" s="251" t="str">
        <f t="shared" si="154"/>
        <v xml:space="preserve"> 21 Science, research, engineering and technology professionals</v>
      </c>
      <c r="B233" s="87">
        <v>89.744973131015556</v>
      </c>
      <c r="C233" s="87">
        <v>59.303758551751883</v>
      </c>
      <c r="D233" s="87">
        <f t="shared" si="155"/>
        <v>-30.441214579263672</v>
      </c>
      <c r="E233" s="87">
        <v>14.625067717434328</v>
      </c>
      <c r="F233" s="87">
        <f t="shared" si="156"/>
        <v>-15.816146861829344</v>
      </c>
      <c r="G233" s="298">
        <f t="shared" si="157"/>
        <v>1.5211601661752949E-2</v>
      </c>
    </row>
    <row r="234" spans="1:7" x14ac:dyDescent="0.25">
      <c r="A234" s="251" t="str">
        <f t="shared" si="154"/>
        <v xml:space="preserve"> 22 Health professionals</v>
      </c>
      <c r="B234" s="87">
        <v>62.17840648135126</v>
      </c>
      <c r="C234" s="87">
        <v>46.885653946500192</v>
      </c>
      <c r="D234" s="87">
        <f t="shared" si="155"/>
        <v>-15.292752534851068</v>
      </c>
      <c r="E234" s="87">
        <v>14.502369086332244</v>
      </c>
      <c r="F234" s="87">
        <f t="shared" si="156"/>
        <v>-0.79038344851882414</v>
      </c>
      <c r="G234" s="298">
        <f t="shared" si="157"/>
        <v>2.1185620770364011E-2</v>
      </c>
    </row>
    <row r="235" spans="1:7" x14ac:dyDescent="0.25">
      <c r="A235" s="251" t="str">
        <f t="shared" si="154"/>
        <v xml:space="preserve"> 23 Teaching and educational professionals</v>
      </c>
      <c r="B235" s="87">
        <v>38.500008443979162</v>
      </c>
      <c r="C235" s="87">
        <v>34.170880884727517</v>
      </c>
      <c r="D235" s="87">
        <f t="shared" si="155"/>
        <v>-4.3291275592516456</v>
      </c>
      <c r="E235" s="87">
        <v>9.7869221287378707</v>
      </c>
      <c r="F235" s="87">
        <f t="shared" si="156"/>
        <v>5.4577945694862251</v>
      </c>
      <c r="G235" s="298">
        <f>IF(B235&gt;0,(1+(E235/B235))^(1/($C$6-$B$6))-1,0)</f>
        <v>2.2908712082554183E-2</v>
      </c>
    </row>
    <row r="236" spans="1:7" x14ac:dyDescent="0.25">
      <c r="A236" s="251" t="str">
        <f t="shared" si="154"/>
        <v xml:space="preserve"> 24 Business, media and public service professionals</v>
      </c>
      <c r="B236" s="87">
        <v>78.306832612832423</v>
      </c>
      <c r="C236" s="87">
        <v>50.306339456143021</v>
      </c>
      <c r="D236" s="87">
        <f t="shared" si="155"/>
        <v>-28.000493156689402</v>
      </c>
      <c r="E236" s="87">
        <v>15.842071711631187</v>
      </c>
      <c r="F236" s="87">
        <f t="shared" si="156"/>
        <v>-12.158421445058215</v>
      </c>
      <c r="G236" s="298">
        <f t="shared" ref="G236:G256" si="158">IF(B236&gt;0,(1+(E236/B236))^(1/($C$6-$B$6))-1,0)</f>
        <v>1.8595049782317963E-2</v>
      </c>
    </row>
    <row r="237" spans="1:7" x14ac:dyDescent="0.25">
      <c r="A237" s="251" t="str">
        <f t="shared" si="154"/>
        <v xml:space="preserve"> 31 Science, engineering and technology associate professionals</v>
      </c>
      <c r="B237" s="87">
        <v>68.832056325736616</v>
      </c>
      <c r="C237" s="87">
        <v>52.420342069549733</v>
      </c>
      <c r="D237" s="87">
        <f t="shared" si="155"/>
        <v>-16.411714256186883</v>
      </c>
      <c r="E237" s="87">
        <v>14.009260787197649</v>
      </c>
      <c r="F237" s="87">
        <f t="shared" si="156"/>
        <v>-2.4024534689892345</v>
      </c>
      <c r="G237" s="298">
        <f>IF(B237&gt;0,(1+(E237/B237))^(1/($C$6-$B$6))-1,0)</f>
        <v>1.8698402511554413E-2</v>
      </c>
    </row>
    <row r="238" spans="1:7" x14ac:dyDescent="0.25">
      <c r="A238" s="251" t="str">
        <f t="shared" si="154"/>
        <v xml:space="preserve"> 32 Health and social care associate professionals</v>
      </c>
      <c r="B238" s="87">
        <v>25.932675682918081</v>
      </c>
      <c r="C238" s="87">
        <v>17.491294459760041</v>
      </c>
      <c r="D238" s="87">
        <f t="shared" si="155"/>
        <v>-8.4413812231580394</v>
      </c>
      <c r="E238" s="87">
        <v>5.8588207457331496</v>
      </c>
      <c r="F238" s="87">
        <f t="shared" si="156"/>
        <v>-2.5825604774248898</v>
      </c>
      <c r="G238" s="298">
        <f t="shared" si="158"/>
        <v>2.0578380524501672E-2</v>
      </c>
    </row>
    <row r="239" spans="1:7" x14ac:dyDescent="0.25">
      <c r="A239" s="251" t="str">
        <f t="shared" si="154"/>
        <v xml:space="preserve"> 33 Protective service occupations</v>
      </c>
      <c r="B239" s="87">
        <v>45.350391106647045</v>
      </c>
      <c r="C239" s="87">
        <v>29.851550514453859</v>
      </c>
      <c r="D239" s="87">
        <f t="shared" si="155"/>
        <v>-15.498840592193186</v>
      </c>
      <c r="E239" s="87">
        <v>7.9960320505499585</v>
      </c>
      <c r="F239" s="87">
        <f t="shared" si="156"/>
        <v>-7.502808541643228</v>
      </c>
      <c r="G239" s="298">
        <f t="shared" si="158"/>
        <v>1.6371379118134355E-2</v>
      </c>
    </row>
    <row r="240" spans="1:7" x14ac:dyDescent="0.25">
      <c r="A240" s="251" t="str">
        <f t="shared" si="154"/>
        <v xml:space="preserve"> 34 Culture, media and sports occupations</v>
      </c>
      <c r="B240" s="87">
        <v>50.021775597645444</v>
      </c>
      <c r="C240" s="87">
        <v>28.141114805680772</v>
      </c>
      <c r="D240" s="87">
        <f t="shared" si="155"/>
        <v>-21.880660791964672</v>
      </c>
      <c r="E240" s="87">
        <v>8.7521933858614549</v>
      </c>
      <c r="F240" s="87">
        <f t="shared" ref="F240:F241" si="159">SUM(D240:E240)</f>
        <v>-13.128467406103217</v>
      </c>
      <c r="G240" s="298">
        <f t="shared" si="158"/>
        <v>1.6254757194036129E-2</v>
      </c>
    </row>
    <row r="241" spans="1:7" x14ac:dyDescent="0.25">
      <c r="A241" s="251" t="str">
        <f t="shared" si="154"/>
        <v xml:space="preserve"> 35 Business and public service associate professionals</v>
      </c>
      <c r="B241" s="87">
        <v>212.39608163843531</v>
      </c>
      <c r="C241" s="87">
        <v>136.38091160351377</v>
      </c>
      <c r="D241" s="87">
        <f t="shared" si="155"/>
        <v>-76.015170034921539</v>
      </c>
      <c r="E241" s="87">
        <v>39.625189723502658</v>
      </c>
      <c r="F241" s="87">
        <f t="shared" si="159"/>
        <v>-36.389980311418881</v>
      </c>
      <c r="G241" s="298">
        <f t="shared" si="158"/>
        <v>1.7253211865259743E-2</v>
      </c>
    </row>
    <row r="242" spans="1:7" x14ac:dyDescent="0.25">
      <c r="A242" s="251" t="str">
        <f t="shared" si="154"/>
        <v xml:space="preserve"> 41 Administrative occupations</v>
      </c>
      <c r="B242" s="87">
        <v>357.23199300873472</v>
      </c>
      <c r="C242" s="87">
        <v>132.4893774882359</v>
      </c>
      <c r="D242" s="87">
        <f t="shared" si="155"/>
        <v>-224.74261552049882</v>
      </c>
      <c r="E242" s="87">
        <v>58.053275644133372</v>
      </c>
      <c r="F242" s="87">
        <f t="shared" ref="F242:F245" si="160">SUM(D242:E242)</f>
        <v>-166.68933987636544</v>
      </c>
      <c r="G242" s="298">
        <f t="shared" si="158"/>
        <v>1.5171970020755765E-2</v>
      </c>
    </row>
    <row r="243" spans="1:7" x14ac:dyDescent="0.25">
      <c r="A243" s="251" t="str">
        <f t="shared" si="154"/>
        <v xml:space="preserve"> 42 Secretarial and related occupations</v>
      </c>
      <c r="B243" s="87">
        <v>161.19807579329603</v>
      </c>
      <c r="C243" s="87">
        <v>27.359254279622597</v>
      </c>
      <c r="D243" s="87">
        <f t="shared" si="155"/>
        <v>-133.83882151367342</v>
      </c>
      <c r="E243" s="87">
        <v>23.749543246678115</v>
      </c>
      <c r="F243" s="87">
        <f t="shared" si="160"/>
        <v>-110.08927826699531</v>
      </c>
      <c r="G243" s="298">
        <f t="shared" si="158"/>
        <v>1.3838756374963346E-2</v>
      </c>
    </row>
    <row r="244" spans="1:7" x14ac:dyDescent="0.25">
      <c r="A244" s="251" t="str">
        <f t="shared" si="154"/>
        <v xml:space="preserve"> 51 Skilled agricultural and related trades</v>
      </c>
      <c r="B244" s="87">
        <v>65.26010133682766</v>
      </c>
      <c r="C244" s="87">
        <v>51.946864844011301</v>
      </c>
      <c r="D244" s="87">
        <f t="shared" si="155"/>
        <v>-13.313236492816358</v>
      </c>
      <c r="E244" s="87">
        <v>17.94612282279143</v>
      </c>
      <c r="F244" s="87">
        <f t="shared" si="160"/>
        <v>4.6328863299750722</v>
      </c>
      <c r="G244" s="298">
        <f t="shared" si="158"/>
        <v>2.4591637805220445E-2</v>
      </c>
    </row>
    <row r="245" spans="1:7" x14ac:dyDescent="0.25">
      <c r="A245" s="251" t="str">
        <f t="shared" si="154"/>
        <v xml:space="preserve"> 52 Skilled metal, electrical and electronic trades</v>
      </c>
      <c r="B245" s="87">
        <v>144.3697953954655</v>
      </c>
      <c r="C245" s="87">
        <v>89.447162681840936</v>
      </c>
      <c r="D245" s="87">
        <f t="shared" si="155"/>
        <v>-54.922632713624566</v>
      </c>
      <c r="E245" s="87">
        <v>27.139823545265241</v>
      </c>
      <c r="F245" s="87">
        <f t="shared" si="160"/>
        <v>-27.782809168359325</v>
      </c>
      <c r="G245" s="298">
        <f t="shared" si="158"/>
        <v>1.7375357514089806E-2</v>
      </c>
    </row>
    <row r="246" spans="1:7" x14ac:dyDescent="0.25">
      <c r="A246" s="251" t="str">
        <f t="shared" si="154"/>
        <v xml:space="preserve"> 53 Skilled construction and building trades</v>
      </c>
      <c r="B246" s="87">
        <v>162.38448793481905</v>
      </c>
      <c r="C246" s="87">
        <v>141.73356481166184</v>
      </c>
      <c r="D246" s="87">
        <f t="shared" si="155"/>
        <v>-20.650923123157213</v>
      </c>
      <c r="E246" s="87">
        <v>40.747124765481203</v>
      </c>
      <c r="F246" s="87">
        <f t="shared" ref="F246" si="161">SUM(D246:E246)</f>
        <v>20.09620164232399</v>
      </c>
      <c r="G246" s="298">
        <f t="shared" si="158"/>
        <v>2.264122850709982E-2</v>
      </c>
    </row>
    <row r="247" spans="1:7" x14ac:dyDescent="0.25">
      <c r="A247" s="251" t="str">
        <f t="shared" si="154"/>
        <v xml:space="preserve"> 54 Textiles, printing and other skilled trades</v>
      </c>
      <c r="B247" s="87">
        <v>170.10818650340534</v>
      </c>
      <c r="C247" s="87">
        <v>117.35179937361788</v>
      </c>
      <c r="D247" s="87">
        <f t="shared" si="155"/>
        <v>-52.756387129787456</v>
      </c>
      <c r="E247" s="87">
        <v>33.603654435814612</v>
      </c>
      <c r="F247" s="87">
        <f t="shared" ref="F247" si="162">SUM(D247:E247)</f>
        <v>-19.152732693972844</v>
      </c>
      <c r="G247" s="298">
        <f t="shared" si="158"/>
        <v>1.8190652982231992E-2</v>
      </c>
    </row>
    <row r="248" spans="1:7" x14ac:dyDescent="0.25">
      <c r="A248" s="251" t="str">
        <f t="shared" si="154"/>
        <v xml:space="preserve"> 61 Caring personal service occupations</v>
      </c>
      <c r="B248" s="87">
        <v>155.58706388852983</v>
      </c>
      <c r="C248" s="87">
        <v>67.592354525811004</v>
      </c>
      <c r="D248" s="87">
        <f>C248-B248</f>
        <v>-87.994709362718822</v>
      </c>
      <c r="E248" s="87">
        <v>19.333389275824906</v>
      </c>
      <c r="F248" s="87">
        <f>SUM(D248:E248)</f>
        <v>-68.661320086893909</v>
      </c>
      <c r="G248" s="298">
        <f t="shared" si="158"/>
        <v>1.1781445493796117E-2</v>
      </c>
    </row>
    <row r="249" spans="1:7" x14ac:dyDescent="0.25">
      <c r="A249" s="251" t="str">
        <f t="shared" si="154"/>
        <v xml:space="preserve"> 62 Leisure, travel and related personal service occupations</v>
      </c>
      <c r="B249" s="87">
        <v>126.80370321302476</v>
      </c>
      <c r="C249" s="87">
        <v>94.556523307775763</v>
      </c>
      <c r="D249" s="87">
        <f t="shared" ref="D249:D255" si="163">C249-B249</f>
        <v>-32.247179905248998</v>
      </c>
      <c r="E249" s="87">
        <v>30.19763077433381</v>
      </c>
      <c r="F249" s="87">
        <f t="shared" ref="F249:F250" si="164">SUM(D249:E249)</f>
        <v>-2.0495491309151888</v>
      </c>
      <c r="G249" s="298">
        <f t="shared" si="158"/>
        <v>2.1591193637381823E-2</v>
      </c>
    </row>
    <row r="250" spans="1:7" x14ac:dyDescent="0.25">
      <c r="A250" s="251" t="str">
        <f t="shared" si="154"/>
        <v xml:space="preserve"> 71 Sales occupations</v>
      </c>
      <c r="B250" s="87">
        <v>401.19496533342857</v>
      </c>
      <c r="C250" s="87">
        <v>224.15380275431917</v>
      </c>
      <c r="D250" s="87">
        <f t="shared" si="163"/>
        <v>-177.0411625791094</v>
      </c>
      <c r="E250" s="87">
        <v>77.313539030129519</v>
      </c>
      <c r="F250" s="87">
        <f t="shared" si="164"/>
        <v>-99.727623548979878</v>
      </c>
      <c r="G250" s="298">
        <f t="shared" si="158"/>
        <v>1.777884270078034E-2</v>
      </c>
    </row>
    <row r="251" spans="1:7" x14ac:dyDescent="0.25">
      <c r="A251" s="251" t="str">
        <f t="shared" si="154"/>
        <v xml:space="preserve"> 72 Customer service occupations</v>
      </c>
      <c r="B251" s="87">
        <v>89.478287199139018</v>
      </c>
      <c r="C251" s="87">
        <v>61.410571588580268</v>
      </c>
      <c r="D251" s="87">
        <f t="shared" si="163"/>
        <v>-28.06771561055875</v>
      </c>
      <c r="E251" s="87">
        <v>16.347742441055789</v>
      </c>
      <c r="F251" s="87">
        <f t="shared" ref="F251:F252" si="165">SUM(D251:E251)</f>
        <v>-11.719973169502961</v>
      </c>
      <c r="G251" s="298">
        <f t="shared" si="158"/>
        <v>1.6921627978347953E-2</v>
      </c>
    </row>
    <row r="252" spans="1:7" x14ac:dyDescent="0.25">
      <c r="A252" s="251" t="str">
        <f t="shared" si="154"/>
        <v xml:space="preserve"> 81 Process, plant and machine operatives</v>
      </c>
      <c r="B252" s="87">
        <v>220.4797964945792</v>
      </c>
      <c r="C252" s="87">
        <v>118.05096878983916</v>
      </c>
      <c r="D252" s="87">
        <f t="shared" si="163"/>
        <v>-102.42882770474004</v>
      </c>
      <c r="E252" s="87">
        <v>39.367965626256307</v>
      </c>
      <c r="F252" s="87">
        <f t="shared" si="165"/>
        <v>-63.060862078483737</v>
      </c>
      <c r="G252" s="298">
        <f t="shared" si="158"/>
        <v>1.6564684346287661E-2</v>
      </c>
    </row>
    <row r="253" spans="1:7" x14ac:dyDescent="0.25">
      <c r="A253" s="251" t="str">
        <f t="shared" si="154"/>
        <v xml:space="preserve"> 82 Transport and mobile machine drivers and operatives</v>
      </c>
      <c r="B253" s="87">
        <v>326.66068064924815</v>
      </c>
      <c r="C253" s="87">
        <v>240.0347540366663</v>
      </c>
      <c r="D253" s="87">
        <f t="shared" si="163"/>
        <v>-86.62592661258185</v>
      </c>
      <c r="E253" s="87">
        <v>86.743697023568217</v>
      </c>
      <c r="F253" s="87">
        <f t="shared" ref="F253:F254" si="166">SUM(D253:E253)</f>
        <v>0.11777041098636687</v>
      </c>
      <c r="G253" s="298">
        <f t="shared" si="158"/>
        <v>2.3829928970780179E-2</v>
      </c>
    </row>
    <row r="254" spans="1:7" x14ac:dyDescent="0.25">
      <c r="A254" s="251" t="str">
        <f t="shared" si="154"/>
        <v xml:space="preserve"> 91 Elementary trades and related occupations</v>
      </c>
      <c r="B254" s="87">
        <v>171.13001566927326</v>
      </c>
      <c r="C254" s="87">
        <v>146.09871500780716</v>
      </c>
      <c r="D254" s="87">
        <f t="shared" si="163"/>
        <v>-25.031300661466105</v>
      </c>
      <c r="E254" s="87">
        <v>41.769030805743043</v>
      </c>
      <c r="F254" s="87">
        <f t="shared" si="166"/>
        <v>16.737730144276938</v>
      </c>
      <c r="G254" s="298">
        <f t="shared" si="158"/>
        <v>2.2079676404014981E-2</v>
      </c>
    </row>
    <row r="255" spans="1:7" x14ac:dyDescent="0.25">
      <c r="A255" s="251" t="str">
        <f t="shared" si="154"/>
        <v xml:space="preserve"> 92 Elementary administration and service occupations</v>
      </c>
      <c r="B255" s="87">
        <v>884.80886259990473</v>
      </c>
      <c r="C255" s="87">
        <v>691.48785720037165</v>
      </c>
      <c r="D255" s="87">
        <f t="shared" si="163"/>
        <v>-193.32100539953308</v>
      </c>
      <c r="E255" s="87">
        <v>217.40344565890183</v>
      </c>
      <c r="F255" s="87">
        <f t="shared" ref="F255" si="167">SUM(D255:E255)</f>
        <v>24.082440259368752</v>
      </c>
      <c r="G255" s="298">
        <f t="shared" si="158"/>
        <v>2.2213422355069623E-2</v>
      </c>
    </row>
    <row r="256" spans="1:7" x14ac:dyDescent="0.25">
      <c r="A256" s="251" t="str">
        <f t="shared" si="154"/>
        <v>All occupations</v>
      </c>
      <c r="B256" s="87">
        <f>SUM(B231:B255)</f>
        <v>4476.8154183152337</v>
      </c>
      <c r="C256" s="87">
        <f>SUM(C231:C255)</f>
        <v>2933.9027332325545</v>
      </c>
      <c r="D256" s="87">
        <f>SUM(D231:D255)</f>
        <v>-1542.9126850826794</v>
      </c>
      <c r="E256" s="87">
        <f>SUM(E231:E255)</f>
        <v>953.52495306518904</v>
      </c>
      <c r="F256" s="87">
        <f>SUM(F231:F255)</f>
        <v>-589.38773201749018</v>
      </c>
      <c r="G256" s="298">
        <f t="shared" si="158"/>
        <v>1.9496610741267073E-2</v>
      </c>
    </row>
    <row r="258" spans="1:7" ht="39.6" x14ac:dyDescent="0.25">
      <c r="A258" s="299" t="str">
        <f>CONCATENATE(name!F12," (Constrained)")</f>
        <v>No Qualification (Constrained)</v>
      </c>
      <c r="B258" s="96">
        <f t="shared" ref="B258:G258" si="168">B174</f>
        <v>2017</v>
      </c>
      <c r="C258" s="96">
        <f t="shared" si="168"/>
        <v>2027</v>
      </c>
      <c r="D258" s="117" t="str">
        <f t="shared" si="168"/>
        <v>Net Change</v>
      </c>
      <c r="E258" s="117" t="str">
        <f t="shared" si="168"/>
        <v>Replacement Demand level</v>
      </c>
      <c r="F258" s="117" t="str">
        <f t="shared" si="168"/>
        <v>Total Requirement</v>
      </c>
      <c r="G258" s="117" t="str">
        <f t="shared" si="168"/>
        <v>Replacement Demand rate</v>
      </c>
    </row>
    <row r="259" spans="1:7" x14ac:dyDescent="0.25">
      <c r="A259" s="251" t="str">
        <f t="shared" ref="A259:A284" si="169">A175</f>
        <v xml:space="preserve"> 11 Corporate managers and directors</v>
      </c>
      <c r="B259" s="87">
        <v>47.289272129398533</v>
      </c>
      <c r="C259" s="87">
        <v>36.627059731799612</v>
      </c>
      <c r="D259" s="87">
        <f>C259-B259</f>
        <v>-10.662212397598921</v>
      </c>
      <c r="E259" s="87">
        <v>8.4678844445588854</v>
      </c>
      <c r="F259" s="87">
        <f>SUM(D259:E259)</f>
        <v>-2.1943279530400357</v>
      </c>
      <c r="G259" s="298">
        <f>IF(B259&gt;0,(1+(E259/B259))^(1/($C$6-$B$6))-1,0)</f>
        <v>1.6608645806627909E-2</v>
      </c>
    </row>
    <row r="260" spans="1:7" x14ac:dyDescent="0.25">
      <c r="A260" s="251" t="str">
        <f t="shared" si="169"/>
        <v xml:space="preserve"> 12 Other managers and proprietors</v>
      </c>
      <c r="B260" s="87">
        <v>51.278968351548301</v>
      </c>
      <c r="C260" s="87">
        <v>38.26136193901668</v>
      </c>
      <c r="D260" s="87">
        <f t="shared" ref="D260:D275" si="170">C260-B260</f>
        <v>-13.01760641253162</v>
      </c>
      <c r="E260" s="87">
        <v>9.9889468172442442</v>
      </c>
      <c r="F260" s="87">
        <f t="shared" ref="F260:F267" si="171">SUM(D260:E260)</f>
        <v>-3.028659595287376</v>
      </c>
      <c r="G260" s="298">
        <f t="shared" ref="G260:G262" si="172">IF(B260&gt;0,(1+(E260/B260))^(1/($C$6-$B$6))-1,0)</f>
        <v>1.7956880821968779E-2</v>
      </c>
    </row>
    <row r="261" spans="1:7" x14ac:dyDescent="0.25">
      <c r="A261" s="251" t="str">
        <f t="shared" si="169"/>
        <v xml:space="preserve"> 21 Science, research, engineering and technology professionals</v>
      </c>
      <c r="B261" s="87">
        <v>18.948354150061572</v>
      </c>
      <c r="C261" s="87">
        <v>19.668901384742874</v>
      </c>
      <c r="D261" s="87">
        <f t="shared" si="170"/>
        <v>0.72054723468130177</v>
      </c>
      <c r="E261" s="87">
        <v>3.3396982199554301</v>
      </c>
      <c r="F261" s="87">
        <f t="shared" si="171"/>
        <v>4.0602454546367319</v>
      </c>
      <c r="G261" s="298">
        <f t="shared" si="172"/>
        <v>1.6365846136484397E-2</v>
      </c>
    </row>
    <row r="262" spans="1:7" x14ac:dyDescent="0.25">
      <c r="A262" s="251" t="str">
        <f t="shared" si="169"/>
        <v xml:space="preserve"> 22 Health professionals</v>
      </c>
      <c r="B262" s="87">
        <v>7.7786406004750894</v>
      </c>
      <c r="C262" s="87">
        <v>11.701009236407161</v>
      </c>
      <c r="D262" s="87">
        <f t="shared" si="170"/>
        <v>3.922368635932072</v>
      </c>
      <c r="E262" s="87">
        <v>2.3378232774044054</v>
      </c>
      <c r="F262" s="87">
        <f t="shared" si="171"/>
        <v>6.2601919133364774</v>
      </c>
      <c r="G262" s="298">
        <f t="shared" si="172"/>
        <v>2.6626576889714038E-2</v>
      </c>
    </row>
    <row r="263" spans="1:7" x14ac:dyDescent="0.25">
      <c r="A263" s="251" t="str">
        <f t="shared" si="169"/>
        <v xml:space="preserve"> 23 Teaching and educational professionals</v>
      </c>
      <c r="B263" s="87">
        <v>8.6965410625032966</v>
      </c>
      <c r="C263" s="87">
        <v>10.543999073987232</v>
      </c>
      <c r="D263" s="87">
        <f t="shared" si="170"/>
        <v>1.8474580114839352</v>
      </c>
      <c r="E263" s="87">
        <v>2.332838253709125</v>
      </c>
      <c r="F263" s="87">
        <f t="shared" si="171"/>
        <v>4.1802962651930606</v>
      </c>
      <c r="G263" s="298">
        <f>IF(B263&gt;0,(1+(E263/B263))^(1/($C$6-$B$6))-1,0)</f>
        <v>2.404832632150522E-2</v>
      </c>
    </row>
    <row r="264" spans="1:7" x14ac:dyDescent="0.25">
      <c r="A264" s="251" t="str">
        <f t="shared" si="169"/>
        <v xml:space="preserve"> 24 Business, media and public service professionals</v>
      </c>
      <c r="B264" s="87">
        <v>18.941109410272087</v>
      </c>
      <c r="C264" s="87">
        <v>18.621454224694645</v>
      </c>
      <c r="D264" s="87">
        <f t="shared" si="170"/>
        <v>-0.31965518557744232</v>
      </c>
      <c r="E264" s="87">
        <v>3.9977097917807551</v>
      </c>
      <c r="F264" s="87">
        <f t="shared" si="171"/>
        <v>3.6780546062033128</v>
      </c>
      <c r="G264" s="298">
        <f t="shared" ref="G264" si="173">IF(B264&gt;0,(1+(E264/B264))^(1/($C$6-$B$6))-1,0)</f>
        <v>1.933412715364069E-2</v>
      </c>
    </row>
    <row r="265" spans="1:7" x14ac:dyDescent="0.25">
      <c r="A265" s="251" t="str">
        <f t="shared" si="169"/>
        <v xml:space="preserve"> 31 Science, engineering and technology associate professionals</v>
      </c>
      <c r="B265" s="87">
        <v>13.591864051438323</v>
      </c>
      <c r="C265" s="87">
        <v>15.128325981086588</v>
      </c>
      <c r="D265" s="87">
        <f t="shared" si="170"/>
        <v>1.5364619296482651</v>
      </c>
      <c r="E265" s="87">
        <v>3.2616617769132934</v>
      </c>
      <c r="F265" s="87">
        <f t="shared" si="171"/>
        <v>4.7981237065615581</v>
      </c>
      <c r="G265" s="298">
        <f>IF(B265&gt;0,(1+(E265/B265))^(1/($C$6-$B$6))-1,0)</f>
        <v>2.1741832780453718E-2</v>
      </c>
    </row>
    <row r="266" spans="1:7" x14ac:dyDescent="0.25">
      <c r="A266" s="251" t="str">
        <f t="shared" si="169"/>
        <v xml:space="preserve"> 32 Health and social care associate professionals</v>
      </c>
      <c r="B266" s="87">
        <v>3.6243044303710437</v>
      </c>
      <c r="C266" s="87">
        <v>4.6305193328799819</v>
      </c>
      <c r="D266" s="87">
        <f t="shared" si="170"/>
        <v>1.0062149025089382</v>
      </c>
      <c r="E266" s="87">
        <v>1.0256765224178945</v>
      </c>
      <c r="F266" s="87">
        <f t="shared" si="171"/>
        <v>2.0318914249268327</v>
      </c>
      <c r="G266" s="298">
        <f t="shared" ref="G266:G284" si="174">IF(B266&gt;0,(1+(E266/B266))^(1/($C$6-$B$6))-1,0)</f>
        <v>2.5233173929668062E-2</v>
      </c>
    </row>
    <row r="267" spans="1:7" x14ac:dyDescent="0.25">
      <c r="A267" s="251" t="str">
        <f t="shared" si="169"/>
        <v xml:space="preserve"> 33 Protective service occupations</v>
      </c>
      <c r="B267" s="87">
        <v>6.7631069172648752</v>
      </c>
      <c r="C267" s="87">
        <v>3.1866167365525921</v>
      </c>
      <c r="D267" s="87">
        <f t="shared" si="170"/>
        <v>-3.5764901807122831</v>
      </c>
      <c r="E267" s="87">
        <v>0.68074048648662222</v>
      </c>
      <c r="F267" s="87">
        <f t="shared" si="171"/>
        <v>-2.8957496942256609</v>
      </c>
      <c r="G267" s="298">
        <f t="shared" si="174"/>
        <v>9.6366818249988828E-3</v>
      </c>
    </row>
    <row r="268" spans="1:7" x14ac:dyDescent="0.25">
      <c r="A268" s="251" t="str">
        <f t="shared" si="169"/>
        <v xml:space="preserve"> 34 Culture, media and sports occupations</v>
      </c>
      <c r="B268" s="87">
        <v>17.732788848129104</v>
      </c>
      <c r="C268" s="87">
        <v>16.145132502585007</v>
      </c>
      <c r="D268" s="87">
        <f t="shared" si="170"/>
        <v>-1.5876563455440973</v>
      </c>
      <c r="E268" s="87">
        <v>3.3868915502366952</v>
      </c>
      <c r="F268" s="87">
        <f t="shared" ref="F268:F269" si="175">SUM(D268:E268)</f>
        <v>1.7992352046925979</v>
      </c>
      <c r="G268" s="298">
        <f t="shared" si="174"/>
        <v>1.7632643796285485E-2</v>
      </c>
    </row>
    <row r="269" spans="1:7" x14ac:dyDescent="0.25">
      <c r="A269" s="251" t="str">
        <f t="shared" si="169"/>
        <v xml:space="preserve"> 35 Business and public service associate professionals</v>
      </c>
      <c r="B269" s="87">
        <v>42.034450061584245</v>
      </c>
      <c r="C269" s="87">
        <v>33.705428209954633</v>
      </c>
      <c r="D269" s="87">
        <f t="shared" si="170"/>
        <v>-8.3290218516296122</v>
      </c>
      <c r="E269" s="87">
        <v>7.328107715689482</v>
      </c>
      <c r="F269" s="87">
        <f t="shared" si="175"/>
        <v>-1.0009141359401301</v>
      </c>
      <c r="G269" s="298">
        <f t="shared" si="174"/>
        <v>1.6200088782738042E-2</v>
      </c>
    </row>
    <row r="270" spans="1:7" x14ac:dyDescent="0.25">
      <c r="A270" s="251" t="str">
        <f t="shared" si="169"/>
        <v xml:space="preserve"> 41 Administrative occupations</v>
      </c>
      <c r="B270" s="87">
        <v>85.831303649284408</v>
      </c>
      <c r="C270" s="87">
        <v>47.692831015827963</v>
      </c>
      <c r="D270" s="87">
        <f t="shared" si="170"/>
        <v>-38.138472633456445</v>
      </c>
      <c r="E270" s="87">
        <v>13.108691141534383</v>
      </c>
      <c r="F270" s="87">
        <f t="shared" ref="F270:F273" si="176">SUM(D270:E270)</f>
        <v>-25.029781491922062</v>
      </c>
      <c r="G270" s="298">
        <f t="shared" si="174"/>
        <v>1.4314461465045003E-2</v>
      </c>
    </row>
    <row r="271" spans="1:7" x14ac:dyDescent="0.25">
      <c r="A271" s="251" t="str">
        <f t="shared" si="169"/>
        <v xml:space="preserve"> 42 Secretarial and related occupations</v>
      </c>
      <c r="B271" s="87">
        <v>38.08808131539994</v>
      </c>
      <c r="C271" s="87">
        <v>19.175008140420932</v>
      </c>
      <c r="D271" s="87">
        <f t="shared" si="170"/>
        <v>-18.913073174979008</v>
      </c>
      <c r="E271" s="87">
        <v>7.1882840925549001</v>
      </c>
      <c r="F271" s="87">
        <f t="shared" si="176"/>
        <v>-11.724789082424108</v>
      </c>
      <c r="G271" s="298">
        <f t="shared" si="174"/>
        <v>1.743868437154994E-2</v>
      </c>
    </row>
    <row r="272" spans="1:7" x14ac:dyDescent="0.25">
      <c r="A272" s="251" t="str">
        <f t="shared" si="169"/>
        <v xml:space="preserve"> 51 Skilled agricultural and related trades</v>
      </c>
      <c r="B272" s="87">
        <v>50.479297214984847</v>
      </c>
      <c r="C272" s="87">
        <v>29.036843824636463</v>
      </c>
      <c r="D272" s="87">
        <f t="shared" si="170"/>
        <v>-21.442453390348383</v>
      </c>
      <c r="E272" s="87">
        <v>9.2305014793130677</v>
      </c>
      <c r="F272" s="87">
        <f t="shared" si="176"/>
        <v>-12.211951911035316</v>
      </c>
      <c r="G272" s="298">
        <f t="shared" si="174"/>
        <v>1.6935084156149527E-2</v>
      </c>
    </row>
    <row r="273" spans="1:7" x14ac:dyDescent="0.25">
      <c r="A273" s="251" t="str">
        <f t="shared" si="169"/>
        <v xml:space="preserve"> 52 Skilled metal, electrical and electronic trades</v>
      </c>
      <c r="B273" s="87">
        <v>54.043563894962247</v>
      </c>
      <c r="C273" s="87">
        <v>24.635763299469524</v>
      </c>
      <c r="D273" s="87">
        <f t="shared" si="170"/>
        <v>-29.407800595492724</v>
      </c>
      <c r="E273" s="87">
        <v>7.6861836286152201</v>
      </c>
      <c r="F273" s="87">
        <f t="shared" si="176"/>
        <v>-21.721616966877505</v>
      </c>
      <c r="G273" s="298">
        <f t="shared" si="174"/>
        <v>1.3386354221865737E-2</v>
      </c>
    </row>
    <row r="274" spans="1:7" x14ac:dyDescent="0.25">
      <c r="A274" s="251" t="str">
        <f t="shared" si="169"/>
        <v xml:space="preserve"> 53 Skilled construction and building trades</v>
      </c>
      <c r="B274" s="87">
        <v>82.799989631805019</v>
      </c>
      <c r="C274" s="87">
        <v>30.881515642913776</v>
      </c>
      <c r="D274" s="87">
        <f t="shared" si="170"/>
        <v>-51.918473988891243</v>
      </c>
      <c r="E274" s="87">
        <v>11.564928064149425</v>
      </c>
      <c r="F274" s="87">
        <f t="shared" ref="F274" si="177">SUM(D274:E274)</f>
        <v>-40.353545924741816</v>
      </c>
      <c r="G274" s="298">
        <f t="shared" si="174"/>
        <v>1.3159983633137973E-2</v>
      </c>
    </row>
    <row r="275" spans="1:7" x14ac:dyDescent="0.25">
      <c r="A275" s="251" t="str">
        <f t="shared" si="169"/>
        <v xml:space="preserve"> 54 Textiles, printing and other skilled trades</v>
      </c>
      <c r="B275" s="87">
        <v>72.911618102940565</v>
      </c>
      <c r="C275" s="87">
        <v>31.932608011773571</v>
      </c>
      <c r="D275" s="87">
        <f t="shared" si="170"/>
        <v>-40.979010091166998</v>
      </c>
      <c r="E275" s="87">
        <v>9.976632478529476</v>
      </c>
      <c r="F275" s="87">
        <f t="shared" ref="F275" si="178">SUM(D275:E275)</f>
        <v>-31.002377612637524</v>
      </c>
      <c r="G275" s="298">
        <f t="shared" si="174"/>
        <v>1.2907119521336385E-2</v>
      </c>
    </row>
    <row r="276" spans="1:7" x14ac:dyDescent="0.25">
      <c r="A276" s="251" t="str">
        <f t="shared" si="169"/>
        <v xml:space="preserve"> 61 Caring personal service occupations</v>
      </c>
      <c r="B276" s="87">
        <v>27.503960978426921</v>
      </c>
      <c r="C276" s="87">
        <v>26.660206566669157</v>
      </c>
      <c r="D276" s="87">
        <f>C276-B276</f>
        <v>-0.84375441175776444</v>
      </c>
      <c r="E276" s="87">
        <v>4.4967390375266412</v>
      </c>
      <c r="F276" s="87">
        <f>SUM(D276:E276)</f>
        <v>3.6529846257688767</v>
      </c>
      <c r="G276" s="298">
        <f t="shared" si="174"/>
        <v>1.5258007545567276E-2</v>
      </c>
    </row>
    <row r="277" spans="1:7" x14ac:dyDescent="0.25">
      <c r="A277" s="251" t="str">
        <f t="shared" si="169"/>
        <v xml:space="preserve"> 62 Leisure, travel and related personal service occupations</v>
      </c>
      <c r="B277" s="87">
        <v>44.68216402141551</v>
      </c>
      <c r="C277" s="87">
        <v>24.817299581149989</v>
      </c>
      <c r="D277" s="87">
        <f t="shared" ref="D277:D283" si="179">C277-B277</f>
        <v>-19.864864440265521</v>
      </c>
      <c r="E277" s="87">
        <v>6.9936779996729825</v>
      </c>
      <c r="F277" s="87">
        <f t="shared" ref="F277:F278" si="180">SUM(D277:E277)</f>
        <v>-12.871186440592538</v>
      </c>
      <c r="G277" s="298">
        <f t="shared" si="174"/>
        <v>1.4647842731586369E-2</v>
      </c>
    </row>
    <row r="278" spans="1:7" x14ac:dyDescent="0.25">
      <c r="A278" s="251" t="str">
        <f t="shared" si="169"/>
        <v xml:space="preserve"> 71 Sales occupations</v>
      </c>
      <c r="B278" s="87">
        <v>167.06138378475566</v>
      </c>
      <c r="C278" s="87">
        <v>74.668532392754699</v>
      </c>
      <c r="D278" s="87">
        <f t="shared" si="179"/>
        <v>-92.392851392000964</v>
      </c>
      <c r="E278" s="87">
        <v>19.394771261238088</v>
      </c>
      <c r="F278" s="87">
        <f t="shared" si="180"/>
        <v>-72.998080130762872</v>
      </c>
      <c r="G278" s="298">
        <f t="shared" si="174"/>
        <v>1.1044020405931443E-2</v>
      </c>
    </row>
    <row r="279" spans="1:7" x14ac:dyDescent="0.25">
      <c r="A279" s="251" t="str">
        <f t="shared" si="169"/>
        <v xml:space="preserve"> 72 Customer service occupations</v>
      </c>
      <c r="B279" s="87">
        <v>27.510914126271675</v>
      </c>
      <c r="C279" s="87">
        <v>32.431482607191562</v>
      </c>
      <c r="D279" s="87">
        <f t="shared" si="179"/>
        <v>4.9205684809198864</v>
      </c>
      <c r="E279" s="87">
        <v>6.2432151796349142</v>
      </c>
      <c r="F279" s="87">
        <f t="shared" ref="F279:F280" si="181">SUM(D279:E279)</f>
        <v>11.163783660554801</v>
      </c>
      <c r="G279" s="298">
        <f t="shared" si="174"/>
        <v>2.0662570811886605E-2</v>
      </c>
    </row>
    <row r="280" spans="1:7" x14ac:dyDescent="0.25">
      <c r="A280" s="251" t="str">
        <f t="shared" si="169"/>
        <v xml:space="preserve"> 81 Process, plant and machine operatives</v>
      </c>
      <c r="B280" s="87">
        <v>99.814291306282584</v>
      </c>
      <c r="C280" s="87">
        <v>22.114271654904979</v>
      </c>
      <c r="D280" s="87">
        <f t="shared" si="179"/>
        <v>-77.700019651377602</v>
      </c>
      <c r="E280" s="87">
        <v>9.2768269536067862</v>
      </c>
      <c r="F280" s="87">
        <f t="shared" si="181"/>
        <v>-68.423192697770816</v>
      </c>
      <c r="G280" s="298">
        <f t="shared" si="174"/>
        <v>8.9268192902947074E-3</v>
      </c>
    </row>
    <row r="281" spans="1:7" x14ac:dyDescent="0.25">
      <c r="A281" s="251" t="str">
        <f t="shared" si="169"/>
        <v xml:space="preserve"> 82 Transport and mobile machine drivers and operatives</v>
      </c>
      <c r="B281" s="87">
        <v>141.34359871576251</v>
      </c>
      <c r="C281" s="87">
        <v>75.987519712082175</v>
      </c>
      <c r="D281" s="87">
        <f t="shared" si="179"/>
        <v>-65.356079003680335</v>
      </c>
      <c r="E281" s="87">
        <v>28.869023305444685</v>
      </c>
      <c r="F281" s="87">
        <f t="shared" ref="F281:F282" si="182">SUM(D281:E281)</f>
        <v>-36.48705569823565</v>
      </c>
      <c r="G281" s="298">
        <f t="shared" si="174"/>
        <v>1.8759242269033471E-2</v>
      </c>
    </row>
    <row r="282" spans="1:7" x14ac:dyDescent="0.25">
      <c r="A282" s="251" t="str">
        <f t="shared" si="169"/>
        <v xml:space="preserve"> 91 Elementary trades and related occupations</v>
      </c>
      <c r="B282" s="87">
        <v>82.286704440152377</v>
      </c>
      <c r="C282" s="87">
        <v>52.402240978510157</v>
      </c>
      <c r="D282" s="87">
        <f t="shared" si="179"/>
        <v>-29.88446346164222</v>
      </c>
      <c r="E282" s="87">
        <v>13.048763786773815</v>
      </c>
      <c r="F282" s="87">
        <f t="shared" si="182"/>
        <v>-16.835699674868405</v>
      </c>
      <c r="G282" s="298">
        <f t="shared" si="174"/>
        <v>1.4828098553452573E-2</v>
      </c>
    </row>
    <row r="283" spans="1:7" x14ac:dyDescent="0.25">
      <c r="A283" s="251" t="str">
        <f t="shared" si="169"/>
        <v xml:space="preserve"> 92 Elementary administration and service occupations</v>
      </c>
      <c r="B283" s="87">
        <v>395.53056318736634</v>
      </c>
      <c r="C283" s="87">
        <v>166.59631902775729</v>
      </c>
      <c r="D283" s="87">
        <f t="shared" si="179"/>
        <v>-228.93424415960905</v>
      </c>
      <c r="E283" s="87">
        <v>48.764403406457916</v>
      </c>
      <c r="F283" s="87">
        <f t="shared" ref="F283" si="183">SUM(D283:E283)</f>
        <v>-180.16984075315114</v>
      </c>
      <c r="G283" s="298">
        <f t="shared" si="174"/>
        <v>1.1693907275080351E-2</v>
      </c>
    </row>
    <row r="284" spans="1:7" x14ac:dyDescent="0.25">
      <c r="A284" s="343" t="str">
        <f t="shared" si="169"/>
        <v>All occupations</v>
      </c>
      <c r="B284" s="116">
        <f>SUM(B259:B283)</f>
        <v>1606.566834382857</v>
      </c>
      <c r="C284" s="116">
        <f>SUM(C259:C283)</f>
        <v>867.25225080976929</v>
      </c>
      <c r="D284" s="116">
        <f>SUM(D259:D283)</f>
        <v>-739.31458357308782</v>
      </c>
      <c r="E284" s="116">
        <f>SUM(E259:E283)</f>
        <v>241.99062067144911</v>
      </c>
      <c r="F284" s="116">
        <f>SUM(F259:F283)</f>
        <v>-497.32396290163877</v>
      </c>
      <c r="G284" s="344">
        <f t="shared" si="174"/>
        <v>1.4129498909910554E-2</v>
      </c>
    </row>
  </sheetData>
  <phoneticPr fontId="4" type="noConversion"/>
  <pageMargins left="0.39370078740157483" right="0.39370078740157483" top="0.39370078740157483" bottom="0.39370078740157483" header="0.51181102362204722" footer="0.51181102362204722"/>
  <pageSetup paperSize="9" scale="78" orientation="portrait" r:id="rId1"/>
  <headerFooter alignWithMargins="0"/>
  <rowBreaks count="4" manualBreakCount="4">
    <brk id="61" max="16383" man="1"/>
    <brk id="117" max="16383" man="1"/>
    <brk id="173" max="16383" man="1"/>
    <brk id="229" max="16383" man="1"/>
  </rowBreaks>
  <colBreaks count="1" manualBreakCount="1">
    <brk id="8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Q64"/>
  <sheetViews>
    <sheetView zoomScale="85" zoomScaleNormal="85" workbookViewId="0"/>
  </sheetViews>
  <sheetFormatPr defaultRowHeight="13.2" x14ac:dyDescent="0.25"/>
  <cols>
    <col min="1" max="14" width="9.109375" style="104"/>
    <col min="15" max="15" width="44.109375" customWidth="1"/>
    <col min="16" max="17" width="16.88671875" customWidth="1"/>
  </cols>
  <sheetData>
    <row r="1" spans="1:17" ht="15.6" x14ac:dyDescent="0.3">
      <c r="A1" s="103" t="str">
        <f>CONCATENATE("Replacement Demand Figure 1  Replacement Demand by Occupation Group (SOC 2010), ",P4)</f>
        <v>Replacement Demand Figure 1  Replacement Demand by Occupation Group (SOC 2010), 2017-2027</v>
      </c>
    </row>
    <row r="3" spans="1:17" x14ac:dyDescent="0.25">
      <c r="O3" s="56" t="s">
        <v>472</v>
      </c>
    </row>
    <row r="4" spans="1:17" x14ac:dyDescent="0.25">
      <c r="P4" s="19" t="str">
        <f>'Occ T1'!H4</f>
        <v>2017-2027</v>
      </c>
    </row>
    <row r="5" spans="1:17" x14ac:dyDescent="0.25">
      <c r="P5" s="19" t="str">
        <f>CONCATENATE('Occ T1'!H5," ",'Occ T1'!H6)</f>
        <v>Net Change</v>
      </c>
      <c r="Q5" s="19" t="str">
        <f>CONCATENATE('Occ T1'!J5," ",'Occ T1'!J6)</f>
        <v>Total Requirement</v>
      </c>
    </row>
    <row r="6" spans="1:17" x14ac:dyDescent="0.25">
      <c r="P6" s="13"/>
      <c r="Q6" s="13"/>
    </row>
    <row r="7" spans="1:17" x14ac:dyDescent="0.25">
      <c r="O7" t="str">
        <f>name!E12</f>
        <v>Elementary occupations</v>
      </c>
      <c r="P7" s="13">
        <f>'Occ T1'!H16</f>
        <v>-9.0418486172256962</v>
      </c>
      <c r="Q7" s="13">
        <f>'Occ T1'!J16</f>
        <v>1248.7007144494987</v>
      </c>
    </row>
    <row r="8" spans="1:17" x14ac:dyDescent="0.25">
      <c r="O8" t="str">
        <f>name!E11</f>
        <v>Process, plant and machine operatives</v>
      </c>
      <c r="P8" s="13">
        <f>'Occ T1'!H15</f>
        <v>-205.83062490434168</v>
      </c>
      <c r="Q8" s="13">
        <f>'Occ T1'!J15</f>
        <v>451.5785873097376</v>
      </c>
    </row>
    <row r="9" spans="1:17" x14ac:dyDescent="0.25">
      <c r="O9" t="str">
        <f>name!E10</f>
        <v>Sales and customer service</v>
      </c>
      <c r="P9" s="13">
        <f>'Occ T1'!H14</f>
        <v>-52.419844879796528</v>
      </c>
      <c r="Q9" s="13">
        <f>'Occ T1'!J14</f>
        <v>854.76427671517251</v>
      </c>
    </row>
    <row r="10" spans="1:17" x14ac:dyDescent="0.25">
      <c r="O10" t="str">
        <f>name!E9</f>
        <v>Caring, leisure and other service</v>
      </c>
      <c r="P10" s="13">
        <f>'Occ T1'!H13</f>
        <v>465.72306791714391</v>
      </c>
      <c r="Q10" s="13">
        <f>'Occ T1'!J13</f>
        <v>1801.1634526032487</v>
      </c>
    </row>
    <row r="11" spans="1:17" x14ac:dyDescent="0.25">
      <c r="O11" t="str">
        <f>name!E8</f>
        <v>Skilled trades occupations</v>
      </c>
      <c r="P11" s="13">
        <f>'Occ T1'!H12</f>
        <v>-306.65080669658801</v>
      </c>
      <c r="Q11" s="13">
        <f>'Occ T1'!J12</f>
        <v>622.71730928380612</v>
      </c>
    </row>
    <row r="12" spans="1:17" x14ac:dyDescent="0.25">
      <c r="O12" t="str">
        <f>name!E7</f>
        <v>Administrative and secretarial</v>
      </c>
      <c r="P12" s="13">
        <f>'Occ T1'!H11</f>
        <v>-603.63132059189093</v>
      </c>
      <c r="Q12" s="13">
        <f>'Occ T1'!J11</f>
        <v>548.52860770599159</v>
      </c>
    </row>
    <row r="13" spans="1:17" x14ac:dyDescent="0.25">
      <c r="O13" t="str">
        <f>name!E6</f>
        <v>Associate professional and technical</v>
      </c>
      <c r="P13" s="13">
        <f>'Occ T1'!H10</f>
        <v>425.13827748002859</v>
      </c>
      <c r="Q13" s="13">
        <f>'Occ T1'!J10</f>
        <v>2024.3875806278147</v>
      </c>
    </row>
    <row r="14" spans="1:17" x14ac:dyDescent="0.25">
      <c r="O14" t="str">
        <f>name!E5</f>
        <v>Professional occupations</v>
      </c>
      <c r="P14" s="13">
        <f>'Occ T1'!H9</f>
        <v>821.12704510373715</v>
      </c>
      <c r="Q14" s="13">
        <f>'Occ T1'!J9</f>
        <v>3182.9943930087279</v>
      </c>
    </row>
    <row r="15" spans="1:17" x14ac:dyDescent="0.25">
      <c r="O15" t="str">
        <f>name!E4</f>
        <v>Managers, directors and senior officials</v>
      </c>
      <c r="P15" s="13">
        <f>'Occ T1'!H8</f>
        <v>438.54705518908577</v>
      </c>
      <c r="Q15" s="13">
        <f>'Occ T1'!J8</f>
        <v>1819.0081441885266</v>
      </c>
    </row>
    <row r="34" spans="1:17" ht="15.6" x14ac:dyDescent="0.3">
      <c r="A34" s="103" t="str">
        <f>CONCATENATE("Replacement Demand Figure 1.1  Replacement Demand by Occupation (SOC 2010), ",P35)</f>
        <v>Replacement Demand Figure 1.1  Replacement Demand by Occupation (SOC 2010), 2017-2027</v>
      </c>
      <c r="O34" s="56" t="s">
        <v>472</v>
      </c>
      <c r="P34" s="286"/>
      <c r="Q34" s="286"/>
    </row>
    <row r="35" spans="1:17" x14ac:dyDescent="0.25">
      <c r="O35" s="286"/>
      <c r="P35" s="19" t="str">
        <f>'Occ T1'!H4</f>
        <v>2017-2027</v>
      </c>
      <c r="Q35" s="286"/>
    </row>
    <row r="36" spans="1:17" x14ac:dyDescent="0.25">
      <c r="O36" s="286"/>
      <c r="P36" s="19" t="str">
        <f>CONCATENATE('Occ T1'!H5," ",'Occ T1'!H6)</f>
        <v>Net Change</v>
      </c>
      <c r="Q36" s="19" t="str">
        <f>CONCATENATE('Occ T1'!J5," ",'Occ T1'!J6)</f>
        <v>Total Requirement</v>
      </c>
    </row>
    <row r="37" spans="1:17" x14ac:dyDescent="0.25">
      <c r="O37" s="12" t="str">
        <f>name!D4</f>
        <v xml:space="preserve"> 11 Corporate managers and directors</v>
      </c>
      <c r="P37" s="13">
        <f>'Occ T2'!H8</f>
        <v>348.86608245571779</v>
      </c>
      <c r="Q37" s="13">
        <f>'Occ T2'!J8</f>
        <v>1303.4036553482379</v>
      </c>
    </row>
    <row r="38" spans="1:17" x14ac:dyDescent="0.25">
      <c r="O38" s="12" t="str">
        <f>name!D5</f>
        <v xml:space="preserve"> 12 Other managers and proprietors</v>
      </c>
      <c r="P38" s="13">
        <f>'Occ T2'!H9</f>
        <v>89.680972733368208</v>
      </c>
      <c r="Q38" s="13">
        <f>'Occ T2'!J9</f>
        <v>515.6044888402887</v>
      </c>
    </row>
    <row r="39" spans="1:17" x14ac:dyDescent="0.25">
      <c r="O39" s="12" t="str">
        <f>name!D6</f>
        <v xml:space="preserve"> 21 Science, research, engineering and technology professionals</v>
      </c>
      <c r="P39" s="13">
        <f>'Occ T2'!H10</f>
        <v>159.46603551192675</v>
      </c>
      <c r="Q39" s="13">
        <f>'Occ T2'!J10</f>
        <v>622.85218040584698</v>
      </c>
    </row>
    <row r="40" spans="1:17" x14ac:dyDescent="0.25">
      <c r="O40" s="12" t="str">
        <f>name!D7</f>
        <v xml:space="preserve"> 22 Health professionals</v>
      </c>
      <c r="P40" s="13">
        <f>'Occ T2'!H11</f>
        <v>230.41168911183672</v>
      </c>
      <c r="Q40" s="13">
        <f>'Occ T2'!J11</f>
        <v>836.46073587720275</v>
      </c>
    </row>
    <row r="41" spans="1:17" x14ac:dyDescent="0.25">
      <c r="O41" s="12" t="str">
        <f>name!D8</f>
        <v xml:space="preserve"> 23 Teaching and educational professionals</v>
      </c>
      <c r="P41" s="13">
        <f>'Occ T2'!H12</f>
        <v>212.14232647225754</v>
      </c>
      <c r="Q41" s="13">
        <f>'Occ T2'!J12</f>
        <v>844.60617538975703</v>
      </c>
    </row>
    <row r="42" spans="1:17" x14ac:dyDescent="0.25">
      <c r="O42" s="12" t="str">
        <f>name!D9</f>
        <v xml:space="preserve"> 24 Business, media and public service professionals</v>
      </c>
      <c r="P42" s="13">
        <f>'Occ T2'!H13</f>
        <v>219.10699400771705</v>
      </c>
      <c r="Q42" s="13">
        <f>'Occ T2'!J13</f>
        <v>879.07530133592184</v>
      </c>
    </row>
    <row r="43" spans="1:17" x14ac:dyDescent="0.25">
      <c r="O43" s="12" t="str">
        <f>name!D10</f>
        <v xml:space="preserve"> 31 Science, engineering and technology associate professionals</v>
      </c>
      <c r="P43" s="13">
        <f>'Occ T2'!H14</f>
        <v>8.9632573035260066</v>
      </c>
      <c r="Q43" s="13">
        <f>'Occ T2'!J14</f>
        <v>194.53077809684845</v>
      </c>
    </row>
    <row r="44" spans="1:17" x14ac:dyDescent="0.25">
      <c r="O44" s="12" t="str">
        <f>name!D11</f>
        <v xml:space="preserve"> 32 Health and social care associate professionals</v>
      </c>
      <c r="P44" s="13">
        <f>'Occ T2'!H15</f>
        <v>82.923631730797752</v>
      </c>
      <c r="Q44" s="13">
        <f>'Occ T2'!J15</f>
        <v>305.03375260729069</v>
      </c>
    </row>
    <row r="45" spans="1:17" x14ac:dyDescent="0.25">
      <c r="O45" s="12" t="str">
        <f>name!D12</f>
        <v xml:space="preserve"> 33 Protective service occupations</v>
      </c>
      <c r="P45" s="13">
        <f>'Occ T2'!H16</f>
        <v>-10.878479019383633</v>
      </c>
      <c r="Q45" s="13">
        <f>'Occ T2'!J16</f>
        <v>77.372998217620676</v>
      </c>
    </row>
    <row r="46" spans="1:17" x14ac:dyDescent="0.25">
      <c r="O46" s="12" t="str">
        <f>name!D13</f>
        <v xml:space="preserve"> 34 Culture, media and sports occupations</v>
      </c>
      <c r="P46" s="13">
        <f>'Occ T2'!H17</f>
        <v>52.226719586066565</v>
      </c>
      <c r="Q46" s="13">
        <f>'Occ T2'!J17</f>
        <v>330.88745010074308</v>
      </c>
    </row>
    <row r="47" spans="1:17" x14ac:dyDescent="0.25">
      <c r="O47" s="12" t="str">
        <f>name!D14</f>
        <v xml:space="preserve"> 35 Business and public service associate professionals</v>
      </c>
      <c r="P47" s="13">
        <f>'Occ T2'!H18</f>
        <v>291.90314787902116</v>
      </c>
      <c r="Q47" s="13">
        <f>'Occ T2'!J18</f>
        <v>1116.5626016053111</v>
      </c>
    </row>
    <row r="48" spans="1:17" x14ac:dyDescent="0.25">
      <c r="O48" s="12" t="str">
        <f>name!D15</f>
        <v xml:space="preserve"> 41 Administrative occupations</v>
      </c>
      <c r="P48" s="13">
        <f>'Occ T2'!H19</f>
        <v>-243.56454565603099</v>
      </c>
      <c r="Q48" s="13">
        <f>'Occ T2'!J19</f>
        <v>716.93292061052239</v>
      </c>
    </row>
    <row r="49" spans="15:17" x14ac:dyDescent="0.25">
      <c r="O49" s="12" t="str">
        <f>name!D16</f>
        <v xml:space="preserve"> 42 Secretarial and related occupations</v>
      </c>
      <c r="P49" s="13">
        <f>'Occ T2'!H20</f>
        <v>-360.06677493586011</v>
      </c>
      <c r="Q49" s="13">
        <f>'Occ T2'!J20</f>
        <v>-168.40431290453097</v>
      </c>
    </row>
    <row r="50" spans="15:17" x14ac:dyDescent="0.25">
      <c r="O50" s="12" t="str">
        <f>name!D17</f>
        <v xml:space="preserve"> 51 Skilled agricultural and related trades</v>
      </c>
      <c r="P50" s="13">
        <f>'Occ T2'!H21</f>
        <v>5.4674262816217265</v>
      </c>
      <c r="Q50" s="13">
        <f>'Occ T2'!J21</f>
        <v>135.36419867020382</v>
      </c>
    </row>
    <row r="51" spans="15:17" x14ac:dyDescent="0.25">
      <c r="O51" s="12" t="str">
        <f>name!D18</f>
        <v xml:space="preserve"> 52 Skilled metal, electrical and electronic trades</v>
      </c>
      <c r="P51" s="13">
        <f>'Occ T2'!H22</f>
        <v>-184.2320228269657</v>
      </c>
      <c r="Q51" s="13">
        <f>'Occ T2'!J22</f>
        <v>105.73281491009874</v>
      </c>
    </row>
    <row r="52" spans="15:17" x14ac:dyDescent="0.25">
      <c r="O52" s="12" t="str">
        <f>name!D19</f>
        <v xml:space="preserve"> 53 Skilled construction and building trades</v>
      </c>
      <c r="P52" s="13">
        <f>'Occ T2'!H23</f>
        <v>-5.2272018605553967</v>
      </c>
      <c r="Q52" s="13">
        <f>'Occ T2'!J23</f>
        <v>302.67792589436237</v>
      </c>
    </row>
    <row r="53" spans="15:17" x14ac:dyDescent="0.25">
      <c r="O53" s="12" t="str">
        <f>name!D20</f>
        <v xml:space="preserve"> 54 Textiles, printing and other skilled trades</v>
      </c>
      <c r="P53" s="13">
        <f>'Occ T2'!H24</f>
        <v>-122.65900829068846</v>
      </c>
      <c r="Q53" s="13">
        <f>'Occ T2'!J24</f>
        <v>78.942369809141354</v>
      </c>
    </row>
    <row r="54" spans="15:17" x14ac:dyDescent="0.25">
      <c r="O54" s="12" t="str">
        <f>name!D21</f>
        <v xml:space="preserve"> 61 Caring personal service occupations</v>
      </c>
      <c r="P54" s="13">
        <f>'Occ T2'!H25</f>
        <v>478.06164419821425</v>
      </c>
      <c r="Q54" s="13">
        <f>'Occ T2'!J25</f>
        <v>1552.7383348791845</v>
      </c>
    </row>
    <row r="55" spans="15:17" x14ac:dyDescent="0.25">
      <c r="O55" s="12" t="str">
        <f>name!D22</f>
        <v xml:space="preserve"> 62 Leisure, travel and related personal service occupations</v>
      </c>
      <c r="P55" s="13">
        <f>'Occ T2'!H26</f>
        <v>-12.338576281070459</v>
      </c>
      <c r="Q55" s="13">
        <f>'Occ T2'!J26</f>
        <v>248.42511772406402</v>
      </c>
    </row>
    <row r="56" spans="15:17" x14ac:dyDescent="0.25">
      <c r="O56" s="12" t="str">
        <f>name!D23</f>
        <v xml:space="preserve"> 71 Sales occupations</v>
      </c>
      <c r="P56" s="13">
        <f>'Occ T2'!H27</f>
        <v>-154.23799766005141</v>
      </c>
      <c r="Q56" s="13">
        <f>'Occ T2'!J27</f>
        <v>519.16944024412146</v>
      </c>
    </row>
    <row r="57" spans="15:17" x14ac:dyDescent="0.25">
      <c r="O57" s="12" t="str">
        <f>name!D24</f>
        <v xml:space="preserve"> 72 Customer service occupations</v>
      </c>
      <c r="P57" s="13">
        <f>'Occ T2'!H28</f>
        <v>101.81815278025499</v>
      </c>
      <c r="Q57" s="13">
        <f>'Occ T2'!J28</f>
        <v>335.59483647105117</v>
      </c>
    </row>
    <row r="58" spans="15:17" x14ac:dyDescent="0.25">
      <c r="O58" s="12" t="str">
        <f>name!D25</f>
        <v xml:space="preserve"> 81 Process, plant and machine operatives</v>
      </c>
      <c r="P58" s="13">
        <f>'Occ T2'!H29</f>
        <v>-201.4057457178867</v>
      </c>
      <c r="Q58" s="13">
        <f>'Occ T2'!J29</f>
        <v>5.1842336356940848</v>
      </c>
    </row>
    <row r="59" spans="15:17" x14ac:dyDescent="0.25">
      <c r="O59" s="12" t="str">
        <f>name!D26</f>
        <v xml:space="preserve"> 82 Transport and mobile machine drivers and operatives</v>
      </c>
      <c r="P59" s="13">
        <f>'Occ T2'!H30</f>
        <v>-4.4248791864552004</v>
      </c>
      <c r="Q59" s="13">
        <f>'Occ T2'!J30</f>
        <v>446.39435367404326</v>
      </c>
    </row>
    <row r="60" spans="15:17" x14ac:dyDescent="0.25">
      <c r="O60" s="12" t="str">
        <f>name!D27</f>
        <v xml:space="preserve"> 91 Elementary trades and related occupations</v>
      </c>
      <c r="P60" s="13">
        <f>'Occ T2'!H31</f>
        <v>-24.158473337065288</v>
      </c>
      <c r="Q60" s="13">
        <f>'Occ T2'!J31</f>
        <v>123.33049967487221</v>
      </c>
    </row>
    <row r="61" spans="15:17" x14ac:dyDescent="0.25">
      <c r="O61" s="12" t="str">
        <f>name!D28</f>
        <v xml:space="preserve"> 92 Elementary administration and service occupations</v>
      </c>
      <c r="P61" s="13">
        <f>'Occ T2'!H32</f>
        <v>15.116624719839365</v>
      </c>
      <c r="Q61" s="13">
        <f>'Occ T2'!J32</f>
        <v>1125.3702147746262</v>
      </c>
    </row>
    <row r="62" spans="15:17" x14ac:dyDescent="0.25">
      <c r="O62" s="12"/>
      <c r="P62" s="13"/>
      <c r="Q62" s="13"/>
    </row>
    <row r="63" spans="15:17" x14ac:dyDescent="0.25">
      <c r="O63" s="12" t="str">
        <f>name!D3</f>
        <v>All occupations</v>
      </c>
      <c r="P63" s="13">
        <f>'Occ T2'!H34</f>
        <v>972.96100000016304</v>
      </c>
      <c r="Q63" s="13">
        <f>'Occ T2'!J34</f>
        <v>12553.843065892523</v>
      </c>
    </row>
    <row r="64" spans="15:17" x14ac:dyDescent="0.25">
      <c r="O64" s="12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N101"/>
  <sheetViews>
    <sheetView showGridLines="0" zoomScale="85" zoomScaleNormal="85" workbookViewId="0"/>
  </sheetViews>
  <sheetFormatPr defaultColWidth="9.109375" defaultRowHeight="13.2" x14ac:dyDescent="0.25"/>
  <cols>
    <col min="1" max="1" width="37.5546875" style="15" customWidth="1"/>
    <col min="2" max="4" width="8.21875" style="15" customWidth="1"/>
    <col min="5" max="5" width="5.6640625" style="15" customWidth="1"/>
    <col min="6" max="8" width="5.5546875" style="15" customWidth="1"/>
    <col min="9" max="9" width="5.6640625" style="15" customWidth="1"/>
    <col min="10" max="12" width="7.21875" style="15" customWidth="1"/>
    <col min="13" max="13" width="5.6640625" style="15" customWidth="1"/>
    <col min="14" max="16" width="7.21875" style="15" customWidth="1"/>
    <col min="17" max="17" width="5.88671875" style="15" customWidth="1"/>
    <col min="18" max="20" width="7.21875" style="15" customWidth="1"/>
    <col min="21" max="21" width="5.6640625" style="15" customWidth="1"/>
    <col min="22" max="24" width="7.21875" style="15" customWidth="1"/>
    <col min="25" max="25" width="5.6640625" style="15" customWidth="1"/>
    <col min="26" max="28" width="7.21875" style="15" customWidth="1"/>
    <col min="29" max="29" width="5.6640625" style="15" customWidth="1"/>
    <col min="30" max="32" width="7.21875" style="15" customWidth="1"/>
    <col min="33" max="33" width="5.6640625" style="15" customWidth="1"/>
    <col min="34" max="36" width="7.21875" style="15" customWidth="1"/>
    <col min="37" max="37" width="5.6640625" style="15" customWidth="1"/>
    <col min="38" max="39" width="7.21875" style="15" customWidth="1"/>
    <col min="40" max="40" width="5.5546875" style="15" customWidth="1"/>
    <col min="41" max="16384" width="9.109375" style="15"/>
  </cols>
  <sheetData>
    <row r="1" spans="1:40" ht="15.6" x14ac:dyDescent="0.3">
      <c r="A1" s="23" t="str">
        <f>CONCATENATE("Basic Table 1  Employment by Industry Sector, Occupation Group and Qualification, ",B$5,"-",D$5,", ",Info!B5)</f>
        <v>Basic Table 1  Employment by Industry Sector, Occupation Group and Qualification, 2017-2027, United Kingdom</v>
      </c>
    </row>
    <row r="2" spans="1:40" ht="12.75" customHeight="1" x14ac:dyDescent="0.3">
      <c r="A2" s="23"/>
    </row>
    <row r="3" spans="1:40" ht="12.75" customHeight="1" x14ac:dyDescent="0.3">
      <c r="A3" s="23"/>
      <c r="AN3" s="43" t="s">
        <v>35</v>
      </c>
    </row>
    <row r="4" spans="1:40" ht="24.75" customHeight="1" x14ac:dyDescent="0.25">
      <c r="A4" s="98"/>
      <c r="B4" s="525" t="str">
        <f>name!F3</f>
        <v>All qualifications</v>
      </c>
      <c r="C4" s="525"/>
      <c r="D4" s="525"/>
      <c r="E4" s="98"/>
      <c r="F4" s="524" t="str">
        <f>name!F4</f>
        <v>RQF8 Doctorate</v>
      </c>
      <c r="G4" s="524"/>
      <c r="H4" s="524"/>
      <c r="I4" s="98"/>
      <c r="J4" s="524" t="str">
        <f>name!F5</f>
        <v>RQF7 Other higher degree</v>
      </c>
      <c r="K4" s="524"/>
      <c r="L4" s="524"/>
      <c r="M4" s="98"/>
      <c r="N4" s="524" t="str">
        <f>name!F6</f>
        <v>RQF6 First degree</v>
      </c>
      <c r="O4" s="524"/>
      <c r="P4" s="524"/>
      <c r="Q4" s="98"/>
      <c r="R4" s="524" t="str">
        <f>name!F7</f>
        <v>RQF5 Foundation degree;Nursing;Teaching</v>
      </c>
      <c r="S4" s="524"/>
      <c r="T4" s="524"/>
      <c r="U4" s="98"/>
      <c r="V4" s="524" t="str">
        <f>name!F8</f>
        <v>RQF4 HE below degree level</v>
      </c>
      <c r="W4" s="524"/>
      <c r="X4" s="524"/>
      <c r="Y4" s="98"/>
      <c r="Z4" s="524" t="str">
        <f>name!F9</f>
        <v>RQF3 A level &amp; equivalent</v>
      </c>
      <c r="AA4" s="524"/>
      <c r="AB4" s="524"/>
      <c r="AC4" s="98"/>
      <c r="AD4" s="524" t="str">
        <f>name!F10</f>
        <v>RQF2 GCSE(A-C) &amp; equivalent</v>
      </c>
      <c r="AE4" s="524"/>
      <c r="AF4" s="524"/>
      <c r="AG4" s="98"/>
      <c r="AH4" s="524" t="str">
        <f>name!F11</f>
        <v>RQF1 GCSE(below grade C) &amp; equivalent</v>
      </c>
      <c r="AI4" s="524"/>
      <c r="AJ4" s="524"/>
      <c r="AK4" s="98"/>
      <c r="AL4" s="524" t="str">
        <f>name!F12</f>
        <v>No Qualification</v>
      </c>
      <c r="AM4" s="524"/>
      <c r="AN4" s="524"/>
    </row>
    <row r="5" spans="1:40" x14ac:dyDescent="0.25">
      <c r="A5" s="48"/>
      <c r="B5" s="51">
        <v>2017</v>
      </c>
      <c r="C5" s="51">
        <v>2022</v>
      </c>
      <c r="D5" s="51">
        <v>2027</v>
      </c>
      <c r="E5" s="48"/>
      <c r="F5" s="40">
        <f>B5</f>
        <v>2017</v>
      </c>
      <c r="G5" s="40">
        <f>C5</f>
        <v>2022</v>
      </c>
      <c r="H5" s="40">
        <f>D5</f>
        <v>2027</v>
      </c>
      <c r="I5" s="48"/>
      <c r="J5" s="40">
        <f>B5</f>
        <v>2017</v>
      </c>
      <c r="K5" s="40">
        <f>C5</f>
        <v>2022</v>
      </c>
      <c r="L5" s="40">
        <f>D5</f>
        <v>2027</v>
      </c>
      <c r="M5" s="48"/>
      <c r="N5" s="40">
        <f>B5</f>
        <v>2017</v>
      </c>
      <c r="O5" s="40">
        <f>C5</f>
        <v>2022</v>
      </c>
      <c r="P5" s="40">
        <f>D5</f>
        <v>2027</v>
      </c>
      <c r="Q5" s="48"/>
      <c r="R5" s="40">
        <f>F5</f>
        <v>2017</v>
      </c>
      <c r="S5" s="40">
        <f>G5</f>
        <v>2022</v>
      </c>
      <c r="T5" s="40">
        <f>H5</f>
        <v>2027</v>
      </c>
      <c r="U5" s="48"/>
      <c r="V5" s="40">
        <f>J5</f>
        <v>2017</v>
      </c>
      <c r="W5" s="40">
        <f>K5</f>
        <v>2022</v>
      </c>
      <c r="X5" s="40">
        <f>L5</f>
        <v>2027</v>
      </c>
      <c r="Y5" s="48"/>
      <c r="Z5" s="40">
        <f>N5</f>
        <v>2017</v>
      </c>
      <c r="AA5" s="40">
        <f>O5</f>
        <v>2022</v>
      </c>
      <c r="AB5" s="40">
        <f>P5</f>
        <v>2027</v>
      </c>
      <c r="AC5" s="48"/>
      <c r="AD5" s="40">
        <f>R5</f>
        <v>2017</v>
      </c>
      <c r="AE5" s="40">
        <f>S5</f>
        <v>2022</v>
      </c>
      <c r="AF5" s="40">
        <f>T5</f>
        <v>2027</v>
      </c>
      <c r="AG5" s="48"/>
      <c r="AH5" s="40">
        <f>V5</f>
        <v>2017</v>
      </c>
      <c r="AI5" s="40">
        <f>W5</f>
        <v>2022</v>
      </c>
      <c r="AJ5" s="40">
        <f>X5</f>
        <v>2027</v>
      </c>
      <c r="AK5" s="48"/>
      <c r="AL5" s="40">
        <f>Z5</f>
        <v>2017</v>
      </c>
      <c r="AM5" s="40">
        <f>AA5</f>
        <v>2022</v>
      </c>
      <c r="AN5" s="40">
        <f>AB5</f>
        <v>2027</v>
      </c>
    </row>
    <row r="6" spans="1:40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R6" s="101"/>
      <c r="S6" s="101"/>
      <c r="T6" s="101"/>
      <c r="V6" s="101"/>
      <c r="W6" s="101"/>
      <c r="X6" s="101"/>
      <c r="Z6" s="101"/>
      <c r="AA6" s="101"/>
      <c r="AB6" s="101"/>
      <c r="AD6" s="101"/>
      <c r="AE6" s="101"/>
      <c r="AF6" s="101"/>
      <c r="AH6" s="101"/>
      <c r="AI6" s="101"/>
      <c r="AJ6" s="101"/>
      <c r="AL6" s="101"/>
      <c r="AM6" s="101"/>
      <c r="AN6" s="101"/>
    </row>
    <row r="7" spans="1:40" x14ac:dyDescent="0.25">
      <c r="A7" s="57" t="str">
        <f>name!C3</f>
        <v>All industries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R7" s="97"/>
      <c r="S7" s="97"/>
      <c r="T7" s="97"/>
      <c r="V7" s="97"/>
      <c r="W7" s="97"/>
      <c r="X7" s="97"/>
      <c r="Z7" s="97"/>
      <c r="AA7" s="97"/>
      <c r="AB7" s="97"/>
      <c r="AD7" s="97"/>
      <c r="AE7" s="97"/>
      <c r="AF7" s="97"/>
      <c r="AH7" s="97"/>
      <c r="AI7" s="97"/>
      <c r="AJ7" s="97"/>
      <c r="AL7" s="97"/>
      <c r="AM7" s="97"/>
      <c r="AN7" s="97"/>
    </row>
    <row r="8" spans="1:40" x14ac:dyDescent="0.25">
      <c r="A8" s="102" t="str">
        <f>name!E3</f>
        <v>All occupations</v>
      </c>
      <c r="B8" s="443">
        <f>SUM(B9:B17)</f>
        <v>34847.991999999998</v>
      </c>
      <c r="C8" s="443">
        <f>SUM(C9:C17)</f>
        <v>35250.447999999953</v>
      </c>
      <c r="D8" s="443">
        <f>SUM(D9:D17)</f>
        <v>35820.953000000147</v>
      </c>
      <c r="E8" s="442"/>
      <c r="F8" s="443">
        <f>SUM(F9:F17)</f>
        <v>548.71700814268672</v>
      </c>
      <c r="G8" s="443">
        <f>SUM(G9:G17)</f>
        <v>636.93683908098205</v>
      </c>
      <c r="H8" s="443">
        <f>SUM(H9:H17)</f>
        <v>731.73266681370637</v>
      </c>
      <c r="I8" s="442"/>
      <c r="J8" s="443">
        <f>SUM(J9:J17)</f>
        <v>3839.3943653282909</v>
      </c>
      <c r="K8" s="443">
        <f>SUM(K9:K17)</f>
        <v>4454.2817768167215</v>
      </c>
      <c r="L8" s="443">
        <f>SUM(L9:L17)</f>
        <v>5076.2341667681421</v>
      </c>
      <c r="M8" s="442"/>
      <c r="N8" s="443">
        <f>SUM(N9:N17)</f>
        <v>6850.5415007430647</v>
      </c>
      <c r="O8" s="443">
        <f>SUM(O9:O17)</f>
        <v>8320.024505742369</v>
      </c>
      <c r="P8" s="443">
        <f>SUM(P9:P17)</f>
        <v>9223.9699308177806</v>
      </c>
      <c r="Q8" s="444"/>
      <c r="R8" s="443">
        <f>SUM(R9:R17)</f>
        <v>1966.1273252754906</v>
      </c>
      <c r="S8" s="443">
        <f>SUM(S9:S17)</f>
        <v>2170.0302727101039</v>
      </c>
      <c r="T8" s="443">
        <f>SUM(T9:T17)</f>
        <v>2288.7418318613609</v>
      </c>
      <c r="U8" s="444"/>
      <c r="V8" s="443">
        <f>SUM(V9:V17)</f>
        <v>1890.3955631831398</v>
      </c>
      <c r="W8" s="443">
        <f>SUM(W9:W17)</f>
        <v>2248.0182545175703</v>
      </c>
      <c r="X8" s="443">
        <f>SUM(X9:X17)</f>
        <v>2458.2425587875405</v>
      </c>
      <c r="Y8" s="444"/>
      <c r="Z8" s="443">
        <f>SUM(Z9:Z17)</f>
        <v>6916.6632329275362</v>
      </c>
      <c r="AA8" s="443">
        <f>SUM(AA9:AA17)</f>
        <v>6564.0914040264306</v>
      </c>
      <c r="AB8" s="443">
        <f>SUM(AB9:AB17)</f>
        <v>6466.0936823055054</v>
      </c>
      <c r="AC8" s="444"/>
      <c r="AD8" s="443">
        <f>SUM(AD9:AD17)</f>
        <v>6752.7707517016961</v>
      </c>
      <c r="AE8" s="443">
        <f>SUM(AE9:AE17)</f>
        <v>6187.2671637425246</v>
      </c>
      <c r="AF8" s="443">
        <f>SUM(AF9:AF17)</f>
        <v>5774.7831786037905</v>
      </c>
      <c r="AG8" s="444"/>
      <c r="AH8" s="443">
        <f>SUM(AH9:AH17)</f>
        <v>4476.8154183152328</v>
      </c>
      <c r="AI8" s="443">
        <f>SUM(AI9:AI17)</f>
        <v>3567.9630511304858</v>
      </c>
      <c r="AJ8" s="443">
        <f>SUM(AJ9:AJ17)</f>
        <v>2933.9027332325536</v>
      </c>
      <c r="AK8" s="444"/>
      <c r="AL8" s="443">
        <f>SUM(AL9:AL17)</f>
        <v>1606.5668343828568</v>
      </c>
      <c r="AM8" s="443">
        <f>SUM(AM9:AM17)</f>
        <v>1101.8347322327634</v>
      </c>
      <c r="AN8" s="443">
        <f>SUM(AN9:AN17)</f>
        <v>867.25225080976929</v>
      </c>
    </row>
    <row r="9" spans="1:40" x14ac:dyDescent="0.25">
      <c r="A9" s="60" t="str">
        <f>name!E4</f>
        <v>Managers, directors and senior officials</v>
      </c>
      <c r="B9" s="442">
        <f>SUM(B21,B33,B51,B63,B75,B93)</f>
        <v>3566.4243567681865</v>
      </c>
      <c r="C9" s="442">
        <f t="shared" ref="B9:D17" si="0">SUM(C21,C33,C51,C63,C75,C93)</f>
        <v>3797.6920188756139</v>
      </c>
      <c r="D9" s="442">
        <f t="shared" si="0"/>
        <v>4004.9714119572814</v>
      </c>
      <c r="E9" s="442"/>
      <c r="F9" s="442">
        <f t="shared" ref="F9:H17" si="1">SUM(F21,F33,F51,F63,F75,F93)</f>
        <v>54.906202762605105</v>
      </c>
      <c r="G9" s="442">
        <f t="shared" si="1"/>
        <v>66.683748331516313</v>
      </c>
      <c r="H9" s="442">
        <f t="shared" si="1"/>
        <v>79.064075074497666</v>
      </c>
      <c r="I9" s="442"/>
      <c r="J9" s="442">
        <f t="shared" ref="J9:L17" si="2">SUM(J21,J33,J51,J63,J75,J93)</f>
        <v>450.94150978356998</v>
      </c>
      <c r="K9" s="442">
        <f t="shared" si="2"/>
        <v>536.54237810449808</v>
      </c>
      <c r="L9" s="442">
        <f t="shared" si="2"/>
        <v>625.57034640243887</v>
      </c>
      <c r="M9" s="442"/>
      <c r="N9" s="442">
        <f t="shared" ref="N9:P17" si="3">SUM(N21,N33,N51,N63,N75,N93)</f>
        <v>947.04073862454709</v>
      </c>
      <c r="O9" s="442">
        <f t="shared" si="3"/>
        <v>1190.0854338357146</v>
      </c>
      <c r="P9" s="442">
        <f t="shared" si="3"/>
        <v>1337.2723015053539</v>
      </c>
      <c r="Q9" s="444"/>
      <c r="R9" s="442">
        <f t="shared" ref="R9:T9" si="4">SUM(R21,R33,R51,R63,R75,R93)</f>
        <v>206.25552506360731</v>
      </c>
      <c r="S9" s="442">
        <f t="shared" si="4"/>
        <v>241.51391661390579</v>
      </c>
      <c r="T9" s="442">
        <f t="shared" si="4"/>
        <v>263.17465864959831</v>
      </c>
      <c r="U9" s="444"/>
      <c r="V9" s="442">
        <f t="shared" ref="V9:X9" si="5">SUM(V21,V33,V51,V63,V75,V93)</f>
        <v>274.53598601578699</v>
      </c>
      <c r="W9" s="442">
        <f t="shared" si="5"/>
        <v>326.2097268778918</v>
      </c>
      <c r="X9" s="442">
        <f t="shared" si="5"/>
        <v>353.13627609954511</v>
      </c>
      <c r="Y9" s="444"/>
      <c r="Z9" s="442">
        <f t="shared" ref="Z9:AB9" si="6">SUM(Z21,Z33,Z51,Z63,Z75,Z93)</f>
        <v>622.81931074255158</v>
      </c>
      <c r="AA9" s="442">
        <f t="shared" si="6"/>
        <v>562.93300551774701</v>
      </c>
      <c r="AB9" s="442">
        <f t="shared" si="6"/>
        <v>533.91668679691566</v>
      </c>
      <c r="AC9" s="444"/>
      <c r="AD9" s="442">
        <f>SUM(AD21,AD33,AD51,AD63,AD75,AD93)</f>
        <v>542.50064101957526</v>
      </c>
      <c r="AE9" s="442">
        <f t="shared" ref="AE9:AF9" si="7">SUM(AE21,AE33,AE51,AE63,AE75,AE93)</f>
        <v>492.63912268341744</v>
      </c>
      <c r="AF9" s="442">
        <f t="shared" si="7"/>
        <v>462.71132950780327</v>
      </c>
      <c r="AG9" s="444"/>
      <c r="AH9" s="442">
        <f t="shared" ref="AH9:AJ9" si="8">SUM(AH21,AH33,AH51,AH63,AH75,AH93)</f>
        <v>368.85620227499646</v>
      </c>
      <c r="AI9" s="442">
        <f t="shared" si="8"/>
        <v>307.39302309070598</v>
      </c>
      <c r="AJ9" s="442">
        <f t="shared" si="8"/>
        <v>275.23731625031229</v>
      </c>
      <c r="AK9" s="444"/>
      <c r="AL9" s="442">
        <f t="shared" ref="AL9:AN9" si="9">SUM(AL21,AL33,AL51,AL63,AL75,AL93)</f>
        <v>98.568240480946841</v>
      </c>
      <c r="AM9" s="442">
        <f t="shared" si="9"/>
        <v>73.691663820217073</v>
      </c>
      <c r="AN9" s="442">
        <f t="shared" si="9"/>
        <v>74.888421670816271</v>
      </c>
    </row>
    <row r="10" spans="1:40" x14ac:dyDescent="0.25">
      <c r="A10" s="60" t="str">
        <f>name!E5</f>
        <v>Professional occupations</v>
      </c>
      <c r="B10" s="442">
        <f t="shared" si="0"/>
        <v>6873.4918385641804</v>
      </c>
      <c r="C10" s="442">
        <f t="shared" si="0"/>
        <v>7275.3001598756455</v>
      </c>
      <c r="D10" s="442">
        <f t="shared" si="0"/>
        <v>7694.6188836679212</v>
      </c>
      <c r="E10" s="442"/>
      <c r="F10" s="442">
        <f t="shared" si="1"/>
        <v>384.77190107138972</v>
      </c>
      <c r="G10" s="442">
        <f t="shared" si="1"/>
        <v>436.77462779005418</v>
      </c>
      <c r="H10" s="442">
        <f t="shared" si="1"/>
        <v>493.89762490429337</v>
      </c>
      <c r="I10" s="442"/>
      <c r="J10" s="442">
        <f t="shared" si="2"/>
        <v>2027.7869453798564</v>
      </c>
      <c r="K10" s="442">
        <f t="shared" si="2"/>
        <v>2286.5385272981684</v>
      </c>
      <c r="L10" s="442">
        <f t="shared" si="2"/>
        <v>2551.5875516532092</v>
      </c>
      <c r="M10" s="442"/>
      <c r="N10" s="442">
        <f t="shared" si="3"/>
        <v>2370.5144041968288</v>
      </c>
      <c r="O10" s="442">
        <f t="shared" si="3"/>
        <v>2689.5982352559749</v>
      </c>
      <c r="P10" s="442">
        <f t="shared" si="3"/>
        <v>2865.9155377063553</v>
      </c>
      <c r="Q10" s="444"/>
      <c r="R10" s="442">
        <f t="shared" ref="R10:T10" si="10">SUM(R22,R34,R52,R64,R76,R94)</f>
        <v>412.85523308881295</v>
      </c>
      <c r="S10" s="442">
        <f t="shared" si="10"/>
        <v>310.5742427216731</v>
      </c>
      <c r="T10" s="442">
        <f t="shared" si="10"/>
        <v>242.83864963794599</v>
      </c>
      <c r="U10" s="444"/>
      <c r="V10" s="442">
        <f t="shared" ref="V10:X10" si="11">SUM(V22,V34,V52,V64,V76,V94)</f>
        <v>314.31712507047956</v>
      </c>
      <c r="W10" s="442">
        <f t="shared" si="11"/>
        <v>343.42546929436884</v>
      </c>
      <c r="X10" s="442">
        <f t="shared" si="11"/>
        <v>355.04664118694416</v>
      </c>
      <c r="Y10" s="444"/>
      <c r="Z10" s="442">
        <f t="shared" ref="Z10:AB10" si="12">SUM(Z22,Z34,Z52,Z64,Z76,Z94)</f>
        <v>608.64489151997293</v>
      </c>
      <c r="AA10" s="442">
        <f t="shared" si="12"/>
        <v>563.44695066088491</v>
      </c>
      <c r="AB10" s="442">
        <f t="shared" si="12"/>
        <v>564.54526165164293</v>
      </c>
      <c r="AC10" s="444"/>
      <c r="AD10" s="442">
        <f t="shared" ref="AD10:AF10" si="13">SUM(AD22,AD34,AD52,AD64,AD76,AD94)</f>
        <v>431.50647234434916</v>
      </c>
      <c r="AE10" s="442">
        <f t="shared" si="13"/>
        <v>383.35530399577215</v>
      </c>
      <c r="AF10" s="442">
        <f t="shared" si="13"/>
        <v>369.58562016857621</v>
      </c>
      <c r="AG10" s="444"/>
      <c r="AH10" s="442">
        <f t="shared" ref="AH10:AJ10" si="14">SUM(AH22,AH34,AH52,AH64,AH76,AH94)</f>
        <v>268.73022066917849</v>
      </c>
      <c r="AI10" s="442">
        <f t="shared" si="14"/>
        <v>213.92863774405217</v>
      </c>
      <c r="AJ10" s="442">
        <f t="shared" si="14"/>
        <v>190.66663283912249</v>
      </c>
      <c r="AK10" s="444"/>
      <c r="AL10" s="442">
        <f t="shared" ref="AL10:AN10" si="15">SUM(AL22,AL34,AL52,AL64,AL76,AL94)</f>
        <v>54.364645223312039</v>
      </c>
      <c r="AM10" s="442">
        <f t="shared" si="15"/>
        <v>47.658165114698306</v>
      </c>
      <c r="AN10" s="442">
        <f t="shared" si="15"/>
        <v>60.535363919831887</v>
      </c>
    </row>
    <row r="11" spans="1:40" x14ac:dyDescent="0.25">
      <c r="A11" s="60" t="str">
        <f>name!E6</f>
        <v>Associate professional and technical</v>
      </c>
      <c r="B11" s="442">
        <f>SUM(B23,B35,B53,B65,B77,B95)</f>
        <v>4884.3836819220596</v>
      </c>
      <c r="C11" s="442">
        <f t="shared" si="0"/>
        <v>5123.1465499937876</v>
      </c>
      <c r="D11" s="442">
        <f>SUM(D23,D35,D53,D65,D77,D95)</f>
        <v>5309.5219594020818</v>
      </c>
      <c r="E11" s="442"/>
      <c r="F11" s="442">
        <f t="shared" si="1"/>
        <v>66.224412589166164</v>
      </c>
      <c r="G11" s="442">
        <f t="shared" si="1"/>
        <v>80.36174663714776</v>
      </c>
      <c r="H11" s="442">
        <f t="shared" si="1"/>
        <v>95.669379660627555</v>
      </c>
      <c r="I11" s="442"/>
      <c r="J11" s="442">
        <f t="shared" si="2"/>
        <v>716.11503026273454</v>
      </c>
      <c r="K11" s="442">
        <f t="shared" si="2"/>
        <v>834.65025567243867</v>
      </c>
      <c r="L11" s="442">
        <f t="shared" si="2"/>
        <v>951.53674404674643</v>
      </c>
      <c r="M11" s="442"/>
      <c r="N11" s="442">
        <f t="shared" si="3"/>
        <v>1478.1762560108261</v>
      </c>
      <c r="O11" s="442">
        <f t="shared" si="3"/>
        <v>1772.8856030713062</v>
      </c>
      <c r="P11" s="442">
        <f t="shared" si="3"/>
        <v>1939.6866202656747</v>
      </c>
      <c r="Q11" s="444"/>
      <c r="R11" s="442">
        <f t="shared" ref="R11:T11" si="16">SUM(R23,R35,R53,R65,R77,R95)</f>
        <v>385.79043463831499</v>
      </c>
      <c r="S11" s="442">
        <f t="shared" si="16"/>
        <v>424.23897358790305</v>
      </c>
      <c r="T11" s="442">
        <f t="shared" si="16"/>
        <v>440.10871925560343</v>
      </c>
      <c r="U11" s="444"/>
      <c r="V11" s="442">
        <f t="shared" ref="V11:X11" si="17">SUM(V23,V35,V53,V65,V77,V95)</f>
        <v>330.84746960647078</v>
      </c>
      <c r="W11" s="442">
        <f t="shared" si="17"/>
        <v>369.44457413485082</v>
      </c>
      <c r="X11" s="442">
        <f t="shared" si="17"/>
        <v>389.09464748388916</v>
      </c>
      <c r="Y11" s="444"/>
      <c r="Z11" s="442">
        <f t="shared" ref="Z11:AB11" si="18">SUM(Z23,Z35,Z53,Z65,Z77,Z95)</f>
        <v>799.84509420907375</v>
      </c>
      <c r="AA11" s="442">
        <f t="shared" si="18"/>
        <v>725.26775373010196</v>
      </c>
      <c r="AB11" s="442">
        <f t="shared" si="18"/>
        <v>681.54169974342074</v>
      </c>
      <c r="AC11" s="444"/>
      <c r="AD11" s="442">
        <f t="shared" ref="AD11:AF11" si="19">SUM(AD23,AD35,AD53,AD65,AD77,AD95)</f>
        <v>621.10548994530325</v>
      </c>
      <c r="AE11" s="442">
        <f t="shared" si="19"/>
        <v>535.55069920481856</v>
      </c>
      <c r="AF11" s="442">
        <f t="shared" si="19"/>
        <v>474.80291273010312</v>
      </c>
      <c r="AG11" s="444"/>
      <c r="AH11" s="442">
        <f t="shared" ref="AH11:AJ11" si="20">SUM(AH23,AH35,AH53,AH65,AH77,AH95)</f>
        <v>402.53298035138266</v>
      </c>
      <c r="AI11" s="442">
        <f t="shared" si="20"/>
        <v>314.38774177502501</v>
      </c>
      <c r="AJ11" s="442">
        <f t="shared" si="20"/>
        <v>264.28521345295826</v>
      </c>
      <c r="AK11" s="444"/>
      <c r="AL11" s="442">
        <f t="shared" ref="AL11:AN11" si="21">SUM(AL23,AL35,AL53,AL65,AL77,AL95)</f>
        <v>83.746514308787553</v>
      </c>
      <c r="AM11" s="442">
        <f t="shared" si="21"/>
        <v>66.359202180195439</v>
      </c>
      <c r="AN11" s="442">
        <f t="shared" si="21"/>
        <v>72.796022763058772</v>
      </c>
    </row>
    <row r="12" spans="1:40" x14ac:dyDescent="0.25">
      <c r="A12" s="60" t="str">
        <f>name!E7</f>
        <v>Administrative and secretarial</v>
      </c>
      <c r="B12" s="442">
        <f t="shared" si="0"/>
        <v>3680.7863975420551</v>
      </c>
      <c r="C12" s="442">
        <f t="shared" si="0"/>
        <v>3359.0863632166506</v>
      </c>
      <c r="D12" s="442">
        <f t="shared" si="0"/>
        <v>3077.1550769501687</v>
      </c>
      <c r="E12" s="442"/>
      <c r="F12" s="442">
        <f t="shared" si="1"/>
        <v>18.416563707580245</v>
      </c>
      <c r="G12" s="442">
        <f t="shared" si="1"/>
        <v>21.644924681422911</v>
      </c>
      <c r="H12" s="442">
        <f t="shared" si="1"/>
        <v>24.993544759385731</v>
      </c>
      <c r="I12" s="442"/>
      <c r="J12" s="442">
        <f t="shared" si="2"/>
        <v>226.57155206100623</v>
      </c>
      <c r="K12" s="442">
        <f t="shared" si="2"/>
        <v>252.09506609493218</v>
      </c>
      <c r="L12" s="442">
        <f t="shared" si="2"/>
        <v>279.05017653443161</v>
      </c>
      <c r="M12" s="442"/>
      <c r="N12" s="442">
        <f t="shared" si="3"/>
        <v>696.12335533337136</v>
      </c>
      <c r="O12" s="442">
        <f t="shared" si="3"/>
        <v>812.26428445454974</v>
      </c>
      <c r="P12" s="442">
        <f t="shared" si="3"/>
        <v>889.05484030422986</v>
      </c>
      <c r="Q12" s="444"/>
      <c r="R12" s="442">
        <f t="shared" ref="R12:T12" si="22">SUM(R24,R36,R54,R66,R78,R96)</f>
        <v>254.5614883660424</v>
      </c>
      <c r="S12" s="442">
        <f t="shared" si="22"/>
        <v>285.38445629988308</v>
      </c>
      <c r="T12" s="442">
        <f t="shared" si="22"/>
        <v>305.32639645049977</v>
      </c>
      <c r="U12" s="444"/>
      <c r="V12" s="442">
        <f t="shared" ref="V12:X12" si="23">SUM(V24,V36,V54,V66,V78,V96)</f>
        <v>233.2030621689475</v>
      </c>
      <c r="W12" s="442">
        <f t="shared" si="23"/>
        <v>258.18397513740217</v>
      </c>
      <c r="X12" s="442">
        <f t="shared" si="23"/>
        <v>273.57784220657186</v>
      </c>
      <c r="Y12" s="444"/>
      <c r="Z12" s="442">
        <f t="shared" ref="Z12:AA12" si="24">SUM(Z24,Z36,Z54,Z66,Z78,Z96)</f>
        <v>754.2487103536464</v>
      </c>
      <c r="AA12" s="442">
        <f t="shared" si="24"/>
        <v>644.9482529488514</v>
      </c>
      <c r="AB12" s="442">
        <f>SUM(AB24,AB36,AB54,AB66,AB78,AB96)</f>
        <v>555.4287939162258</v>
      </c>
      <c r="AC12" s="444"/>
      <c r="AD12" s="442">
        <f t="shared" ref="AD12:AE12" si="25">SUM(AD24,AD36,AD54,AD66,AD78,AD96)</f>
        <v>855.31221178474584</v>
      </c>
      <c r="AE12" s="442">
        <f t="shared" si="25"/>
        <v>683.51864517806007</v>
      </c>
      <c r="AF12" s="442">
        <f>SUM(AF24,AF36,AF54,AF66,AF78,AF96)</f>
        <v>523.00701185471689</v>
      </c>
      <c r="AG12" s="444"/>
      <c r="AH12" s="442">
        <f t="shared" ref="AH12:AI12" si="26">SUM(AH24,AH36,AH54,AH66,AH78,AH96)</f>
        <v>518.43006880203086</v>
      </c>
      <c r="AI12" s="442">
        <f t="shared" si="26"/>
        <v>317.18906212343529</v>
      </c>
      <c r="AJ12" s="442">
        <f>SUM(AJ24,AJ36,AJ54,AJ66,AJ78,AJ96)</f>
        <v>159.84863176785848</v>
      </c>
      <c r="AK12" s="444"/>
      <c r="AL12" s="442">
        <f t="shared" ref="AL12:AM12" si="27">SUM(AL24,AL36,AL54,AL66,AL78,AL96)</f>
        <v>123.91938496468441</v>
      </c>
      <c r="AM12" s="442">
        <f t="shared" si="27"/>
        <v>83.857696298113055</v>
      </c>
      <c r="AN12" s="442">
        <f>SUM(AN24,AN36,AN54,AN66,AN78,AN96)</f>
        <v>66.867839156248934</v>
      </c>
    </row>
    <row r="13" spans="1:40" x14ac:dyDescent="0.25">
      <c r="A13" s="60" t="str">
        <f>name!E8</f>
        <v>Skilled trades occupations</v>
      </c>
      <c r="B13" s="442">
        <f t="shared" si="0"/>
        <v>3432.8363588721945</v>
      </c>
      <c r="C13" s="442">
        <f t="shared" si="0"/>
        <v>3268.953252274569</v>
      </c>
      <c r="D13" s="442">
        <f t="shared" si="0"/>
        <v>3126.1855521756038</v>
      </c>
      <c r="E13" s="442"/>
      <c r="F13" s="442">
        <f t="shared" si="1"/>
        <v>5.552012641550669</v>
      </c>
      <c r="G13" s="442">
        <f t="shared" si="1"/>
        <v>6.8071916913815054</v>
      </c>
      <c r="H13" s="442">
        <f t="shared" si="1"/>
        <v>8.1239675079189997</v>
      </c>
      <c r="I13" s="442"/>
      <c r="J13" s="442">
        <f t="shared" si="2"/>
        <v>71.439426652229258</v>
      </c>
      <c r="K13" s="442">
        <f t="shared" si="2"/>
        <v>86.295349528663394</v>
      </c>
      <c r="L13" s="442">
        <f t="shared" si="2"/>
        <v>100.37741918445374</v>
      </c>
      <c r="M13" s="442"/>
      <c r="N13" s="442">
        <f t="shared" si="3"/>
        <v>221.90258928832901</v>
      </c>
      <c r="O13" s="442">
        <f t="shared" si="3"/>
        <v>288.75572005449953</v>
      </c>
      <c r="P13" s="442">
        <f t="shared" si="3"/>
        <v>330.21426966439918</v>
      </c>
      <c r="Q13" s="444"/>
      <c r="R13" s="442">
        <f t="shared" ref="R13:T13" si="28">SUM(R25,R37,R55,R67,R79,R97)</f>
        <v>94.655908369853876</v>
      </c>
      <c r="S13" s="442">
        <f t="shared" si="28"/>
        <v>123.65326682394445</v>
      </c>
      <c r="T13" s="442">
        <f t="shared" si="28"/>
        <v>140.51956206956802</v>
      </c>
      <c r="U13" s="444"/>
      <c r="V13" s="442">
        <f t="shared" ref="V13:X13" si="29">SUM(V25,V37,V55,V67,V79,V97)</f>
        <v>201.78709355495701</v>
      </c>
      <c r="W13" s="442">
        <f t="shared" si="29"/>
        <v>250.72352470507127</v>
      </c>
      <c r="X13" s="442">
        <f t="shared" si="29"/>
        <v>279.7506597784481</v>
      </c>
      <c r="Y13" s="444"/>
      <c r="Z13" s="442">
        <f t="shared" ref="Z13:AB13" si="30">SUM(Z25,Z37,Z55,Z67,Z79,Z97)</f>
        <v>1129.3086927103693</v>
      </c>
      <c r="AA13" s="442">
        <f t="shared" si="30"/>
        <v>1029.0716471709113</v>
      </c>
      <c r="AB13" s="442">
        <f t="shared" si="30"/>
        <v>970.67075298556153</v>
      </c>
      <c r="AC13" s="444"/>
      <c r="AD13" s="442">
        <f t="shared" ref="AD13:AF13" si="31">SUM(AD25,AD37,AD55,AD67,AD79,AD97)</f>
        <v>905.8335956396952</v>
      </c>
      <c r="AE13" s="442">
        <f t="shared" si="31"/>
        <v>835.10365646105947</v>
      </c>
      <c r="AF13" s="442">
        <f t="shared" si="31"/>
        <v>779.56279849532905</v>
      </c>
      <c r="AG13" s="444"/>
      <c r="AH13" s="442">
        <f t="shared" ref="AH13:AJ13" si="32">SUM(AH25,AH37,AH55,AH67,AH79,AH97)</f>
        <v>542.1225711705174</v>
      </c>
      <c r="AI13" s="442">
        <f t="shared" si="32"/>
        <v>462.83471097129859</v>
      </c>
      <c r="AJ13" s="442">
        <f t="shared" si="32"/>
        <v>400.479391711132</v>
      </c>
      <c r="AK13" s="444"/>
      <c r="AL13" s="442">
        <f t="shared" ref="AL13:AN13" si="33">SUM(AL25,AL37,AL55,AL67,AL79,AL97)</f>
        <v>260.23446884469269</v>
      </c>
      <c r="AM13" s="442">
        <f t="shared" si="33"/>
        <v>185.70818486773933</v>
      </c>
      <c r="AN13" s="442">
        <f t="shared" si="33"/>
        <v>116.4867307787933</v>
      </c>
    </row>
    <row r="14" spans="1:40" x14ac:dyDescent="0.25">
      <c r="A14" s="60" t="str">
        <f>name!E9</f>
        <v>Caring, leisure and other service</v>
      </c>
      <c r="B14" s="442">
        <f t="shared" si="0"/>
        <v>3345.0861257252482</v>
      </c>
      <c r="C14" s="442">
        <f t="shared" si="0"/>
        <v>3549.556293296876</v>
      </c>
      <c r="D14" s="442">
        <f t="shared" si="0"/>
        <v>3810.8091936423821</v>
      </c>
      <c r="E14" s="442"/>
      <c r="F14" s="442">
        <f t="shared" si="1"/>
        <v>3.1337159256043803</v>
      </c>
      <c r="G14" s="442">
        <f t="shared" si="1"/>
        <v>4.0023103733196521</v>
      </c>
      <c r="H14" s="442">
        <f t="shared" si="1"/>
        <v>4.8223729225601542</v>
      </c>
      <c r="I14" s="442"/>
      <c r="J14" s="442">
        <f t="shared" si="2"/>
        <v>121.56391201120499</v>
      </c>
      <c r="K14" s="442">
        <f t="shared" si="2"/>
        <v>160.01607715633753</v>
      </c>
      <c r="L14" s="442">
        <f t="shared" si="2"/>
        <v>197.42306315710525</v>
      </c>
      <c r="M14" s="442"/>
      <c r="N14" s="442">
        <f t="shared" si="3"/>
        <v>382.21926209870014</v>
      </c>
      <c r="O14" s="442">
        <f t="shared" si="3"/>
        <v>517.58159184566489</v>
      </c>
      <c r="P14" s="442">
        <f t="shared" si="3"/>
        <v>606.03298089360362</v>
      </c>
      <c r="Q14" s="444"/>
      <c r="R14" s="442">
        <f>SUM(R26,R38,R56,R68,R80,R98)</f>
        <v>311.10777768446553</v>
      </c>
      <c r="S14" s="442">
        <f t="shared" ref="S14:T14" si="34">SUM(S26,S38,S56,S68,S80,S98)</f>
        <v>373.48179696824013</v>
      </c>
      <c r="T14" s="442">
        <f t="shared" si="34"/>
        <v>413.22144889367331</v>
      </c>
      <c r="U14" s="444"/>
      <c r="V14" s="442">
        <f t="shared" ref="V14:X14" si="35">SUM(V26,V38,V56,V68,V80,V98)</f>
        <v>206.10507431226301</v>
      </c>
      <c r="W14" s="442">
        <f t="shared" si="35"/>
        <v>267.72017003751535</v>
      </c>
      <c r="X14" s="442">
        <f t="shared" si="35"/>
        <v>305.64399906008128</v>
      </c>
      <c r="Y14" s="444"/>
      <c r="Z14" s="442">
        <f t="shared" ref="Z14:AB14" si="36">SUM(Z26,Z38,Z56,Z68,Z80,Z98)</f>
        <v>1094.517003566004</v>
      </c>
      <c r="AA14" s="442">
        <f t="shared" si="36"/>
        <v>1165.6131356893279</v>
      </c>
      <c r="AB14" s="442">
        <f t="shared" si="36"/>
        <v>1275.9376186190409</v>
      </c>
      <c r="AC14" s="444"/>
      <c r="AD14" s="442">
        <f t="shared" ref="AD14:AF14" si="37">SUM(AD26,AD38,AD56,AD68,AD80,AD98)</f>
        <v>871.86248802560931</v>
      </c>
      <c r="AE14" s="442">
        <f t="shared" si="37"/>
        <v>818.45157687929202</v>
      </c>
      <c r="AF14" s="442">
        <f t="shared" si="37"/>
        <v>794.1013261149119</v>
      </c>
      <c r="AG14" s="444"/>
      <c r="AH14" s="442">
        <f t="shared" ref="AH14:AJ14" si="38">SUM(AH26,AH38,AH56,AH68,AH80,AH98)</f>
        <v>282.39076710155462</v>
      </c>
      <c r="AI14" s="442">
        <f t="shared" si="38"/>
        <v>189.67285321062934</v>
      </c>
      <c r="AJ14" s="442">
        <f t="shared" si="38"/>
        <v>162.14887783358674</v>
      </c>
      <c r="AK14" s="444"/>
      <c r="AL14" s="442">
        <f t="shared" ref="AL14:AN14" si="39">SUM(AL26,AL38,AL56,AL68,AL80,AL98)</f>
        <v>72.186124999842392</v>
      </c>
      <c r="AM14" s="442">
        <f t="shared" si="39"/>
        <v>53.016781136548694</v>
      </c>
      <c r="AN14" s="442">
        <f t="shared" si="39"/>
        <v>51.477506147819135</v>
      </c>
    </row>
    <row r="15" spans="1:40" x14ac:dyDescent="0.25">
      <c r="A15" s="60" t="str">
        <f>name!E10</f>
        <v>Sales and customer service</v>
      </c>
      <c r="B15" s="442">
        <f t="shared" si="0"/>
        <v>2929.0335907758254</v>
      </c>
      <c r="C15" s="442">
        <f t="shared" si="0"/>
        <v>2881.2459863648101</v>
      </c>
      <c r="D15" s="442">
        <f t="shared" si="0"/>
        <v>2876.6137458960352</v>
      </c>
      <c r="E15" s="442"/>
      <c r="F15" s="442">
        <f t="shared" si="1"/>
        <v>7.3775173774115457</v>
      </c>
      <c r="G15" s="442">
        <f t="shared" si="1"/>
        <v>9.000326444752428</v>
      </c>
      <c r="H15" s="442">
        <f t="shared" si="1"/>
        <v>10.404008559290553</v>
      </c>
      <c r="I15" s="442"/>
      <c r="J15" s="442">
        <f t="shared" si="2"/>
        <v>102.83465466549264</v>
      </c>
      <c r="K15" s="442">
        <f t="shared" si="2"/>
        <v>129.53626559767542</v>
      </c>
      <c r="L15" s="442">
        <f t="shared" si="2"/>
        <v>156.24477873532283</v>
      </c>
      <c r="M15" s="442"/>
      <c r="N15" s="442">
        <f t="shared" si="3"/>
        <v>388.23239850750974</v>
      </c>
      <c r="O15" s="442">
        <f t="shared" si="3"/>
        <v>514.53157683613074</v>
      </c>
      <c r="P15" s="442">
        <f t="shared" si="3"/>
        <v>602.47847789348305</v>
      </c>
      <c r="Q15" s="444"/>
      <c r="R15" s="442">
        <f t="shared" ref="R15:T15" si="40">SUM(R27,R39,R57,R69,R81,R99)</f>
        <v>122.90550214791624</v>
      </c>
      <c r="S15" s="442">
        <f t="shared" si="40"/>
        <v>157.87620052493313</v>
      </c>
      <c r="T15" s="442">
        <f t="shared" si="40"/>
        <v>182.27271978946433</v>
      </c>
      <c r="U15" s="444"/>
      <c r="V15" s="442">
        <f t="shared" ref="V15:X15" si="41">SUM(V27,V39,V57,V69,V81,V99)</f>
        <v>118.88680318331407</v>
      </c>
      <c r="W15" s="442">
        <f t="shared" si="41"/>
        <v>142.73979501259726</v>
      </c>
      <c r="X15" s="442">
        <f t="shared" si="41"/>
        <v>158.1413363390586</v>
      </c>
      <c r="Y15" s="444"/>
      <c r="Z15" s="442">
        <f t="shared" ref="Z15:AB15" si="42">SUM(Z27,Z39,Z57,Z69,Z81,Z99)</f>
        <v>741.42978474258996</v>
      </c>
      <c r="AA15" s="442">
        <f t="shared" si="42"/>
        <v>732.14833572134626</v>
      </c>
      <c r="AB15" s="442">
        <f t="shared" si="42"/>
        <v>732.5341361737411</v>
      </c>
      <c r="AC15" s="444"/>
      <c r="AD15" s="442">
        <f t="shared" ref="AD15:AF15" si="43">SUM(AD27,AD39,AD57,AD69,AD81,AD99)</f>
        <v>762.12137970799654</v>
      </c>
      <c r="AE15" s="442">
        <f t="shared" si="43"/>
        <v>696.31641371491185</v>
      </c>
      <c r="AF15" s="442">
        <f t="shared" si="43"/>
        <v>641.8738990628292</v>
      </c>
      <c r="AG15" s="444"/>
      <c r="AH15" s="442">
        <f t="shared" ref="AH15:AJ15" si="44">SUM(AH27,AH39,AH57,AH69,AH81,AH99)</f>
        <v>490.67325253256746</v>
      </c>
      <c r="AI15" s="442">
        <f t="shared" si="44"/>
        <v>377.52970084530244</v>
      </c>
      <c r="AJ15" s="442">
        <f t="shared" si="44"/>
        <v>285.56437434289944</v>
      </c>
      <c r="AK15" s="444"/>
      <c r="AL15" s="442">
        <f t="shared" ref="AL15:AN15" si="45">SUM(AL27,AL39,AL57,AL69,AL81,AL99)</f>
        <v>194.57229791102722</v>
      </c>
      <c r="AM15" s="442">
        <f t="shared" si="45"/>
        <v>121.56737166716044</v>
      </c>
      <c r="AN15" s="442">
        <f t="shared" si="45"/>
        <v>107.10001499994627</v>
      </c>
    </row>
    <row r="16" spans="1:40" x14ac:dyDescent="0.25">
      <c r="A16" s="60" t="str">
        <f>name!E11</f>
        <v>Process, plant and machine operatives</v>
      </c>
      <c r="B16" s="442">
        <f t="shared" si="0"/>
        <v>2179.9565386857671</v>
      </c>
      <c r="C16" s="442">
        <f t="shared" si="0"/>
        <v>2047.4264077500766</v>
      </c>
      <c r="D16" s="442">
        <f t="shared" si="0"/>
        <v>1974.1259137814243</v>
      </c>
      <c r="E16" s="442"/>
      <c r="F16" s="442">
        <f t="shared" si="1"/>
        <v>5.5501458864483482</v>
      </c>
      <c r="G16" s="442">
        <f t="shared" si="1"/>
        <v>7.4464189412922259</v>
      </c>
      <c r="H16" s="442">
        <f t="shared" si="1"/>
        <v>9.4448710013755299</v>
      </c>
      <c r="I16" s="442"/>
      <c r="J16" s="442">
        <f t="shared" si="2"/>
        <v>36.340258972048773</v>
      </c>
      <c r="K16" s="442">
        <f t="shared" si="2"/>
        <v>46.202843596543765</v>
      </c>
      <c r="L16" s="442">
        <f t="shared" si="2"/>
        <v>56.403732282035321</v>
      </c>
      <c r="M16" s="442"/>
      <c r="N16" s="442">
        <f t="shared" si="3"/>
        <v>93.709250504074106</v>
      </c>
      <c r="O16" s="442">
        <f t="shared" si="3"/>
        <v>125.48840680928157</v>
      </c>
      <c r="P16" s="442">
        <f t="shared" si="3"/>
        <v>146.00533713083328</v>
      </c>
      <c r="Q16" s="444"/>
      <c r="R16" s="442">
        <f t="shared" ref="R16:T16" si="46">SUM(R28,R40,R58,R70,R82,R100)</f>
        <v>44.21660155739044</v>
      </c>
      <c r="S16" s="442">
        <f t="shared" si="46"/>
        <v>58.285060591543647</v>
      </c>
      <c r="T16" s="442">
        <f t="shared" si="46"/>
        <v>67.283906006904445</v>
      </c>
      <c r="U16" s="444"/>
      <c r="V16" s="442">
        <f t="shared" ref="V16:X16" si="47">SUM(V28,V40,V58,V70,V82,V100)</f>
        <v>83.365117105088018</v>
      </c>
      <c r="W16" s="442">
        <f t="shared" si="47"/>
        <v>112.17533043538977</v>
      </c>
      <c r="X16" s="442">
        <f t="shared" si="47"/>
        <v>130.97318234042618</v>
      </c>
      <c r="Y16" s="444"/>
      <c r="Z16" s="442">
        <f t="shared" ref="Z16:AB16" si="48">SUM(Z28,Z40,Z58,Z70,Z82,Z100)</f>
        <v>471.60947125875913</v>
      </c>
      <c r="AA16" s="442">
        <f t="shared" si="48"/>
        <v>461.01840054907871</v>
      </c>
      <c r="AB16" s="442">
        <f t="shared" si="48"/>
        <v>477.12905606894884</v>
      </c>
      <c r="AC16" s="444"/>
      <c r="AD16" s="442">
        <f t="shared" ref="AD16:AF16" si="49">SUM(AD28,AD40,AD58,AD70,AD82,AD100)</f>
        <v>656.86732623608555</v>
      </c>
      <c r="AE16" s="442">
        <f t="shared" si="49"/>
        <v>631.97339251049652</v>
      </c>
      <c r="AF16" s="442">
        <f t="shared" si="49"/>
        <v>630.69831475740864</v>
      </c>
      <c r="AG16" s="444"/>
      <c r="AH16" s="442">
        <f t="shared" ref="AH16:AJ16" si="50">SUM(AH28,AH40,AH58,AH70,AH82,AH100)</f>
        <v>547.14047714382752</v>
      </c>
      <c r="AI16" s="442">
        <f t="shared" si="50"/>
        <v>442.4906592927498</v>
      </c>
      <c r="AJ16" s="442">
        <f t="shared" si="50"/>
        <v>358.08572282650539</v>
      </c>
      <c r="AK16" s="444"/>
      <c r="AL16" s="442">
        <f t="shared" ref="AL16:AN16" si="51">SUM(AL28,AL40,AL58,AL70,AL82,AL100)</f>
        <v>241.15789002204491</v>
      </c>
      <c r="AM16" s="442">
        <f t="shared" si="51"/>
        <v>162.34589502370045</v>
      </c>
      <c r="AN16" s="442">
        <f t="shared" si="51"/>
        <v>98.101791366987214</v>
      </c>
    </row>
    <row r="17" spans="1:40" x14ac:dyDescent="0.25">
      <c r="A17" s="60" t="str">
        <f>name!E12</f>
        <v>Elementary occupations</v>
      </c>
      <c r="B17" s="442">
        <f t="shared" si="0"/>
        <v>3955.9931111444789</v>
      </c>
      <c r="C17" s="442">
        <f t="shared" si="0"/>
        <v>3948.0409683519215</v>
      </c>
      <c r="D17" s="442">
        <f t="shared" si="0"/>
        <v>3946.9512625272478</v>
      </c>
      <c r="E17" s="442"/>
      <c r="F17" s="442">
        <f t="shared" si="1"/>
        <v>2.784536180930564</v>
      </c>
      <c r="G17" s="442">
        <f t="shared" si="1"/>
        <v>4.2155441900949819</v>
      </c>
      <c r="H17" s="442">
        <f t="shared" si="1"/>
        <v>5.3128224237568391</v>
      </c>
      <c r="I17" s="442"/>
      <c r="J17" s="442">
        <f t="shared" si="2"/>
        <v>85.801075540148304</v>
      </c>
      <c r="K17" s="442">
        <f t="shared" si="2"/>
        <v>122.40501376746438</v>
      </c>
      <c r="L17" s="442">
        <f t="shared" si="2"/>
        <v>158.04035477239941</v>
      </c>
      <c r="M17" s="442"/>
      <c r="N17" s="442">
        <f t="shared" si="3"/>
        <v>272.62324617887828</v>
      </c>
      <c r="O17" s="442">
        <f t="shared" si="3"/>
        <v>408.83365357924606</v>
      </c>
      <c r="P17" s="442">
        <f t="shared" si="3"/>
        <v>507.30956545384652</v>
      </c>
      <c r="Q17" s="444"/>
      <c r="R17" s="442">
        <f t="shared" ref="R17:T17" si="52">SUM(R29,R41,R59,R71,R83,R101)</f>
        <v>133.77885435908681</v>
      </c>
      <c r="S17" s="442">
        <f t="shared" si="52"/>
        <v>195.02235857807716</v>
      </c>
      <c r="T17" s="442">
        <f t="shared" si="52"/>
        <v>233.99577110810301</v>
      </c>
      <c r="U17" s="444"/>
      <c r="V17" s="442">
        <f t="shared" ref="V17:X17" si="53">SUM(V29,V41,V59,V71,V83,V101)</f>
        <v>127.3478321658328</v>
      </c>
      <c r="W17" s="442">
        <f t="shared" si="53"/>
        <v>177.39568888248303</v>
      </c>
      <c r="X17" s="442">
        <f t="shared" si="53"/>
        <v>212.87797429257557</v>
      </c>
      <c r="Y17" s="444"/>
      <c r="Z17" s="442">
        <f t="shared" ref="Z17:AB17" si="54">SUM(Z29,Z41,Z59,Z71,Z83,Z101)</f>
        <v>694.24027382456882</v>
      </c>
      <c r="AA17" s="442">
        <f t="shared" si="54"/>
        <v>679.64392203818215</v>
      </c>
      <c r="AB17" s="442">
        <f t="shared" si="54"/>
        <v>674.3896763500079</v>
      </c>
      <c r="AC17" s="444"/>
      <c r="AD17" s="442">
        <f t="shared" ref="AD17:AF17" si="55">SUM(AD29,AD41,AD59,AD71,AD83,AD101)</f>
        <v>1105.6611469983366</v>
      </c>
      <c r="AE17" s="442">
        <f t="shared" si="55"/>
        <v>1110.3583531146969</v>
      </c>
      <c r="AF17" s="442">
        <f t="shared" si="55"/>
        <v>1098.4399659121125</v>
      </c>
      <c r="AG17" s="444"/>
      <c r="AH17" s="442">
        <f t="shared" ref="AH17:AJ17" si="56">SUM(AH29,AH41,AH59,AH71,AH83,AH101)</f>
        <v>1055.9388782691778</v>
      </c>
      <c r="AI17" s="442">
        <f t="shared" si="56"/>
        <v>942.53666207728679</v>
      </c>
      <c r="AJ17" s="442">
        <f t="shared" si="56"/>
        <v>837.58657220817861</v>
      </c>
      <c r="AK17" s="444"/>
      <c r="AL17" s="442">
        <f t="shared" ref="AL17:AN17" si="57">SUM(AL29,AL41,AL59,AL71,AL83,AL101)</f>
        <v>477.81726762751873</v>
      </c>
      <c r="AM17" s="442">
        <f t="shared" si="57"/>
        <v>307.62977212439051</v>
      </c>
      <c r="AN17" s="442">
        <f t="shared" si="57"/>
        <v>218.99856000626755</v>
      </c>
    </row>
    <row r="18" spans="1:40" x14ac:dyDescent="0.25">
      <c r="A18" s="60"/>
      <c r="B18" s="442"/>
      <c r="C18" s="442"/>
      <c r="D18" s="442"/>
      <c r="E18" s="442"/>
      <c r="F18" s="442"/>
      <c r="G18" s="442"/>
      <c r="H18" s="442"/>
      <c r="I18" s="442"/>
      <c r="J18" s="442"/>
      <c r="K18" s="442"/>
      <c r="L18" s="442"/>
      <c r="M18" s="442"/>
      <c r="N18" s="442"/>
      <c r="O18" s="442"/>
      <c r="P18" s="442"/>
      <c r="Q18" s="444"/>
      <c r="R18" s="442"/>
      <c r="S18" s="442"/>
      <c r="T18" s="442"/>
      <c r="U18" s="444"/>
      <c r="V18" s="442"/>
      <c r="W18" s="442"/>
      <c r="X18" s="442"/>
      <c r="Y18" s="444"/>
      <c r="Z18" s="442"/>
      <c r="AA18" s="442"/>
      <c r="AB18" s="442"/>
      <c r="AC18" s="444"/>
      <c r="AD18" s="442"/>
      <c r="AE18" s="442"/>
      <c r="AF18" s="442"/>
      <c r="AG18" s="444"/>
      <c r="AH18" s="442"/>
      <c r="AI18" s="442"/>
      <c r="AJ18" s="442"/>
      <c r="AK18" s="444"/>
      <c r="AL18" s="442"/>
      <c r="AM18" s="442"/>
      <c r="AN18" s="442"/>
    </row>
    <row r="19" spans="1:40" x14ac:dyDescent="0.25">
      <c r="A19" s="1" t="str">
        <f>name!C4</f>
        <v>Primary sector and utilities</v>
      </c>
      <c r="B19" s="444"/>
      <c r="C19" s="444"/>
      <c r="D19" s="444"/>
      <c r="E19" s="442"/>
      <c r="F19" s="442"/>
      <c r="G19" s="442"/>
      <c r="H19" s="442"/>
      <c r="I19" s="442"/>
      <c r="J19" s="442"/>
      <c r="K19" s="442"/>
      <c r="L19" s="442"/>
      <c r="M19" s="442"/>
      <c r="N19" s="442"/>
      <c r="O19" s="442"/>
      <c r="P19" s="442"/>
      <c r="Q19" s="444"/>
      <c r="R19" s="442"/>
      <c r="S19" s="442"/>
      <c r="T19" s="442"/>
      <c r="U19" s="444"/>
      <c r="V19" s="442"/>
      <c r="W19" s="442"/>
      <c r="X19" s="442"/>
      <c r="Y19" s="444"/>
      <c r="Z19" s="442"/>
      <c r="AA19" s="442"/>
      <c r="AB19" s="442"/>
      <c r="AC19" s="444"/>
      <c r="AD19" s="442"/>
      <c r="AE19" s="442"/>
      <c r="AF19" s="442"/>
      <c r="AG19" s="444"/>
      <c r="AH19" s="442"/>
      <c r="AI19" s="442"/>
      <c r="AJ19" s="442"/>
      <c r="AK19" s="444"/>
      <c r="AL19" s="442"/>
      <c r="AM19" s="442"/>
      <c r="AN19" s="442"/>
    </row>
    <row r="20" spans="1:40" x14ac:dyDescent="0.25">
      <c r="A20" s="15" t="str">
        <f t="shared" ref="A20:A29" si="58">A8</f>
        <v>All occupations</v>
      </c>
      <c r="B20" s="443">
        <f>SUM(B21:B29)</f>
        <v>858.013999999676</v>
      </c>
      <c r="C20" s="443">
        <f>SUM(C21:C29)</f>
        <v>845.00699999766596</v>
      </c>
      <c r="D20" s="443">
        <f>SUM(D21:D29)</f>
        <v>842.06799999951795</v>
      </c>
      <c r="E20" s="442"/>
      <c r="F20" s="443">
        <f>SUM(F21:F29)</f>
        <v>9.0437870481633418</v>
      </c>
      <c r="G20" s="443">
        <f>SUM(G21:G29)</f>
        <v>11.226793165485754</v>
      </c>
      <c r="H20" s="443">
        <f>SUM(H21:H29)</f>
        <v>13.368917588917618</v>
      </c>
      <c r="I20" s="442"/>
      <c r="J20" s="443">
        <f>SUM(J21:J29)</f>
        <v>54.191803839982214</v>
      </c>
      <c r="K20" s="443">
        <f>SUM(K21:K29)</f>
        <v>63.320836399843429</v>
      </c>
      <c r="L20" s="443">
        <f>SUM(L21:L29)</f>
        <v>72.116210338464285</v>
      </c>
      <c r="M20" s="442"/>
      <c r="N20" s="443">
        <f>SUM(N21:N29)</f>
        <v>136.24003938718815</v>
      </c>
      <c r="O20" s="443">
        <f>SUM(O21:O29)</f>
        <v>162.7756229842731</v>
      </c>
      <c r="P20" s="443">
        <f>SUM(P21:P29)</f>
        <v>178.8520327446077</v>
      </c>
      <c r="Q20" s="444"/>
      <c r="R20" s="443">
        <f>SUM(R21:R29)</f>
        <v>32.648764124969269</v>
      </c>
      <c r="S20" s="443">
        <f>SUM(S21:S29)</f>
        <v>40.083081803439235</v>
      </c>
      <c r="T20" s="443">
        <f>SUM(T21:T29)</f>
        <v>45.235208305988458</v>
      </c>
      <c r="U20" s="444"/>
      <c r="V20" s="443">
        <f>SUM(V21:V29)</f>
        <v>75.891947612446657</v>
      </c>
      <c r="W20" s="443">
        <f>SUM(W21:W29)</f>
        <v>88.604154123761006</v>
      </c>
      <c r="X20" s="443">
        <f>SUM(X21:X29)</f>
        <v>96.797358765301567</v>
      </c>
      <c r="Y20" s="444"/>
      <c r="Z20" s="443">
        <f>SUM(Z21:Z29)</f>
        <v>171.21425447951788</v>
      </c>
      <c r="AA20" s="443">
        <f>SUM(AA21:AA29)</f>
        <v>155.76396682833149</v>
      </c>
      <c r="AB20" s="443">
        <f>SUM(AB21:AB29)</f>
        <v>147.89684437309569</v>
      </c>
      <c r="AC20" s="444"/>
      <c r="AD20" s="443">
        <f>SUM(AD21:AD29)</f>
        <v>176.12089051854161</v>
      </c>
      <c r="AE20" s="443">
        <f>SUM(AE21:AE29)</f>
        <v>161.83120186329811</v>
      </c>
      <c r="AF20" s="443">
        <f>SUM(AF21:AF29)</f>
        <v>150.56983329607834</v>
      </c>
      <c r="AG20" s="444"/>
      <c r="AH20" s="443">
        <f>SUM(AH21:AH29)</f>
        <v>123.89793816057973</v>
      </c>
      <c r="AI20" s="443">
        <f>SUM(AI21:AI29)</f>
        <v>99.822768134066976</v>
      </c>
      <c r="AJ20" s="443">
        <f>SUM(AJ21:AJ29)</f>
        <v>82.639071961621013</v>
      </c>
      <c r="AK20" s="444"/>
      <c r="AL20" s="443">
        <f>SUM(AL21:AL29)</f>
        <v>78.76457482828711</v>
      </c>
      <c r="AM20" s="443">
        <f>SUM(AM21:AM29)</f>
        <v>61.578574695166878</v>
      </c>
      <c r="AN20" s="443">
        <f>SUM(AN21:AN29)</f>
        <v>54.592522625443237</v>
      </c>
    </row>
    <row r="21" spans="1:40" x14ac:dyDescent="0.25">
      <c r="A21" s="15" t="str">
        <f t="shared" si="58"/>
        <v>Managers, directors and senior officials</v>
      </c>
      <c r="B21" s="442">
        <f>SUM(F21,J21,N21,R21,V21,Z21,AD21,AH21,AL21)</f>
        <v>78.188529539774393</v>
      </c>
      <c r="C21" s="442">
        <f t="shared" ref="C21:D21" si="59">SUM(G21,K21,O21,S21,W21,AA21,AE21,AI21,AM21)</f>
        <v>82.586266696417511</v>
      </c>
      <c r="D21" s="442">
        <f t="shared" si="59"/>
        <v>85.986038612500465</v>
      </c>
      <c r="E21" s="442"/>
      <c r="F21" s="442">
        <v>2.0237863947535848</v>
      </c>
      <c r="G21" s="442">
        <v>2.5543646867290795</v>
      </c>
      <c r="H21" s="442">
        <v>2.9040080258198921</v>
      </c>
      <c r="I21" s="442"/>
      <c r="J21" s="442">
        <v>12.508361526046118</v>
      </c>
      <c r="K21" s="442">
        <v>14.556708639416291</v>
      </c>
      <c r="L21" s="442">
        <v>16.254812316092</v>
      </c>
      <c r="M21" s="442"/>
      <c r="N21" s="442">
        <v>17.438504123988874</v>
      </c>
      <c r="O21" s="442">
        <v>21.281937426734011</v>
      </c>
      <c r="P21" s="442">
        <v>23.131992431176251</v>
      </c>
      <c r="Q21" s="444"/>
      <c r="R21" s="442">
        <v>3.8910254309701329</v>
      </c>
      <c r="S21" s="442">
        <v>4.8427174192341287</v>
      </c>
      <c r="T21" s="442">
        <v>5.2746657748254249</v>
      </c>
      <c r="U21" s="444"/>
      <c r="V21" s="442">
        <v>5.7411455460198448</v>
      </c>
      <c r="W21" s="442">
        <v>6.11954872315785</v>
      </c>
      <c r="X21" s="442">
        <v>6.2762994622744168</v>
      </c>
      <c r="Y21" s="444"/>
      <c r="Z21" s="442">
        <v>12.772466555657596</v>
      </c>
      <c r="AA21" s="442">
        <v>12.215216623947708</v>
      </c>
      <c r="AB21" s="442">
        <v>12.56974099336977</v>
      </c>
      <c r="AC21" s="444"/>
      <c r="AD21" s="442">
        <v>11.524786943567788</v>
      </c>
      <c r="AE21" s="442">
        <v>10.744717193327904</v>
      </c>
      <c r="AF21" s="442">
        <v>9.6243465306287028</v>
      </c>
      <c r="AG21" s="444"/>
      <c r="AH21" s="442">
        <v>6.826729323389201</v>
      </c>
      <c r="AI21" s="442">
        <v>5.5938526660543983</v>
      </c>
      <c r="AJ21" s="442">
        <v>4.5680622466315501</v>
      </c>
      <c r="AK21" s="444"/>
      <c r="AL21" s="442">
        <v>5.4617236953812487</v>
      </c>
      <c r="AM21" s="442">
        <v>4.6772033178161516</v>
      </c>
      <c r="AN21" s="442">
        <v>5.3821108316824704</v>
      </c>
    </row>
    <row r="22" spans="1:40" x14ac:dyDescent="0.25">
      <c r="A22" s="15" t="str">
        <f t="shared" si="58"/>
        <v>Professional occupations</v>
      </c>
      <c r="B22" s="442">
        <f t="shared" ref="B22:B29" si="60">SUM(F22,J22,N22,R22,V22,Z22,AD22,AH22,AL22)</f>
        <v>86.115122188711467</v>
      </c>
      <c r="C22" s="442">
        <f t="shared" ref="C22:C29" si="61">SUM(G22,K22,O22,S22,W22,AA22,AE22,AI22,AM22)</f>
        <v>91.842498756894571</v>
      </c>
      <c r="D22" s="442">
        <f t="shared" ref="D22:D29" si="62">SUM(H22,L22,P22,T22,X22,AB22,AF22,AJ22,AN22)</f>
        <v>97.304903106632423</v>
      </c>
      <c r="E22" s="442"/>
      <c r="F22" s="442">
        <v>3.487078787361904</v>
      </c>
      <c r="G22" s="442">
        <v>4.3208503619879757</v>
      </c>
      <c r="H22" s="442">
        <v>5.3331789492214829</v>
      </c>
      <c r="I22" s="442"/>
      <c r="J22" s="442">
        <v>18.111967335804103</v>
      </c>
      <c r="K22" s="442">
        <v>21.762897386248333</v>
      </c>
      <c r="L22" s="442">
        <v>25.451998324105915</v>
      </c>
      <c r="M22" s="442"/>
      <c r="N22" s="442">
        <v>28.209410253814461</v>
      </c>
      <c r="O22" s="442">
        <v>30.378018537637587</v>
      </c>
      <c r="P22" s="442">
        <v>31.122705074042049</v>
      </c>
      <c r="Q22" s="444"/>
      <c r="R22" s="442">
        <v>2.6954066674622066</v>
      </c>
      <c r="S22" s="442">
        <v>3.3276016765065108</v>
      </c>
      <c r="T22" s="442">
        <v>3.7619457039202957</v>
      </c>
      <c r="U22" s="444"/>
      <c r="V22" s="442">
        <v>10.358484795282273</v>
      </c>
      <c r="W22" s="442">
        <v>11.096710012049545</v>
      </c>
      <c r="X22" s="442">
        <v>11.485765808872635</v>
      </c>
      <c r="Y22" s="444"/>
      <c r="Z22" s="442">
        <v>8.9459327564539031</v>
      </c>
      <c r="AA22" s="442">
        <v>7.8266538863034167</v>
      </c>
      <c r="AB22" s="442">
        <v>7.1663832930448121</v>
      </c>
      <c r="AC22" s="444"/>
      <c r="AD22" s="442">
        <v>7.5347085702344367</v>
      </c>
      <c r="AE22" s="442">
        <v>7.0455367593514096</v>
      </c>
      <c r="AF22" s="442">
        <v>6.6731020072580574</v>
      </c>
      <c r="AG22" s="444"/>
      <c r="AH22" s="442">
        <v>4.4997018822947972</v>
      </c>
      <c r="AI22" s="442">
        <v>3.9957236802964604</v>
      </c>
      <c r="AJ22" s="442">
        <v>3.7766806902588654</v>
      </c>
      <c r="AK22" s="444"/>
      <c r="AL22" s="442">
        <v>2.2724311400033708</v>
      </c>
      <c r="AM22" s="442">
        <v>2.0885064565133238</v>
      </c>
      <c r="AN22" s="442">
        <v>2.533143255908306</v>
      </c>
    </row>
    <row r="23" spans="1:40" x14ac:dyDescent="0.25">
      <c r="A23" s="15" t="str">
        <f t="shared" si="58"/>
        <v>Associate professional and technical</v>
      </c>
      <c r="B23" s="442">
        <f t="shared" si="60"/>
        <v>78.184840285109615</v>
      </c>
      <c r="C23" s="442">
        <f t="shared" si="61"/>
        <v>82.40312602280288</v>
      </c>
      <c r="D23" s="442">
        <f t="shared" si="62"/>
        <v>85.167151554042974</v>
      </c>
      <c r="E23" s="442"/>
      <c r="F23" s="442">
        <v>1.980237756720806</v>
      </c>
      <c r="G23" s="442">
        <v>2.4012804849694631</v>
      </c>
      <c r="H23" s="442">
        <v>2.7830796511984275</v>
      </c>
      <c r="I23" s="442"/>
      <c r="J23" s="442">
        <v>8.6581517963059103</v>
      </c>
      <c r="K23" s="442">
        <v>9.9292831020357646</v>
      </c>
      <c r="L23" s="442">
        <v>10.88825260727647</v>
      </c>
      <c r="M23" s="442"/>
      <c r="N23" s="442">
        <v>20.711860915364415</v>
      </c>
      <c r="O23" s="442">
        <v>24.081271057228129</v>
      </c>
      <c r="P23" s="442">
        <v>25.481213805536523</v>
      </c>
      <c r="Q23" s="444"/>
      <c r="R23" s="442">
        <v>2.3566848476872369</v>
      </c>
      <c r="S23" s="442">
        <v>2.7275005544405913</v>
      </c>
      <c r="T23" s="442">
        <v>3.0064707944826683</v>
      </c>
      <c r="U23" s="444"/>
      <c r="V23" s="442">
        <v>10.709965412231567</v>
      </c>
      <c r="W23" s="442">
        <v>12.837937301829223</v>
      </c>
      <c r="X23" s="442">
        <v>13.921455321773802</v>
      </c>
      <c r="Y23" s="444"/>
      <c r="Z23" s="442">
        <v>16.487589606727546</v>
      </c>
      <c r="AA23" s="442">
        <v>15.650741235960464</v>
      </c>
      <c r="AB23" s="442">
        <v>15.001939623662917</v>
      </c>
      <c r="AC23" s="444"/>
      <c r="AD23" s="442">
        <v>8.3189359439086115</v>
      </c>
      <c r="AE23" s="442">
        <v>6.9327979687096226</v>
      </c>
      <c r="AF23" s="442">
        <v>5.8180032665426751</v>
      </c>
      <c r="AG23" s="444"/>
      <c r="AH23" s="442">
        <v>6.4024193463947432</v>
      </c>
      <c r="AI23" s="442">
        <v>5.413299124924901</v>
      </c>
      <c r="AJ23" s="442">
        <v>5.1672308858237912</v>
      </c>
      <c r="AK23" s="444"/>
      <c r="AL23" s="442">
        <v>2.558994659768782</v>
      </c>
      <c r="AM23" s="442">
        <v>2.4290151927047297</v>
      </c>
      <c r="AN23" s="442">
        <v>3.0995055977457051</v>
      </c>
    </row>
    <row r="24" spans="1:40" x14ac:dyDescent="0.25">
      <c r="A24" s="15" t="str">
        <f t="shared" si="58"/>
        <v>Administrative and secretarial</v>
      </c>
      <c r="B24" s="442">
        <f t="shared" si="60"/>
        <v>61.51229649906125</v>
      </c>
      <c r="C24" s="442">
        <f t="shared" si="61"/>
        <v>56.033461583492965</v>
      </c>
      <c r="D24" s="442">
        <f t="shared" si="62"/>
        <v>51.66036484513635</v>
      </c>
      <c r="E24" s="442"/>
      <c r="F24" s="442">
        <v>0.19933214754334258</v>
      </c>
      <c r="G24" s="442">
        <v>0.22147629740047339</v>
      </c>
      <c r="H24" s="442">
        <v>0.24467801455189186</v>
      </c>
      <c r="I24" s="442"/>
      <c r="J24" s="442">
        <v>3.6615424631012452</v>
      </c>
      <c r="K24" s="442">
        <v>4.3467736276790552</v>
      </c>
      <c r="L24" s="442">
        <v>4.9254492439236444</v>
      </c>
      <c r="M24" s="442"/>
      <c r="N24" s="442">
        <v>10.629825116415276</v>
      </c>
      <c r="O24" s="442">
        <v>11.959059809174585</v>
      </c>
      <c r="P24" s="442">
        <v>12.356044268078792</v>
      </c>
      <c r="Q24" s="444"/>
      <c r="R24" s="442">
        <v>2.1051870534993173</v>
      </c>
      <c r="S24" s="442">
        <v>1.8283835764956022</v>
      </c>
      <c r="T24" s="442">
        <v>1.5215451912163072</v>
      </c>
      <c r="U24" s="444"/>
      <c r="V24" s="442">
        <v>5.8326924810764051</v>
      </c>
      <c r="W24" s="442">
        <v>6.3861569310515627</v>
      </c>
      <c r="X24" s="442">
        <v>6.71212679468485</v>
      </c>
      <c r="Y24" s="444"/>
      <c r="Z24" s="442">
        <v>13.214602404663657</v>
      </c>
      <c r="AA24" s="442">
        <v>11.244093418117044</v>
      </c>
      <c r="AB24" s="442">
        <v>9.9519727875501669</v>
      </c>
      <c r="AC24" s="444"/>
      <c r="AD24" s="442">
        <v>12.224393139133081</v>
      </c>
      <c r="AE24" s="442">
        <v>9.500943404118841</v>
      </c>
      <c r="AF24" s="442">
        <v>7.0223375563255335</v>
      </c>
      <c r="AG24" s="444"/>
      <c r="AH24" s="442">
        <v>8.0034779359253463</v>
      </c>
      <c r="AI24" s="442">
        <v>5.7600467258107697</v>
      </c>
      <c r="AJ24" s="442">
        <v>4.2649205368174332</v>
      </c>
      <c r="AK24" s="444"/>
      <c r="AL24" s="442">
        <v>5.6412437577035774</v>
      </c>
      <c r="AM24" s="442">
        <v>4.7865277936450292</v>
      </c>
      <c r="AN24" s="442">
        <v>4.6612904519877301</v>
      </c>
    </row>
    <row r="25" spans="1:40" x14ac:dyDescent="0.25">
      <c r="A25" s="15" t="str">
        <f t="shared" si="58"/>
        <v>Skilled trades occupations</v>
      </c>
      <c r="B25" s="442">
        <f t="shared" si="60"/>
        <v>270.80469342747364</v>
      </c>
      <c r="C25" s="442">
        <f t="shared" si="61"/>
        <v>255.42753205992094</v>
      </c>
      <c r="D25" s="442">
        <f t="shared" si="62"/>
        <v>245.81930814974407</v>
      </c>
      <c r="E25" s="442"/>
      <c r="F25" s="442">
        <v>1.0759584763427517</v>
      </c>
      <c r="G25" s="442">
        <v>1.3934983148649569</v>
      </c>
      <c r="H25" s="442">
        <v>1.7283254192983373</v>
      </c>
      <c r="I25" s="442"/>
      <c r="J25" s="442">
        <v>5.4075315965300836</v>
      </c>
      <c r="K25" s="442">
        <v>5.5113582792880615</v>
      </c>
      <c r="L25" s="442">
        <v>6.2624050912658271</v>
      </c>
      <c r="M25" s="442"/>
      <c r="N25" s="442">
        <v>34.491965939637772</v>
      </c>
      <c r="O25" s="442">
        <v>44.591001694094274</v>
      </c>
      <c r="P25" s="442">
        <v>52.455014842535988</v>
      </c>
      <c r="Q25" s="444"/>
      <c r="R25" s="442">
        <v>11.442920293496922</v>
      </c>
      <c r="S25" s="442">
        <v>14.20770027792409</v>
      </c>
      <c r="T25" s="442">
        <v>16.08849588754104</v>
      </c>
      <c r="U25" s="444"/>
      <c r="V25" s="442">
        <v>26.391548742874633</v>
      </c>
      <c r="W25" s="442">
        <v>31.111332586791523</v>
      </c>
      <c r="X25" s="442">
        <v>35.008960242154906</v>
      </c>
      <c r="Y25" s="444"/>
      <c r="Z25" s="442">
        <v>56.172211908073237</v>
      </c>
      <c r="AA25" s="442">
        <v>46.206309918912297</v>
      </c>
      <c r="AB25" s="442">
        <v>39.728248184847182</v>
      </c>
      <c r="AC25" s="444"/>
      <c r="AD25" s="442">
        <v>62.352527867977365</v>
      </c>
      <c r="AE25" s="442">
        <v>55.760593089832618</v>
      </c>
      <c r="AF25" s="442">
        <v>52.329896848279915</v>
      </c>
      <c r="AG25" s="444"/>
      <c r="AH25" s="442">
        <v>40.897451535540057</v>
      </c>
      <c r="AI25" s="442">
        <v>32.774470177327039</v>
      </c>
      <c r="AJ25" s="442">
        <v>26.290270178144066</v>
      </c>
      <c r="AK25" s="444"/>
      <c r="AL25" s="442">
        <v>32.572577067000822</v>
      </c>
      <c r="AM25" s="442">
        <v>23.871267720886088</v>
      </c>
      <c r="AN25" s="442">
        <v>15.927691455676831</v>
      </c>
    </row>
    <row r="26" spans="1:40" x14ac:dyDescent="0.25">
      <c r="A26" s="15" t="str">
        <f t="shared" si="58"/>
        <v>Caring, leisure and other service</v>
      </c>
      <c r="B26" s="442">
        <f t="shared" si="60"/>
        <v>32.974875724869783</v>
      </c>
      <c r="C26" s="442">
        <f t="shared" si="61"/>
        <v>34.692855209907584</v>
      </c>
      <c r="D26" s="442">
        <f t="shared" si="62"/>
        <v>37.482082529287652</v>
      </c>
      <c r="E26" s="442"/>
      <c r="F26" s="442">
        <v>0.12187263322286554</v>
      </c>
      <c r="G26" s="442">
        <v>0.15720113809129399</v>
      </c>
      <c r="H26" s="442">
        <v>0.17542025596540112</v>
      </c>
      <c r="I26" s="442"/>
      <c r="J26" s="442">
        <v>0.99208802218529035</v>
      </c>
      <c r="K26" s="442">
        <v>1.2226063866186809</v>
      </c>
      <c r="L26" s="442">
        <v>1.3487907599729818</v>
      </c>
      <c r="M26" s="442"/>
      <c r="N26" s="442">
        <v>7.0126481393139217</v>
      </c>
      <c r="O26" s="442">
        <v>8.2062549636869679</v>
      </c>
      <c r="P26" s="442">
        <v>9.3895428357237662</v>
      </c>
      <c r="Q26" s="444"/>
      <c r="R26" s="442">
        <v>2.1059531315730005</v>
      </c>
      <c r="S26" s="442">
        <v>2.9051985716686497</v>
      </c>
      <c r="T26" s="442">
        <v>3.5629544450357713</v>
      </c>
      <c r="U26" s="444"/>
      <c r="V26" s="442">
        <v>2.624492520924516</v>
      </c>
      <c r="W26" s="442">
        <v>3.4073626869103304</v>
      </c>
      <c r="X26" s="442">
        <v>3.8981054972730655</v>
      </c>
      <c r="Y26" s="444"/>
      <c r="Z26" s="442">
        <v>4.2612579703934266</v>
      </c>
      <c r="AA26" s="442">
        <v>3.9665594652516538</v>
      </c>
      <c r="AB26" s="442">
        <v>4.022030637210622</v>
      </c>
      <c r="AC26" s="444"/>
      <c r="AD26" s="442">
        <v>5.2064567958584664</v>
      </c>
      <c r="AE26" s="442">
        <v>5.0532775946814814</v>
      </c>
      <c r="AF26" s="442">
        <v>5.4790533110339057</v>
      </c>
      <c r="AG26" s="444"/>
      <c r="AH26" s="442">
        <v>6.9687150353606846</v>
      </c>
      <c r="AI26" s="442">
        <v>6.8259869884125282</v>
      </c>
      <c r="AJ26" s="442">
        <v>6.702043547045081</v>
      </c>
      <c r="AK26" s="444"/>
      <c r="AL26" s="442">
        <v>3.681391476037617</v>
      </c>
      <c r="AM26" s="442">
        <v>2.9484074145859989</v>
      </c>
      <c r="AN26" s="442">
        <v>2.9041412400270623</v>
      </c>
    </row>
    <row r="27" spans="1:40" x14ac:dyDescent="0.25">
      <c r="A27" s="15" t="str">
        <f t="shared" si="58"/>
        <v>Sales and customer service</v>
      </c>
      <c r="B27" s="442">
        <f t="shared" si="60"/>
        <v>36.128114976191391</v>
      </c>
      <c r="C27" s="442">
        <f t="shared" si="61"/>
        <v>35.626825837290667</v>
      </c>
      <c r="D27" s="442">
        <f t="shared" si="62"/>
        <v>35.897979008855344</v>
      </c>
      <c r="E27" s="442"/>
      <c r="F27" s="442">
        <v>0.13042630274346839</v>
      </c>
      <c r="G27" s="442">
        <v>0.14604794170190966</v>
      </c>
      <c r="H27" s="442">
        <v>0.15901657245432699</v>
      </c>
      <c r="I27" s="442"/>
      <c r="J27" s="442">
        <v>1.2020470575157787</v>
      </c>
      <c r="K27" s="442">
        <v>1.3691618521701463</v>
      </c>
      <c r="L27" s="442">
        <v>1.4892861253779508</v>
      </c>
      <c r="M27" s="442"/>
      <c r="N27" s="442">
        <v>5.8997212046533267</v>
      </c>
      <c r="O27" s="442">
        <v>6.8470302005299599</v>
      </c>
      <c r="P27" s="442">
        <v>7.3355636880587607</v>
      </c>
      <c r="Q27" s="444"/>
      <c r="R27" s="442">
        <v>3.0323213598191958</v>
      </c>
      <c r="S27" s="442">
        <v>3.6567567830049841</v>
      </c>
      <c r="T27" s="442">
        <v>4.2747439843866717</v>
      </c>
      <c r="U27" s="444"/>
      <c r="V27" s="442">
        <v>2.1902440781638881</v>
      </c>
      <c r="W27" s="442">
        <v>2.5783347424393921</v>
      </c>
      <c r="X27" s="442">
        <v>2.9215056886504849</v>
      </c>
      <c r="Y27" s="444"/>
      <c r="Z27" s="442">
        <v>7.7693716693161514</v>
      </c>
      <c r="AA27" s="442">
        <v>7.9433345154808981</v>
      </c>
      <c r="AB27" s="442">
        <v>7.9514302180766592</v>
      </c>
      <c r="AC27" s="444"/>
      <c r="AD27" s="442">
        <v>6.3830614310646254</v>
      </c>
      <c r="AE27" s="442">
        <v>5.8752501494881395</v>
      </c>
      <c r="AF27" s="442">
        <v>5.8877323331039886</v>
      </c>
      <c r="AG27" s="444"/>
      <c r="AH27" s="442">
        <v>7.859220193348154</v>
      </c>
      <c r="AI27" s="442">
        <v>5.9353644067826803</v>
      </c>
      <c r="AJ27" s="442">
        <v>4.6833967110580428</v>
      </c>
      <c r="AK27" s="444"/>
      <c r="AL27" s="442">
        <v>1.6617016795668067</v>
      </c>
      <c r="AM27" s="442">
        <v>1.2755452456925589</v>
      </c>
      <c r="AN27" s="442">
        <v>1.1953036876884546</v>
      </c>
    </row>
    <row r="28" spans="1:40" x14ac:dyDescent="0.25">
      <c r="A28" s="15" t="str">
        <f t="shared" si="58"/>
        <v>Process, plant and machine operatives</v>
      </c>
      <c r="B28" s="442">
        <f t="shared" si="60"/>
        <v>92.054445156945008</v>
      </c>
      <c r="C28" s="442">
        <f t="shared" si="61"/>
        <v>89.177963418800147</v>
      </c>
      <c r="D28" s="442">
        <f t="shared" si="62"/>
        <v>89.680948914497279</v>
      </c>
      <c r="E28" s="442"/>
      <c r="F28" s="442">
        <v>2.3560569531818294E-2</v>
      </c>
      <c r="G28" s="442">
        <v>2.9866049709045661E-2</v>
      </c>
      <c r="H28" s="442">
        <v>3.8385706506576869E-2</v>
      </c>
      <c r="I28" s="442"/>
      <c r="J28" s="442">
        <v>1.2114756996778289</v>
      </c>
      <c r="K28" s="442">
        <v>1.6331020331250361</v>
      </c>
      <c r="L28" s="442">
        <v>2.0717211305085921</v>
      </c>
      <c r="M28" s="442"/>
      <c r="N28" s="442">
        <v>4.6971754254361393</v>
      </c>
      <c r="O28" s="442">
        <v>6.5094063706595007</v>
      </c>
      <c r="P28" s="442">
        <v>7.9943505065965139</v>
      </c>
      <c r="Q28" s="444"/>
      <c r="R28" s="442">
        <v>1.2399092180924427</v>
      </c>
      <c r="S28" s="442">
        <v>1.7583338446175953</v>
      </c>
      <c r="T28" s="442">
        <v>2.0413445951846669</v>
      </c>
      <c r="U28" s="444"/>
      <c r="V28" s="442">
        <v>3.6973533157949312</v>
      </c>
      <c r="W28" s="442">
        <v>4.6834815355677053</v>
      </c>
      <c r="X28" s="442">
        <v>5.2947524991449733</v>
      </c>
      <c r="Y28" s="444"/>
      <c r="Z28" s="442">
        <v>24.982474373527847</v>
      </c>
      <c r="AA28" s="442">
        <v>25.82455031412929</v>
      </c>
      <c r="AB28" s="442">
        <v>27.502773948351511</v>
      </c>
      <c r="AC28" s="444"/>
      <c r="AD28" s="442">
        <v>28.712565018602728</v>
      </c>
      <c r="AE28" s="442">
        <v>28.090572245979033</v>
      </c>
      <c r="AF28" s="442">
        <v>27.521809508513687</v>
      </c>
      <c r="AG28" s="444"/>
      <c r="AH28" s="442">
        <v>16.446814073366514</v>
      </c>
      <c r="AI28" s="442">
        <v>11.017936752162987</v>
      </c>
      <c r="AJ28" s="442">
        <v>8.6810126507696506</v>
      </c>
      <c r="AK28" s="444"/>
      <c r="AL28" s="442">
        <v>11.04311746291477</v>
      </c>
      <c r="AM28" s="442">
        <v>9.6307142728499553</v>
      </c>
      <c r="AN28" s="442">
        <v>8.5347983689211215</v>
      </c>
    </row>
    <row r="29" spans="1:40" x14ac:dyDescent="0.25">
      <c r="A29" s="15" t="str">
        <f t="shared" si="58"/>
        <v>Elementary occupations</v>
      </c>
      <c r="B29" s="442">
        <f t="shared" si="60"/>
        <v>122.05108220153939</v>
      </c>
      <c r="C29" s="442">
        <f t="shared" si="61"/>
        <v>117.21647041213869</v>
      </c>
      <c r="D29" s="442">
        <f t="shared" si="62"/>
        <v>113.06922327882124</v>
      </c>
      <c r="E29" s="442"/>
      <c r="F29" s="442">
        <v>1.5339799428001799E-3</v>
      </c>
      <c r="G29" s="442">
        <v>2.2078900315558032E-3</v>
      </c>
      <c r="H29" s="442">
        <v>2.8249939012806669E-3</v>
      </c>
      <c r="I29" s="442"/>
      <c r="J29" s="442">
        <v>2.4386383428158651</v>
      </c>
      <c r="K29" s="442">
        <v>2.9889450932620631</v>
      </c>
      <c r="L29" s="442">
        <v>3.4234947399409008</v>
      </c>
      <c r="M29" s="442"/>
      <c r="N29" s="442">
        <v>7.1489282685639548</v>
      </c>
      <c r="O29" s="442">
        <v>8.9216429245280668</v>
      </c>
      <c r="P29" s="442">
        <v>9.5856052928590341</v>
      </c>
      <c r="Q29" s="444"/>
      <c r="R29" s="442">
        <v>3.7793561223688137</v>
      </c>
      <c r="S29" s="442">
        <v>4.8288890995470837</v>
      </c>
      <c r="T29" s="442">
        <v>5.7030419293956118</v>
      </c>
      <c r="U29" s="444"/>
      <c r="V29" s="442">
        <v>8.346020720078597</v>
      </c>
      <c r="W29" s="442">
        <v>10.383289603963876</v>
      </c>
      <c r="X29" s="442">
        <v>11.278387450472417</v>
      </c>
      <c r="Y29" s="444"/>
      <c r="Z29" s="442">
        <v>26.608347234704492</v>
      </c>
      <c r="AA29" s="442">
        <v>24.886507450228734</v>
      </c>
      <c r="AB29" s="442">
        <v>24.002324686982043</v>
      </c>
      <c r="AC29" s="444"/>
      <c r="AD29" s="442">
        <v>33.863454808194497</v>
      </c>
      <c r="AE29" s="442">
        <v>32.827513457809054</v>
      </c>
      <c r="AF29" s="442">
        <v>30.213551934391877</v>
      </c>
      <c r="AG29" s="444"/>
      <c r="AH29" s="442">
        <v>25.993408834960231</v>
      </c>
      <c r="AI29" s="442">
        <v>22.506087612295214</v>
      </c>
      <c r="AJ29" s="442">
        <v>18.505454515072532</v>
      </c>
      <c r="AK29" s="444"/>
      <c r="AL29" s="442">
        <v>13.87139388991012</v>
      </c>
      <c r="AM29" s="442">
        <v>9.8713872804730407</v>
      </c>
      <c r="AN29" s="442">
        <v>10.354537735805554</v>
      </c>
    </row>
    <row r="30" spans="1:40" x14ac:dyDescent="0.25">
      <c r="B30" s="443"/>
      <c r="C30" s="443"/>
      <c r="D30" s="443"/>
      <c r="E30" s="442"/>
      <c r="F30" s="442"/>
      <c r="G30" s="442"/>
      <c r="H30" s="442"/>
      <c r="I30" s="442"/>
      <c r="J30" s="442"/>
      <c r="K30" s="442"/>
      <c r="L30" s="442"/>
      <c r="M30" s="442"/>
      <c r="N30" s="442"/>
      <c r="O30" s="442"/>
      <c r="P30" s="442"/>
      <c r="Q30" s="444"/>
      <c r="R30" s="442"/>
      <c r="S30" s="442"/>
      <c r="T30" s="442"/>
      <c r="U30" s="444"/>
      <c r="V30" s="442"/>
      <c r="W30" s="442"/>
      <c r="X30" s="442"/>
      <c r="Y30" s="444"/>
      <c r="Z30" s="442"/>
      <c r="AA30" s="442"/>
      <c r="AB30" s="442"/>
      <c r="AC30" s="444"/>
      <c r="AD30" s="442"/>
      <c r="AE30" s="442"/>
      <c r="AF30" s="442"/>
      <c r="AG30" s="444"/>
      <c r="AH30" s="442"/>
      <c r="AI30" s="442"/>
      <c r="AJ30" s="442"/>
      <c r="AK30" s="444"/>
      <c r="AL30" s="442"/>
      <c r="AM30" s="442"/>
      <c r="AN30" s="442"/>
    </row>
    <row r="31" spans="1:40" x14ac:dyDescent="0.25">
      <c r="A31" s="1" t="str">
        <f>name!C5</f>
        <v>Manufacturing</v>
      </c>
      <c r="B31" s="445"/>
      <c r="C31" s="445"/>
      <c r="D31" s="445"/>
      <c r="E31" s="442"/>
      <c r="F31" s="442"/>
      <c r="G31" s="442"/>
      <c r="H31" s="442"/>
      <c r="I31" s="442"/>
      <c r="J31" s="442"/>
      <c r="K31" s="442"/>
      <c r="L31" s="442"/>
      <c r="M31" s="442"/>
      <c r="N31" s="442"/>
      <c r="O31" s="442"/>
      <c r="P31" s="442"/>
      <c r="Q31" s="444"/>
      <c r="R31" s="442"/>
      <c r="S31" s="442"/>
      <c r="T31" s="442"/>
      <c r="U31" s="444"/>
      <c r="V31" s="442"/>
      <c r="W31" s="442"/>
      <c r="X31" s="442"/>
      <c r="Y31" s="444"/>
      <c r="Z31" s="442"/>
      <c r="AA31" s="442"/>
      <c r="AB31" s="442"/>
      <c r="AC31" s="444"/>
      <c r="AD31" s="442"/>
      <c r="AE31" s="442"/>
      <c r="AF31" s="442"/>
      <c r="AG31" s="444"/>
      <c r="AH31" s="442"/>
      <c r="AI31" s="442"/>
      <c r="AJ31" s="442"/>
      <c r="AK31" s="444"/>
      <c r="AL31" s="442"/>
      <c r="AM31" s="442"/>
      <c r="AN31" s="442"/>
    </row>
    <row r="32" spans="1:40" x14ac:dyDescent="0.25">
      <c r="A32" s="15" t="str">
        <f t="shared" ref="A32:A41" si="63">A8</f>
        <v>All occupations</v>
      </c>
      <c r="B32" s="443">
        <f>SUM(B33:B41)</f>
        <v>2672.0749999920454</v>
      </c>
      <c r="C32" s="443">
        <f>SUM(C33:C41)</f>
        <v>2535.298999986137</v>
      </c>
      <c r="D32" s="443">
        <f>SUM(D33:D41)</f>
        <v>2414.4589999918871</v>
      </c>
      <c r="E32" s="442"/>
      <c r="F32" s="443">
        <f>SUM(F33:F41)</f>
        <v>28.706200606107892</v>
      </c>
      <c r="G32" s="443">
        <f>SUM(G33:G41)</f>
        <v>32.097135797670148</v>
      </c>
      <c r="H32" s="443">
        <f>SUM(H33:H41)</f>
        <v>35.413467900569174</v>
      </c>
      <c r="I32" s="442"/>
      <c r="J32" s="443">
        <f>SUM(J33:J41)</f>
        <v>158.19873805534473</v>
      </c>
      <c r="K32" s="443">
        <f>SUM(K33:K41)</f>
        <v>178.82596659847829</v>
      </c>
      <c r="L32" s="443">
        <f>SUM(L33:L41)</f>
        <v>199.21206457595494</v>
      </c>
      <c r="M32" s="442"/>
      <c r="N32" s="443">
        <f>SUM(N33:N41)</f>
        <v>377.55166206168974</v>
      </c>
      <c r="O32" s="443">
        <f>SUM(O33:O41)</f>
        <v>439.62349041779765</v>
      </c>
      <c r="P32" s="443">
        <f>SUM(P33:P41)</f>
        <v>467.12783810899776</v>
      </c>
      <c r="Q32" s="444"/>
      <c r="R32" s="443">
        <f>SUM(R33:R41)</f>
        <v>94.427207709672487</v>
      </c>
      <c r="S32" s="443">
        <f>SUM(S33:S41)</f>
        <v>111.46028707518404</v>
      </c>
      <c r="T32" s="443">
        <f>SUM(T33:T41)</f>
        <v>120.05997672037608</v>
      </c>
      <c r="U32" s="444"/>
      <c r="V32" s="443">
        <f>SUM(V33:V41)</f>
        <v>212.94913758704777</v>
      </c>
      <c r="W32" s="443">
        <f>SUM(W33:W41)</f>
        <v>240.57406098571406</v>
      </c>
      <c r="X32" s="443">
        <f>SUM(X33:X41)</f>
        <v>248.65178972389074</v>
      </c>
      <c r="Y32" s="444"/>
      <c r="Z32" s="443">
        <f>SUM(Z33:Z41)</f>
        <v>647.82691057062323</v>
      </c>
      <c r="AA32" s="443">
        <f>SUM(AA33:AA41)</f>
        <v>582.57213212132046</v>
      </c>
      <c r="AB32" s="443">
        <f>SUM(AB33:AB41)</f>
        <v>542.01940006962423</v>
      </c>
      <c r="AC32" s="444"/>
      <c r="AD32" s="443">
        <f>SUM(AD33:AD41)</f>
        <v>577.98563153702207</v>
      </c>
      <c r="AE32" s="443">
        <f>SUM(AE33:AE41)</f>
        <v>516.21651426585993</v>
      </c>
      <c r="AF32" s="443">
        <f>SUM(AF33:AF41)</f>
        <v>468.3874714424569</v>
      </c>
      <c r="AG32" s="444"/>
      <c r="AH32" s="443">
        <f>SUM(AH33:AH41)</f>
        <v>414.9421528685773</v>
      </c>
      <c r="AI32" s="443">
        <f>SUM(AI33:AI41)</f>
        <v>330.98094988200444</v>
      </c>
      <c r="AJ32" s="443">
        <f>SUM(AJ33:AJ41)</f>
        <v>263.6971130872721</v>
      </c>
      <c r="AK32" s="444"/>
      <c r="AL32" s="443">
        <f>SUM(AL33:AL41)</f>
        <v>159.48735899596005</v>
      </c>
      <c r="AM32" s="443">
        <f>SUM(AM33:AM41)</f>
        <v>102.94846284210844</v>
      </c>
      <c r="AN32" s="443">
        <f>SUM(AN33:AN41)</f>
        <v>69.889878362745108</v>
      </c>
    </row>
    <row r="33" spans="1:40" x14ac:dyDescent="0.25">
      <c r="A33" s="15" t="str">
        <f t="shared" si="63"/>
        <v>Managers, directors and senior officials</v>
      </c>
      <c r="B33" s="442">
        <f>SUM(F33,J33,N33,R33,V33,Z33,AD33,AH33,AL33)</f>
        <v>300.37703931580825</v>
      </c>
      <c r="C33" s="442">
        <f t="shared" ref="C33:C41" si="64">SUM(G33,K33,O33,S33,W33,AA33,AE33,AI33,AM33)</f>
        <v>309.99521295815128</v>
      </c>
      <c r="D33" s="442">
        <f t="shared" ref="D33:D40" si="65">SUM(H33,L33,P33,T33,X33,AB33,AF33,AJ33,AN33)</f>
        <v>313.62655463682614</v>
      </c>
      <c r="E33" s="442"/>
      <c r="F33" s="442">
        <v>4.4286008320535197</v>
      </c>
      <c r="G33" s="442">
        <v>4.4813191805626422</v>
      </c>
      <c r="H33" s="442">
        <v>4.4363493973149399</v>
      </c>
      <c r="I33" s="442"/>
      <c r="J33" s="442">
        <v>31.271651508109887</v>
      </c>
      <c r="K33" s="442">
        <v>35.586795653787433</v>
      </c>
      <c r="L33" s="442">
        <v>39.97765159379599</v>
      </c>
      <c r="M33" s="442"/>
      <c r="N33" s="442">
        <v>81.137522059624047</v>
      </c>
      <c r="O33" s="442">
        <v>96.653941798911674</v>
      </c>
      <c r="P33" s="442">
        <v>103.95480155318823</v>
      </c>
      <c r="Q33" s="444"/>
      <c r="R33" s="442">
        <v>17.118824803375514</v>
      </c>
      <c r="S33" s="442">
        <v>20.076612845340247</v>
      </c>
      <c r="T33" s="442">
        <v>21.630002276371979</v>
      </c>
      <c r="U33" s="444"/>
      <c r="V33" s="442">
        <v>38.276683413120303</v>
      </c>
      <c r="W33" s="442">
        <v>43.838318110632706</v>
      </c>
      <c r="X33" s="442">
        <v>45.490328378276523</v>
      </c>
      <c r="Y33" s="444"/>
      <c r="Z33" s="442">
        <v>54.129179847335465</v>
      </c>
      <c r="AA33" s="442">
        <v>46.006646424710475</v>
      </c>
      <c r="AB33" s="442">
        <v>40.826585387840005</v>
      </c>
      <c r="AC33" s="444"/>
      <c r="AD33" s="442">
        <v>42.506251844676754</v>
      </c>
      <c r="AE33" s="442">
        <v>37.586587135787362</v>
      </c>
      <c r="AF33" s="442">
        <v>33.874144363399765</v>
      </c>
      <c r="AG33" s="444"/>
      <c r="AH33" s="442">
        <v>24.449194822692988</v>
      </c>
      <c r="AI33" s="442">
        <v>19.577385896676688</v>
      </c>
      <c r="AJ33" s="442">
        <v>15.765387256992158</v>
      </c>
      <c r="AK33" s="444"/>
      <c r="AL33" s="442">
        <v>7.0591301848197556</v>
      </c>
      <c r="AM33" s="442">
        <v>6.1876059117420565</v>
      </c>
      <c r="AN33" s="442">
        <v>7.6713044296465522</v>
      </c>
    </row>
    <row r="34" spans="1:40" x14ac:dyDescent="0.25">
      <c r="A34" s="15" t="str">
        <f t="shared" si="63"/>
        <v>Professional occupations</v>
      </c>
      <c r="B34" s="442">
        <f t="shared" ref="B34:B41" si="66">SUM(F34,J34,N34,R34,V34,Z34,AD34,AH34,AL34)</f>
        <v>357.6429389565854</v>
      </c>
      <c r="C34" s="442">
        <f t="shared" si="64"/>
        <v>366.3030533254049</v>
      </c>
      <c r="D34" s="442">
        <f t="shared" si="65"/>
        <v>369.59030513824877</v>
      </c>
      <c r="E34" s="442"/>
      <c r="F34" s="442">
        <v>16.939627691275835</v>
      </c>
      <c r="G34" s="442">
        <v>19.249562111241804</v>
      </c>
      <c r="H34" s="442">
        <v>21.726279381410322</v>
      </c>
      <c r="I34" s="442"/>
      <c r="J34" s="442">
        <v>56.954201348304302</v>
      </c>
      <c r="K34" s="442">
        <v>64.341400789841302</v>
      </c>
      <c r="L34" s="442">
        <v>71.851556039839224</v>
      </c>
      <c r="M34" s="442"/>
      <c r="N34" s="442">
        <v>103.90796859428107</v>
      </c>
      <c r="O34" s="442">
        <v>114.30581076764553</v>
      </c>
      <c r="P34" s="442">
        <v>116.49822660992061</v>
      </c>
      <c r="Q34" s="444"/>
      <c r="R34" s="442">
        <v>10.341581995833332</v>
      </c>
      <c r="S34" s="442">
        <v>10.934804141845799</v>
      </c>
      <c r="T34" s="442">
        <v>11.468250779582066</v>
      </c>
      <c r="U34" s="444"/>
      <c r="V34" s="442">
        <v>47.079136596437216</v>
      </c>
      <c r="W34" s="442">
        <v>51.247544753106091</v>
      </c>
      <c r="X34" s="442">
        <v>51.120100237603921</v>
      </c>
      <c r="Y34" s="444"/>
      <c r="Z34" s="442">
        <v>62.475001336226107</v>
      </c>
      <c r="AA34" s="442">
        <v>54.651892379825142</v>
      </c>
      <c r="AB34" s="442">
        <v>49.136387310749214</v>
      </c>
      <c r="AC34" s="444"/>
      <c r="AD34" s="442">
        <v>33.56490398532997</v>
      </c>
      <c r="AE34" s="442">
        <v>28.456382083678303</v>
      </c>
      <c r="AF34" s="442">
        <v>24.986062306154214</v>
      </c>
      <c r="AG34" s="444"/>
      <c r="AH34" s="442">
        <v>21.394857108463722</v>
      </c>
      <c r="AI34" s="442">
        <v>18.279223761752828</v>
      </c>
      <c r="AJ34" s="442">
        <v>16.254163143562256</v>
      </c>
      <c r="AK34" s="444"/>
      <c r="AL34" s="442">
        <v>4.9856603004338398</v>
      </c>
      <c r="AM34" s="442">
        <v>4.8364325364681067</v>
      </c>
      <c r="AN34" s="442">
        <v>6.5492793294268896</v>
      </c>
    </row>
    <row r="35" spans="1:40" x14ac:dyDescent="0.25">
      <c r="A35" s="15" t="str">
        <f t="shared" si="63"/>
        <v>Associate professional and technical</v>
      </c>
      <c r="B35" s="442">
        <f t="shared" si="66"/>
        <v>348.40942721367645</v>
      </c>
      <c r="C35" s="442">
        <f t="shared" si="64"/>
        <v>349.67858666160959</v>
      </c>
      <c r="D35" s="442">
        <f t="shared" si="65"/>
        <v>346.6833085839491</v>
      </c>
      <c r="E35" s="442"/>
      <c r="F35" s="442">
        <v>4.5262604184949939</v>
      </c>
      <c r="G35" s="442">
        <v>5.2014760410567842</v>
      </c>
      <c r="H35" s="442">
        <v>5.8074526369257331</v>
      </c>
      <c r="I35" s="442"/>
      <c r="J35" s="442">
        <v>33.537025552678422</v>
      </c>
      <c r="K35" s="442">
        <v>37.849109293321291</v>
      </c>
      <c r="L35" s="442">
        <v>41.728816347738487</v>
      </c>
      <c r="M35" s="442"/>
      <c r="N35" s="442">
        <v>87.203083436756742</v>
      </c>
      <c r="O35" s="442">
        <v>100.03325853002256</v>
      </c>
      <c r="P35" s="442">
        <v>105.57056824315057</v>
      </c>
      <c r="Q35" s="444"/>
      <c r="R35" s="442">
        <v>22.775467947568874</v>
      </c>
      <c r="S35" s="442">
        <v>27.30991982442799</v>
      </c>
      <c r="T35" s="442">
        <v>29.694168259304444</v>
      </c>
      <c r="U35" s="444"/>
      <c r="V35" s="442">
        <v>36.294190717395743</v>
      </c>
      <c r="W35" s="442">
        <v>38.285470768605315</v>
      </c>
      <c r="X35" s="442">
        <v>37.984703576400356</v>
      </c>
      <c r="Y35" s="444"/>
      <c r="Z35" s="442">
        <v>79.161308207548558</v>
      </c>
      <c r="AA35" s="442">
        <v>71.135371866659796</v>
      </c>
      <c r="AB35" s="442">
        <v>66.142792472589548</v>
      </c>
      <c r="AC35" s="444"/>
      <c r="AD35" s="442">
        <v>53.479227315928746</v>
      </c>
      <c r="AE35" s="442">
        <v>46.110669549148994</v>
      </c>
      <c r="AF35" s="442">
        <v>40.234682954720675</v>
      </c>
      <c r="AG35" s="444"/>
      <c r="AH35" s="442">
        <v>27.159102449720411</v>
      </c>
      <c r="AI35" s="442">
        <v>20.226398274870448</v>
      </c>
      <c r="AJ35" s="442">
        <v>15.392525325010775</v>
      </c>
      <c r="AK35" s="444"/>
      <c r="AL35" s="442">
        <v>4.2737611675839204</v>
      </c>
      <c r="AM35" s="442">
        <v>3.5269125134963937</v>
      </c>
      <c r="AN35" s="442">
        <v>4.1275987681085331</v>
      </c>
    </row>
    <row r="36" spans="1:40" x14ac:dyDescent="0.25">
      <c r="A36" s="15" t="str">
        <f t="shared" si="63"/>
        <v>Administrative and secretarial</v>
      </c>
      <c r="B36" s="442">
        <f t="shared" si="66"/>
        <v>204.90465162406477</v>
      </c>
      <c r="C36" s="442">
        <f t="shared" si="64"/>
        <v>190.70241569388941</v>
      </c>
      <c r="D36" s="442">
        <f t="shared" si="65"/>
        <v>179.73350651557791</v>
      </c>
      <c r="E36" s="442"/>
      <c r="F36" s="442">
        <v>0.64992507597636584</v>
      </c>
      <c r="G36" s="442">
        <v>0.68120668143262553</v>
      </c>
      <c r="H36" s="442">
        <v>0.70082073172810067</v>
      </c>
      <c r="I36" s="442"/>
      <c r="J36" s="442">
        <v>8.8211002154444849</v>
      </c>
      <c r="K36" s="442">
        <v>10.059963527602958</v>
      </c>
      <c r="L36" s="442">
        <v>11.029528301269091</v>
      </c>
      <c r="M36" s="442"/>
      <c r="N36" s="442">
        <v>31.270099939231116</v>
      </c>
      <c r="O36" s="442">
        <v>36.483176368222878</v>
      </c>
      <c r="P36" s="442">
        <v>39.522187624591901</v>
      </c>
      <c r="Q36" s="444"/>
      <c r="R36" s="442">
        <v>11.500361518591086</v>
      </c>
      <c r="S36" s="442">
        <v>13.011048740800629</v>
      </c>
      <c r="T36" s="442">
        <v>13.794892347043486</v>
      </c>
      <c r="U36" s="444"/>
      <c r="V36" s="442">
        <v>14.149046958438571</v>
      </c>
      <c r="W36" s="442">
        <v>15.826736354665487</v>
      </c>
      <c r="X36" s="442">
        <v>16.324601938192817</v>
      </c>
      <c r="Y36" s="444"/>
      <c r="Z36" s="442">
        <v>45.215399802869442</v>
      </c>
      <c r="AA36" s="442">
        <v>41.029599286652648</v>
      </c>
      <c r="AB36" s="442">
        <v>37.864901104311798</v>
      </c>
      <c r="AC36" s="444"/>
      <c r="AD36" s="442">
        <v>60.087517865417915</v>
      </c>
      <c r="AE36" s="442">
        <v>53.655470007319273</v>
      </c>
      <c r="AF36" s="442">
        <v>48.992387983125582</v>
      </c>
      <c r="AG36" s="444"/>
      <c r="AH36" s="442">
        <v>28.692748949738668</v>
      </c>
      <c r="AI36" s="442">
        <v>17.255321240697686</v>
      </c>
      <c r="AJ36" s="442">
        <v>9.6164038744660516</v>
      </c>
      <c r="AK36" s="444"/>
      <c r="AL36" s="442">
        <v>4.5184512983571121</v>
      </c>
      <c r="AM36" s="442">
        <v>2.699893486495212</v>
      </c>
      <c r="AN36" s="442">
        <v>1.8877826108490787</v>
      </c>
    </row>
    <row r="37" spans="1:40" x14ac:dyDescent="0.25">
      <c r="A37" s="15" t="str">
        <f t="shared" si="63"/>
        <v>Skilled trades occupations</v>
      </c>
      <c r="B37" s="442">
        <f t="shared" si="66"/>
        <v>615.40592516270272</v>
      </c>
      <c r="C37" s="442">
        <f t="shared" si="64"/>
        <v>552.4936696089236</v>
      </c>
      <c r="D37" s="442">
        <f t="shared" si="65"/>
        <v>496.10880072136763</v>
      </c>
      <c r="E37" s="442"/>
      <c r="F37" s="442">
        <v>0.83058494829945295</v>
      </c>
      <c r="G37" s="442">
        <v>0.94353192469919356</v>
      </c>
      <c r="H37" s="442">
        <v>1.1057310717946924</v>
      </c>
      <c r="I37" s="442"/>
      <c r="J37" s="442">
        <v>12.64379151684474</v>
      </c>
      <c r="K37" s="442">
        <v>13.858219060982453</v>
      </c>
      <c r="L37" s="442">
        <v>15.412512183538478</v>
      </c>
      <c r="M37" s="442"/>
      <c r="N37" s="442">
        <v>29.954234449665247</v>
      </c>
      <c r="O37" s="442">
        <v>36.751977907263395</v>
      </c>
      <c r="P37" s="442">
        <v>40.117764001353677</v>
      </c>
      <c r="Q37" s="444"/>
      <c r="R37" s="442">
        <v>12.6819448234021</v>
      </c>
      <c r="S37" s="442">
        <v>15.056711051105291</v>
      </c>
      <c r="T37" s="442">
        <v>16.013612838836668</v>
      </c>
      <c r="U37" s="444"/>
      <c r="V37" s="442">
        <v>45.84702830177708</v>
      </c>
      <c r="W37" s="442">
        <v>52.97718373678029</v>
      </c>
      <c r="X37" s="442">
        <v>55.361739391378023</v>
      </c>
      <c r="Y37" s="444"/>
      <c r="Z37" s="442">
        <v>230.57838670156994</v>
      </c>
      <c r="AA37" s="442">
        <v>203.807692087194</v>
      </c>
      <c r="AB37" s="442">
        <v>185.82111567203529</v>
      </c>
      <c r="AC37" s="444"/>
      <c r="AD37" s="442">
        <v>150.19730989023867</v>
      </c>
      <c r="AE37" s="442">
        <v>129.74367325486875</v>
      </c>
      <c r="AF37" s="442">
        <v>110.7923079583154</v>
      </c>
      <c r="AG37" s="444"/>
      <c r="AH37" s="442">
        <v>94.792832024111064</v>
      </c>
      <c r="AI37" s="442">
        <v>76.058814310281392</v>
      </c>
      <c r="AJ37" s="442">
        <v>59.10537614108047</v>
      </c>
      <c r="AK37" s="444"/>
      <c r="AL37" s="442">
        <v>37.879812506794437</v>
      </c>
      <c r="AM37" s="442">
        <v>23.295866275748828</v>
      </c>
      <c r="AN37" s="442">
        <v>12.37864146303489</v>
      </c>
    </row>
    <row r="38" spans="1:40" x14ac:dyDescent="0.25">
      <c r="A38" s="15" t="str">
        <f t="shared" si="63"/>
        <v>Caring, leisure and other service</v>
      </c>
      <c r="B38" s="442">
        <f t="shared" si="66"/>
        <v>34.025632641200076</v>
      </c>
      <c r="C38" s="442">
        <f t="shared" si="64"/>
        <v>34.90106078526015</v>
      </c>
      <c r="D38" s="442">
        <f t="shared" si="65"/>
        <v>36.171212440823801</v>
      </c>
      <c r="E38" s="442"/>
      <c r="F38" s="442">
        <v>0.4633224761335385</v>
      </c>
      <c r="G38" s="442">
        <v>0.52781171404628635</v>
      </c>
      <c r="H38" s="442">
        <v>0.55775352345677842</v>
      </c>
      <c r="I38" s="442"/>
      <c r="J38" s="442">
        <v>0.56241923865936649</v>
      </c>
      <c r="K38" s="442">
        <v>0.59767431422994366</v>
      </c>
      <c r="L38" s="442">
        <v>0.60612107860033337</v>
      </c>
      <c r="M38" s="442"/>
      <c r="N38" s="442">
        <v>4.3138991566338207</v>
      </c>
      <c r="O38" s="442">
        <v>5.0846381201048487</v>
      </c>
      <c r="P38" s="442">
        <v>5.2225450982947423</v>
      </c>
      <c r="Q38" s="444"/>
      <c r="R38" s="442">
        <v>0.96732334327898584</v>
      </c>
      <c r="S38" s="442">
        <v>1.0231787662482255</v>
      </c>
      <c r="T38" s="442">
        <v>1.0147736184287246</v>
      </c>
      <c r="U38" s="444"/>
      <c r="V38" s="442">
        <v>3.2033425522318328</v>
      </c>
      <c r="W38" s="442">
        <v>3.7171125786476638</v>
      </c>
      <c r="X38" s="442">
        <v>4.016361744492869</v>
      </c>
      <c r="Y38" s="444"/>
      <c r="Z38" s="442">
        <v>5.9157407719201256</v>
      </c>
      <c r="AA38" s="442">
        <v>5.8234218406932525</v>
      </c>
      <c r="AB38" s="442">
        <v>5.8222982587679217</v>
      </c>
      <c r="AC38" s="444"/>
      <c r="AD38" s="442">
        <v>6.3023591710215898</v>
      </c>
      <c r="AE38" s="442">
        <v>6.0343856798439726</v>
      </c>
      <c r="AF38" s="442">
        <v>5.9534260236834848</v>
      </c>
      <c r="AG38" s="444"/>
      <c r="AH38" s="442">
        <v>9.67152667931256</v>
      </c>
      <c r="AI38" s="442">
        <v>9.6402939515671449</v>
      </c>
      <c r="AJ38" s="442">
        <v>9.7582220867657092</v>
      </c>
      <c r="AK38" s="444"/>
      <c r="AL38" s="442">
        <v>2.6256992520082574</v>
      </c>
      <c r="AM38" s="442">
        <v>2.4525438198788145</v>
      </c>
      <c r="AN38" s="442">
        <v>3.2197110083332396</v>
      </c>
    </row>
    <row r="39" spans="1:40" x14ac:dyDescent="0.25">
      <c r="A39" s="15" t="str">
        <f t="shared" si="63"/>
        <v>Sales and customer service</v>
      </c>
      <c r="B39" s="442">
        <f t="shared" si="66"/>
        <v>91.89271945922323</v>
      </c>
      <c r="C39" s="442">
        <f t="shared" si="64"/>
        <v>89.438240388118473</v>
      </c>
      <c r="D39" s="442">
        <f t="shared" si="65"/>
        <v>88.063156787928563</v>
      </c>
      <c r="E39" s="442"/>
      <c r="F39" s="442">
        <v>0.44994478012743411</v>
      </c>
      <c r="G39" s="442">
        <v>0.45400333956241928</v>
      </c>
      <c r="H39" s="442">
        <v>0.44509943126765772</v>
      </c>
      <c r="I39" s="442"/>
      <c r="J39" s="442">
        <v>5.9022635001349215</v>
      </c>
      <c r="K39" s="442">
        <v>6.594702827815154</v>
      </c>
      <c r="L39" s="442">
        <v>7.2443537938918929</v>
      </c>
      <c r="M39" s="442"/>
      <c r="N39" s="442">
        <v>16.604092266835021</v>
      </c>
      <c r="O39" s="442">
        <v>19.487405652143003</v>
      </c>
      <c r="P39" s="442">
        <v>21.004865831482093</v>
      </c>
      <c r="Q39" s="444"/>
      <c r="R39" s="442">
        <v>4.9956076943665977</v>
      </c>
      <c r="S39" s="442">
        <v>6.1003330149478021</v>
      </c>
      <c r="T39" s="442">
        <v>6.5679733757888137</v>
      </c>
      <c r="U39" s="444"/>
      <c r="V39" s="442">
        <v>5.5984131165873503</v>
      </c>
      <c r="W39" s="442">
        <v>6.5555719353720816</v>
      </c>
      <c r="X39" s="442">
        <v>7.0208378549188213</v>
      </c>
      <c r="Y39" s="444"/>
      <c r="Z39" s="442">
        <v>21.453538317779085</v>
      </c>
      <c r="AA39" s="442">
        <v>19.574873597458449</v>
      </c>
      <c r="AB39" s="442">
        <v>18.544894671006297</v>
      </c>
      <c r="AC39" s="444"/>
      <c r="AD39" s="442">
        <v>19.482014951729173</v>
      </c>
      <c r="AE39" s="442">
        <v>17.593551776821378</v>
      </c>
      <c r="AF39" s="442">
        <v>16.526300011129301</v>
      </c>
      <c r="AG39" s="444"/>
      <c r="AH39" s="442">
        <v>11.221170440950683</v>
      </c>
      <c r="AI39" s="442">
        <v>8.1271747549882285</v>
      </c>
      <c r="AJ39" s="442">
        <v>5.4804349330063067</v>
      </c>
      <c r="AK39" s="444"/>
      <c r="AL39" s="442">
        <v>6.1856743907129621</v>
      </c>
      <c r="AM39" s="442">
        <v>4.9506234890099607</v>
      </c>
      <c r="AN39" s="442">
        <v>5.2283968854373795</v>
      </c>
    </row>
    <row r="40" spans="1:40" x14ac:dyDescent="0.25">
      <c r="A40" s="15" t="str">
        <f t="shared" si="63"/>
        <v>Process, plant and machine operatives</v>
      </c>
      <c r="B40" s="442">
        <f t="shared" si="66"/>
        <v>520.12040009738212</v>
      </c>
      <c r="C40" s="442">
        <f t="shared" si="64"/>
        <v>450.44251141247554</v>
      </c>
      <c r="D40" s="442">
        <f t="shared" si="65"/>
        <v>404.4110956364683</v>
      </c>
      <c r="E40" s="442"/>
      <c r="F40" s="442">
        <v>0.12014072947660973</v>
      </c>
      <c r="G40" s="442">
        <v>0.1291606658215331</v>
      </c>
      <c r="H40" s="442">
        <v>0.13299238306061331</v>
      </c>
      <c r="I40" s="442"/>
      <c r="J40" s="442">
        <v>6.615887421732956</v>
      </c>
      <c r="K40" s="442">
        <v>7.4155880048272689</v>
      </c>
      <c r="L40" s="442">
        <v>8.4986679434187469</v>
      </c>
      <c r="M40" s="442"/>
      <c r="N40" s="442">
        <v>15.001701988678544</v>
      </c>
      <c r="O40" s="442">
        <v>18.410855507827968</v>
      </c>
      <c r="P40" s="442">
        <v>20.69911663484493</v>
      </c>
      <c r="Q40" s="445"/>
      <c r="R40" s="443">
        <v>8.7801601882321982</v>
      </c>
      <c r="S40" s="443">
        <v>10.45788258197431</v>
      </c>
      <c r="T40" s="443">
        <v>11.507769943426695</v>
      </c>
      <c r="U40" s="445"/>
      <c r="V40" s="443">
        <v>18.37435417987178</v>
      </c>
      <c r="W40" s="443">
        <v>22.367559960021588</v>
      </c>
      <c r="X40" s="443">
        <v>24.769661589456707</v>
      </c>
      <c r="Y40" s="445"/>
      <c r="Z40" s="443">
        <v>121.58877285110196</v>
      </c>
      <c r="AA40" s="443">
        <v>113.3802664956236</v>
      </c>
      <c r="AB40" s="443">
        <v>112.06345183757358</v>
      </c>
      <c r="AC40" s="445"/>
      <c r="AD40" s="443">
        <v>160.88881091236647</v>
      </c>
      <c r="AE40" s="443">
        <v>147.59048444936479</v>
      </c>
      <c r="AF40" s="443">
        <v>140.69835224619766</v>
      </c>
      <c r="AG40" s="445"/>
      <c r="AH40" s="443">
        <v>127.22202401626599</v>
      </c>
      <c r="AI40" s="443">
        <v>97.125335108399696</v>
      </c>
      <c r="AJ40" s="443">
        <v>71.781354097207469</v>
      </c>
      <c r="AK40" s="445"/>
      <c r="AL40" s="443">
        <v>61.528547809655592</v>
      </c>
      <c r="AM40" s="443">
        <v>33.565378638614838</v>
      </c>
      <c r="AN40" s="443">
        <v>14.259728961281899</v>
      </c>
    </row>
    <row r="41" spans="1:40" x14ac:dyDescent="0.25">
      <c r="A41" s="48" t="str">
        <f t="shared" si="63"/>
        <v>Elementary occupations</v>
      </c>
      <c r="B41" s="446">
        <f t="shared" si="66"/>
        <v>199.29626552140223</v>
      </c>
      <c r="C41" s="446">
        <f t="shared" si="64"/>
        <v>191.34424915230437</v>
      </c>
      <c r="D41" s="446">
        <f>SUM(H41,L41,P41,T41,X41,AB41,AF41,AJ41,AN41)</f>
        <v>180.07105953069672</v>
      </c>
      <c r="E41" s="446"/>
      <c r="F41" s="446">
        <v>0.29779365427014171</v>
      </c>
      <c r="G41" s="446">
        <v>0.4290641392468576</v>
      </c>
      <c r="H41" s="446">
        <v>0.50098934361033232</v>
      </c>
      <c r="I41" s="446"/>
      <c r="J41" s="446">
        <v>1.8903977534356302</v>
      </c>
      <c r="K41" s="446">
        <v>2.5225131260704705</v>
      </c>
      <c r="L41" s="446">
        <v>2.8628572938627035</v>
      </c>
      <c r="M41" s="446"/>
      <c r="N41" s="446">
        <v>8.159060169984178</v>
      </c>
      <c r="O41" s="446">
        <v>12.412425765655778</v>
      </c>
      <c r="P41" s="446">
        <v>14.537762512170938</v>
      </c>
      <c r="Q41" s="447"/>
      <c r="R41" s="446">
        <v>5.2659353950237948</v>
      </c>
      <c r="S41" s="446">
        <v>7.4897961084937323</v>
      </c>
      <c r="T41" s="446">
        <v>8.3685332815932156</v>
      </c>
      <c r="U41" s="447"/>
      <c r="V41" s="446">
        <v>4.126941751187907</v>
      </c>
      <c r="W41" s="446">
        <v>5.7585627878828367</v>
      </c>
      <c r="X41" s="446">
        <v>6.5634550131706879</v>
      </c>
      <c r="Y41" s="447"/>
      <c r="Z41" s="446">
        <v>27.309582734272549</v>
      </c>
      <c r="AA41" s="446">
        <v>27.162368142503077</v>
      </c>
      <c r="AB41" s="446">
        <v>25.796973354750506</v>
      </c>
      <c r="AC41" s="447"/>
      <c r="AD41" s="446">
        <v>51.477235600312703</v>
      </c>
      <c r="AE41" s="446">
        <v>49.445310329027087</v>
      </c>
      <c r="AF41" s="446">
        <v>46.329807595730806</v>
      </c>
      <c r="AG41" s="447"/>
      <c r="AH41" s="446">
        <v>70.338696377321185</v>
      </c>
      <c r="AI41" s="446">
        <v>64.691002582770338</v>
      </c>
      <c r="AJ41" s="446">
        <v>60.543246229180887</v>
      </c>
      <c r="AK41" s="447"/>
      <c r="AL41" s="446">
        <v>30.430622085594152</v>
      </c>
      <c r="AM41" s="446">
        <v>21.433206170654231</v>
      </c>
      <c r="AN41" s="446">
        <v>14.567434906626643</v>
      </c>
    </row>
    <row r="42" spans="1:40" x14ac:dyDescent="0.25">
      <c r="B42" s="36"/>
      <c r="C42" s="36"/>
      <c r="D42" s="36"/>
    </row>
    <row r="43" spans="1:40" ht="15.6" x14ac:dyDescent="0.3">
      <c r="A43" s="23" t="str">
        <f>CONCATENATE(A1," (Continued)")</f>
        <v>Basic Table 1  Employment by Industry Sector, Occupation Group and Qualification, 2017-2027, United Kingdom (Continued)</v>
      </c>
    </row>
    <row r="44" spans="1:40" ht="12.75" customHeight="1" x14ac:dyDescent="0.3">
      <c r="A44" s="23"/>
    </row>
    <row r="45" spans="1:40" ht="12.75" customHeight="1" x14ac:dyDescent="0.3">
      <c r="A45" s="23"/>
    </row>
    <row r="46" spans="1:40" ht="26.25" customHeight="1" x14ac:dyDescent="0.25">
      <c r="A46" s="98"/>
      <c r="B46" s="98"/>
      <c r="C46" s="99" t="str">
        <f>B4</f>
        <v>All qualifications</v>
      </c>
      <c r="D46" s="98"/>
      <c r="E46" s="98"/>
      <c r="F46" s="98"/>
      <c r="G46" s="100" t="str">
        <f>F4</f>
        <v>RQF8 Doctorate</v>
      </c>
      <c r="H46" s="98"/>
      <c r="I46" s="98"/>
      <c r="J46" s="98"/>
      <c r="K46" s="100" t="str">
        <f>J4</f>
        <v>RQF7 Other higher degree</v>
      </c>
      <c r="L46" s="98"/>
      <c r="M46" s="98"/>
      <c r="N46" s="523" t="str">
        <f>N4</f>
        <v>RQF6 First degree</v>
      </c>
      <c r="O46" s="523"/>
      <c r="P46" s="523"/>
      <c r="Q46" s="98"/>
      <c r="R46" s="523" t="str">
        <f>R4</f>
        <v>RQF5 Foundation degree;Nursing;Teaching</v>
      </c>
      <c r="S46" s="523"/>
      <c r="T46" s="523"/>
      <c r="U46" s="98"/>
      <c r="V46" s="523" t="str">
        <f>V4</f>
        <v>RQF4 HE below degree level</v>
      </c>
      <c r="W46" s="523"/>
      <c r="X46" s="523"/>
      <c r="Y46" s="98"/>
      <c r="Z46" s="523" t="str">
        <f>Z4</f>
        <v>RQF3 A level &amp; equivalent</v>
      </c>
      <c r="AA46" s="523"/>
      <c r="AB46" s="523"/>
      <c r="AC46" s="98"/>
      <c r="AD46" s="523" t="str">
        <f>AD4</f>
        <v>RQF2 GCSE(A-C) &amp; equivalent</v>
      </c>
      <c r="AE46" s="523"/>
      <c r="AF46" s="523"/>
      <c r="AG46" s="98"/>
      <c r="AH46" s="523" t="str">
        <f>AH4</f>
        <v>RQF1 GCSE(below grade C) &amp; equivalent</v>
      </c>
      <c r="AI46" s="523"/>
      <c r="AJ46" s="523"/>
      <c r="AK46" s="98"/>
      <c r="AL46" s="523" t="str">
        <f>AL4</f>
        <v>No Qualification</v>
      </c>
      <c r="AM46" s="523"/>
      <c r="AN46" s="523"/>
    </row>
    <row r="47" spans="1:40" x14ac:dyDescent="0.25">
      <c r="A47" s="48"/>
      <c r="B47" s="51">
        <f>B5</f>
        <v>2017</v>
      </c>
      <c r="C47" s="51">
        <f>C5</f>
        <v>2022</v>
      </c>
      <c r="D47" s="51">
        <f>D5</f>
        <v>2027</v>
      </c>
      <c r="E47" s="48"/>
      <c r="F47" s="40">
        <f>B47</f>
        <v>2017</v>
      </c>
      <c r="G47" s="40">
        <f>C47</f>
        <v>2022</v>
      </c>
      <c r="H47" s="40">
        <f>D47</f>
        <v>2027</v>
      </c>
      <c r="I47" s="48"/>
      <c r="J47" s="40">
        <f>B47</f>
        <v>2017</v>
      </c>
      <c r="K47" s="40">
        <f>C47</f>
        <v>2022</v>
      </c>
      <c r="L47" s="40">
        <f>D47</f>
        <v>2027</v>
      </c>
      <c r="M47" s="48"/>
      <c r="N47" s="40">
        <f>B47</f>
        <v>2017</v>
      </c>
      <c r="O47" s="40">
        <f>C47</f>
        <v>2022</v>
      </c>
      <c r="P47" s="40">
        <f>D47</f>
        <v>2027</v>
      </c>
      <c r="Q47" s="48"/>
      <c r="R47" s="40">
        <f>F47</f>
        <v>2017</v>
      </c>
      <c r="S47" s="40">
        <f>G47</f>
        <v>2022</v>
      </c>
      <c r="T47" s="40">
        <f>H47</f>
        <v>2027</v>
      </c>
      <c r="U47" s="48"/>
      <c r="V47" s="40">
        <f>J47</f>
        <v>2017</v>
      </c>
      <c r="W47" s="40">
        <f>K47</f>
        <v>2022</v>
      </c>
      <c r="X47" s="40">
        <f>L47</f>
        <v>2027</v>
      </c>
      <c r="Y47" s="48"/>
      <c r="Z47" s="40">
        <f>N47</f>
        <v>2017</v>
      </c>
      <c r="AA47" s="40">
        <f>O47</f>
        <v>2022</v>
      </c>
      <c r="AB47" s="40">
        <f>P47</f>
        <v>2027</v>
      </c>
      <c r="AC47" s="48"/>
      <c r="AD47" s="40">
        <f>R47</f>
        <v>2017</v>
      </c>
      <c r="AE47" s="40">
        <f>S47</f>
        <v>2022</v>
      </c>
      <c r="AF47" s="40">
        <f>T47</f>
        <v>2027</v>
      </c>
      <c r="AG47" s="48"/>
      <c r="AH47" s="40">
        <f>V47</f>
        <v>2017</v>
      </c>
      <c r="AI47" s="40">
        <f>W47</f>
        <v>2022</v>
      </c>
      <c r="AJ47" s="40">
        <f>X47</f>
        <v>2027</v>
      </c>
      <c r="AK47" s="48"/>
      <c r="AL47" s="40">
        <f>Z47</f>
        <v>2017</v>
      </c>
      <c r="AM47" s="40">
        <f>AA47</f>
        <v>2022</v>
      </c>
      <c r="AN47" s="40">
        <f>AB47</f>
        <v>2027</v>
      </c>
    </row>
    <row r="48" spans="1:40" x14ac:dyDescent="0.25">
      <c r="B48" s="36"/>
      <c r="C48" s="36"/>
      <c r="D48" s="36"/>
    </row>
    <row r="49" spans="1:40" x14ac:dyDescent="0.25">
      <c r="A49" s="1" t="str">
        <f>name!C6</f>
        <v>Construction</v>
      </c>
      <c r="E49" s="97"/>
      <c r="F49" s="97"/>
      <c r="G49" s="97"/>
      <c r="H49" s="97"/>
      <c r="I49" s="97"/>
      <c r="J49" s="97"/>
      <c r="K49" s="97"/>
      <c r="L49" s="97"/>
      <c r="M49" s="97"/>
      <c r="N49" s="97"/>
      <c r="O49" s="97"/>
      <c r="P49" s="97"/>
      <c r="Q49" s="97"/>
      <c r="R49" s="97"/>
      <c r="S49" s="97"/>
      <c r="T49" s="97"/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  <c r="AJ49" s="97"/>
      <c r="AK49" s="97"/>
      <c r="AL49" s="97"/>
      <c r="AM49" s="97"/>
      <c r="AN49" s="97"/>
    </row>
    <row r="50" spans="1:40" x14ac:dyDescent="0.25">
      <c r="A50" s="15" t="str">
        <f t="shared" ref="A50:A59" si="67">A8</f>
        <v>All occupations</v>
      </c>
      <c r="B50" s="443">
        <f>SUM(B51:B59)</f>
        <v>2286.0480000047305</v>
      </c>
      <c r="C50" s="443">
        <f>SUM(C51:C59)</f>
        <v>2306.6340000232308</v>
      </c>
      <c r="D50" s="443">
        <f>SUM(D51:D59)</f>
        <v>2336.0260000307389</v>
      </c>
      <c r="E50" s="442"/>
      <c r="F50" s="443">
        <f>SUM(F51:F59)</f>
        <v>6.1143709134935298</v>
      </c>
      <c r="G50" s="443">
        <f>SUM(G51:G59)</f>
        <v>8.407522416976791</v>
      </c>
      <c r="H50" s="443">
        <f>SUM(H51:H59)</f>
        <v>10.614089599459886</v>
      </c>
      <c r="I50" s="442"/>
      <c r="J50" s="443">
        <f>SUM(J51:J59)</f>
        <v>105.23945482664006</v>
      </c>
      <c r="K50" s="443">
        <f>SUM(K51:K59)</f>
        <v>138.10778490202799</v>
      </c>
      <c r="L50" s="443">
        <f>SUM(L51:L59)</f>
        <v>172.84063190943866</v>
      </c>
      <c r="M50" s="442"/>
      <c r="N50" s="443">
        <f>SUM(N51:N59)</f>
        <v>196.88136359253005</v>
      </c>
      <c r="O50" s="443">
        <f>SUM(O51:O59)</f>
        <v>256.04314766799206</v>
      </c>
      <c r="P50" s="443">
        <f>SUM(P51:P59)</f>
        <v>290.77580341669977</v>
      </c>
      <c r="Q50" s="442"/>
      <c r="R50" s="443">
        <f>SUM(R51:R59)</f>
        <v>71.321005930777261</v>
      </c>
      <c r="S50" s="443">
        <f>SUM(S51:S59)</f>
        <v>91.047885836282148</v>
      </c>
      <c r="T50" s="443">
        <f>SUM(T51:T59)</f>
        <v>102.4535047947515</v>
      </c>
      <c r="U50" s="442"/>
      <c r="V50" s="443">
        <f>SUM(V51:V59)</f>
        <v>150.93313102378536</v>
      </c>
      <c r="W50" s="443">
        <f>SUM(W51:W59)</f>
        <v>187.69005772556508</v>
      </c>
      <c r="X50" s="443">
        <f>SUM(X51:X59)</f>
        <v>206.57757524376365</v>
      </c>
      <c r="Y50" s="442"/>
      <c r="Z50" s="443">
        <f>SUM(Z51:Z59)</f>
        <v>695.3148509580858</v>
      </c>
      <c r="AA50" s="443">
        <f>SUM(AA51:AA59)</f>
        <v>658.54536976502914</v>
      </c>
      <c r="AB50" s="443">
        <f>SUM(AB51:AB59)</f>
        <v>650.04441915364487</v>
      </c>
      <c r="AC50" s="442"/>
      <c r="AD50" s="443">
        <f>SUM(AD51:AD59)</f>
        <v>575.90254496658167</v>
      </c>
      <c r="AE50" s="443">
        <f>SUM(AE51:AE59)</f>
        <v>565.81681749381596</v>
      </c>
      <c r="AF50" s="443">
        <f>SUM(AF51:AF59)</f>
        <v>568.14744474988413</v>
      </c>
      <c r="AG50" s="442"/>
      <c r="AH50" s="443">
        <f>SUM(AH51:AH59)</f>
        <v>350.2539840153014</v>
      </c>
      <c r="AI50" s="443">
        <f>SUM(AI51:AI59)</f>
        <v>313.51349907199619</v>
      </c>
      <c r="AJ50" s="443">
        <f>SUM(AJ51:AJ59)</f>
        <v>284.69550170219213</v>
      </c>
      <c r="AK50" s="442"/>
      <c r="AL50" s="443">
        <f>SUM(AL51:AL59)</f>
        <v>134.08729377753502</v>
      </c>
      <c r="AM50" s="443">
        <f>SUM(AM51:AM59)</f>
        <v>87.461915143545269</v>
      </c>
      <c r="AN50" s="443">
        <f>SUM(AN51:AN59)</f>
        <v>49.877029460904218</v>
      </c>
    </row>
    <row r="51" spans="1:40" x14ac:dyDescent="0.25">
      <c r="A51" s="15" t="str">
        <f t="shared" si="67"/>
        <v>Managers, directors and senior officials</v>
      </c>
      <c r="B51" s="442">
        <f>SUM(F51,J51,N51,R51,V51,Z51,AD51,AH51,AL51)</f>
        <v>231.30955138265566</v>
      </c>
      <c r="C51" s="442">
        <f t="shared" ref="C51:D51" si="68">SUM(G51,K51,O51,S51,W51,AA51,AE51,AI51,AM51)</f>
        <v>247.80478990359944</v>
      </c>
      <c r="D51" s="442">
        <f t="shared" si="68"/>
        <v>267.28023872943061</v>
      </c>
      <c r="E51" s="442"/>
      <c r="F51" s="442">
        <v>1.1495610843384985</v>
      </c>
      <c r="G51" s="442">
        <v>1.7334513750708411</v>
      </c>
      <c r="H51" s="442">
        <v>2.3691980538154018</v>
      </c>
      <c r="I51" s="442"/>
      <c r="J51" s="442">
        <v>26.248613541911052</v>
      </c>
      <c r="K51" s="442">
        <v>34.989258121990211</v>
      </c>
      <c r="L51" s="442">
        <v>45.287972952373231</v>
      </c>
      <c r="M51" s="442"/>
      <c r="N51" s="442">
        <v>41.790730758260203</v>
      </c>
      <c r="O51" s="442">
        <v>54.779100586215584</v>
      </c>
      <c r="P51" s="442">
        <v>62.50636823767347</v>
      </c>
      <c r="Q51" s="442"/>
      <c r="R51" s="442">
        <v>11.791981122455548</v>
      </c>
      <c r="S51" s="442">
        <v>12.575571022625976</v>
      </c>
      <c r="T51" s="442">
        <v>12.765689653275532</v>
      </c>
      <c r="U51" s="442"/>
      <c r="V51" s="442">
        <v>26.782365114619168</v>
      </c>
      <c r="W51" s="442">
        <v>32.288836582100657</v>
      </c>
      <c r="X51" s="442">
        <v>35.247886149863376</v>
      </c>
      <c r="Y51" s="442"/>
      <c r="Z51" s="442">
        <v>56.632640410733309</v>
      </c>
      <c r="AA51" s="442">
        <v>51.866068141156852</v>
      </c>
      <c r="AB51" s="442">
        <v>51.245183211127227</v>
      </c>
      <c r="AC51" s="442"/>
      <c r="AD51" s="442">
        <v>36.90285493295567</v>
      </c>
      <c r="AE51" s="442">
        <v>34.653966975992681</v>
      </c>
      <c r="AF51" s="442">
        <v>33.741421932820636</v>
      </c>
      <c r="AG51" s="442"/>
      <c r="AH51" s="442">
        <v>21.550794020991599</v>
      </c>
      <c r="AI51" s="442">
        <v>18.860571119130732</v>
      </c>
      <c r="AJ51" s="442">
        <v>16.986441647127325</v>
      </c>
      <c r="AK51" s="442"/>
      <c r="AL51" s="442">
        <v>8.4600103963905919</v>
      </c>
      <c r="AM51" s="442">
        <v>6.0579659793159006</v>
      </c>
      <c r="AN51" s="442">
        <v>7.1300768913544292</v>
      </c>
    </row>
    <row r="52" spans="1:40" x14ac:dyDescent="0.25">
      <c r="A52" s="15" t="str">
        <f t="shared" si="67"/>
        <v>Professional occupations</v>
      </c>
      <c r="B52" s="442">
        <f t="shared" ref="B52:B59" si="69">SUM(F52,J52,N52,R52,V52,Z52,AD52,AH52,AL52)</f>
        <v>218.37504991674692</v>
      </c>
      <c r="C52" s="442">
        <f t="shared" ref="C52:C59" si="70">SUM(G52,K52,O52,S52,W52,AA52,AE52,AI52,AM52)</f>
        <v>233.39315537738702</v>
      </c>
      <c r="D52" s="442">
        <f t="shared" ref="D52:D59" si="71">SUM(H52,L52,P52,T52,X52,AB52,AF52,AJ52,AN52)</f>
        <v>250.25938134964545</v>
      </c>
      <c r="E52" s="442"/>
      <c r="F52" s="442">
        <v>2.4472802738664967</v>
      </c>
      <c r="G52" s="442">
        <v>3.0335214238708916</v>
      </c>
      <c r="H52" s="442">
        <v>3.5686028979760955</v>
      </c>
      <c r="I52" s="442"/>
      <c r="J52" s="442">
        <v>37.949565452232278</v>
      </c>
      <c r="K52" s="442">
        <v>49.030237237115692</v>
      </c>
      <c r="L52" s="442">
        <v>60.306215199708504</v>
      </c>
      <c r="M52" s="442"/>
      <c r="N52" s="442">
        <v>53.466870172980478</v>
      </c>
      <c r="O52" s="442">
        <v>62.396133378113092</v>
      </c>
      <c r="P52" s="442">
        <v>66.740421997718599</v>
      </c>
      <c r="Q52" s="442"/>
      <c r="R52" s="442">
        <v>6.6562158507960829</v>
      </c>
      <c r="S52" s="442">
        <v>4.2119569067000349</v>
      </c>
      <c r="T52" s="442">
        <v>3.6973055029133475</v>
      </c>
      <c r="U52" s="442"/>
      <c r="V52" s="442">
        <v>20.858783983031508</v>
      </c>
      <c r="W52" s="442">
        <v>19.19770116411355</v>
      </c>
      <c r="X52" s="442">
        <v>16.627411452586447</v>
      </c>
      <c r="Y52" s="442"/>
      <c r="Z52" s="442">
        <v>51.395266290953842</v>
      </c>
      <c r="AA52" s="442">
        <v>51.902007142838734</v>
      </c>
      <c r="AB52" s="442">
        <v>55.6734304537475</v>
      </c>
      <c r="AC52" s="442"/>
      <c r="AD52" s="442">
        <v>28.761183874903566</v>
      </c>
      <c r="AE52" s="442">
        <v>28.966494164232664</v>
      </c>
      <c r="AF52" s="442">
        <v>29.618223875665226</v>
      </c>
      <c r="AG52" s="442"/>
      <c r="AH52" s="442">
        <v>12.429430719896846</v>
      </c>
      <c r="AI52" s="442">
        <v>10.821166531186439</v>
      </c>
      <c r="AJ52" s="442">
        <v>9.8785015932031452</v>
      </c>
      <c r="AK52" s="442"/>
      <c r="AL52" s="442">
        <v>4.4104532980858009</v>
      </c>
      <c r="AM52" s="442">
        <v>3.8339374292159207</v>
      </c>
      <c r="AN52" s="442">
        <v>4.1492683761266322</v>
      </c>
    </row>
    <row r="53" spans="1:40" x14ac:dyDescent="0.25">
      <c r="A53" s="15" t="str">
        <f t="shared" si="67"/>
        <v>Associate professional and technical</v>
      </c>
      <c r="B53" s="442">
        <f t="shared" si="69"/>
        <v>169.46939255261168</v>
      </c>
      <c r="C53" s="442">
        <f t="shared" si="70"/>
        <v>181.44887623861766</v>
      </c>
      <c r="D53" s="442">
        <f t="shared" si="71"/>
        <v>193.40799118698138</v>
      </c>
      <c r="E53" s="442"/>
      <c r="F53" s="442">
        <v>0.39560160957242752</v>
      </c>
      <c r="G53" s="442">
        <v>0.52868174411972035</v>
      </c>
      <c r="H53" s="442">
        <v>0.67988857742998865</v>
      </c>
      <c r="I53" s="442"/>
      <c r="J53" s="442">
        <v>15.397275273716094</v>
      </c>
      <c r="K53" s="442">
        <v>20.935486841286068</v>
      </c>
      <c r="L53" s="442">
        <v>27.209735359489454</v>
      </c>
      <c r="M53" s="442"/>
      <c r="N53" s="442">
        <v>29.001836155132999</v>
      </c>
      <c r="O53" s="442">
        <v>36.744360318617012</v>
      </c>
      <c r="P53" s="442">
        <v>41.396838966497391</v>
      </c>
      <c r="Q53" s="442"/>
      <c r="R53" s="442">
        <v>12.122125767330099</v>
      </c>
      <c r="S53" s="442">
        <v>16.400018641711274</v>
      </c>
      <c r="T53" s="442">
        <v>19.044677291771478</v>
      </c>
      <c r="U53" s="442"/>
      <c r="V53" s="442">
        <v>24.476900632058463</v>
      </c>
      <c r="W53" s="442">
        <v>28.077359184880997</v>
      </c>
      <c r="X53" s="442">
        <v>29.775391912807596</v>
      </c>
      <c r="Y53" s="442"/>
      <c r="Z53" s="442">
        <v>34.987515567983564</v>
      </c>
      <c r="AA53" s="442">
        <v>28.503899638852392</v>
      </c>
      <c r="AB53" s="442">
        <v>24.804482147597405</v>
      </c>
      <c r="AC53" s="442"/>
      <c r="AD53" s="442">
        <v>29.120077329248815</v>
      </c>
      <c r="AE53" s="442">
        <v>28.704200757762042</v>
      </c>
      <c r="AF53" s="442">
        <v>29.376334056095324</v>
      </c>
      <c r="AG53" s="442"/>
      <c r="AH53" s="442">
        <v>20.201709341547438</v>
      </c>
      <c r="AI53" s="442">
        <v>18.838900257093776</v>
      </c>
      <c r="AJ53" s="442">
        <v>18.920560758612016</v>
      </c>
      <c r="AK53" s="442"/>
      <c r="AL53" s="442">
        <v>3.7663508760217903</v>
      </c>
      <c r="AM53" s="442">
        <v>2.7159688542943732</v>
      </c>
      <c r="AN53" s="442">
        <v>2.2000821166807314</v>
      </c>
    </row>
    <row r="54" spans="1:40" x14ac:dyDescent="0.25">
      <c r="A54" s="15" t="str">
        <f t="shared" si="67"/>
        <v>Administrative and secretarial</v>
      </c>
      <c r="B54" s="442">
        <f t="shared" si="69"/>
        <v>177.9218002630985</v>
      </c>
      <c r="C54" s="442">
        <f t="shared" si="70"/>
        <v>165.04852453256231</v>
      </c>
      <c r="D54" s="442">
        <f t="shared" si="71"/>
        <v>155.76152307434816</v>
      </c>
      <c r="E54" s="442"/>
      <c r="F54" s="442">
        <v>1.1938543086116151</v>
      </c>
      <c r="G54" s="442">
        <v>1.7942401313991696</v>
      </c>
      <c r="H54" s="442">
        <v>2.1897989618416824</v>
      </c>
      <c r="I54" s="442"/>
      <c r="J54" s="442">
        <v>8.7387906639687341</v>
      </c>
      <c r="K54" s="442">
        <v>10.421211837796042</v>
      </c>
      <c r="L54" s="442">
        <v>12.069095954624061</v>
      </c>
      <c r="M54" s="442"/>
      <c r="N54" s="442">
        <v>26.009656053396704</v>
      </c>
      <c r="O54" s="442">
        <v>33.887346281307678</v>
      </c>
      <c r="P54" s="442">
        <v>38.734133975485385</v>
      </c>
      <c r="Q54" s="442"/>
      <c r="R54" s="442">
        <v>14.846151708178949</v>
      </c>
      <c r="S54" s="442">
        <v>18.640575794743093</v>
      </c>
      <c r="T54" s="442">
        <v>20.028829999155093</v>
      </c>
      <c r="U54" s="442"/>
      <c r="V54" s="442">
        <v>9.1486865712844505</v>
      </c>
      <c r="W54" s="442">
        <v>11.099801216108244</v>
      </c>
      <c r="X54" s="442">
        <v>12.009073601540239</v>
      </c>
      <c r="Y54" s="442"/>
      <c r="Z54" s="442">
        <v>30.342091197112662</v>
      </c>
      <c r="AA54" s="442">
        <v>24.665007770161047</v>
      </c>
      <c r="AB54" s="442">
        <v>19.545038705726224</v>
      </c>
      <c r="AC54" s="442"/>
      <c r="AD54" s="442">
        <v>32.722021295016106</v>
      </c>
      <c r="AE54" s="442">
        <v>21.756229838438372</v>
      </c>
      <c r="AF54" s="442">
        <v>15.148453637176583</v>
      </c>
      <c r="AG54" s="442"/>
      <c r="AH54" s="442">
        <v>45.069195561209789</v>
      </c>
      <c r="AI54" s="442">
        <v>37.700397367309833</v>
      </c>
      <c r="AJ54" s="442">
        <v>34.602781366411541</v>
      </c>
      <c r="AK54" s="442"/>
      <c r="AL54" s="442">
        <v>9.8513529043194925</v>
      </c>
      <c r="AM54" s="442">
        <v>5.083714295298849</v>
      </c>
      <c r="AN54" s="442">
        <v>1.4343168723873554</v>
      </c>
    </row>
    <row r="55" spans="1:40" x14ac:dyDescent="0.25">
      <c r="A55" s="15" t="str">
        <f t="shared" si="67"/>
        <v>Skilled trades occupations</v>
      </c>
      <c r="B55" s="442">
        <f t="shared" si="69"/>
        <v>1102.3566304290371</v>
      </c>
      <c r="C55" s="442">
        <f t="shared" si="70"/>
        <v>1101.8655731840338</v>
      </c>
      <c r="D55" s="442">
        <f t="shared" si="71"/>
        <v>1088.1834232717767</v>
      </c>
      <c r="E55" s="442"/>
      <c r="F55" s="442">
        <v>0.19183327287868035</v>
      </c>
      <c r="G55" s="442">
        <v>0.26056608991159508</v>
      </c>
      <c r="H55" s="442">
        <v>0.33454383787818393</v>
      </c>
      <c r="I55" s="442"/>
      <c r="J55" s="442">
        <v>10.656069335869976</v>
      </c>
      <c r="K55" s="442">
        <v>15.109873709477828</v>
      </c>
      <c r="L55" s="442">
        <v>18.908179883566373</v>
      </c>
      <c r="M55" s="442"/>
      <c r="N55" s="442">
        <v>33.440462171986724</v>
      </c>
      <c r="O55" s="442">
        <v>50.128794110398843</v>
      </c>
      <c r="P55" s="442">
        <v>60.1997996635437</v>
      </c>
      <c r="Q55" s="442"/>
      <c r="R55" s="442">
        <v>20.216228108414946</v>
      </c>
      <c r="S55" s="442">
        <v>30.787010861360898</v>
      </c>
      <c r="T55" s="442">
        <v>36.598978432853357</v>
      </c>
      <c r="U55" s="442"/>
      <c r="V55" s="442">
        <v>53.141176391213932</v>
      </c>
      <c r="W55" s="442">
        <v>74.702174812567435</v>
      </c>
      <c r="X55" s="442">
        <v>86.648524888252965</v>
      </c>
      <c r="Y55" s="442"/>
      <c r="Z55" s="442">
        <v>418.49893708048319</v>
      </c>
      <c r="AA55" s="442">
        <v>392.99064445682939</v>
      </c>
      <c r="AB55" s="442">
        <v>379.04238616159643</v>
      </c>
      <c r="AC55" s="442"/>
      <c r="AD55" s="442">
        <v>335.28907726047987</v>
      </c>
      <c r="AE55" s="442">
        <v>339.21762456186065</v>
      </c>
      <c r="AF55" s="442">
        <v>344.85147951406151</v>
      </c>
      <c r="AG55" s="442"/>
      <c r="AH55" s="442">
        <v>158.81299206716338</v>
      </c>
      <c r="AI55" s="442">
        <v>148.31342755368919</v>
      </c>
      <c r="AJ55" s="442">
        <v>139.05700288646307</v>
      </c>
      <c r="AK55" s="442"/>
      <c r="AL55" s="442">
        <v>72.10985474054641</v>
      </c>
      <c r="AM55" s="442">
        <v>50.355457027937767</v>
      </c>
      <c r="AN55" s="442">
        <v>22.542528003561042</v>
      </c>
    </row>
    <row r="56" spans="1:40" x14ac:dyDescent="0.25">
      <c r="A56" s="15" t="str">
        <f t="shared" si="67"/>
        <v>Caring, leisure and other service</v>
      </c>
      <c r="B56" s="442">
        <f t="shared" si="69"/>
        <v>6.2455202025538883</v>
      </c>
      <c r="C56" s="442">
        <f t="shared" si="70"/>
        <v>6.5808666500971142</v>
      </c>
      <c r="D56" s="442">
        <f t="shared" si="71"/>
        <v>7.0208933417673807</v>
      </c>
      <c r="E56" s="442"/>
      <c r="F56" s="442">
        <v>2.1794935106543463E-3</v>
      </c>
      <c r="G56" s="442">
        <v>3.435295015656785E-3</v>
      </c>
      <c r="H56" s="442">
        <v>3.5609392681512139E-3</v>
      </c>
      <c r="I56" s="442"/>
      <c r="J56" s="442">
        <v>0.22786256320000267</v>
      </c>
      <c r="K56" s="442">
        <v>0.27519725096305042</v>
      </c>
      <c r="L56" s="442">
        <v>0.30158682033397705</v>
      </c>
      <c r="M56" s="442"/>
      <c r="N56" s="442">
        <v>0.23796994650063594</v>
      </c>
      <c r="O56" s="442">
        <v>0.28952306257632032</v>
      </c>
      <c r="P56" s="442">
        <v>0.29180647973485657</v>
      </c>
      <c r="Q56" s="442"/>
      <c r="R56" s="442">
        <v>3.9894314692954513E-2</v>
      </c>
      <c r="S56" s="442">
        <v>4.6012150493502754E-2</v>
      </c>
      <c r="T56" s="442">
        <v>4.8480173931064914E-2</v>
      </c>
      <c r="U56" s="442"/>
      <c r="V56" s="442">
        <v>0.21849618071830385</v>
      </c>
      <c r="W56" s="442">
        <v>0.29560382919710232</v>
      </c>
      <c r="X56" s="442">
        <v>0.33253375592982681</v>
      </c>
      <c r="Y56" s="442"/>
      <c r="Z56" s="442">
        <v>2.1158785960108948</v>
      </c>
      <c r="AA56" s="442">
        <v>2.3302535247421927</v>
      </c>
      <c r="AB56" s="442">
        <v>2.6503317872630965</v>
      </c>
      <c r="AC56" s="442"/>
      <c r="AD56" s="442">
        <v>0.32660142358567973</v>
      </c>
      <c r="AE56" s="442">
        <v>0.27737682605005559</v>
      </c>
      <c r="AF56" s="442">
        <v>0.28959499959337109</v>
      </c>
      <c r="AG56" s="442"/>
      <c r="AH56" s="442">
        <v>1.8038621642793751</v>
      </c>
      <c r="AI56" s="442">
        <v>1.8262069416483755</v>
      </c>
      <c r="AJ56" s="442">
        <v>1.6992752979209667</v>
      </c>
      <c r="AK56" s="442"/>
      <c r="AL56" s="442">
        <v>1.2727755200553874</v>
      </c>
      <c r="AM56" s="442">
        <v>1.2372577694108577</v>
      </c>
      <c r="AN56" s="442">
        <v>1.4037230877920692</v>
      </c>
    </row>
    <row r="57" spans="1:40" x14ac:dyDescent="0.25">
      <c r="A57" s="15" t="str">
        <f t="shared" si="67"/>
        <v>Sales and customer service</v>
      </c>
      <c r="B57" s="442">
        <f t="shared" si="69"/>
        <v>42.611528418886941</v>
      </c>
      <c r="C57" s="442">
        <f t="shared" si="70"/>
        <v>44.383781246652696</v>
      </c>
      <c r="D57" s="442">
        <f t="shared" si="71"/>
        <v>46.136713291475502</v>
      </c>
      <c r="E57" s="442"/>
      <c r="F57" s="442">
        <v>7.1163280635824611E-2</v>
      </c>
      <c r="G57" s="442">
        <v>0.10065493301828125</v>
      </c>
      <c r="H57" s="442">
        <v>0.12915814197564138</v>
      </c>
      <c r="I57" s="442"/>
      <c r="J57" s="442">
        <v>2.3805147861697904</v>
      </c>
      <c r="K57" s="442">
        <v>2.5743715169388777</v>
      </c>
      <c r="L57" s="442">
        <v>2.6998794854594159</v>
      </c>
      <c r="M57" s="442"/>
      <c r="N57" s="442">
        <v>7.1733686814089186</v>
      </c>
      <c r="O57" s="442">
        <v>9.4556108976148856</v>
      </c>
      <c r="P57" s="442">
        <v>10.756130184833346</v>
      </c>
      <c r="Q57" s="442"/>
      <c r="R57" s="442">
        <v>1.7544081923327144</v>
      </c>
      <c r="S57" s="442">
        <v>2.1632970784415857</v>
      </c>
      <c r="T57" s="442">
        <v>2.4212227282314864</v>
      </c>
      <c r="U57" s="442"/>
      <c r="V57" s="442">
        <v>2.5939825430899446</v>
      </c>
      <c r="W57" s="442">
        <v>3.0073092621411233</v>
      </c>
      <c r="X57" s="442">
        <v>3.2012644356559257</v>
      </c>
      <c r="Y57" s="442"/>
      <c r="Z57" s="442">
        <v>16.499599711668424</v>
      </c>
      <c r="AA57" s="442">
        <v>17.455050792312708</v>
      </c>
      <c r="AB57" s="442">
        <v>18.948067111450865</v>
      </c>
      <c r="AC57" s="442"/>
      <c r="AD57" s="442">
        <v>3.2027159442569184</v>
      </c>
      <c r="AE57" s="442">
        <v>2.1603915979896953</v>
      </c>
      <c r="AF57" s="442">
        <v>1.2394872733407716</v>
      </c>
      <c r="AG57" s="442"/>
      <c r="AH57" s="442">
        <v>4.8608999415044627</v>
      </c>
      <c r="AI57" s="442">
        <v>3.7604885299891584</v>
      </c>
      <c r="AJ57" s="442">
        <v>2.8718473159151885</v>
      </c>
      <c r="AK57" s="442"/>
      <c r="AL57" s="442">
        <v>4.0748753378199476</v>
      </c>
      <c r="AM57" s="442">
        <v>3.7066066382063827</v>
      </c>
      <c r="AN57" s="442">
        <v>3.8696566146128619</v>
      </c>
    </row>
    <row r="58" spans="1:40" x14ac:dyDescent="0.25">
      <c r="A58" s="15" t="str">
        <f t="shared" si="67"/>
        <v>Process, plant and machine operatives</v>
      </c>
      <c r="B58" s="442">
        <f t="shared" si="69"/>
        <v>198.86874939150562</v>
      </c>
      <c r="C58" s="442">
        <f t="shared" si="70"/>
        <v>192.7906475484825</v>
      </c>
      <c r="D58" s="442">
        <f t="shared" si="71"/>
        <v>195.84743941065696</v>
      </c>
      <c r="E58" s="442"/>
      <c r="F58" s="442">
        <v>0.65964482178809181</v>
      </c>
      <c r="G58" s="442">
        <v>0.94794421816939145</v>
      </c>
      <c r="H58" s="442">
        <v>1.3326922755155994</v>
      </c>
      <c r="I58" s="442"/>
      <c r="J58" s="442">
        <v>2.1572628944846586</v>
      </c>
      <c r="K58" s="442">
        <v>2.7191753477656411</v>
      </c>
      <c r="L58" s="442">
        <v>3.4051394060933267</v>
      </c>
      <c r="M58" s="442"/>
      <c r="N58" s="442">
        <v>2.8277532376626886</v>
      </c>
      <c r="O58" s="442">
        <v>3.8028571324127736</v>
      </c>
      <c r="P58" s="442">
        <v>4.537076935250802</v>
      </c>
      <c r="Q58" s="442"/>
      <c r="R58" s="442">
        <v>3.2130954717492961</v>
      </c>
      <c r="S58" s="442">
        <v>5.2755869960788146</v>
      </c>
      <c r="T58" s="442">
        <v>6.7686077009335071</v>
      </c>
      <c r="U58" s="442"/>
      <c r="V58" s="442">
        <v>8.9374077709716317</v>
      </c>
      <c r="W58" s="442">
        <v>12.451549600030917</v>
      </c>
      <c r="X58" s="442">
        <v>14.889371394892459</v>
      </c>
      <c r="Y58" s="442"/>
      <c r="Z58" s="442">
        <v>51.463256727439351</v>
      </c>
      <c r="AA58" s="442">
        <v>52.626207656286688</v>
      </c>
      <c r="AB58" s="442">
        <v>57.291739012443877</v>
      </c>
      <c r="AC58" s="442"/>
      <c r="AD58" s="442">
        <v>69.392823642958419</v>
      </c>
      <c r="AE58" s="442">
        <v>69.538601241123146</v>
      </c>
      <c r="AF58" s="442">
        <v>72.582134750956754</v>
      </c>
      <c r="AG58" s="442"/>
      <c r="AH58" s="442">
        <v>46.14185030687193</v>
      </c>
      <c r="AI58" s="442">
        <v>38.048737577473723</v>
      </c>
      <c r="AJ58" s="442">
        <v>29.892194097159354</v>
      </c>
      <c r="AK58" s="442"/>
      <c r="AL58" s="442">
        <v>14.075654517579547</v>
      </c>
      <c r="AM58" s="442">
        <v>7.3799877791413815</v>
      </c>
      <c r="AN58" s="442">
        <v>5.1484838374112929</v>
      </c>
    </row>
    <row r="59" spans="1:40" x14ac:dyDescent="0.25">
      <c r="A59" s="15" t="str">
        <f t="shared" si="67"/>
        <v>Elementary occupations</v>
      </c>
      <c r="B59" s="442">
        <f t="shared" si="69"/>
        <v>138.889777447634</v>
      </c>
      <c r="C59" s="442">
        <f t="shared" si="70"/>
        <v>133.31778534179836</v>
      </c>
      <c r="D59" s="442">
        <f t="shared" si="71"/>
        <v>132.12839637465672</v>
      </c>
      <c r="E59" s="442"/>
      <c r="F59" s="442">
        <v>3.2527682912409047E-3</v>
      </c>
      <c r="G59" s="442">
        <v>5.0272064012428577E-3</v>
      </c>
      <c r="H59" s="442">
        <v>6.6459137591403658E-3</v>
      </c>
      <c r="I59" s="442"/>
      <c r="J59" s="442">
        <v>1.4835003150874841</v>
      </c>
      <c r="K59" s="442">
        <v>2.052973038694593</v>
      </c>
      <c r="L59" s="442">
        <v>2.6528268477903429</v>
      </c>
      <c r="M59" s="442"/>
      <c r="N59" s="442">
        <v>2.9327164152007095</v>
      </c>
      <c r="O59" s="442">
        <v>4.5594219007358507</v>
      </c>
      <c r="P59" s="442">
        <v>5.6132269759622115</v>
      </c>
      <c r="Q59" s="442"/>
      <c r="R59" s="442">
        <v>0.68090539482665868</v>
      </c>
      <c r="S59" s="442">
        <v>0.94785638412696493</v>
      </c>
      <c r="T59" s="442">
        <v>1.07971331168663</v>
      </c>
      <c r="U59" s="442"/>
      <c r="V59" s="442">
        <v>4.77533183679801</v>
      </c>
      <c r="W59" s="442">
        <v>6.5697220744250693</v>
      </c>
      <c r="X59" s="442">
        <v>7.8461176522348115</v>
      </c>
      <c r="Y59" s="442"/>
      <c r="Z59" s="442">
        <v>33.379665375700533</v>
      </c>
      <c r="AA59" s="442">
        <v>36.206230641849118</v>
      </c>
      <c r="AB59" s="442">
        <v>40.843760562692346</v>
      </c>
      <c r="AC59" s="442"/>
      <c r="AD59" s="442">
        <v>40.185189263176682</v>
      </c>
      <c r="AE59" s="442">
        <v>40.541931530366696</v>
      </c>
      <c r="AF59" s="442">
        <v>41.300314710173879</v>
      </c>
      <c r="AG59" s="442"/>
      <c r="AH59" s="442">
        <v>39.383249891836627</v>
      </c>
      <c r="AI59" s="442">
        <v>35.343603194475001</v>
      </c>
      <c r="AJ59" s="442">
        <v>30.786896739379536</v>
      </c>
      <c r="AK59" s="442"/>
      <c r="AL59" s="442">
        <v>16.065966186716039</v>
      </c>
      <c r="AM59" s="442">
        <v>7.0910193707238216</v>
      </c>
      <c r="AN59" s="442">
        <v>1.9988936609778047</v>
      </c>
    </row>
    <row r="60" spans="1:40" x14ac:dyDescent="0.25">
      <c r="B60" s="442"/>
      <c r="C60" s="442"/>
      <c r="D60" s="442"/>
      <c r="E60" s="442"/>
      <c r="F60" s="442"/>
      <c r="G60" s="442"/>
      <c r="H60" s="442"/>
      <c r="I60" s="442"/>
      <c r="J60" s="442"/>
      <c r="K60" s="442"/>
      <c r="L60" s="442"/>
      <c r="M60" s="442"/>
      <c r="N60" s="442"/>
      <c r="O60" s="442"/>
      <c r="P60" s="442"/>
      <c r="Q60" s="442"/>
      <c r="R60" s="442"/>
      <c r="S60" s="442"/>
      <c r="T60" s="442"/>
      <c r="U60" s="442"/>
      <c r="V60" s="442"/>
      <c r="W60" s="442"/>
      <c r="X60" s="442"/>
      <c r="Y60" s="442"/>
      <c r="Z60" s="442"/>
      <c r="AA60" s="442"/>
      <c r="AB60" s="442"/>
      <c r="AC60" s="442"/>
      <c r="AD60" s="442"/>
      <c r="AE60" s="442"/>
      <c r="AF60" s="442"/>
      <c r="AG60" s="442"/>
      <c r="AH60" s="442"/>
      <c r="AI60" s="442"/>
      <c r="AJ60" s="442"/>
      <c r="AK60" s="442"/>
      <c r="AL60" s="442"/>
      <c r="AM60" s="442"/>
      <c r="AN60" s="442"/>
    </row>
    <row r="61" spans="1:40" x14ac:dyDescent="0.25">
      <c r="A61" s="1" t="str">
        <f>name!C7</f>
        <v>Trade, accomod. and transport</v>
      </c>
      <c r="B61" s="444"/>
      <c r="C61" s="444"/>
      <c r="D61" s="444"/>
      <c r="E61" s="442"/>
      <c r="F61" s="442"/>
      <c r="G61" s="442"/>
      <c r="H61" s="442"/>
      <c r="I61" s="442"/>
      <c r="J61" s="442"/>
      <c r="K61" s="442"/>
      <c r="L61" s="442"/>
      <c r="M61" s="442"/>
      <c r="N61" s="442"/>
      <c r="O61" s="442"/>
      <c r="P61" s="442"/>
      <c r="Q61" s="442"/>
      <c r="R61" s="442"/>
      <c r="S61" s="442"/>
      <c r="T61" s="442"/>
      <c r="U61" s="442"/>
      <c r="V61" s="442"/>
      <c r="W61" s="442"/>
      <c r="X61" s="442"/>
      <c r="Y61" s="442"/>
      <c r="Z61" s="442"/>
      <c r="AA61" s="442"/>
      <c r="AB61" s="442"/>
      <c r="AC61" s="442"/>
      <c r="AD61" s="442"/>
      <c r="AE61" s="442"/>
      <c r="AF61" s="442"/>
      <c r="AG61" s="442"/>
      <c r="AH61" s="442"/>
      <c r="AI61" s="442"/>
      <c r="AJ61" s="442"/>
      <c r="AK61" s="442"/>
      <c r="AL61" s="442"/>
      <c r="AM61" s="442"/>
      <c r="AN61" s="442"/>
    </row>
    <row r="62" spans="1:40" x14ac:dyDescent="0.25">
      <c r="A62" s="15" t="str">
        <f t="shared" ref="A62:A71" si="72">A8</f>
        <v>All occupations</v>
      </c>
      <c r="B62" s="443">
        <f>SUM(B63:B71)</f>
        <v>9218.2650000927588</v>
      </c>
      <c r="C62" s="443">
        <f>SUM(C63:C71)</f>
        <v>9163.5969999395274</v>
      </c>
      <c r="D62" s="443">
        <f>SUM(D63:D71)</f>
        <v>9323.2560000011545</v>
      </c>
      <c r="E62" s="442"/>
      <c r="F62" s="443">
        <f>SUM(F63:F71)</f>
        <v>29.582281905375069</v>
      </c>
      <c r="G62" s="443">
        <f>SUM(G63:G71)</f>
        <v>38.074337937016139</v>
      </c>
      <c r="H62" s="443">
        <f>SUM(H63:H71)</f>
        <v>48.038106548228008</v>
      </c>
      <c r="I62" s="442"/>
      <c r="J62" s="443">
        <f>SUM(J63:J71)</f>
        <v>334.50367566903884</v>
      </c>
      <c r="K62" s="443">
        <f>SUM(K63:K71)</f>
        <v>430.66363617312379</v>
      </c>
      <c r="L62" s="443">
        <f>SUM(L63:L71)</f>
        <v>536.30961572019385</v>
      </c>
      <c r="M62" s="442"/>
      <c r="N62" s="443">
        <f>SUM(N63:N71)</f>
        <v>1148.5619374104954</v>
      </c>
      <c r="O62" s="443">
        <f>SUM(O63:O71)</f>
        <v>1560.9334114795658</v>
      </c>
      <c r="P62" s="443">
        <f>SUM(P63:P71)</f>
        <v>1861.9641970647197</v>
      </c>
      <c r="Q62" s="442"/>
      <c r="R62" s="443">
        <f>SUM(R63:R71)</f>
        <v>354.28365201035336</v>
      </c>
      <c r="S62" s="443">
        <f>SUM(S63:S71)</f>
        <v>469.47667203683886</v>
      </c>
      <c r="T62" s="443">
        <f>SUM(T63:T71)</f>
        <v>547.67336853074926</v>
      </c>
      <c r="U62" s="442"/>
      <c r="V62" s="443">
        <f>SUM(V63:V71)</f>
        <v>414.98021290952721</v>
      </c>
      <c r="W62" s="443">
        <f>SUM(W63:W71)</f>
        <v>530.06673866445783</v>
      </c>
      <c r="X62" s="443">
        <f>SUM(X63:X71)</f>
        <v>613.41127167129321</v>
      </c>
      <c r="Y62" s="442"/>
      <c r="Z62" s="443">
        <f>SUM(Z63:Z71)</f>
        <v>2118.504626770542</v>
      </c>
      <c r="AA62" s="443">
        <f>SUM(AA63:AA71)</f>
        <v>2056.5575716810486</v>
      </c>
      <c r="AB62" s="443">
        <f>SUM(AB63:AB71)</f>
        <v>2088.3924831388563</v>
      </c>
      <c r="AC62" s="442"/>
      <c r="AD62" s="443">
        <f>SUM(AD63:AD71)</f>
        <v>2401.2591854884995</v>
      </c>
      <c r="AE62" s="443">
        <f>SUM(AE63:AE71)</f>
        <v>2228.0317127347153</v>
      </c>
      <c r="AF62" s="443">
        <f>SUM(AF63:AF71)</f>
        <v>2121.6350036714912</v>
      </c>
      <c r="AG62" s="442"/>
      <c r="AH62" s="443">
        <f>SUM(AH63:AH71)</f>
        <v>1745.2192850539202</v>
      </c>
      <c r="AI62" s="443">
        <f>SUM(AI63:AI71)</f>
        <v>1392.4529203761647</v>
      </c>
      <c r="AJ62" s="443">
        <f>SUM(AJ63:AJ71)</f>
        <v>1142.588561020922</v>
      </c>
      <c r="AK62" s="442"/>
      <c r="AL62" s="443">
        <f>SUM(AL63:AL71)</f>
        <v>671.37014287500529</v>
      </c>
      <c r="AM62" s="443">
        <f>SUM(AM63:AM71)</f>
        <v>457.33999885659591</v>
      </c>
      <c r="AN62" s="443">
        <f>SUM(AN63:AN71)</f>
        <v>363.24339263470205</v>
      </c>
    </row>
    <row r="63" spans="1:40" x14ac:dyDescent="0.25">
      <c r="A63" s="15" t="str">
        <f t="shared" si="72"/>
        <v>Managers, directors and senior officials</v>
      </c>
      <c r="B63" s="442">
        <f>SUM(F63,J63,N63,R63,V63,Z63,AD63,AH63,AL63)</f>
        <v>1154.8882820599006</v>
      </c>
      <c r="C63" s="442">
        <f t="shared" ref="C63:C71" si="73">SUM(G63,K63,O63,S63,W63,AA63,AE63,AI63,AM63)</f>
        <v>1206.0745189163863</v>
      </c>
      <c r="D63" s="442">
        <f t="shared" ref="D63:D71" si="74">SUM(H63,L63,P63,T63,X63,AB63,AF63,AJ63,AN63)</f>
        <v>1278.8402596368605</v>
      </c>
      <c r="E63" s="442"/>
      <c r="F63" s="442">
        <v>7.0148738406212905</v>
      </c>
      <c r="G63" s="442">
        <v>8.860786825301286</v>
      </c>
      <c r="H63" s="442">
        <v>10.86071917522796</v>
      </c>
      <c r="I63" s="442"/>
      <c r="J63" s="442">
        <v>71.359105669417119</v>
      </c>
      <c r="K63" s="442">
        <v>88.761251445275917</v>
      </c>
      <c r="L63" s="442">
        <v>108.55881040282269</v>
      </c>
      <c r="M63" s="442"/>
      <c r="N63" s="442">
        <v>246.18822242016327</v>
      </c>
      <c r="O63" s="442">
        <v>333.25691884777768</v>
      </c>
      <c r="P63" s="442">
        <v>392.69778962051157</v>
      </c>
      <c r="Q63" s="442"/>
      <c r="R63" s="442">
        <v>54.574606375151319</v>
      </c>
      <c r="S63" s="442">
        <v>68.884302483481264</v>
      </c>
      <c r="T63" s="442">
        <v>78.429557158917888</v>
      </c>
      <c r="U63" s="442"/>
      <c r="V63" s="442">
        <v>72.305084075164302</v>
      </c>
      <c r="W63" s="442">
        <v>85.250084485608696</v>
      </c>
      <c r="X63" s="442">
        <v>91.820921784552922</v>
      </c>
      <c r="Y63" s="442"/>
      <c r="Z63" s="442">
        <v>225.97462433368975</v>
      </c>
      <c r="AA63" s="442">
        <v>208.58349362761129</v>
      </c>
      <c r="AB63" s="442">
        <v>207.08698847362092</v>
      </c>
      <c r="AC63" s="442"/>
      <c r="AD63" s="442">
        <v>250.32572845810989</v>
      </c>
      <c r="AE63" s="442">
        <v>229.76298966313269</v>
      </c>
      <c r="AF63" s="442">
        <v>221.52220029703577</v>
      </c>
      <c r="AG63" s="442"/>
      <c r="AH63" s="442">
        <v>187.26110713922884</v>
      </c>
      <c r="AI63" s="442">
        <v>155.6795614908898</v>
      </c>
      <c r="AJ63" s="442">
        <v>143.54878602980787</v>
      </c>
      <c r="AK63" s="442"/>
      <c r="AL63" s="442">
        <v>39.884929748354701</v>
      </c>
      <c r="AM63" s="442">
        <v>27.035130047307558</v>
      </c>
      <c r="AN63" s="442">
        <v>24.314486694362799</v>
      </c>
    </row>
    <row r="64" spans="1:40" x14ac:dyDescent="0.25">
      <c r="A64" s="15" t="str">
        <f t="shared" si="72"/>
        <v>Professional occupations</v>
      </c>
      <c r="B64" s="442">
        <f t="shared" ref="B64:B71" si="75">SUM(F64,J64,N64,R64,V64,Z64,AD64,AH64,AL64)</f>
        <v>501.88485144424578</v>
      </c>
      <c r="C64" s="442">
        <f t="shared" si="73"/>
        <v>538.56147853742982</v>
      </c>
      <c r="D64" s="442">
        <f t="shared" si="74"/>
        <v>587.51855575362151</v>
      </c>
      <c r="E64" s="442"/>
      <c r="F64" s="442">
        <v>9.3465049995491682</v>
      </c>
      <c r="G64" s="442">
        <v>12.070915919688087</v>
      </c>
      <c r="H64" s="442">
        <v>15.618214677155821</v>
      </c>
      <c r="I64" s="442"/>
      <c r="J64" s="442">
        <v>61.501069191685303</v>
      </c>
      <c r="K64" s="442">
        <v>78.679566892328936</v>
      </c>
      <c r="L64" s="442">
        <v>96.774160456402655</v>
      </c>
      <c r="M64" s="442"/>
      <c r="N64" s="442">
        <v>135.79648874966048</v>
      </c>
      <c r="O64" s="442">
        <v>164.04819458532543</v>
      </c>
      <c r="P64" s="442">
        <v>185.6986274559963</v>
      </c>
      <c r="Q64" s="442"/>
      <c r="R64" s="442">
        <v>22.531761196880581</v>
      </c>
      <c r="S64" s="442">
        <v>26.752623300033353</v>
      </c>
      <c r="T64" s="442">
        <v>29.795774361670038</v>
      </c>
      <c r="U64" s="442"/>
      <c r="V64" s="442">
        <v>29.958076760047742</v>
      </c>
      <c r="W64" s="442">
        <v>33.879448260690857</v>
      </c>
      <c r="X64" s="442">
        <v>36.677548874626268</v>
      </c>
      <c r="Y64" s="442"/>
      <c r="Z64" s="442">
        <v>98.933648338673692</v>
      </c>
      <c r="AA64" s="442">
        <v>98.730502599786476</v>
      </c>
      <c r="AB64" s="442">
        <v>102.06492536144818</v>
      </c>
      <c r="AC64" s="442"/>
      <c r="AD64" s="442">
        <v>78.563552578284941</v>
      </c>
      <c r="AE64" s="442">
        <v>71.52176402771336</v>
      </c>
      <c r="AF64" s="442">
        <v>67.988011977018843</v>
      </c>
      <c r="AG64" s="442"/>
      <c r="AH64" s="442">
        <v>53.355679613567411</v>
      </c>
      <c r="AI64" s="442">
        <v>43.117346740241615</v>
      </c>
      <c r="AJ64" s="442">
        <v>39.474577151147393</v>
      </c>
      <c r="AK64" s="442"/>
      <c r="AL64" s="442">
        <v>11.898070015896383</v>
      </c>
      <c r="AM64" s="442">
        <v>9.761116211621701</v>
      </c>
      <c r="AN64" s="442">
        <v>13.426715438156092</v>
      </c>
    </row>
    <row r="65" spans="1:40" x14ac:dyDescent="0.25">
      <c r="A65" s="15" t="str">
        <f t="shared" si="72"/>
        <v>Associate professional and technical</v>
      </c>
      <c r="B65" s="442">
        <f t="shared" si="75"/>
        <v>683.6028723701163</v>
      </c>
      <c r="C65" s="442">
        <f t="shared" si="73"/>
        <v>728.31821063956443</v>
      </c>
      <c r="D65" s="442">
        <f t="shared" si="74"/>
        <v>780.551646213092</v>
      </c>
      <c r="E65" s="442"/>
      <c r="F65" s="442">
        <v>4.8454559974785791</v>
      </c>
      <c r="G65" s="442">
        <v>6.2653083153101523</v>
      </c>
      <c r="H65" s="442">
        <v>7.9797038077454721</v>
      </c>
      <c r="I65" s="442"/>
      <c r="J65" s="442">
        <v>41.295127301414155</v>
      </c>
      <c r="K65" s="442">
        <v>50.905280842934594</v>
      </c>
      <c r="L65" s="442">
        <v>60.731975642670974</v>
      </c>
      <c r="M65" s="442"/>
      <c r="N65" s="442">
        <v>143.88000939918186</v>
      </c>
      <c r="O65" s="442">
        <v>190.44201487272497</v>
      </c>
      <c r="P65" s="442">
        <v>222.37933308661371</v>
      </c>
      <c r="Q65" s="442"/>
      <c r="R65" s="442">
        <v>32.769273482957779</v>
      </c>
      <c r="S65" s="442">
        <v>41.548841196079373</v>
      </c>
      <c r="T65" s="442">
        <v>46.833230272373491</v>
      </c>
      <c r="U65" s="442"/>
      <c r="V65" s="442">
        <v>43.384965367236916</v>
      </c>
      <c r="W65" s="442">
        <v>54.612444495161022</v>
      </c>
      <c r="X65" s="442">
        <v>62.956555834630507</v>
      </c>
      <c r="Y65" s="442"/>
      <c r="Z65" s="442">
        <v>155.59962016535962</v>
      </c>
      <c r="AA65" s="442">
        <v>156.82193780615785</v>
      </c>
      <c r="AB65" s="442">
        <v>166.69025398570287</v>
      </c>
      <c r="AC65" s="442"/>
      <c r="AD65" s="442">
        <v>148.28079195129826</v>
      </c>
      <c r="AE65" s="442">
        <v>141.06720023651636</v>
      </c>
      <c r="AF65" s="442">
        <v>139.73703808832687</v>
      </c>
      <c r="AG65" s="442"/>
      <c r="AH65" s="442">
        <v>90.829291018468439</v>
      </c>
      <c r="AI65" s="442">
        <v>70.152216601116692</v>
      </c>
      <c r="AJ65" s="442">
        <v>57.142105075207311</v>
      </c>
      <c r="AK65" s="442"/>
      <c r="AL65" s="442">
        <v>22.718337686720723</v>
      </c>
      <c r="AM65" s="442">
        <v>16.502966273563391</v>
      </c>
      <c r="AN65" s="442">
        <v>16.101450419820925</v>
      </c>
    </row>
    <row r="66" spans="1:40" x14ac:dyDescent="0.25">
      <c r="A66" s="15" t="str">
        <f t="shared" si="72"/>
        <v>Administrative and secretarial</v>
      </c>
      <c r="B66" s="442">
        <f t="shared" si="75"/>
        <v>747.73639743963952</v>
      </c>
      <c r="C66" s="442">
        <f t="shared" si="73"/>
        <v>716.02140563434943</v>
      </c>
      <c r="D66" s="442">
        <f t="shared" si="74"/>
        <v>710.45599570384206</v>
      </c>
      <c r="E66" s="442"/>
      <c r="F66" s="442">
        <v>1.8380741465996366</v>
      </c>
      <c r="G66" s="442">
        <v>2.1920365855325543</v>
      </c>
      <c r="H66" s="442">
        <v>2.7216559970210632</v>
      </c>
      <c r="I66" s="442"/>
      <c r="J66" s="442">
        <v>29.761796804937088</v>
      </c>
      <c r="K66" s="442">
        <v>35.505173624732514</v>
      </c>
      <c r="L66" s="442">
        <v>42.846904363338396</v>
      </c>
      <c r="M66" s="442"/>
      <c r="N66" s="442">
        <v>109.85537505066787</v>
      </c>
      <c r="O66" s="442">
        <v>138.51367550021743</v>
      </c>
      <c r="P66" s="442">
        <v>161.9587030218004</v>
      </c>
      <c r="Q66" s="442"/>
      <c r="R66" s="442">
        <v>35.790682971636173</v>
      </c>
      <c r="S66" s="442">
        <v>43.542961010452395</v>
      </c>
      <c r="T66" s="442">
        <v>48.711400405138164</v>
      </c>
      <c r="U66" s="442"/>
      <c r="V66" s="442">
        <v>34.341941541838835</v>
      </c>
      <c r="W66" s="442">
        <v>39.831596838981511</v>
      </c>
      <c r="X66" s="442">
        <v>45.999126730290193</v>
      </c>
      <c r="Y66" s="442"/>
      <c r="Z66" s="442">
        <v>181.43717566175974</v>
      </c>
      <c r="AA66" s="442">
        <v>173.36375641134538</v>
      </c>
      <c r="AB66" s="442">
        <v>172.76923266874121</v>
      </c>
      <c r="AC66" s="442"/>
      <c r="AD66" s="442">
        <v>220.28691249159613</v>
      </c>
      <c r="AE66" s="442">
        <v>200.18089825064038</v>
      </c>
      <c r="AF66" s="442">
        <v>184.75041131201147</v>
      </c>
      <c r="AG66" s="442"/>
      <c r="AH66" s="442">
        <v>113.4511452861021</v>
      </c>
      <c r="AI66" s="442">
        <v>68.821558023956086</v>
      </c>
      <c r="AJ66" s="442">
        <v>39.672324117286038</v>
      </c>
      <c r="AK66" s="442"/>
      <c r="AL66" s="442">
        <v>20.973293484501912</v>
      </c>
      <c r="AM66" s="442">
        <v>14.069749388491218</v>
      </c>
      <c r="AN66" s="442">
        <v>11.026237088215158</v>
      </c>
    </row>
    <row r="67" spans="1:40" x14ac:dyDescent="0.25">
      <c r="A67" s="15" t="str">
        <f t="shared" si="72"/>
        <v>Skilled trades occupations</v>
      </c>
      <c r="B67" s="442">
        <f t="shared" si="75"/>
        <v>894.30193373154589</v>
      </c>
      <c r="C67" s="442">
        <f t="shared" si="73"/>
        <v>817.96166605942176</v>
      </c>
      <c r="D67" s="442">
        <f t="shared" si="74"/>
        <v>768.87073189486648</v>
      </c>
      <c r="E67" s="442"/>
      <c r="F67" s="442">
        <v>0.47788634213703496</v>
      </c>
      <c r="G67" s="442">
        <v>0.56004726669616622</v>
      </c>
      <c r="H67" s="442">
        <v>0.65056983094570975</v>
      </c>
      <c r="I67" s="442"/>
      <c r="J67" s="442">
        <v>15.979873202481475</v>
      </c>
      <c r="K67" s="442">
        <v>20.20561395401803</v>
      </c>
      <c r="L67" s="442">
        <v>24.819845670663803</v>
      </c>
      <c r="M67" s="442"/>
      <c r="N67" s="442">
        <v>53.028919206922538</v>
      </c>
      <c r="O67" s="442">
        <v>71.367738778171912</v>
      </c>
      <c r="P67" s="442">
        <v>83.031668748481081</v>
      </c>
      <c r="Q67" s="442"/>
      <c r="R67" s="442">
        <v>24.095684267272752</v>
      </c>
      <c r="S67" s="442">
        <v>29.239518177614517</v>
      </c>
      <c r="T67" s="442">
        <v>32.281784051021319</v>
      </c>
      <c r="U67" s="442"/>
      <c r="V67" s="442">
        <v>40.279808896251275</v>
      </c>
      <c r="W67" s="442">
        <v>51.343965843379777</v>
      </c>
      <c r="X67" s="442">
        <v>59.83854415107561</v>
      </c>
      <c r="Y67" s="442"/>
      <c r="Z67" s="442">
        <v>287.40171255029577</v>
      </c>
      <c r="AA67" s="442">
        <v>263.25874133253501</v>
      </c>
      <c r="AB67" s="442">
        <v>256.43352232044293</v>
      </c>
      <c r="AC67" s="442"/>
      <c r="AD67" s="442">
        <v>223.7462974831123</v>
      </c>
      <c r="AE67" s="442">
        <v>185.11762571346586</v>
      </c>
      <c r="AF67" s="442">
        <v>155.63166539872435</v>
      </c>
      <c r="AG67" s="442"/>
      <c r="AH67" s="442">
        <v>171.25038676248809</v>
      </c>
      <c r="AI67" s="442">
        <v>140.29006682545176</v>
      </c>
      <c r="AJ67" s="442">
        <v>118.4530777686322</v>
      </c>
      <c r="AK67" s="442"/>
      <c r="AL67" s="442">
        <v>78.041365020584578</v>
      </c>
      <c r="AM67" s="442">
        <v>56.578348168088731</v>
      </c>
      <c r="AN67" s="442">
        <v>37.730053954879459</v>
      </c>
    </row>
    <row r="68" spans="1:40" x14ac:dyDescent="0.25">
      <c r="A68" s="15" t="str">
        <f t="shared" si="72"/>
        <v>Caring, leisure and other service</v>
      </c>
      <c r="B68" s="442">
        <f t="shared" si="75"/>
        <v>266.00738250019236</v>
      </c>
      <c r="C68" s="442">
        <f t="shared" si="73"/>
        <v>280.75561203140103</v>
      </c>
      <c r="D68" s="442">
        <f t="shared" si="74"/>
        <v>303.75036108491037</v>
      </c>
      <c r="E68" s="442"/>
      <c r="F68" s="442">
        <v>0.32795256182305771</v>
      </c>
      <c r="G68" s="442">
        <v>0.43798352313736555</v>
      </c>
      <c r="H68" s="442">
        <v>0.54141434101049246</v>
      </c>
      <c r="I68" s="442"/>
      <c r="J68" s="442">
        <v>6.4535632358829398</v>
      </c>
      <c r="K68" s="442">
        <v>8.8564111775084182</v>
      </c>
      <c r="L68" s="442">
        <v>11.454456877253829</v>
      </c>
      <c r="M68" s="442"/>
      <c r="N68" s="442">
        <v>33.630438159244122</v>
      </c>
      <c r="O68" s="442">
        <v>43.555038032003601</v>
      </c>
      <c r="P68" s="442">
        <v>49.757110537462687</v>
      </c>
      <c r="Q68" s="442"/>
      <c r="R68" s="442">
        <v>24.999380658584517</v>
      </c>
      <c r="S68" s="442">
        <v>34.874402320503449</v>
      </c>
      <c r="T68" s="442">
        <v>42.466440792646878</v>
      </c>
      <c r="U68" s="442"/>
      <c r="V68" s="442">
        <v>23.687811533293853</v>
      </c>
      <c r="W68" s="442">
        <v>33.041326457267758</v>
      </c>
      <c r="X68" s="442">
        <v>39.107665595598355</v>
      </c>
      <c r="Y68" s="442"/>
      <c r="Z68" s="442">
        <v>52.249585263433502</v>
      </c>
      <c r="AA68" s="442">
        <v>52.153523068970053</v>
      </c>
      <c r="AB68" s="442">
        <v>54.807538964689456</v>
      </c>
      <c r="AC68" s="442"/>
      <c r="AD68" s="442">
        <v>65.903611176121757</v>
      </c>
      <c r="AE68" s="442">
        <v>61.482352345631007</v>
      </c>
      <c r="AF68" s="442">
        <v>60.247326287008427</v>
      </c>
      <c r="AG68" s="442"/>
      <c r="AH68" s="442">
        <v>39.42765679084588</v>
      </c>
      <c r="AI68" s="442">
        <v>31.707379323012653</v>
      </c>
      <c r="AJ68" s="442">
        <v>31.559582483960213</v>
      </c>
      <c r="AK68" s="442"/>
      <c r="AL68" s="442">
        <v>19.32738312096274</v>
      </c>
      <c r="AM68" s="442">
        <v>14.647195783366739</v>
      </c>
      <c r="AN68" s="442">
        <v>13.80882520528003</v>
      </c>
    </row>
    <row r="69" spans="1:40" x14ac:dyDescent="0.25">
      <c r="A69" s="15" t="str">
        <f t="shared" si="72"/>
        <v>Sales and customer service</v>
      </c>
      <c r="B69" s="442">
        <f t="shared" si="75"/>
        <v>2006.5340664080791</v>
      </c>
      <c r="C69" s="442">
        <f t="shared" si="73"/>
        <v>1948.9296055020068</v>
      </c>
      <c r="D69" s="442">
        <f t="shared" si="74"/>
        <v>1926.5871177401773</v>
      </c>
      <c r="E69" s="442"/>
      <c r="F69" s="442">
        <v>2.1099170740984201</v>
      </c>
      <c r="G69" s="442">
        <v>2.6692043120196112</v>
      </c>
      <c r="H69" s="442">
        <v>3.2185872077174444</v>
      </c>
      <c r="I69" s="442"/>
      <c r="J69" s="442">
        <v>47.637795382484249</v>
      </c>
      <c r="K69" s="442">
        <v>64.394788189070752</v>
      </c>
      <c r="L69" s="442">
        <v>82.384853145496677</v>
      </c>
      <c r="M69" s="442"/>
      <c r="N69" s="442">
        <v>210.03797133931593</v>
      </c>
      <c r="O69" s="442">
        <v>298.33021866092912</v>
      </c>
      <c r="P69" s="442">
        <v>361.2073370115321</v>
      </c>
      <c r="Q69" s="442"/>
      <c r="R69" s="442">
        <v>68.612678231070703</v>
      </c>
      <c r="S69" s="442">
        <v>94.287011951516959</v>
      </c>
      <c r="T69" s="442">
        <v>112.33612870153667</v>
      </c>
      <c r="U69" s="442"/>
      <c r="V69" s="442">
        <v>58.649537456010528</v>
      </c>
      <c r="W69" s="442">
        <v>70.586810442094702</v>
      </c>
      <c r="X69" s="442">
        <v>78.082723970970704</v>
      </c>
      <c r="Y69" s="442"/>
      <c r="Z69" s="442">
        <v>535.95471190832257</v>
      </c>
      <c r="AA69" s="442">
        <v>538.97637530754741</v>
      </c>
      <c r="AB69" s="442">
        <v>548.12890642269531</v>
      </c>
      <c r="AC69" s="442"/>
      <c r="AD69" s="442">
        <v>552.18971985278142</v>
      </c>
      <c r="AE69" s="442">
        <v>500.89305609994898</v>
      </c>
      <c r="AF69" s="442">
        <v>454.67144510367012</v>
      </c>
      <c r="AG69" s="442"/>
      <c r="AH69" s="442">
        <v>376.56320534494665</v>
      </c>
      <c r="AI69" s="442">
        <v>290.75680426855894</v>
      </c>
      <c r="AJ69" s="442">
        <v>215.27829341563049</v>
      </c>
      <c r="AK69" s="442"/>
      <c r="AL69" s="442">
        <v>154.77852981904849</v>
      </c>
      <c r="AM69" s="442">
        <v>88.035336270320272</v>
      </c>
      <c r="AN69" s="442">
        <v>71.278842760927844</v>
      </c>
    </row>
    <row r="70" spans="1:40" x14ac:dyDescent="0.25">
      <c r="A70" s="15" t="str">
        <f t="shared" si="72"/>
        <v>Process, plant and machine operatives</v>
      </c>
      <c r="B70" s="442">
        <f t="shared" si="75"/>
        <v>1050.6351254012839</v>
      </c>
      <c r="C70" s="442">
        <f t="shared" si="73"/>
        <v>996.84141354392466</v>
      </c>
      <c r="D70" s="442">
        <f t="shared" si="74"/>
        <v>975.24992605021737</v>
      </c>
      <c r="E70" s="442"/>
      <c r="F70" s="442">
        <v>3.075408450004554</v>
      </c>
      <c r="G70" s="442">
        <v>4.3121167552284296</v>
      </c>
      <c r="H70" s="442">
        <v>5.6311266202715151</v>
      </c>
      <c r="I70" s="442"/>
      <c r="J70" s="442">
        <v>15.022550488817892</v>
      </c>
      <c r="K70" s="442">
        <v>20.34987394781793</v>
      </c>
      <c r="L70" s="442">
        <v>26.412953190473523</v>
      </c>
      <c r="M70" s="442"/>
      <c r="N70" s="442">
        <v>47.779775504930882</v>
      </c>
      <c r="O70" s="442">
        <v>67.607954812104893</v>
      </c>
      <c r="P70" s="442">
        <v>80.875195761105573</v>
      </c>
      <c r="Q70" s="442"/>
      <c r="R70" s="442">
        <v>21.923453472526091</v>
      </c>
      <c r="S70" s="442">
        <v>29.881794738567059</v>
      </c>
      <c r="T70" s="442">
        <v>35.033331434769586</v>
      </c>
      <c r="U70" s="442"/>
      <c r="V70" s="442">
        <v>36.474838948580441</v>
      </c>
      <c r="W70" s="442">
        <v>51.554673398930447</v>
      </c>
      <c r="X70" s="442">
        <v>61.918628472927601</v>
      </c>
      <c r="Y70" s="442"/>
      <c r="Z70" s="442">
        <v>194.88577250122665</v>
      </c>
      <c r="AA70" s="442">
        <v>187.44030732068816</v>
      </c>
      <c r="AB70" s="442">
        <v>196.65133743921544</v>
      </c>
      <c r="AC70" s="442"/>
      <c r="AD70" s="442">
        <v>325.90068634976615</v>
      </c>
      <c r="AE70" s="442">
        <v>316.35502934047059</v>
      </c>
      <c r="AF70" s="442">
        <v>320.85824319421164</v>
      </c>
      <c r="AG70" s="442"/>
      <c r="AH70" s="442">
        <v>289.16255988365953</v>
      </c>
      <c r="AI70" s="442">
        <v>238.93937581273559</v>
      </c>
      <c r="AJ70" s="442">
        <v>202.81564267546156</v>
      </c>
      <c r="AK70" s="442"/>
      <c r="AL70" s="442">
        <v>116.41007980177162</v>
      </c>
      <c r="AM70" s="442">
        <v>80.400287417381449</v>
      </c>
      <c r="AN70" s="442">
        <v>45.053467261781087</v>
      </c>
    </row>
    <row r="71" spans="1:40" x14ac:dyDescent="0.25">
      <c r="A71" s="15" t="str">
        <f t="shared" si="72"/>
        <v>Elementary occupations</v>
      </c>
      <c r="B71" s="442">
        <f t="shared" si="75"/>
        <v>1912.6740887377541</v>
      </c>
      <c r="C71" s="442">
        <f t="shared" si="73"/>
        <v>1930.1330890750428</v>
      </c>
      <c r="D71" s="442">
        <f t="shared" si="74"/>
        <v>1991.431405923568</v>
      </c>
      <c r="E71" s="442"/>
      <c r="F71" s="442">
        <v>0.54620849306332631</v>
      </c>
      <c r="G71" s="442">
        <v>0.70593843410248702</v>
      </c>
      <c r="H71" s="442">
        <v>0.81611489113252222</v>
      </c>
      <c r="I71" s="442"/>
      <c r="J71" s="442">
        <v>45.492794391918601</v>
      </c>
      <c r="K71" s="442">
        <v>63.005676099436691</v>
      </c>
      <c r="L71" s="442">
        <v>82.325655971071242</v>
      </c>
      <c r="M71" s="442"/>
      <c r="N71" s="442">
        <v>168.36473758040856</v>
      </c>
      <c r="O71" s="442">
        <v>253.81165739031073</v>
      </c>
      <c r="P71" s="442">
        <v>324.35843182121647</v>
      </c>
      <c r="Q71" s="442"/>
      <c r="R71" s="442">
        <v>68.986131354273411</v>
      </c>
      <c r="S71" s="442">
        <v>100.46521685859052</v>
      </c>
      <c r="T71" s="442">
        <v>121.78572135267518</v>
      </c>
      <c r="U71" s="442"/>
      <c r="V71" s="442">
        <v>75.898148331103357</v>
      </c>
      <c r="W71" s="442">
        <v>109.96638844234305</v>
      </c>
      <c r="X71" s="442">
        <v>137.00955625662107</v>
      </c>
      <c r="Y71" s="442"/>
      <c r="Z71" s="442">
        <v>386.06777604778085</v>
      </c>
      <c r="AA71" s="442">
        <v>377.22893420640673</v>
      </c>
      <c r="AB71" s="442">
        <v>383.7597775023001</v>
      </c>
      <c r="AC71" s="442"/>
      <c r="AD71" s="442">
        <v>536.0618851474286</v>
      </c>
      <c r="AE71" s="442">
        <v>521.65079705719631</v>
      </c>
      <c r="AF71" s="442">
        <v>516.22866201348393</v>
      </c>
      <c r="AG71" s="442"/>
      <c r="AH71" s="442">
        <v>423.91825321461329</v>
      </c>
      <c r="AI71" s="442">
        <v>352.98861129020156</v>
      </c>
      <c r="AJ71" s="442">
        <v>294.64417230378905</v>
      </c>
      <c r="AK71" s="442"/>
      <c r="AL71" s="442">
        <v>207.33815417716414</v>
      </c>
      <c r="AM71" s="442">
        <v>150.30986929645485</v>
      </c>
      <c r="AN71" s="442">
        <v>130.50331381127864</v>
      </c>
    </row>
    <row r="72" spans="1:40" x14ac:dyDescent="0.25">
      <c r="B72" s="442"/>
      <c r="C72" s="442"/>
      <c r="D72" s="442"/>
      <c r="E72" s="442"/>
      <c r="F72" s="442"/>
      <c r="G72" s="442"/>
      <c r="H72" s="442"/>
      <c r="I72" s="442"/>
      <c r="J72" s="442"/>
      <c r="K72" s="442"/>
      <c r="L72" s="442"/>
      <c r="M72" s="442"/>
      <c r="N72" s="442"/>
      <c r="O72" s="442"/>
      <c r="P72" s="442"/>
      <c r="Q72" s="442"/>
      <c r="R72" s="442"/>
      <c r="S72" s="442"/>
      <c r="T72" s="442"/>
      <c r="U72" s="442"/>
      <c r="V72" s="442"/>
      <c r="W72" s="442"/>
      <c r="X72" s="442"/>
      <c r="Y72" s="442"/>
      <c r="Z72" s="442"/>
      <c r="AA72" s="442"/>
      <c r="AB72" s="442"/>
      <c r="AC72" s="442"/>
      <c r="AD72" s="442"/>
      <c r="AE72" s="442"/>
      <c r="AF72" s="442"/>
      <c r="AG72" s="442"/>
      <c r="AH72" s="442"/>
      <c r="AI72" s="442"/>
      <c r="AJ72" s="442"/>
      <c r="AK72" s="442"/>
      <c r="AL72" s="442"/>
      <c r="AM72" s="442"/>
      <c r="AN72" s="442"/>
    </row>
    <row r="73" spans="1:40" x14ac:dyDescent="0.25">
      <c r="A73" s="1" t="str">
        <f>name!C8</f>
        <v>Business and other services</v>
      </c>
      <c r="B73" s="444"/>
      <c r="C73" s="444"/>
      <c r="D73" s="444"/>
      <c r="E73" s="442"/>
      <c r="F73" s="442"/>
      <c r="G73" s="442"/>
      <c r="H73" s="442"/>
      <c r="I73" s="442"/>
      <c r="J73" s="442"/>
      <c r="K73" s="442"/>
      <c r="L73" s="442"/>
      <c r="M73" s="442"/>
      <c r="N73" s="442"/>
      <c r="O73" s="442"/>
      <c r="P73" s="442"/>
      <c r="Q73" s="442"/>
      <c r="R73" s="442"/>
      <c r="S73" s="442"/>
      <c r="T73" s="442"/>
      <c r="U73" s="442"/>
      <c r="V73" s="442"/>
      <c r="W73" s="442"/>
      <c r="X73" s="442"/>
      <c r="Y73" s="442"/>
      <c r="Z73" s="442"/>
      <c r="AA73" s="442"/>
      <c r="AB73" s="442"/>
      <c r="AC73" s="442"/>
      <c r="AD73" s="442"/>
      <c r="AE73" s="442"/>
      <c r="AF73" s="442"/>
      <c r="AG73" s="442"/>
      <c r="AH73" s="442"/>
      <c r="AI73" s="442"/>
      <c r="AJ73" s="442"/>
      <c r="AK73" s="442"/>
      <c r="AL73" s="442"/>
      <c r="AM73" s="442"/>
      <c r="AN73" s="442"/>
    </row>
    <row r="74" spans="1:40" x14ac:dyDescent="0.25">
      <c r="A74" s="15" t="str">
        <f t="shared" ref="A74:A83" si="76">A8</f>
        <v>All occupations</v>
      </c>
      <c r="B74" s="443">
        <f>SUM(B75:B83)</f>
        <v>11176.326999948447</v>
      </c>
      <c r="C74" s="443">
        <f>SUM(C75:C83)</f>
        <v>11609.434999982173</v>
      </c>
      <c r="D74" s="443">
        <f>SUM(D75:D83)</f>
        <v>11838.384999964906</v>
      </c>
      <c r="E74" s="442"/>
      <c r="F74" s="443">
        <f>SUM(F75:F83)</f>
        <v>200.54478780673</v>
      </c>
      <c r="G74" s="443">
        <f>SUM(G75:G83)</f>
        <v>235.70021936050586</v>
      </c>
      <c r="H74" s="443">
        <f>SUM(H75:H83)</f>
        <v>272.58027015047043</v>
      </c>
      <c r="I74" s="442"/>
      <c r="J74" s="443">
        <f>SUM(J75:J83)</f>
        <v>1627.2062641350458</v>
      </c>
      <c r="K74" s="443">
        <f>SUM(K75:K83)</f>
        <v>1909.461979349765</v>
      </c>
      <c r="L74" s="443">
        <f>SUM(L75:L83)</f>
        <v>2183.0785204831072</v>
      </c>
      <c r="M74" s="442"/>
      <c r="N74" s="443">
        <f>SUM(N75:N83)</f>
        <v>2967.647688053125</v>
      </c>
      <c r="O74" s="443">
        <f>SUM(O75:O83)</f>
        <v>3523.2514900888732</v>
      </c>
      <c r="P74" s="443">
        <f>SUM(P75:P83)</f>
        <v>3798.9040482626515</v>
      </c>
      <c r="Q74" s="442"/>
      <c r="R74" s="443">
        <f>SUM(R75:R83)</f>
        <v>535.52232712019293</v>
      </c>
      <c r="S74" s="443">
        <f>SUM(S75:S83)</f>
        <v>657.62202638346855</v>
      </c>
      <c r="T74" s="443">
        <f>SUM(T75:T83)</f>
        <v>732.29874642359425</v>
      </c>
      <c r="U74" s="442"/>
      <c r="V74" s="443">
        <f>SUM(V75:V83)</f>
        <v>664.22852781563324</v>
      </c>
      <c r="W74" s="443">
        <f>SUM(W75:W83)</f>
        <v>783.15614059513007</v>
      </c>
      <c r="X74" s="443">
        <f>SUM(X75:X83)</f>
        <v>842.68709432130083</v>
      </c>
      <c r="Y74" s="442"/>
      <c r="Z74" s="443">
        <f>SUM(Z75:Z83)</f>
        <v>1699.2350889099307</v>
      </c>
      <c r="AA74" s="443">
        <f>SUM(AA75:AA83)</f>
        <v>1518.4111554651861</v>
      </c>
      <c r="AB74" s="443">
        <f>SUM(AB75:AB83)</f>
        <v>1369.9235634967567</v>
      </c>
      <c r="AC74" s="442"/>
      <c r="AD74" s="443">
        <f>SUM(AD75:AD83)</f>
        <v>1735.164185308231</v>
      </c>
      <c r="AE74" s="443">
        <f>SUM(AE75:AE83)</f>
        <v>1573.2507328686549</v>
      </c>
      <c r="AF74" s="443">
        <f>SUM(AF75:AF83)</f>
        <v>1439.6543080040203</v>
      </c>
      <c r="AG74" s="442"/>
      <c r="AH74" s="443">
        <f>SUM(AH75:AH83)</f>
        <v>1296.3335568956977</v>
      </c>
      <c r="AI74" s="443">
        <f>SUM(AI75:AI83)</f>
        <v>1084.9451593140438</v>
      </c>
      <c r="AJ74" s="443">
        <f>SUM(AJ75:AJ83)</f>
        <v>928.59424368869031</v>
      </c>
      <c r="AK74" s="442"/>
      <c r="AL74" s="443">
        <f>SUM(AL75:AL83)</f>
        <v>450.44457390385952</v>
      </c>
      <c r="AM74" s="443">
        <f>SUM(AM75:AM83)</f>
        <v>323.63609655654921</v>
      </c>
      <c r="AN74" s="443">
        <f>SUM(AN75:AN83)</f>
        <v>270.66420513431683</v>
      </c>
    </row>
    <row r="75" spans="1:40" x14ac:dyDescent="0.25">
      <c r="A75" s="15" t="str">
        <f t="shared" si="76"/>
        <v>Managers, directors and senior officials</v>
      </c>
      <c r="B75" s="443">
        <f>SUM(F75,J75,N75,R75,V75,Z75,AD75,AH75,AL75)</f>
        <v>1444.3276249764976</v>
      </c>
      <c r="C75" s="443">
        <f t="shared" ref="C75:C83" si="77">SUM(G75,K75,O75,S75,W75,AA75,AE75,AI75,AM75)</f>
        <v>1577.3863811996257</v>
      </c>
      <c r="D75" s="443">
        <f t="shared" ref="D75:D83" si="78">SUM(H75,L75,P75,T75,X75,AB75,AF75,AJ75,AN75)</f>
        <v>1672.2937810722094</v>
      </c>
      <c r="E75" s="442"/>
      <c r="F75" s="442">
        <v>32.988444450282849</v>
      </c>
      <c r="G75" s="442">
        <v>40.657424844135839</v>
      </c>
      <c r="H75" s="442">
        <v>48.673698709687507</v>
      </c>
      <c r="I75" s="442"/>
      <c r="J75" s="442">
        <v>239.98395179957831</v>
      </c>
      <c r="K75" s="442">
        <v>287.54567324641249</v>
      </c>
      <c r="L75" s="442">
        <v>335.36204855079393</v>
      </c>
      <c r="M75" s="442"/>
      <c r="N75" s="442">
        <v>456.46277093175757</v>
      </c>
      <c r="O75" s="442">
        <v>562.51355026355134</v>
      </c>
      <c r="P75" s="442">
        <v>621.31622274920835</v>
      </c>
      <c r="Q75" s="442"/>
      <c r="R75" s="442">
        <v>57.658555667881124</v>
      </c>
      <c r="S75" s="442">
        <v>67.350933846062375</v>
      </c>
      <c r="T75" s="442">
        <v>73.179214370940755</v>
      </c>
      <c r="U75" s="442"/>
      <c r="V75" s="442">
        <v>114.3824749843931</v>
      </c>
      <c r="W75" s="442">
        <v>141.74490663184878</v>
      </c>
      <c r="X75" s="442">
        <v>157.76037837661636</v>
      </c>
      <c r="Y75" s="442"/>
      <c r="Z75" s="442">
        <v>218.05887687132505</v>
      </c>
      <c r="AA75" s="442">
        <v>195.74634082793182</v>
      </c>
      <c r="AB75" s="442">
        <v>178.63789035830294</v>
      </c>
      <c r="AC75" s="442"/>
      <c r="AD75" s="442">
        <v>174.90198579830286</v>
      </c>
      <c r="AE75" s="442">
        <v>157.15996739286044</v>
      </c>
      <c r="AF75" s="442">
        <v>144.13311820017131</v>
      </c>
      <c r="AG75" s="442"/>
      <c r="AH75" s="442">
        <v>117.98545830029185</v>
      </c>
      <c r="AI75" s="442">
        <v>100.00493035591772</v>
      </c>
      <c r="AJ75" s="442">
        <v>88.674142422686046</v>
      </c>
      <c r="AK75" s="442"/>
      <c r="AL75" s="442">
        <v>31.905106172684931</v>
      </c>
      <c r="AM75" s="442">
        <v>24.662653790905154</v>
      </c>
      <c r="AN75" s="442">
        <v>24.557067333801982</v>
      </c>
    </row>
    <row r="76" spans="1:40" x14ac:dyDescent="0.25">
      <c r="A76" s="15" t="str">
        <f t="shared" si="76"/>
        <v>Professional occupations</v>
      </c>
      <c r="B76" s="443">
        <f t="shared" ref="B76:B83" si="79">SUM(F76,J76,N76,R76,V76,Z76,AD76,AH76,AL76)</f>
        <v>2476.0376152370909</v>
      </c>
      <c r="C76" s="443">
        <f t="shared" si="77"/>
        <v>2661.3657188669426</v>
      </c>
      <c r="D76" s="443">
        <f>SUM(H76,L76,P76,T76,X76,AB76,AF76,AJ76,AN76)</f>
        <v>2801.1547972291437</v>
      </c>
      <c r="E76" s="442"/>
      <c r="F76" s="442">
        <v>106.82649174582025</v>
      </c>
      <c r="G76" s="442">
        <v>120.46555389493362</v>
      </c>
      <c r="H76" s="442">
        <v>135.06132964377952</v>
      </c>
      <c r="I76" s="442"/>
      <c r="J76" s="442">
        <v>691.5568346792387</v>
      </c>
      <c r="K76" s="442">
        <v>789.02610221220391</v>
      </c>
      <c r="L76" s="442">
        <v>885.99997861385589</v>
      </c>
      <c r="M76" s="442"/>
      <c r="N76" s="442">
        <v>963.43382587150597</v>
      </c>
      <c r="O76" s="442">
        <v>1089.0156432735855</v>
      </c>
      <c r="P76" s="442">
        <v>1133.0574950744751</v>
      </c>
      <c r="Q76" s="442"/>
      <c r="R76" s="442">
        <v>75.791287590030961</v>
      </c>
      <c r="S76" s="442">
        <v>84.540284295276763</v>
      </c>
      <c r="T76" s="442">
        <v>91.571840234617909</v>
      </c>
      <c r="U76" s="442"/>
      <c r="V76" s="442">
        <v>144.417526834272</v>
      </c>
      <c r="W76" s="442">
        <v>163.47461607072901</v>
      </c>
      <c r="X76" s="442">
        <v>170.09749341924507</v>
      </c>
      <c r="Y76" s="442"/>
      <c r="Z76" s="442">
        <v>212.16570724971675</v>
      </c>
      <c r="AA76" s="442">
        <v>179.82698263060342</v>
      </c>
      <c r="AB76" s="442">
        <v>163.89498777700047</v>
      </c>
      <c r="AC76" s="442"/>
      <c r="AD76" s="442">
        <v>163.29984307728643</v>
      </c>
      <c r="AE76" s="442">
        <v>140.31942346790188</v>
      </c>
      <c r="AF76" s="442">
        <v>136.43124323572775</v>
      </c>
      <c r="AG76" s="442"/>
      <c r="AH76" s="442">
        <v>96.844232531296768</v>
      </c>
      <c r="AI76" s="442">
        <v>75.515323914358405</v>
      </c>
      <c r="AJ76" s="442">
        <v>60.906709424942477</v>
      </c>
      <c r="AK76" s="442"/>
      <c r="AL76" s="442">
        <v>21.70186565792315</v>
      </c>
      <c r="AM76" s="442">
        <v>19.181789107350689</v>
      </c>
      <c r="AN76" s="442">
        <v>24.13371980549941</v>
      </c>
    </row>
    <row r="77" spans="1:40" x14ac:dyDescent="0.25">
      <c r="A77" s="15" t="str">
        <f t="shared" si="76"/>
        <v>Associate professional and technical</v>
      </c>
      <c r="B77" s="443">
        <f t="shared" si="79"/>
        <v>2405.2472107571984</v>
      </c>
      <c r="C77" s="443">
        <f t="shared" si="77"/>
        <v>2558.2311094605843</v>
      </c>
      <c r="D77" s="443">
        <f t="shared" si="78"/>
        <v>2649.2959174917064</v>
      </c>
      <c r="E77" s="442"/>
      <c r="F77" s="442">
        <v>43.24618735074786</v>
      </c>
      <c r="G77" s="442">
        <v>52.6639858332749</v>
      </c>
      <c r="H77" s="442">
        <v>62.975023910337178</v>
      </c>
      <c r="I77" s="442"/>
      <c r="J77" s="442">
        <v>448.35698420492139</v>
      </c>
      <c r="K77" s="442">
        <v>528.34492172109594</v>
      </c>
      <c r="L77" s="442">
        <v>605.81477919869349</v>
      </c>
      <c r="M77" s="442"/>
      <c r="N77" s="442">
        <v>829.50972126791703</v>
      </c>
      <c r="O77" s="442">
        <v>975.08761471865625</v>
      </c>
      <c r="P77" s="442">
        <v>1040.8889616815804</v>
      </c>
      <c r="Q77" s="442"/>
      <c r="R77" s="442">
        <v>143.3454849592234</v>
      </c>
      <c r="S77" s="442">
        <v>177.87397459156068</v>
      </c>
      <c r="T77" s="442">
        <v>200.35161659992153</v>
      </c>
      <c r="U77" s="442"/>
      <c r="V77" s="442">
        <v>148.83954113973755</v>
      </c>
      <c r="W77" s="442">
        <v>165.49144159595858</v>
      </c>
      <c r="X77" s="442">
        <v>171.28324571415453</v>
      </c>
      <c r="Y77" s="442"/>
      <c r="Z77" s="442">
        <v>329.09336572968715</v>
      </c>
      <c r="AA77" s="442">
        <v>286.23630483875144</v>
      </c>
      <c r="AB77" s="442">
        <v>248.95450986101577</v>
      </c>
      <c r="AC77" s="442"/>
      <c r="AD77" s="442">
        <v>246.77844842155937</v>
      </c>
      <c r="AE77" s="442">
        <v>200.51493973001425</v>
      </c>
      <c r="AF77" s="442">
        <v>162.75339591588994</v>
      </c>
      <c r="AG77" s="442"/>
      <c r="AH77" s="442">
        <v>176.785351749955</v>
      </c>
      <c r="AI77" s="442">
        <v>138.91252385812109</v>
      </c>
      <c r="AJ77" s="442">
        <v>117.14466816679133</v>
      </c>
      <c r="AK77" s="442"/>
      <c r="AL77" s="442">
        <v>39.292125933449846</v>
      </c>
      <c r="AM77" s="442">
        <v>33.105402573151274</v>
      </c>
      <c r="AN77" s="442">
        <v>39.129716443322238</v>
      </c>
    </row>
    <row r="78" spans="1:40" x14ac:dyDescent="0.25">
      <c r="A78" s="15" t="str">
        <f t="shared" si="76"/>
        <v>Administrative and secretarial</v>
      </c>
      <c r="B78" s="443">
        <f t="shared" si="79"/>
        <v>1592.0446919578135</v>
      </c>
      <c r="C78" s="443">
        <f t="shared" si="77"/>
        <v>1470.2976420289967</v>
      </c>
      <c r="D78" s="443">
        <f t="shared" si="78"/>
        <v>1351.3646328149275</v>
      </c>
      <c r="E78" s="442"/>
      <c r="F78" s="442">
        <v>8.6493554836900834</v>
      </c>
      <c r="G78" s="442">
        <v>10.369965266495599</v>
      </c>
      <c r="H78" s="442">
        <v>12.098415786670035</v>
      </c>
      <c r="I78" s="442"/>
      <c r="J78" s="442">
        <v>117.00748837723378</v>
      </c>
      <c r="K78" s="442">
        <v>133.29451617041187</v>
      </c>
      <c r="L78" s="442">
        <v>150.51111995509007</v>
      </c>
      <c r="M78" s="442"/>
      <c r="N78" s="442">
        <v>356.14747022578558</v>
      </c>
      <c r="O78" s="442">
        <v>414.57210979470528</v>
      </c>
      <c r="P78" s="442">
        <v>449.67328417833903</v>
      </c>
      <c r="Q78" s="442"/>
      <c r="R78" s="442">
        <v>99.152215609556393</v>
      </c>
      <c r="S78" s="442">
        <v>109.22337747679478</v>
      </c>
      <c r="T78" s="442">
        <v>114.31807724426483</v>
      </c>
      <c r="U78" s="442"/>
      <c r="V78" s="442">
        <v>110.23431054548651</v>
      </c>
      <c r="W78" s="442">
        <v>127.34759827911863</v>
      </c>
      <c r="X78" s="442">
        <v>136.96243574367588</v>
      </c>
      <c r="Y78" s="442"/>
      <c r="Z78" s="442">
        <v>290.77150988412717</v>
      </c>
      <c r="AA78" s="442">
        <v>236.38195097172024</v>
      </c>
      <c r="AB78" s="442">
        <v>190.21999734488452</v>
      </c>
      <c r="AC78" s="442"/>
      <c r="AD78" s="442">
        <v>340.48606025340575</v>
      </c>
      <c r="AE78" s="442">
        <v>266.04533416144676</v>
      </c>
      <c r="AF78" s="442">
        <v>198.57978516339273</v>
      </c>
      <c r="AG78" s="442"/>
      <c r="AH78" s="442">
        <v>202.88162124875927</v>
      </c>
      <c r="AI78" s="442">
        <v>123.587715932588</v>
      </c>
      <c r="AJ78" s="442">
        <v>53.596647325243431</v>
      </c>
      <c r="AK78" s="442"/>
      <c r="AL78" s="442">
        <v>66.714660329769032</v>
      </c>
      <c r="AM78" s="442">
        <v>49.475073975715468</v>
      </c>
      <c r="AN78" s="442">
        <v>45.404870073367107</v>
      </c>
    </row>
    <row r="79" spans="1:40" x14ac:dyDescent="0.25">
      <c r="A79" s="15" t="str">
        <f t="shared" si="76"/>
        <v>Skilled trades occupations</v>
      </c>
      <c r="B79" s="443">
        <f t="shared" si="79"/>
        <v>446.04036229401424</v>
      </c>
      <c r="C79" s="443">
        <f t="shared" si="77"/>
        <v>449.89750034531829</v>
      </c>
      <c r="D79" s="443">
        <f t="shared" si="78"/>
        <v>446.27687249214313</v>
      </c>
      <c r="E79" s="442"/>
      <c r="F79" s="442">
        <v>2.0380457284248279</v>
      </c>
      <c r="G79" s="442">
        <v>2.6175884341562843</v>
      </c>
      <c r="H79" s="442">
        <v>3.1768756889149325</v>
      </c>
      <c r="I79" s="442"/>
      <c r="J79" s="442">
        <v>23.995059792838433</v>
      </c>
      <c r="K79" s="442">
        <v>28.646702801339824</v>
      </c>
      <c r="L79" s="442">
        <v>31.800419087297445</v>
      </c>
      <c r="M79" s="442"/>
      <c r="N79" s="442">
        <v>58.643687172432905</v>
      </c>
      <c r="O79" s="442">
        <v>71.828066852386414</v>
      </c>
      <c r="P79" s="442">
        <v>79.286395973802811</v>
      </c>
      <c r="Q79" s="442"/>
      <c r="R79" s="442">
        <v>21.936319895186553</v>
      </c>
      <c r="S79" s="442">
        <v>29.574193160285525</v>
      </c>
      <c r="T79" s="442">
        <v>34.390204031589789</v>
      </c>
      <c r="U79" s="442"/>
      <c r="V79" s="442">
        <v>31.923933381421659</v>
      </c>
      <c r="W79" s="442">
        <v>36.344343100359495</v>
      </c>
      <c r="X79" s="442">
        <v>38.600426797067726</v>
      </c>
      <c r="Y79" s="442"/>
      <c r="Z79" s="442">
        <v>112.92247550536379</v>
      </c>
      <c r="AA79" s="442">
        <v>104.28050842409925</v>
      </c>
      <c r="AB79" s="442">
        <v>94.978573451861706</v>
      </c>
      <c r="AC79" s="442"/>
      <c r="AD79" s="442">
        <v>100.58304830193408</v>
      </c>
      <c r="AE79" s="442">
        <v>96.846100324899481</v>
      </c>
      <c r="AF79" s="442">
        <v>93.657752914221433</v>
      </c>
      <c r="AG79" s="442"/>
      <c r="AH79" s="442">
        <v>59.422815419243769</v>
      </c>
      <c r="AI79" s="442">
        <v>51.767529154429532</v>
      </c>
      <c r="AJ79" s="442">
        <v>45.128929466433142</v>
      </c>
      <c r="AK79" s="442"/>
      <c r="AL79" s="442">
        <v>34.574977097168215</v>
      </c>
      <c r="AM79" s="442">
        <v>27.992468093362458</v>
      </c>
      <c r="AN79" s="442">
        <v>25.257295080954119</v>
      </c>
    </row>
    <row r="80" spans="1:40" x14ac:dyDescent="0.25">
      <c r="A80" s="15" t="str">
        <f t="shared" si="76"/>
        <v>Caring, leisure and other service</v>
      </c>
      <c r="B80" s="443">
        <f t="shared" si="79"/>
        <v>717.43253042996548</v>
      </c>
      <c r="C80" s="443">
        <f t="shared" si="77"/>
        <v>750.8438267180602</v>
      </c>
      <c r="D80" s="443">
        <f t="shared" si="78"/>
        <v>773.52997774496635</v>
      </c>
      <c r="E80" s="442"/>
      <c r="F80" s="442">
        <v>0.54221299477871532</v>
      </c>
      <c r="G80" s="442">
        <v>0.65581621833705517</v>
      </c>
      <c r="H80" s="442">
        <v>0.75602129243421734</v>
      </c>
      <c r="I80" s="442"/>
      <c r="J80" s="442">
        <v>31.984091205191259</v>
      </c>
      <c r="K80" s="442">
        <v>41.765073430932048</v>
      </c>
      <c r="L80" s="442">
        <v>50.169171239244072</v>
      </c>
      <c r="M80" s="442"/>
      <c r="N80" s="442">
        <v>90.775770175247075</v>
      </c>
      <c r="O80" s="442">
        <v>126.60953452267476</v>
      </c>
      <c r="P80" s="442">
        <v>149.24482185952772</v>
      </c>
      <c r="Q80" s="442"/>
      <c r="R80" s="442">
        <v>59.567181125489967</v>
      </c>
      <c r="S80" s="442">
        <v>80.582762041041207</v>
      </c>
      <c r="T80" s="442">
        <v>91.684732773888967</v>
      </c>
      <c r="U80" s="442"/>
      <c r="V80" s="442">
        <v>40.740406239570476</v>
      </c>
      <c r="W80" s="442">
        <v>56.249509585675092</v>
      </c>
      <c r="X80" s="442">
        <v>65.569903043920206</v>
      </c>
      <c r="Y80" s="442"/>
      <c r="Z80" s="442">
        <v>190.11735489179799</v>
      </c>
      <c r="AA80" s="442">
        <v>183.66088068884665</v>
      </c>
      <c r="AB80" s="442">
        <v>180.70945010874775</v>
      </c>
      <c r="AC80" s="442"/>
      <c r="AD80" s="442">
        <v>166.71269752893269</v>
      </c>
      <c r="AE80" s="442">
        <v>150.60420462408979</v>
      </c>
      <c r="AF80" s="442">
        <v>135.00168024787757</v>
      </c>
      <c r="AG80" s="442"/>
      <c r="AH80" s="442">
        <v>106.20254227388807</v>
      </c>
      <c r="AI80" s="442">
        <v>88.919126962888029</v>
      </c>
      <c r="AJ80" s="442">
        <v>80.384150851800584</v>
      </c>
      <c r="AK80" s="442"/>
      <c r="AL80" s="442">
        <v>30.790273995069185</v>
      </c>
      <c r="AM80" s="442">
        <v>21.796918643575466</v>
      </c>
      <c r="AN80" s="442">
        <v>20.010046327525234</v>
      </c>
    </row>
    <row r="81" spans="1:40" x14ac:dyDescent="0.25">
      <c r="A81" s="15" t="str">
        <f t="shared" si="76"/>
        <v>Sales and customer service</v>
      </c>
      <c r="B81" s="443">
        <f t="shared" si="79"/>
        <v>642.46319750715634</v>
      </c>
      <c r="C81" s="443">
        <f t="shared" si="77"/>
        <v>654.52856557567839</v>
      </c>
      <c r="D81" s="443">
        <f t="shared" si="78"/>
        <v>669.70351587212701</v>
      </c>
      <c r="E81" s="442"/>
      <c r="F81" s="442">
        <v>3.9396226671298442</v>
      </c>
      <c r="G81" s="442">
        <v>4.9051907557239467</v>
      </c>
      <c r="H81" s="442">
        <v>5.6516633429607754</v>
      </c>
      <c r="I81" s="442"/>
      <c r="J81" s="442">
        <v>34.493556313798926</v>
      </c>
      <c r="K81" s="442">
        <v>42.631961843390037</v>
      </c>
      <c r="L81" s="442">
        <v>49.704329227417745</v>
      </c>
      <c r="M81" s="442"/>
      <c r="N81" s="442">
        <v>123.38592900773544</v>
      </c>
      <c r="O81" s="442">
        <v>151.86744225822784</v>
      </c>
      <c r="P81" s="442">
        <v>170.81098487206609</v>
      </c>
      <c r="Q81" s="442"/>
      <c r="R81" s="442">
        <v>30.825763197647717</v>
      </c>
      <c r="S81" s="442">
        <v>38.364256621940015</v>
      </c>
      <c r="T81" s="442">
        <v>44.297407374084713</v>
      </c>
      <c r="U81" s="442"/>
      <c r="V81" s="442">
        <v>41.627408400113062</v>
      </c>
      <c r="W81" s="442">
        <v>50.63603393559459</v>
      </c>
      <c r="X81" s="442">
        <v>55.947233175851871</v>
      </c>
      <c r="Y81" s="442"/>
      <c r="Z81" s="442">
        <v>137.91630801783049</v>
      </c>
      <c r="AA81" s="442">
        <v>127.18074099393185</v>
      </c>
      <c r="AB81" s="442">
        <v>117.38199724337267</v>
      </c>
      <c r="AC81" s="442"/>
      <c r="AD81" s="442">
        <v>161.53179321553395</v>
      </c>
      <c r="AE81" s="442">
        <v>153.46725290633381</v>
      </c>
      <c r="AF81" s="442">
        <v>149.88154636145939</v>
      </c>
      <c r="AG81" s="442"/>
      <c r="AH81" s="442">
        <v>83.29216471618156</v>
      </c>
      <c r="AI81" s="442">
        <v>64.031356987896629</v>
      </c>
      <c r="AJ81" s="442">
        <v>52.834177768859206</v>
      </c>
      <c r="AK81" s="442"/>
      <c r="AL81" s="442">
        <v>25.450651971185383</v>
      </c>
      <c r="AM81" s="442">
        <v>21.444329272639777</v>
      </c>
      <c r="AN81" s="442">
        <v>23.194176506054486</v>
      </c>
    </row>
    <row r="82" spans="1:40" x14ac:dyDescent="0.25">
      <c r="A82" s="15" t="str">
        <f t="shared" si="76"/>
        <v>Process, plant and machine operatives</v>
      </c>
      <c r="B82" s="443">
        <f t="shared" si="79"/>
        <v>227.27022083572365</v>
      </c>
      <c r="C82" s="443">
        <f t="shared" si="77"/>
        <v>229.83538788153075</v>
      </c>
      <c r="D82" s="443">
        <f t="shared" si="78"/>
        <v>225.43218096410794</v>
      </c>
      <c r="E82" s="442"/>
      <c r="F82" s="442">
        <v>0.81112766885387022</v>
      </c>
      <c r="G82" s="442">
        <v>0.99819748268520891</v>
      </c>
      <c r="H82" s="442">
        <v>1.1234362566602039</v>
      </c>
      <c r="I82" s="442"/>
      <c r="J82" s="442">
        <v>8.9256169563553005</v>
      </c>
      <c r="K82" s="442">
        <v>11.103824738740576</v>
      </c>
      <c r="L82" s="442">
        <v>12.590972539845389</v>
      </c>
      <c r="M82" s="442"/>
      <c r="N82" s="442">
        <v>16.778460406756452</v>
      </c>
      <c r="O82" s="442">
        <v>21.263869423813993</v>
      </c>
      <c r="P82" s="442">
        <v>23.597445425636664</v>
      </c>
      <c r="Q82" s="442"/>
      <c r="R82" s="442">
        <v>5.6188174326189868</v>
      </c>
      <c r="S82" s="442">
        <v>6.6822780728600453</v>
      </c>
      <c r="T82" s="442">
        <v>7.243196591002258</v>
      </c>
      <c r="U82" s="442"/>
      <c r="V82" s="442">
        <v>7.6914822178291127</v>
      </c>
      <c r="W82" s="442">
        <v>10.230178515393085</v>
      </c>
      <c r="X82" s="442">
        <v>11.731386930129458</v>
      </c>
      <c r="Y82" s="442"/>
      <c r="Z82" s="442">
        <v>54.354430771301772</v>
      </c>
      <c r="AA82" s="442">
        <v>57.913436612752832</v>
      </c>
      <c r="AB82" s="442">
        <v>60.281467511749099</v>
      </c>
      <c r="AC82" s="442"/>
      <c r="AD82" s="442">
        <v>50.912825805095707</v>
      </c>
      <c r="AE82" s="442">
        <v>52.121345822834336</v>
      </c>
      <c r="AF82" s="442">
        <v>53.835322850674579</v>
      </c>
      <c r="AG82" s="442"/>
      <c r="AH82" s="442">
        <v>49.03700534186796</v>
      </c>
      <c r="AI82" s="442">
        <v>41.924897209059118</v>
      </c>
      <c r="AJ82" s="442">
        <v>32.946739954086453</v>
      </c>
      <c r="AK82" s="442"/>
      <c r="AL82" s="442">
        <v>33.140454235044459</v>
      </c>
      <c r="AM82" s="442">
        <v>27.597360003391575</v>
      </c>
      <c r="AN82" s="442">
        <v>22.082212904323839</v>
      </c>
    </row>
    <row r="83" spans="1:40" x14ac:dyDescent="0.25">
      <c r="A83" s="48" t="str">
        <f t="shared" si="76"/>
        <v>Elementary occupations</v>
      </c>
      <c r="B83" s="446">
        <f t="shared" si="79"/>
        <v>1225.4635459529854</v>
      </c>
      <c r="C83" s="446">
        <f t="shared" si="77"/>
        <v>1257.0488679054381</v>
      </c>
      <c r="D83" s="446">
        <f t="shared" si="78"/>
        <v>1249.333324283577</v>
      </c>
      <c r="E83" s="446"/>
      <c r="F83" s="446">
        <v>1.5032997170017017</v>
      </c>
      <c r="G83" s="446">
        <v>2.3664966307634203</v>
      </c>
      <c r="H83" s="446">
        <v>3.0638055190260167</v>
      </c>
      <c r="I83" s="446"/>
      <c r="J83" s="446">
        <v>30.902680805889496</v>
      </c>
      <c r="K83" s="446">
        <v>47.103203185238293</v>
      </c>
      <c r="L83" s="446">
        <v>61.125702070869174</v>
      </c>
      <c r="M83" s="446"/>
      <c r="N83" s="446">
        <v>72.510052993987202</v>
      </c>
      <c r="O83" s="446">
        <v>110.49365898127137</v>
      </c>
      <c r="P83" s="446">
        <v>131.0284364480155</v>
      </c>
      <c r="Q83" s="446"/>
      <c r="R83" s="446">
        <v>41.626701642557862</v>
      </c>
      <c r="S83" s="446">
        <v>63.429966277647075</v>
      </c>
      <c r="T83" s="446">
        <v>75.262457203283461</v>
      </c>
      <c r="U83" s="446"/>
      <c r="V83" s="446">
        <v>24.37144407280967</v>
      </c>
      <c r="W83" s="446">
        <v>31.637512880452718</v>
      </c>
      <c r="X83" s="446">
        <v>34.734591120639649</v>
      </c>
      <c r="Y83" s="446"/>
      <c r="Z83" s="446">
        <v>153.83505998878064</v>
      </c>
      <c r="AA83" s="446">
        <v>147.18400947654871</v>
      </c>
      <c r="AB83" s="446">
        <v>134.86468983982166</v>
      </c>
      <c r="AC83" s="446"/>
      <c r="AD83" s="446">
        <v>329.95748290618002</v>
      </c>
      <c r="AE83" s="446">
        <v>356.17216443827397</v>
      </c>
      <c r="AF83" s="446">
        <v>365.38046311460556</v>
      </c>
      <c r="AG83" s="446"/>
      <c r="AH83" s="446">
        <v>403.88236531421347</v>
      </c>
      <c r="AI83" s="446">
        <v>400.2817549387853</v>
      </c>
      <c r="AJ83" s="446">
        <v>396.97807830784757</v>
      </c>
      <c r="AK83" s="446"/>
      <c r="AL83" s="446">
        <v>166.87445851156531</v>
      </c>
      <c r="AM83" s="446">
        <v>98.380101096457395</v>
      </c>
      <c r="AN83" s="446">
        <v>46.895100659468419</v>
      </c>
    </row>
    <row r="84" spans="1:40" x14ac:dyDescent="0.25">
      <c r="B84" s="36"/>
      <c r="C84" s="36"/>
      <c r="D84" s="36"/>
    </row>
    <row r="85" spans="1:40" ht="15.6" x14ac:dyDescent="0.3">
      <c r="A85" s="23" t="str">
        <f>CONCATENATE(A1," (Continued)")</f>
        <v>Basic Table 1  Employment by Industry Sector, Occupation Group and Qualification, 2017-2027, United Kingdom (Continued)</v>
      </c>
    </row>
    <row r="86" spans="1:40" ht="12.75" customHeight="1" x14ac:dyDescent="0.3">
      <c r="A86" s="23"/>
    </row>
    <row r="87" spans="1:40" ht="12.75" customHeight="1" x14ac:dyDescent="0.3">
      <c r="A87" s="23"/>
    </row>
    <row r="88" spans="1:40" ht="26.25" customHeight="1" x14ac:dyDescent="0.25">
      <c r="A88" s="98"/>
      <c r="B88" s="98"/>
      <c r="C88" s="99" t="str">
        <f>B4</f>
        <v>All qualifications</v>
      </c>
      <c r="D88" s="98"/>
      <c r="E88" s="98"/>
      <c r="F88" s="98"/>
      <c r="G88" s="100" t="str">
        <f>F4</f>
        <v>RQF8 Doctorate</v>
      </c>
      <c r="H88" s="98"/>
      <c r="I88" s="98"/>
      <c r="J88" s="98"/>
      <c r="K88" s="100" t="str">
        <f>J4</f>
        <v>RQF7 Other higher degree</v>
      </c>
      <c r="L88" s="98"/>
      <c r="M88" s="98"/>
      <c r="N88" s="523" t="str">
        <f>N4</f>
        <v>RQF6 First degree</v>
      </c>
      <c r="O88" s="523"/>
      <c r="P88" s="523"/>
      <c r="Q88" s="98"/>
      <c r="R88" s="523" t="str">
        <f>R4</f>
        <v>RQF5 Foundation degree;Nursing;Teaching</v>
      </c>
      <c r="S88" s="523"/>
      <c r="T88" s="523"/>
      <c r="U88" s="98"/>
      <c r="V88" s="523" t="str">
        <f>V4</f>
        <v>RQF4 HE below degree level</v>
      </c>
      <c r="W88" s="523"/>
      <c r="X88" s="523"/>
      <c r="Y88" s="98"/>
      <c r="Z88" s="523" t="str">
        <f>Z4</f>
        <v>RQF3 A level &amp; equivalent</v>
      </c>
      <c r="AA88" s="523"/>
      <c r="AB88" s="523"/>
      <c r="AC88" s="98"/>
      <c r="AD88" s="523" t="str">
        <f>AD4</f>
        <v>RQF2 GCSE(A-C) &amp; equivalent</v>
      </c>
      <c r="AE88" s="523"/>
      <c r="AF88" s="523"/>
      <c r="AG88" s="98"/>
      <c r="AH88" s="523" t="str">
        <f>AH4</f>
        <v>RQF1 GCSE(below grade C) &amp; equivalent</v>
      </c>
      <c r="AI88" s="523"/>
      <c r="AJ88" s="523"/>
      <c r="AK88" s="98"/>
      <c r="AL88" s="98"/>
      <c r="AM88" s="100" t="str">
        <f>AL4</f>
        <v>No Qualification</v>
      </c>
      <c r="AN88" s="98"/>
    </row>
    <row r="89" spans="1:40" x14ac:dyDescent="0.25">
      <c r="A89" s="48"/>
      <c r="B89" s="51">
        <f>B5</f>
        <v>2017</v>
      </c>
      <c r="C89" s="51">
        <f>C5</f>
        <v>2022</v>
      </c>
      <c r="D89" s="51">
        <f>D5</f>
        <v>2027</v>
      </c>
      <c r="E89" s="48"/>
      <c r="F89" s="40">
        <f>B89</f>
        <v>2017</v>
      </c>
      <c r="G89" s="40">
        <f>C89</f>
        <v>2022</v>
      </c>
      <c r="H89" s="40">
        <f>D89</f>
        <v>2027</v>
      </c>
      <c r="I89" s="48"/>
      <c r="J89" s="40">
        <f>B89</f>
        <v>2017</v>
      </c>
      <c r="K89" s="40">
        <f>C89</f>
        <v>2022</v>
      </c>
      <c r="L89" s="40">
        <f>D89</f>
        <v>2027</v>
      </c>
      <c r="M89" s="48"/>
      <c r="N89" s="40">
        <f>B89</f>
        <v>2017</v>
      </c>
      <c r="O89" s="40">
        <f>C89</f>
        <v>2022</v>
      </c>
      <c r="P89" s="40">
        <f>D89</f>
        <v>2027</v>
      </c>
      <c r="Q89" s="48"/>
      <c r="R89" s="40">
        <f>F89</f>
        <v>2017</v>
      </c>
      <c r="S89" s="40">
        <f>G89</f>
        <v>2022</v>
      </c>
      <c r="T89" s="40">
        <f>H89</f>
        <v>2027</v>
      </c>
      <c r="U89" s="48"/>
      <c r="V89" s="40">
        <f>J89</f>
        <v>2017</v>
      </c>
      <c r="W89" s="40">
        <f>K89</f>
        <v>2022</v>
      </c>
      <c r="X89" s="40">
        <f>L89</f>
        <v>2027</v>
      </c>
      <c r="Y89" s="48"/>
      <c r="Z89" s="40">
        <f>N89</f>
        <v>2017</v>
      </c>
      <c r="AA89" s="40">
        <f>O89</f>
        <v>2022</v>
      </c>
      <c r="AB89" s="40">
        <f>P89</f>
        <v>2027</v>
      </c>
      <c r="AC89" s="48"/>
      <c r="AD89" s="40">
        <f>R89</f>
        <v>2017</v>
      </c>
      <c r="AE89" s="40">
        <f>S89</f>
        <v>2022</v>
      </c>
      <c r="AF89" s="40">
        <f>T89</f>
        <v>2027</v>
      </c>
      <c r="AG89" s="48"/>
      <c r="AH89" s="40">
        <f>V89</f>
        <v>2017</v>
      </c>
      <c r="AI89" s="40">
        <f>W89</f>
        <v>2022</v>
      </c>
      <c r="AJ89" s="40">
        <f>X89</f>
        <v>2027</v>
      </c>
      <c r="AK89" s="48"/>
      <c r="AL89" s="40">
        <f>Z89</f>
        <v>2017</v>
      </c>
      <c r="AM89" s="40">
        <f>AA89</f>
        <v>2022</v>
      </c>
      <c r="AN89" s="40">
        <f>AB89</f>
        <v>2027</v>
      </c>
    </row>
    <row r="90" spans="1:40" x14ac:dyDescent="0.25">
      <c r="B90" s="36"/>
      <c r="C90" s="36"/>
      <c r="D90" s="36"/>
    </row>
    <row r="91" spans="1:40" x14ac:dyDescent="0.25">
      <c r="A91" s="1" t="str">
        <f>name!C9</f>
        <v>Non-marketed services</v>
      </c>
      <c r="E91" s="97"/>
      <c r="F91" s="97"/>
      <c r="G91" s="97"/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97"/>
      <c r="T91" s="97"/>
      <c r="U91" s="97"/>
      <c r="V91" s="97"/>
      <c r="W91" s="97"/>
      <c r="X91" s="97"/>
      <c r="Y91" s="97"/>
      <c r="Z91" s="97"/>
      <c r="AA91" s="97"/>
      <c r="AB91" s="97"/>
      <c r="AC91" s="97"/>
      <c r="AD91" s="97"/>
      <c r="AE91" s="97"/>
      <c r="AF91" s="97"/>
      <c r="AG91" s="97"/>
      <c r="AH91" s="97"/>
      <c r="AI91" s="97"/>
      <c r="AJ91" s="97"/>
      <c r="AK91" s="97"/>
      <c r="AL91" s="97"/>
      <c r="AM91" s="97"/>
      <c r="AN91" s="97"/>
    </row>
    <row r="92" spans="1:40" x14ac:dyDescent="0.25">
      <c r="A92" s="15" t="str">
        <f t="shared" ref="A92:A101" si="80">A8</f>
        <v>All occupations</v>
      </c>
      <c r="B92" s="443">
        <f>SUM(B93:B101)</f>
        <v>8637.2629999623405</v>
      </c>
      <c r="C92" s="443">
        <f>SUM(C93:C101)</f>
        <v>8790.476000071214</v>
      </c>
      <c r="D92" s="443">
        <f>SUM(D93:D101)</f>
        <v>9066.759000011938</v>
      </c>
      <c r="E92" s="442"/>
      <c r="F92" s="443">
        <f>SUM(F93:F101)</f>
        <v>274.72557986281686</v>
      </c>
      <c r="G92" s="443">
        <f>SUM(G93:G101)</f>
        <v>311.43083040332721</v>
      </c>
      <c r="H92" s="443">
        <f>SUM(H93:H101)</f>
        <v>351.71781502606137</v>
      </c>
      <c r="I92" s="442"/>
      <c r="J92" s="443">
        <f>SUM(J93:J101)</f>
        <v>1560.0544288022397</v>
      </c>
      <c r="K92" s="443">
        <f>SUM(K93:K101)</f>
        <v>1733.9015733934834</v>
      </c>
      <c r="L92" s="443">
        <f>SUM(L93:L101)</f>
        <v>1912.6771237409835</v>
      </c>
      <c r="M92" s="442"/>
      <c r="N92" s="443">
        <f>SUM(N93:N101)</f>
        <v>2023.658810238036</v>
      </c>
      <c r="O92" s="443">
        <f>SUM(O93:O101)</f>
        <v>2377.3973431038667</v>
      </c>
      <c r="P92" s="443">
        <f>SUM(P93:P101)</f>
        <v>2626.3460112201028</v>
      </c>
      <c r="Q92" s="442"/>
      <c r="R92" s="443">
        <f>SUM(R93:R101)</f>
        <v>877.92436837952528</v>
      </c>
      <c r="S92" s="443">
        <f>SUM(S93:S101)</f>
        <v>800.34031957489083</v>
      </c>
      <c r="T92" s="443">
        <f>SUM(T93:T101)</f>
        <v>741.02102708590132</v>
      </c>
      <c r="U92" s="442"/>
      <c r="V92" s="443">
        <f>SUM(V93:V101)</f>
        <v>371.41260623469958</v>
      </c>
      <c r="W92" s="443">
        <f>SUM(W93:W101)</f>
        <v>417.92710242294243</v>
      </c>
      <c r="X92" s="443">
        <f>SUM(X93:X101)</f>
        <v>450.11746906199005</v>
      </c>
      <c r="Y92" s="442"/>
      <c r="Z92" s="443">
        <f>SUM(Z93:Z101)</f>
        <v>1584.5675012388358</v>
      </c>
      <c r="AA92" s="443">
        <f>SUM(AA93:AA101)</f>
        <v>1592.2412081655161</v>
      </c>
      <c r="AB92" s="443">
        <f>SUM(AB93:AB101)</f>
        <v>1667.8169720735277</v>
      </c>
      <c r="AC92" s="442"/>
      <c r="AD92" s="443">
        <f>SUM(AD93:AD101)</f>
        <v>1286.3383138828212</v>
      </c>
      <c r="AE92" s="443">
        <f>SUM(AE93:AE101)</f>
        <v>1142.1201845161811</v>
      </c>
      <c r="AF92" s="443">
        <f>SUM(AF93:AF101)</f>
        <v>1026.3891174398598</v>
      </c>
      <c r="AG92" s="442"/>
      <c r="AH92" s="443">
        <f>SUM(AH93:AH101)</f>
        <v>546.16850132115678</v>
      </c>
      <c r="AI92" s="443">
        <f>SUM(AI93:AI101)</f>
        <v>346.24775435220926</v>
      </c>
      <c r="AJ92" s="443">
        <f>SUM(AJ93:AJ101)</f>
        <v>231.6882417718561</v>
      </c>
      <c r="AK92" s="442"/>
      <c r="AL92" s="443">
        <f>SUM(AL93:AL101)</f>
        <v>112.41289000220991</v>
      </c>
      <c r="AM92" s="443">
        <f>SUM(AM93:AM101)</f>
        <v>68.869684138797609</v>
      </c>
      <c r="AN92" s="443">
        <f>SUM(AN93:AN101)</f>
        <v>58.985222591657909</v>
      </c>
    </row>
    <row r="93" spans="1:40" x14ac:dyDescent="0.25">
      <c r="A93" s="15" t="str">
        <f t="shared" si="80"/>
        <v>Managers, directors and senior officials</v>
      </c>
      <c r="B93" s="443">
        <f>SUM(F93,J93,N93,R93,V93,Z93,AD93,AH93,AL93)</f>
        <v>357.33332949355014</v>
      </c>
      <c r="C93" s="443">
        <f t="shared" ref="C93:D93" si="81">SUM(G93,K93,O93,S93,W93,AA93,AE93,AI93,AM93)</f>
        <v>373.84484920143376</v>
      </c>
      <c r="D93" s="443">
        <f t="shared" si="81"/>
        <v>386.94453926945431</v>
      </c>
      <c r="E93" s="442"/>
      <c r="F93" s="442">
        <v>7.3009361605553629</v>
      </c>
      <c r="G93" s="442">
        <v>8.3964014197166286</v>
      </c>
      <c r="H93" s="442">
        <v>9.8201017126319723</v>
      </c>
      <c r="I93" s="442"/>
      <c r="J93" s="442">
        <v>69.569825738507532</v>
      </c>
      <c r="K93" s="442">
        <v>75.102690997615795</v>
      </c>
      <c r="L93" s="442">
        <v>80.129050586561078</v>
      </c>
      <c r="M93" s="442"/>
      <c r="N93" s="442">
        <v>104.02298833075299</v>
      </c>
      <c r="O93" s="442">
        <v>121.59998491252432</v>
      </c>
      <c r="P93" s="442">
        <v>133.66512691359583</v>
      </c>
      <c r="Q93" s="442"/>
      <c r="R93" s="442">
        <v>61.220531663773684</v>
      </c>
      <c r="S93" s="442">
        <v>67.783778997161775</v>
      </c>
      <c r="T93" s="442">
        <v>71.895529415266736</v>
      </c>
      <c r="U93" s="442"/>
      <c r="V93" s="442">
        <v>17.04823288247033</v>
      </c>
      <c r="W93" s="442">
        <v>16.968032344543129</v>
      </c>
      <c r="X93" s="442">
        <v>16.540461947961546</v>
      </c>
      <c r="Y93" s="442"/>
      <c r="Z93" s="442">
        <v>55.251522723810318</v>
      </c>
      <c r="AA93" s="442">
        <v>48.515239872388818</v>
      </c>
      <c r="AB93" s="442">
        <v>43.55029837265478</v>
      </c>
      <c r="AC93" s="442"/>
      <c r="AD93" s="442">
        <v>26.339033041962356</v>
      </c>
      <c r="AE93" s="442">
        <v>22.730894322316399</v>
      </c>
      <c r="AF93" s="442">
        <v>19.816098183747052</v>
      </c>
      <c r="AG93" s="442"/>
      <c r="AH93" s="442">
        <v>10.782918668401981</v>
      </c>
      <c r="AI93" s="442">
        <v>7.6767215620366391</v>
      </c>
      <c r="AJ93" s="442">
        <v>5.6944966470673473</v>
      </c>
      <c r="AK93" s="442"/>
      <c r="AL93" s="442">
        <v>5.7973402833156236</v>
      </c>
      <c r="AM93" s="442">
        <v>5.0711047731302612</v>
      </c>
      <c r="AN93" s="442">
        <v>5.8333754899680468</v>
      </c>
    </row>
    <row r="94" spans="1:40" x14ac:dyDescent="0.25">
      <c r="A94" s="15" t="str">
        <f t="shared" si="80"/>
        <v>Professional occupations</v>
      </c>
      <c r="B94" s="443">
        <f t="shared" ref="B94:B101" si="82">SUM(F94,J94,N94,R94,V94,Z94,AD94,AH94,AL94)</f>
        <v>3233.4362608207998</v>
      </c>
      <c r="C94" s="443">
        <f t="shared" ref="C94:C101" si="83">SUM(G94,K94,O94,S94,W94,AA94,AE94,AI94,AM94)</f>
        <v>3383.8342550115872</v>
      </c>
      <c r="D94" s="443">
        <f t="shared" ref="D94:D101" si="84">SUM(H94,L94,P94,T94,X94,AB94,AF94,AJ94,AN94)</f>
        <v>3588.79094109063</v>
      </c>
      <c r="E94" s="443"/>
      <c r="F94" s="442">
        <v>245.72491757351605</v>
      </c>
      <c r="G94" s="442">
        <v>277.63422407833178</v>
      </c>
      <c r="H94" s="442">
        <v>312.59001935475015</v>
      </c>
      <c r="I94" s="442"/>
      <c r="J94" s="442">
        <v>1161.7133073725918</v>
      </c>
      <c r="K94" s="442">
        <v>1283.6983227804301</v>
      </c>
      <c r="L94" s="442">
        <v>1411.203643019297</v>
      </c>
      <c r="M94" s="442"/>
      <c r="N94" s="442">
        <v>1085.6998405545864</v>
      </c>
      <c r="O94" s="442">
        <v>1229.4544347136678</v>
      </c>
      <c r="P94" s="442">
        <v>1332.7980614942028</v>
      </c>
      <c r="Q94" s="442"/>
      <c r="R94" s="442">
        <v>294.83897978780982</v>
      </c>
      <c r="S94" s="442">
        <v>180.80697240131065</v>
      </c>
      <c r="T94" s="442">
        <v>102.54353305524235</v>
      </c>
      <c r="U94" s="442"/>
      <c r="V94" s="442">
        <v>61.645116101408817</v>
      </c>
      <c r="W94" s="442">
        <v>64.529449033679768</v>
      </c>
      <c r="X94" s="442">
        <v>69.038321394009799</v>
      </c>
      <c r="Y94" s="442"/>
      <c r="Z94" s="442">
        <v>174.72933554794864</v>
      </c>
      <c r="AA94" s="442">
        <v>170.50891202152772</v>
      </c>
      <c r="AB94" s="442">
        <v>186.60914745565276</v>
      </c>
      <c r="AC94" s="442"/>
      <c r="AD94" s="442">
        <v>119.78228025830978</v>
      </c>
      <c r="AE94" s="442">
        <v>107.04570349289449</v>
      </c>
      <c r="AF94" s="442">
        <v>103.88897676675212</v>
      </c>
      <c r="AG94" s="442"/>
      <c r="AH94" s="442">
        <v>80.206318813658967</v>
      </c>
      <c r="AI94" s="442">
        <v>62.19985311621641</v>
      </c>
      <c r="AJ94" s="442">
        <v>60.376000836008366</v>
      </c>
      <c r="AK94" s="442"/>
      <c r="AL94" s="442">
        <v>9.0961648109694995</v>
      </c>
      <c r="AM94" s="442">
        <v>7.9563833735285705</v>
      </c>
      <c r="AN94" s="442">
        <v>9.7432377147145584</v>
      </c>
    </row>
    <row r="95" spans="1:40" x14ac:dyDescent="0.25">
      <c r="A95" s="15" t="str">
        <f t="shared" si="80"/>
        <v>Associate professional and technical</v>
      </c>
      <c r="B95" s="443">
        <f t="shared" si="82"/>
        <v>1199.469938743347</v>
      </c>
      <c r="C95" s="443">
        <f t="shared" si="83"/>
        <v>1223.0666409706087</v>
      </c>
      <c r="D95" s="443">
        <f t="shared" si="84"/>
        <v>1254.4159443723099</v>
      </c>
      <c r="E95" s="443"/>
      <c r="F95" s="442">
        <v>11.230669456151499</v>
      </c>
      <c r="G95" s="442">
        <v>13.301014218416741</v>
      </c>
      <c r="H95" s="442">
        <v>15.444231076990761</v>
      </c>
      <c r="I95" s="442"/>
      <c r="J95" s="442">
        <v>168.87046613369859</v>
      </c>
      <c r="K95" s="442">
        <v>186.68617387176505</v>
      </c>
      <c r="L95" s="442">
        <v>205.16318489087757</v>
      </c>
      <c r="M95" s="442"/>
      <c r="N95" s="442">
        <v>367.86974483647299</v>
      </c>
      <c r="O95" s="442">
        <v>446.49708357405717</v>
      </c>
      <c r="P95" s="442">
        <v>503.96970448229609</v>
      </c>
      <c r="Q95" s="442"/>
      <c r="R95" s="442">
        <v>172.42139763354763</v>
      </c>
      <c r="S95" s="442">
        <v>158.37871877968314</v>
      </c>
      <c r="T95" s="442">
        <v>141.17855603774979</v>
      </c>
      <c r="U95" s="442"/>
      <c r="V95" s="442">
        <v>67.141906337810539</v>
      </c>
      <c r="W95" s="442">
        <v>70.139920788415736</v>
      </c>
      <c r="X95" s="442">
        <v>73.173295124122347</v>
      </c>
      <c r="Y95" s="442"/>
      <c r="Z95" s="442">
        <v>184.51569493176731</v>
      </c>
      <c r="AA95" s="442">
        <v>166.91949834372008</v>
      </c>
      <c r="AB95" s="442">
        <v>159.94772165285221</v>
      </c>
      <c r="AC95" s="442"/>
      <c r="AD95" s="442">
        <v>135.12800898335942</v>
      </c>
      <c r="AE95" s="442">
        <v>112.22089096266728</v>
      </c>
      <c r="AF95" s="442">
        <v>96.883458448527591</v>
      </c>
      <c r="AG95" s="442"/>
      <c r="AH95" s="442">
        <v>81.155106445296624</v>
      </c>
      <c r="AI95" s="442">
        <v>60.844403658898074</v>
      </c>
      <c r="AJ95" s="442">
        <v>50.518123241513038</v>
      </c>
      <c r="AK95" s="442"/>
      <c r="AL95" s="442">
        <v>11.136943985242496</v>
      </c>
      <c r="AM95" s="442">
        <v>8.0789367729852657</v>
      </c>
      <c r="AN95" s="442">
        <v>8.1376694173806428</v>
      </c>
    </row>
    <row r="96" spans="1:40" x14ac:dyDescent="0.25">
      <c r="A96" s="15" t="str">
        <f t="shared" si="80"/>
        <v>Administrative and secretarial</v>
      </c>
      <c r="B96" s="443">
        <f t="shared" si="82"/>
        <v>896.66655975837762</v>
      </c>
      <c r="C96" s="443">
        <f t="shared" si="83"/>
        <v>760.9829137433594</v>
      </c>
      <c r="D96" s="443">
        <f t="shared" si="84"/>
        <v>628.17905399633685</v>
      </c>
      <c r="E96" s="443"/>
      <c r="F96" s="442">
        <v>5.8860225451592019</v>
      </c>
      <c r="G96" s="442">
        <v>6.3859997191624878</v>
      </c>
      <c r="H96" s="442">
        <v>7.0381752675729565</v>
      </c>
      <c r="I96" s="442"/>
      <c r="J96" s="442">
        <v>58.580833536320881</v>
      </c>
      <c r="K96" s="442">
        <v>58.467427306709745</v>
      </c>
      <c r="L96" s="442">
        <v>57.668078716186351</v>
      </c>
      <c r="M96" s="442"/>
      <c r="N96" s="442">
        <v>162.21092894787483</v>
      </c>
      <c r="O96" s="442">
        <v>176.8489167009219</v>
      </c>
      <c r="P96" s="442">
        <v>186.81048723593435</v>
      </c>
      <c r="Q96" s="442"/>
      <c r="R96" s="442">
        <v>91.166889504580453</v>
      </c>
      <c r="S96" s="442">
        <v>99.138109700596587</v>
      </c>
      <c r="T96" s="442">
        <v>106.95165126368188</v>
      </c>
      <c r="U96" s="442"/>
      <c r="V96" s="442">
        <v>59.496384070822742</v>
      </c>
      <c r="W96" s="442">
        <v>57.692085517476777</v>
      </c>
      <c r="X96" s="442">
        <v>55.570477398187869</v>
      </c>
      <c r="Y96" s="442"/>
      <c r="Z96" s="442">
        <v>193.26793140311369</v>
      </c>
      <c r="AA96" s="442">
        <v>158.26384509085509</v>
      </c>
      <c r="AB96" s="442">
        <v>125.07765130501193</v>
      </c>
      <c r="AC96" s="442"/>
      <c r="AD96" s="442">
        <v>189.50530674017685</v>
      </c>
      <c r="AE96" s="442">
        <v>132.37976951609659</v>
      </c>
      <c r="AF96" s="442">
        <v>68.513636202684978</v>
      </c>
      <c r="AG96" s="442"/>
      <c r="AH96" s="442">
        <v>120.33187982029565</v>
      </c>
      <c r="AI96" s="442">
        <v>64.064022833072954</v>
      </c>
      <c r="AJ96" s="442">
        <v>18.095554547633995</v>
      </c>
      <c r="AK96" s="442"/>
      <c r="AL96" s="442">
        <v>16.220383190033296</v>
      </c>
      <c r="AM96" s="442">
        <v>7.7427373584672852</v>
      </c>
      <c r="AN96" s="442">
        <v>2.4533420594425075</v>
      </c>
    </row>
    <row r="97" spans="1:40" x14ac:dyDescent="0.25">
      <c r="A97" s="15" t="str">
        <f t="shared" si="80"/>
        <v>Skilled trades occupations</v>
      </c>
      <c r="B97" s="443">
        <f t="shared" si="82"/>
        <v>103.92681382742101</v>
      </c>
      <c r="C97" s="443">
        <f t="shared" si="83"/>
        <v>91.307311016950891</v>
      </c>
      <c r="D97" s="443">
        <f t="shared" si="84"/>
        <v>80.926415645706072</v>
      </c>
      <c r="E97" s="442"/>
      <c r="F97" s="442">
        <v>0.93770387346792083</v>
      </c>
      <c r="G97" s="442">
        <v>1.0319596610533095</v>
      </c>
      <c r="H97" s="442">
        <v>1.1279216590871441</v>
      </c>
      <c r="I97" s="442"/>
      <c r="J97" s="442">
        <v>2.7571012076645429</v>
      </c>
      <c r="K97" s="442">
        <v>2.9635817235572026</v>
      </c>
      <c r="L97" s="442">
        <v>3.1740572681218171</v>
      </c>
      <c r="M97" s="442"/>
      <c r="N97" s="442">
        <v>12.343320347683802</v>
      </c>
      <c r="O97" s="442">
        <v>14.088140712184716</v>
      </c>
      <c r="P97" s="442">
        <v>15.12362643468192</v>
      </c>
      <c r="Q97" s="442"/>
      <c r="R97" s="442">
        <v>4.2828109820805995</v>
      </c>
      <c r="S97" s="442">
        <v>4.7881332956541218</v>
      </c>
      <c r="T97" s="442">
        <v>5.1464868277258482</v>
      </c>
      <c r="U97" s="442"/>
      <c r="V97" s="442">
        <v>4.203597841418417</v>
      </c>
      <c r="W97" s="442">
        <v>4.2445246251927564</v>
      </c>
      <c r="X97" s="442">
        <v>4.2924643085188867</v>
      </c>
      <c r="Y97" s="442"/>
      <c r="Z97" s="442">
        <v>23.734968964583555</v>
      </c>
      <c r="AA97" s="442">
        <v>18.52775095134141</v>
      </c>
      <c r="AB97" s="442">
        <v>14.666907194777895</v>
      </c>
      <c r="AC97" s="442"/>
      <c r="AD97" s="442">
        <v>33.665334835952933</v>
      </c>
      <c r="AE97" s="442">
        <v>28.418039516132179</v>
      </c>
      <c r="AF97" s="442">
        <v>22.299695861726526</v>
      </c>
      <c r="AG97" s="442"/>
      <c r="AH97" s="442">
        <v>16.946093361971045</v>
      </c>
      <c r="AI97" s="442">
        <v>13.63040295011969</v>
      </c>
      <c r="AJ97" s="442">
        <v>12.444735270379075</v>
      </c>
      <c r="AK97" s="442"/>
      <c r="AL97" s="442">
        <v>5.0558824125981978</v>
      </c>
      <c r="AM97" s="442">
        <v>3.6147775817154941</v>
      </c>
      <c r="AN97" s="442">
        <v>2.6505208206869639</v>
      </c>
    </row>
    <row r="98" spans="1:40" x14ac:dyDescent="0.25">
      <c r="A98" s="15" t="str">
        <f t="shared" si="80"/>
        <v>Caring, leisure and other service</v>
      </c>
      <c r="B98" s="443">
        <f t="shared" si="82"/>
        <v>2288.4001842264665</v>
      </c>
      <c r="C98" s="443">
        <f t="shared" si="83"/>
        <v>2441.7820719021497</v>
      </c>
      <c r="D98" s="443">
        <f t="shared" si="84"/>
        <v>2652.8546665006265</v>
      </c>
      <c r="E98" s="442"/>
      <c r="F98" s="442">
        <v>1.6761757661355485</v>
      </c>
      <c r="G98" s="442">
        <v>2.2200624846919945</v>
      </c>
      <c r="H98" s="442">
        <v>2.7882025704251139</v>
      </c>
      <c r="I98" s="442"/>
      <c r="J98" s="442">
        <v>81.343887746086139</v>
      </c>
      <c r="K98" s="442">
        <v>107.2991145960854</v>
      </c>
      <c r="L98" s="442">
        <v>133.54293638170006</v>
      </c>
      <c r="M98" s="442"/>
      <c r="N98" s="442">
        <v>246.24853652176057</v>
      </c>
      <c r="O98" s="442">
        <v>333.83660314461844</v>
      </c>
      <c r="P98" s="442">
        <v>392.12715408285987</v>
      </c>
      <c r="Q98" s="442"/>
      <c r="R98" s="442">
        <v>223.42804511084611</v>
      </c>
      <c r="S98" s="442">
        <v>254.05024311828512</v>
      </c>
      <c r="T98" s="442">
        <v>274.44406708974191</v>
      </c>
      <c r="U98" s="442"/>
      <c r="V98" s="442">
        <v>135.63052528552404</v>
      </c>
      <c r="W98" s="442">
        <v>171.00925489981739</v>
      </c>
      <c r="X98" s="442">
        <v>192.71942942286697</v>
      </c>
      <c r="Y98" s="442"/>
      <c r="Z98" s="442">
        <v>839.85718607244803</v>
      </c>
      <c r="AA98" s="442">
        <v>917.67849710082419</v>
      </c>
      <c r="AB98" s="442">
        <v>1027.925968862362</v>
      </c>
      <c r="AC98" s="442"/>
      <c r="AD98" s="442">
        <v>627.41076193008905</v>
      </c>
      <c r="AE98" s="442">
        <v>594.9999798089957</v>
      </c>
      <c r="AF98" s="442">
        <v>587.13024524571517</v>
      </c>
      <c r="AG98" s="442"/>
      <c r="AH98" s="442">
        <v>118.31646415786801</v>
      </c>
      <c r="AI98" s="442">
        <v>50.753859043100626</v>
      </c>
      <c r="AJ98" s="442">
        <v>32.045603566094172</v>
      </c>
      <c r="AK98" s="442"/>
      <c r="AL98" s="442">
        <v>14.488601635709204</v>
      </c>
      <c r="AM98" s="442">
        <v>9.9344577057308161</v>
      </c>
      <c r="AN98" s="442">
        <v>10.131059278861498</v>
      </c>
    </row>
    <row r="99" spans="1:40" x14ac:dyDescent="0.25">
      <c r="A99" s="15" t="str">
        <f t="shared" si="80"/>
        <v>Sales and customer service</v>
      </c>
      <c r="B99" s="443">
        <f t="shared" si="82"/>
        <v>109.4039640062885</v>
      </c>
      <c r="C99" s="443">
        <f t="shared" si="83"/>
        <v>108.33896781506293</v>
      </c>
      <c r="D99" s="443">
        <f>SUM(H99,L99,P99,T99,X99,AB99,AF99,AJ99,AN99)</f>
        <v>110.22526319547156</v>
      </c>
      <c r="E99" s="442"/>
      <c r="F99" s="442">
        <v>0.67644327267655391</v>
      </c>
      <c r="G99" s="442">
        <v>0.72522516272626114</v>
      </c>
      <c r="H99" s="442">
        <v>0.80048386291470741</v>
      </c>
      <c r="I99" s="442"/>
      <c r="J99" s="442">
        <v>11.218477625388974</v>
      </c>
      <c r="K99" s="442">
        <v>11.971279368290448</v>
      </c>
      <c r="L99" s="442">
        <v>12.722076957679123</v>
      </c>
      <c r="M99" s="442"/>
      <c r="N99" s="442">
        <v>25.131316007561132</v>
      </c>
      <c r="O99" s="442">
        <v>28.543869166685912</v>
      </c>
      <c r="P99" s="442">
        <v>31.363596305510661</v>
      </c>
      <c r="Q99" s="442"/>
      <c r="R99" s="442">
        <v>13.684723472679314</v>
      </c>
      <c r="S99" s="442">
        <v>13.304545075081801</v>
      </c>
      <c r="T99" s="442">
        <v>12.375243625435985</v>
      </c>
      <c r="U99" s="442"/>
      <c r="V99" s="442">
        <v>8.2272175893493014</v>
      </c>
      <c r="W99" s="442">
        <v>9.3757346949553604</v>
      </c>
      <c r="X99" s="442">
        <v>10.967771213010794</v>
      </c>
      <c r="Y99" s="442"/>
      <c r="Z99" s="442">
        <v>21.836255117673183</v>
      </c>
      <c r="AA99" s="442">
        <v>21.017960514614987</v>
      </c>
      <c r="AB99" s="442">
        <v>21.57884050713929</v>
      </c>
      <c r="AC99" s="442"/>
      <c r="AD99" s="442">
        <v>19.332074312630443</v>
      </c>
      <c r="AE99" s="442">
        <v>16.326911184329852</v>
      </c>
      <c r="AF99" s="442">
        <v>13.667387980125561</v>
      </c>
      <c r="AG99" s="442"/>
      <c r="AH99" s="442">
        <v>6.8765918956359746</v>
      </c>
      <c r="AI99" s="442">
        <v>4.9185118970868196</v>
      </c>
      <c r="AJ99" s="442">
        <v>4.4162241984301946</v>
      </c>
      <c r="AK99" s="442"/>
      <c r="AL99" s="442">
        <v>2.4208647126936267</v>
      </c>
      <c r="AM99" s="442">
        <v>2.1549307512914884</v>
      </c>
      <c r="AN99" s="442">
        <v>2.3336385452252459</v>
      </c>
    </row>
    <row r="100" spans="1:40" x14ac:dyDescent="0.25">
      <c r="A100" s="15" t="str">
        <f t="shared" si="80"/>
        <v>Process, plant and machine operatives</v>
      </c>
      <c r="B100" s="443">
        <f t="shared" si="82"/>
        <v>91.007597802926597</v>
      </c>
      <c r="C100" s="443">
        <f t="shared" si="83"/>
        <v>88.338483944862986</v>
      </c>
      <c r="D100" s="443">
        <f t="shared" si="84"/>
        <v>83.504322805476747</v>
      </c>
      <c r="E100" s="442"/>
      <c r="F100" s="442">
        <v>0.86026364679340395</v>
      </c>
      <c r="G100" s="442">
        <v>1.0291337696786174</v>
      </c>
      <c r="H100" s="442">
        <v>1.1862377593610223</v>
      </c>
      <c r="I100" s="442"/>
      <c r="J100" s="442">
        <v>2.4074655109801406</v>
      </c>
      <c r="K100" s="442">
        <v>2.9812795242673049</v>
      </c>
      <c r="L100" s="442">
        <v>3.4242780716957455</v>
      </c>
      <c r="M100" s="442"/>
      <c r="N100" s="442">
        <v>6.6243839406094089</v>
      </c>
      <c r="O100" s="442">
        <v>7.893463562462439</v>
      </c>
      <c r="P100" s="442">
        <v>8.3021518673988144</v>
      </c>
      <c r="Q100" s="442"/>
      <c r="R100" s="442">
        <v>3.4411657741714259</v>
      </c>
      <c r="S100" s="442">
        <v>4.2291843574458268</v>
      </c>
      <c r="T100" s="442">
        <v>4.6896557415877318</v>
      </c>
      <c r="U100" s="442"/>
      <c r="V100" s="442">
        <v>8.1896806720401063</v>
      </c>
      <c r="W100" s="442">
        <v>10.887887425446038</v>
      </c>
      <c r="X100" s="442">
        <v>12.369381453874976</v>
      </c>
      <c r="Y100" s="442"/>
      <c r="Z100" s="442">
        <v>24.334764034161484</v>
      </c>
      <c r="AA100" s="442">
        <v>23.833632149598131</v>
      </c>
      <c r="AB100" s="442">
        <v>23.338286319615367</v>
      </c>
      <c r="AC100" s="442"/>
      <c r="AD100" s="442">
        <v>21.059614507296068</v>
      </c>
      <c r="AE100" s="442">
        <v>18.277359410724646</v>
      </c>
      <c r="AF100" s="442">
        <v>15.20245220685424</v>
      </c>
      <c r="AG100" s="442"/>
      <c r="AH100" s="442">
        <v>19.130223521795596</v>
      </c>
      <c r="AI100" s="442">
        <v>15.434376832918728</v>
      </c>
      <c r="AJ100" s="442">
        <v>11.968779351820888</v>
      </c>
      <c r="AK100" s="442"/>
      <c r="AL100" s="442">
        <v>4.9600361950789562</v>
      </c>
      <c r="AM100" s="442">
        <v>3.7721669123212513</v>
      </c>
      <c r="AN100" s="442">
        <v>3.0231000332679634</v>
      </c>
    </row>
    <row r="101" spans="1:40" x14ac:dyDescent="0.25">
      <c r="A101" s="48" t="str">
        <f t="shared" si="80"/>
        <v>Elementary occupations</v>
      </c>
      <c r="B101" s="446">
        <f t="shared" si="82"/>
        <v>357.61835128316363</v>
      </c>
      <c r="C101" s="446">
        <f t="shared" si="83"/>
        <v>318.98050646519943</v>
      </c>
      <c r="D101" s="446">
        <f t="shared" si="84"/>
        <v>280.91785313592806</v>
      </c>
      <c r="E101" s="446"/>
      <c r="F101" s="446">
        <v>0.43244756836135317</v>
      </c>
      <c r="G101" s="446">
        <v>0.70680988954941837</v>
      </c>
      <c r="H101" s="446">
        <v>0.92244176232754693</v>
      </c>
      <c r="I101" s="446"/>
      <c r="J101" s="446">
        <v>3.5930639310012182</v>
      </c>
      <c r="K101" s="446">
        <v>4.7317032247622857</v>
      </c>
      <c r="L101" s="446">
        <v>5.6498178488650339</v>
      </c>
      <c r="M101" s="446"/>
      <c r="N101" s="446">
        <v>13.507750750733702</v>
      </c>
      <c r="O101" s="446">
        <v>18.634846616744284</v>
      </c>
      <c r="P101" s="446">
        <v>22.186102403622399</v>
      </c>
      <c r="Q101" s="446"/>
      <c r="R101" s="446">
        <v>13.439824450036257</v>
      </c>
      <c r="S101" s="446">
        <v>17.860633849671778</v>
      </c>
      <c r="T101" s="446">
        <v>21.796304029468921</v>
      </c>
      <c r="U101" s="446"/>
      <c r="V101" s="446">
        <v>9.8299454538552613</v>
      </c>
      <c r="W101" s="446">
        <v>13.080213093415487</v>
      </c>
      <c r="X101" s="446">
        <v>15.445866799436955</v>
      </c>
      <c r="Y101" s="446"/>
      <c r="Z101" s="446">
        <v>67.039842443329789</v>
      </c>
      <c r="AA101" s="446">
        <v>66.975872120645832</v>
      </c>
      <c r="AB101" s="446">
        <v>65.122150403461291</v>
      </c>
      <c r="AC101" s="446"/>
      <c r="AD101" s="446">
        <v>114.11589927304405</v>
      </c>
      <c r="AE101" s="446">
        <v>109.72063630202386</v>
      </c>
      <c r="AF101" s="446">
        <v>98.987166543726417</v>
      </c>
      <c r="AG101" s="446"/>
      <c r="AH101" s="446">
        <v>92.422904636232957</v>
      </c>
      <c r="AI101" s="446">
        <v>66.72560245875934</v>
      </c>
      <c r="AJ101" s="446">
        <v>36.128724112908991</v>
      </c>
      <c r="AK101" s="446"/>
      <c r="AL101" s="446">
        <v>43.236672776569009</v>
      </c>
      <c r="AM101" s="446">
        <v>20.544188909627177</v>
      </c>
      <c r="AN101" s="446">
        <v>14.679279232110476</v>
      </c>
    </row>
  </sheetData>
  <mergeCells count="23">
    <mergeCell ref="B4:D4"/>
    <mergeCell ref="V4:X4"/>
    <mergeCell ref="R4:T4"/>
    <mergeCell ref="N4:P4"/>
    <mergeCell ref="J4:L4"/>
    <mergeCell ref="F4:H4"/>
    <mergeCell ref="N46:P46"/>
    <mergeCell ref="R46:T46"/>
    <mergeCell ref="V46:X46"/>
    <mergeCell ref="Z46:AB46"/>
    <mergeCell ref="N88:P88"/>
    <mergeCell ref="R88:T88"/>
    <mergeCell ref="V88:X88"/>
    <mergeCell ref="AL4:AN4"/>
    <mergeCell ref="AD46:AF46"/>
    <mergeCell ref="AH46:AJ46"/>
    <mergeCell ref="AL46:AN46"/>
    <mergeCell ref="Z4:AB4"/>
    <mergeCell ref="AD88:AF88"/>
    <mergeCell ref="Z88:AB88"/>
    <mergeCell ref="AH88:AJ88"/>
    <mergeCell ref="AD4:AF4"/>
    <mergeCell ref="AH4:AJ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44" orientation="landscape" r:id="rId1"/>
  <headerFooter alignWithMargins="0"/>
  <rowBreaks count="1" manualBreakCount="1">
    <brk id="42" max="39" man="1"/>
  </row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CT177"/>
  <sheetViews>
    <sheetView showGridLines="0" zoomScale="85" zoomScaleNormal="85" workbookViewId="0">
      <selection sqref="A1:J1"/>
    </sheetView>
  </sheetViews>
  <sheetFormatPr defaultColWidth="9.109375" defaultRowHeight="13.2" x14ac:dyDescent="0.25"/>
  <cols>
    <col min="1" max="1" width="54.6640625" style="227" customWidth="1"/>
    <col min="2" max="6" width="8" style="227" customWidth="1"/>
    <col min="7" max="7" width="6.6640625" style="227" customWidth="1"/>
    <col min="8" max="10" width="10.6640625" style="227" customWidth="1"/>
    <col min="11" max="11" width="9.109375" style="227" customWidth="1"/>
    <col min="12" max="12" width="17.5546875" style="227" customWidth="1"/>
    <col min="13" max="17" width="8" style="227" customWidth="1"/>
    <col min="18" max="18" width="6.6640625" style="227" customWidth="1"/>
    <col min="19" max="21" width="10.6640625" style="227" customWidth="1"/>
    <col min="22" max="22" width="9.109375" style="227"/>
    <col min="23" max="23" width="17.6640625" style="227" customWidth="1"/>
    <col min="24" max="28" width="8" style="227" customWidth="1"/>
    <col min="29" max="29" width="6.6640625" style="227" customWidth="1"/>
    <col min="30" max="32" width="10.6640625" style="286" customWidth="1"/>
    <col min="33" max="33" width="9.109375" style="227"/>
    <col min="34" max="34" width="17.6640625" style="286" customWidth="1"/>
    <col min="35" max="39" width="7" style="286" customWidth="1"/>
    <col min="40" max="40" width="6.6640625" style="286" customWidth="1"/>
    <col min="41" max="43" width="10.6640625" style="286" customWidth="1"/>
    <col min="44" max="44" width="9.109375" style="227" customWidth="1"/>
    <col min="45" max="45" width="17.6640625" style="286" customWidth="1"/>
    <col min="46" max="50" width="8" style="286" customWidth="1"/>
    <col min="51" max="51" width="6.6640625" style="286" customWidth="1"/>
    <col min="52" max="54" width="10.6640625" style="286" customWidth="1"/>
    <col min="55" max="55" width="9.109375" style="227"/>
    <col min="56" max="56" width="17.6640625" style="286" customWidth="1"/>
    <col min="57" max="61" width="8" style="286" customWidth="1"/>
    <col min="62" max="62" width="6.6640625" style="286" customWidth="1"/>
    <col min="63" max="65" width="10.6640625" style="286" customWidth="1"/>
    <col min="66" max="66" width="9.109375" style="227"/>
    <col min="67" max="67" width="17.6640625" style="286" customWidth="1"/>
    <col min="68" max="72" width="8" style="286" customWidth="1"/>
    <col min="73" max="73" width="6.6640625" style="286" customWidth="1"/>
    <col min="74" max="76" width="10.6640625" style="286" customWidth="1"/>
    <col min="77" max="77" width="9.109375" style="227"/>
    <col min="78" max="78" width="17.5546875" style="227" customWidth="1"/>
    <col min="79" max="83" width="8" style="227" customWidth="1"/>
    <col min="84" max="84" width="5.88671875" style="227" customWidth="1"/>
    <col min="85" max="87" width="10.6640625" style="286" customWidth="1"/>
    <col min="88" max="88" width="5.88671875" style="227" customWidth="1"/>
    <col min="89" max="89" width="17.6640625" style="286" customWidth="1"/>
    <col min="90" max="94" width="8" style="286" customWidth="1"/>
    <col min="95" max="95" width="6.88671875" style="286" customWidth="1"/>
    <col min="96" max="98" width="10.6640625" style="286" customWidth="1"/>
    <col min="99" max="16384" width="9.109375" style="227"/>
  </cols>
  <sheetData>
    <row r="1" spans="1:98" ht="49.5" customHeight="1" x14ac:dyDescent="0.25">
      <c r="A1" s="526" t="str">
        <f>CONCATENATE("Basic Table 2  Employment Change by Occupation and Replacement Demand, ",name!F4,", ",B$6,"-",F$6,", ",Info!B5)</f>
        <v>Basic Table 2  Employment Change by Occupation and Replacement Demand, RQF8 Doctorate, 2007-2027, United Kingdom</v>
      </c>
      <c r="B1" s="526"/>
      <c r="C1" s="526"/>
      <c r="D1" s="526"/>
      <c r="E1" s="526"/>
      <c r="F1" s="526"/>
      <c r="G1" s="526"/>
      <c r="H1" s="526"/>
      <c r="I1" s="526"/>
      <c r="J1" s="526"/>
      <c r="L1" s="526" t="str">
        <f>CONCATENATE("Basic Table 2.1  Employment Change by Occupation and Replacement Demand, ",name!F5,", ",M$6,"-",Q$6,", ",Info!B5)</f>
        <v>Basic Table 2.1  Employment Change by Occupation and Replacement Demand, RQF7 Other higher degree, 2007-2027, United Kingdom</v>
      </c>
      <c r="M1" s="526"/>
      <c r="N1" s="526"/>
      <c r="O1" s="526"/>
      <c r="P1" s="526"/>
      <c r="Q1" s="526"/>
      <c r="R1" s="526"/>
      <c r="S1" s="526"/>
      <c r="T1" s="526"/>
      <c r="U1" s="526"/>
      <c r="W1" s="526" t="str">
        <f>CONCATENATE("Basic Table 2.2  Employment Change by Occupation and Replacement Demand, ",name!F6,", ",X$6,"-",AB$6,", ",Info!B5)</f>
        <v>Basic Table 2.2  Employment Change by Occupation and Replacement Demand, RQF6 First degree, 2007-2027, United Kingdom</v>
      </c>
      <c r="X1" s="526"/>
      <c r="Y1" s="526"/>
      <c r="Z1" s="526"/>
      <c r="AA1" s="526"/>
      <c r="AB1" s="526"/>
      <c r="AC1" s="526"/>
      <c r="AD1" s="526"/>
      <c r="AE1" s="526"/>
      <c r="AF1" s="526"/>
      <c r="AH1" s="526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2007-2027, United Kingdom</v>
      </c>
      <c r="AI1" s="526"/>
      <c r="AJ1" s="526"/>
      <c r="AK1" s="526"/>
      <c r="AL1" s="526"/>
      <c r="AM1" s="526"/>
      <c r="AN1" s="526"/>
      <c r="AO1" s="526"/>
      <c r="AP1" s="526"/>
      <c r="AQ1" s="526"/>
      <c r="AS1" s="526" t="str">
        <f>CONCATENATE("Basic Table 2.4  Employment Change by Occupation and Replacement Demand, ",name!F8,", ",AT$6,"-",AX$6,", ",Info!B5)</f>
        <v>Basic Table 2.4  Employment Change by Occupation and Replacement Demand, RQF4 HE below degree level, 2007-2027, United Kingdom</v>
      </c>
      <c r="AT1" s="526"/>
      <c r="AU1" s="526"/>
      <c r="AV1" s="526"/>
      <c r="AW1" s="526"/>
      <c r="AX1" s="526"/>
      <c r="AY1" s="526"/>
      <c r="AZ1" s="526"/>
      <c r="BA1" s="526"/>
      <c r="BB1" s="526"/>
      <c r="BD1" s="526" t="str">
        <f>CONCATENATE("Basic Table 2.5  Employment Change by Occupation and Replacement Demand, ",name!F9,", ",BE$6,"-",BI$6,", ",Info!B5)</f>
        <v>Basic Table 2.5  Employment Change by Occupation and Replacement Demand, RQF3 A level &amp; equivalent, 2007-2027, United Kingdom</v>
      </c>
      <c r="BE1" s="526"/>
      <c r="BF1" s="526"/>
      <c r="BG1" s="526"/>
      <c r="BH1" s="526"/>
      <c r="BI1" s="526"/>
      <c r="BJ1" s="526"/>
      <c r="BK1" s="526"/>
      <c r="BL1" s="526"/>
      <c r="BM1" s="526"/>
      <c r="BO1" s="526" t="str">
        <f>CONCATENATE("Basic Table 2.6  Employment Change by Occupation and Replacement Demand, ",name!F10,", ",BP$6,"-",BT$6,", ",Info!B5)</f>
        <v>Basic Table 2.6  Employment Change by Occupation and Replacement Demand, RQF2 GCSE(A-C) &amp; equivalent, 2007-2027, United Kingdom</v>
      </c>
      <c r="BP1" s="526"/>
      <c r="BQ1" s="526"/>
      <c r="BR1" s="526"/>
      <c r="BS1" s="526"/>
      <c r="BT1" s="526"/>
      <c r="BU1" s="526"/>
      <c r="BV1" s="526"/>
      <c r="BW1" s="526"/>
      <c r="BX1" s="526"/>
      <c r="BZ1" s="526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2007-2027, United Kingdom</v>
      </c>
      <c r="CA1" s="526"/>
      <c r="CB1" s="526"/>
      <c r="CC1" s="526"/>
      <c r="CD1" s="526"/>
      <c r="CE1" s="526"/>
      <c r="CF1" s="526"/>
      <c r="CG1" s="526"/>
      <c r="CH1" s="526"/>
      <c r="CI1" s="526"/>
      <c r="CK1" s="526" t="str">
        <f>CONCATENATE("Basic Table 2.8  Employment Change by Occupation and Replacement Demand, ",name!F12,", ",CL$6,"-",CP$6,", ",Info!B5)</f>
        <v>Basic Table 2.8  Employment Change by Occupation and Replacement Demand, No Qualification, 2007-2027, United Kingdom</v>
      </c>
      <c r="CL1" s="526"/>
      <c r="CM1" s="526"/>
      <c r="CN1" s="526"/>
      <c r="CO1" s="526"/>
      <c r="CP1" s="526"/>
      <c r="CQ1" s="526"/>
      <c r="CR1" s="526"/>
      <c r="CS1" s="526"/>
      <c r="CT1" s="526"/>
    </row>
    <row r="2" spans="1:98" ht="12.75" customHeight="1" x14ac:dyDescent="0.25">
      <c r="A2" s="112"/>
      <c r="L2" s="112"/>
      <c r="W2" s="112"/>
      <c r="AH2" s="112"/>
      <c r="AS2" s="112"/>
      <c r="BD2" s="112"/>
      <c r="BO2" s="112"/>
      <c r="BZ2" s="112"/>
      <c r="CA2" s="286"/>
      <c r="CB2" s="286"/>
      <c r="CC2" s="286"/>
      <c r="CD2" s="286"/>
      <c r="CE2" s="286"/>
      <c r="CF2" s="286"/>
      <c r="CK2" s="112"/>
    </row>
    <row r="3" spans="1:98" x14ac:dyDescent="0.25">
      <c r="F3" s="19" t="s">
        <v>35</v>
      </c>
      <c r="J3" s="19" t="s">
        <v>35</v>
      </c>
      <c r="Q3" s="19" t="s">
        <v>35</v>
      </c>
      <c r="U3" s="19" t="s">
        <v>35</v>
      </c>
      <c r="AB3" s="19" t="s">
        <v>35</v>
      </c>
      <c r="AF3" s="19" t="s">
        <v>35</v>
      </c>
      <c r="AM3" s="19" t="s">
        <v>35</v>
      </c>
      <c r="AQ3" s="19" t="s">
        <v>35</v>
      </c>
      <c r="AX3" s="19" t="s">
        <v>35</v>
      </c>
      <c r="BB3" s="19" t="s">
        <v>35</v>
      </c>
      <c r="BI3" s="19" t="s">
        <v>35</v>
      </c>
      <c r="BM3" s="19" t="s">
        <v>35</v>
      </c>
      <c r="BT3" s="19" t="s">
        <v>35</v>
      </c>
      <c r="BX3" s="19" t="s">
        <v>35</v>
      </c>
      <c r="BZ3" s="286"/>
      <c r="CA3" s="286"/>
      <c r="CB3" s="286"/>
      <c r="CC3" s="286"/>
      <c r="CD3" s="286"/>
      <c r="CE3" s="19" t="s">
        <v>35</v>
      </c>
      <c r="CF3" s="286"/>
      <c r="CI3" s="19" t="s">
        <v>35</v>
      </c>
      <c r="CP3" s="19" t="s">
        <v>35</v>
      </c>
      <c r="CT3" s="19" t="s">
        <v>35</v>
      </c>
    </row>
    <row r="4" spans="1:98" x14ac:dyDescent="0.25">
      <c r="A4" s="41"/>
      <c r="B4" s="41"/>
      <c r="C4" s="41"/>
      <c r="D4" s="41"/>
      <c r="E4" s="41"/>
      <c r="F4" s="41"/>
      <c r="H4" s="32" t="str">
        <f>CONCATENATE(D6,"-",F6)</f>
        <v>2017-2027</v>
      </c>
      <c r="I4" s="41"/>
      <c r="J4" s="41"/>
      <c r="L4" s="41"/>
      <c r="M4" s="41"/>
      <c r="N4" s="41"/>
      <c r="O4" s="41"/>
      <c r="P4" s="41"/>
      <c r="Q4" s="41"/>
      <c r="S4" s="32" t="str">
        <f>H4</f>
        <v>2017-2027</v>
      </c>
      <c r="T4" s="41"/>
      <c r="U4" s="41"/>
      <c r="W4" s="41"/>
      <c r="X4" s="41"/>
      <c r="Y4" s="41"/>
      <c r="Z4" s="41"/>
      <c r="AA4" s="41"/>
      <c r="AB4" s="41"/>
      <c r="AD4" s="32" t="str">
        <f>S4</f>
        <v>2017-2027</v>
      </c>
      <c r="AE4" s="41"/>
      <c r="AF4" s="41"/>
      <c r="AH4" s="41"/>
      <c r="AI4" s="41"/>
      <c r="AJ4" s="41"/>
      <c r="AK4" s="41"/>
      <c r="AL4" s="41"/>
      <c r="AM4" s="41"/>
      <c r="AO4" s="32" t="str">
        <f>AD4</f>
        <v>2017-2027</v>
      </c>
      <c r="AP4" s="41"/>
      <c r="AQ4" s="41"/>
      <c r="AS4" s="41"/>
      <c r="AT4" s="41"/>
      <c r="AU4" s="41"/>
      <c r="AV4" s="41"/>
      <c r="AW4" s="41"/>
      <c r="AX4" s="41"/>
      <c r="AZ4" s="32" t="str">
        <f>AO4</f>
        <v>2017-2027</v>
      </c>
      <c r="BA4" s="41"/>
      <c r="BB4" s="41"/>
      <c r="BD4" s="41"/>
      <c r="BE4" s="41"/>
      <c r="BF4" s="41"/>
      <c r="BG4" s="41"/>
      <c r="BH4" s="41"/>
      <c r="BI4" s="41"/>
      <c r="BK4" s="32" t="str">
        <f>AZ4</f>
        <v>2017-2027</v>
      </c>
      <c r="BL4" s="41"/>
      <c r="BM4" s="41"/>
      <c r="BO4" s="41"/>
      <c r="BP4" s="41"/>
      <c r="BQ4" s="41"/>
      <c r="BR4" s="41"/>
      <c r="BS4" s="41"/>
      <c r="BT4" s="41"/>
      <c r="BV4" s="32" t="str">
        <f>BK4</f>
        <v>2017-2027</v>
      </c>
      <c r="BW4" s="41"/>
      <c r="BX4" s="41"/>
      <c r="BZ4" s="41"/>
      <c r="CA4" s="41"/>
      <c r="CB4" s="41"/>
      <c r="CC4" s="41"/>
      <c r="CD4" s="41"/>
      <c r="CE4" s="41"/>
      <c r="CF4" s="286"/>
      <c r="CG4" s="32" t="str">
        <f>BV4</f>
        <v>2017-2027</v>
      </c>
      <c r="CH4" s="41"/>
      <c r="CI4" s="41"/>
      <c r="CK4" s="41"/>
      <c r="CL4" s="41"/>
      <c r="CM4" s="41"/>
      <c r="CN4" s="41"/>
      <c r="CO4" s="41"/>
      <c r="CP4" s="41"/>
      <c r="CR4" s="32" t="str">
        <f>CG4</f>
        <v>2017-2027</v>
      </c>
      <c r="CS4" s="41"/>
      <c r="CT4" s="41"/>
    </row>
    <row r="5" spans="1:98" x14ac:dyDescent="0.25">
      <c r="H5" s="19" t="s">
        <v>29</v>
      </c>
      <c r="I5" s="19" t="s">
        <v>30</v>
      </c>
      <c r="J5" s="19" t="s">
        <v>32</v>
      </c>
      <c r="S5" s="19" t="s">
        <v>29</v>
      </c>
      <c r="T5" s="19" t="s">
        <v>30</v>
      </c>
      <c r="U5" s="19" t="s">
        <v>32</v>
      </c>
      <c r="AD5" s="19" t="s">
        <v>29</v>
      </c>
      <c r="AE5" s="19" t="s">
        <v>30</v>
      </c>
      <c r="AF5" s="19" t="s">
        <v>32</v>
      </c>
      <c r="AO5" s="19" t="s">
        <v>29</v>
      </c>
      <c r="AP5" s="19" t="s">
        <v>30</v>
      </c>
      <c r="AQ5" s="19" t="s">
        <v>32</v>
      </c>
      <c r="AZ5" s="19" t="s">
        <v>29</v>
      </c>
      <c r="BA5" s="19" t="s">
        <v>30</v>
      </c>
      <c r="BB5" s="19" t="s">
        <v>32</v>
      </c>
      <c r="BK5" s="19" t="s">
        <v>29</v>
      </c>
      <c r="BL5" s="19" t="s">
        <v>30</v>
      </c>
      <c r="BM5" s="19" t="s">
        <v>32</v>
      </c>
      <c r="BV5" s="19" t="s">
        <v>29</v>
      </c>
      <c r="BW5" s="19" t="s">
        <v>30</v>
      </c>
      <c r="BX5" s="19" t="s">
        <v>32</v>
      </c>
      <c r="BZ5" s="286"/>
      <c r="CA5" s="286"/>
      <c r="CB5" s="286"/>
      <c r="CC5" s="286"/>
      <c r="CD5" s="286"/>
      <c r="CE5" s="286"/>
      <c r="CF5" s="286"/>
      <c r="CG5" s="19" t="s">
        <v>29</v>
      </c>
      <c r="CH5" s="19" t="s">
        <v>30</v>
      </c>
      <c r="CI5" s="19" t="s">
        <v>32</v>
      </c>
      <c r="CR5" s="19" t="s">
        <v>29</v>
      </c>
      <c r="CS5" s="19" t="s">
        <v>30</v>
      </c>
      <c r="CT5" s="19" t="s">
        <v>32</v>
      </c>
    </row>
    <row r="6" spans="1:98" x14ac:dyDescent="0.25">
      <c r="A6" s="78" t="s">
        <v>13</v>
      </c>
      <c r="B6" s="40">
        <v>2007</v>
      </c>
      <c r="C6" s="40">
        <v>2012</v>
      </c>
      <c r="D6" s="40">
        <v>2017</v>
      </c>
      <c r="E6" s="40">
        <v>2022</v>
      </c>
      <c r="F6" s="40">
        <v>2027</v>
      </c>
      <c r="H6" s="75" t="s">
        <v>18</v>
      </c>
      <c r="I6" s="75" t="s">
        <v>31</v>
      </c>
      <c r="J6" s="75" t="s">
        <v>33</v>
      </c>
      <c r="L6" s="78" t="s">
        <v>13</v>
      </c>
      <c r="M6" s="40">
        <f>B6</f>
        <v>2007</v>
      </c>
      <c r="N6" s="40">
        <f t="shared" ref="N6:Q6" si="0">C6</f>
        <v>2012</v>
      </c>
      <c r="O6" s="40">
        <f t="shared" si="0"/>
        <v>2017</v>
      </c>
      <c r="P6" s="40">
        <f t="shared" si="0"/>
        <v>2022</v>
      </c>
      <c r="Q6" s="40">
        <f t="shared" si="0"/>
        <v>2027</v>
      </c>
      <c r="S6" s="75" t="s">
        <v>18</v>
      </c>
      <c r="T6" s="75" t="s">
        <v>31</v>
      </c>
      <c r="U6" s="75" t="s">
        <v>33</v>
      </c>
      <c r="W6" s="78" t="s">
        <v>13</v>
      </c>
      <c r="X6" s="40">
        <f>M6</f>
        <v>2007</v>
      </c>
      <c r="Y6" s="40">
        <f t="shared" ref="Y6:AB6" si="1">N6</f>
        <v>2012</v>
      </c>
      <c r="Z6" s="40">
        <f t="shared" si="1"/>
        <v>2017</v>
      </c>
      <c r="AA6" s="40">
        <f t="shared" si="1"/>
        <v>2022</v>
      </c>
      <c r="AB6" s="40">
        <f t="shared" si="1"/>
        <v>2027</v>
      </c>
      <c r="AD6" s="75" t="s">
        <v>18</v>
      </c>
      <c r="AE6" s="75" t="s">
        <v>31</v>
      </c>
      <c r="AF6" s="75" t="s">
        <v>33</v>
      </c>
      <c r="AH6" s="78" t="s">
        <v>13</v>
      </c>
      <c r="AI6" s="40">
        <f>X6</f>
        <v>2007</v>
      </c>
      <c r="AJ6" s="40">
        <f t="shared" ref="AJ6" si="2">Y6</f>
        <v>2012</v>
      </c>
      <c r="AK6" s="40">
        <f t="shared" ref="AK6" si="3">Z6</f>
        <v>2017</v>
      </c>
      <c r="AL6" s="40">
        <f t="shared" ref="AL6" si="4">AA6</f>
        <v>2022</v>
      </c>
      <c r="AM6" s="40">
        <f t="shared" ref="AM6" si="5">AB6</f>
        <v>2027</v>
      </c>
      <c r="AO6" s="75" t="s">
        <v>18</v>
      </c>
      <c r="AP6" s="75" t="s">
        <v>31</v>
      </c>
      <c r="AQ6" s="75" t="s">
        <v>33</v>
      </c>
      <c r="AS6" s="78" t="s">
        <v>13</v>
      </c>
      <c r="AT6" s="40">
        <f>AI6</f>
        <v>2007</v>
      </c>
      <c r="AU6" s="40">
        <f t="shared" ref="AU6" si="6">AJ6</f>
        <v>2012</v>
      </c>
      <c r="AV6" s="40">
        <f t="shared" ref="AV6" si="7">AK6</f>
        <v>2017</v>
      </c>
      <c r="AW6" s="40">
        <f t="shared" ref="AW6" si="8">AL6</f>
        <v>2022</v>
      </c>
      <c r="AX6" s="40">
        <f t="shared" ref="AX6" si="9">AM6</f>
        <v>2027</v>
      </c>
      <c r="AZ6" s="75" t="s">
        <v>18</v>
      </c>
      <c r="BA6" s="75" t="s">
        <v>31</v>
      </c>
      <c r="BB6" s="75" t="s">
        <v>33</v>
      </c>
      <c r="BD6" s="78" t="s">
        <v>13</v>
      </c>
      <c r="BE6" s="40">
        <f>AT6</f>
        <v>2007</v>
      </c>
      <c r="BF6" s="40">
        <f t="shared" ref="BF6" si="10">AU6</f>
        <v>2012</v>
      </c>
      <c r="BG6" s="40">
        <f t="shared" ref="BG6" si="11">AV6</f>
        <v>2017</v>
      </c>
      <c r="BH6" s="40">
        <f t="shared" ref="BH6" si="12">AW6</f>
        <v>2022</v>
      </c>
      <c r="BI6" s="40">
        <f t="shared" ref="BI6" si="13">AX6</f>
        <v>2027</v>
      </c>
      <c r="BK6" s="75" t="s">
        <v>18</v>
      </c>
      <c r="BL6" s="75" t="s">
        <v>31</v>
      </c>
      <c r="BM6" s="75" t="s">
        <v>33</v>
      </c>
      <c r="BO6" s="78" t="s">
        <v>13</v>
      </c>
      <c r="BP6" s="40">
        <f>BE6</f>
        <v>2007</v>
      </c>
      <c r="BQ6" s="40">
        <f t="shared" ref="BQ6" si="14">BF6</f>
        <v>2012</v>
      </c>
      <c r="BR6" s="40">
        <f t="shared" ref="BR6" si="15">BG6</f>
        <v>2017</v>
      </c>
      <c r="BS6" s="40">
        <f t="shared" ref="BS6" si="16">BH6</f>
        <v>2022</v>
      </c>
      <c r="BT6" s="40">
        <f t="shared" ref="BT6" si="17">BI6</f>
        <v>2027</v>
      </c>
      <c r="BV6" s="75" t="s">
        <v>18</v>
      </c>
      <c r="BW6" s="75" t="s">
        <v>31</v>
      </c>
      <c r="BX6" s="75" t="s">
        <v>33</v>
      </c>
      <c r="BZ6" s="78" t="s">
        <v>13</v>
      </c>
      <c r="CA6" s="40">
        <f>BP6</f>
        <v>2007</v>
      </c>
      <c r="CB6" s="40">
        <f t="shared" ref="CB6" si="18">BQ6</f>
        <v>2012</v>
      </c>
      <c r="CC6" s="40">
        <f t="shared" ref="CC6" si="19">BR6</f>
        <v>2017</v>
      </c>
      <c r="CD6" s="40">
        <f t="shared" ref="CD6" si="20">BS6</f>
        <v>2022</v>
      </c>
      <c r="CE6" s="40">
        <f t="shared" ref="CE6" si="21">BT6</f>
        <v>2027</v>
      </c>
      <c r="CF6" s="286"/>
      <c r="CG6" s="75" t="s">
        <v>18</v>
      </c>
      <c r="CH6" s="75" t="s">
        <v>31</v>
      </c>
      <c r="CI6" s="75" t="s">
        <v>33</v>
      </c>
      <c r="CK6" s="78" t="s">
        <v>13</v>
      </c>
      <c r="CL6" s="40">
        <f>CA6</f>
        <v>2007</v>
      </c>
      <c r="CM6" s="40">
        <f t="shared" ref="CM6" si="22">CB6</f>
        <v>2012</v>
      </c>
      <c r="CN6" s="40">
        <f t="shared" ref="CN6" si="23">CC6</f>
        <v>2017</v>
      </c>
      <c r="CO6" s="40">
        <f t="shared" ref="CO6" si="24">CD6</f>
        <v>2022</v>
      </c>
      <c r="CP6" s="40">
        <f t="shared" ref="CP6" si="25">CE6</f>
        <v>2027</v>
      </c>
      <c r="CR6" s="75" t="s">
        <v>18</v>
      </c>
      <c r="CS6" s="75" t="s">
        <v>31</v>
      </c>
      <c r="CT6" s="75" t="s">
        <v>33</v>
      </c>
    </row>
    <row r="7" spans="1:98" x14ac:dyDescent="0.25">
      <c r="BZ7" s="286"/>
      <c r="CA7" s="286"/>
      <c r="CB7" s="286"/>
      <c r="CC7" s="286"/>
      <c r="CD7" s="286"/>
      <c r="CE7" s="286"/>
      <c r="CF7" s="286"/>
    </row>
    <row r="8" spans="1:98" x14ac:dyDescent="0.25">
      <c r="A8" s="12" t="str">
        <f>name!D4</f>
        <v xml:space="preserve"> 11 Corporate managers and directors</v>
      </c>
      <c r="B8" s="84">
        <v>23.485703961091321</v>
      </c>
      <c r="C8" s="84">
        <v>25.870161485617082</v>
      </c>
      <c r="D8" s="84">
        <v>41.264513599111396</v>
      </c>
      <c r="E8" s="84">
        <v>49.524908643547249</v>
      </c>
      <c r="F8" s="84">
        <v>58.613615982104243</v>
      </c>
      <c r="G8" s="12"/>
      <c r="H8" s="84">
        <f>F8-D8</f>
        <v>17.349102382992847</v>
      </c>
      <c r="I8" s="84">
        <f>'RD T1'!E35</f>
        <v>18.058996357395216</v>
      </c>
      <c r="J8" s="84">
        <f>SUM(H8:I8)</f>
        <v>35.408098740388063</v>
      </c>
      <c r="L8" s="18" t="str">
        <f>A8</f>
        <v xml:space="preserve"> 11 Corporate managers and directors</v>
      </c>
      <c r="M8" s="84">
        <v>187.45890575318285</v>
      </c>
      <c r="N8" s="84">
        <v>225.66723448790248</v>
      </c>
      <c r="O8" s="84">
        <v>345.93872689942737</v>
      </c>
      <c r="P8" s="84">
        <v>407.93395870564245</v>
      </c>
      <c r="Q8" s="84">
        <v>476.63646061884816</v>
      </c>
      <c r="R8" s="12"/>
      <c r="S8" s="84">
        <f>Q8-O8</f>
        <v>130.6977337194208</v>
      </c>
      <c r="T8" s="84">
        <f>'RD T1'!E63</f>
        <v>150.14874027901868</v>
      </c>
      <c r="U8" s="84">
        <f>SUM(S8:T8)</f>
        <v>280.84647399843948</v>
      </c>
      <c r="W8" s="18" t="str">
        <f>A8</f>
        <v xml:space="preserve"> 11 Corporate managers and directors</v>
      </c>
      <c r="X8" s="84">
        <v>448.35680482566357</v>
      </c>
      <c r="Y8" s="84">
        <v>599.17560676731284</v>
      </c>
      <c r="Z8" s="84">
        <v>729.86031263428833</v>
      </c>
      <c r="AA8" s="84">
        <v>914.10888844835449</v>
      </c>
      <c r="AB8" s="84">
        <v>1027.843168694608</v>
      </c>
      <c r="AC8" s="84"/>
      <c r="AD8" s="84">
        <f>AB8-Z8</f>
        <v>297.9828560603197</v>
      </c>
      <c r="AE8" s="84">
        <f>'RD T1'!E91</f>
        <v>358.17450787145503</v>
      </c>
      <c r="AF8" s="84">
        <f>SUM(AD8:AE8)</f>
        <v>656.15736393177474</v>
      </c>
      <c r="AH8" s="18" t="str">
        <f>L8</f>
        <v xml:space="preserve"> 11 Corporate managers and directors</v>
      </c>
      <c r="AI8" s="84">
        <v>122.76865188786307</v>
      </c>
      <c r="AJ8" s="84">
        <v>129.12878604744111</v>
      </c>
      <c r="AK8" s="84">
        <v>135.94376753416847</v>
      </c>
      <c r="AL8" s="84">
        <v>153.62646522251038</v>
      </c>
      <c r="AM8" s="84">
        <v>165.19199664054619</v>
      </c>
      <c r="AN8" s="84"/>
      <c r="AO8" s="84">
        <f>AM8-AK8</f>
        <v>29.248229106377721</v>
      </c>
      <c r="AP8" s="84">
        <f>'RD T1'!E119</f>
        <v>55.87077653755788</v>
      </c>
      <c r="AQ8" s="84">
        <f>SUM(AO8:AP8)</f>
        <v>85.119005643935594</v>
      </c>
      <c r="AS8" s="18" t="str">
        <f>W8</f>
        <v xml:space="preserve"> 11 Corporate managers and directors</v>
      </c>
      <c r="AT8" s="84">
        <v>164.28406705306983</v>
      </c>
      <c r="AU8" s="84">
        <v>181.59351942014501</v>
      </c>
      <c r="AV8" s="84">
        <v>201.57645332871192</v>
      </c>
      <c r="AW8" s="84">
        <v>236.2857840597411</v>
      </c>
      <c r="AX8" s="84">
        <v>255.52473823354126</v>
      </c>
      <c r="AY8" s="84"/>
      <c r="AZ8" s="84">
        <f>AX8-AV8</f>
        <v>53.948284904829336</v>
      </c>
      <c r="BA8" s="84">
        <f>'RD T1'!E147</f>
        <v>86.037073691997819</v>
      </c>
      <c r="BB8" s="84">
        <f>SUM(AZ8:BA8)</f>
        <v>139.98535859682715</v>
      </c>
      <c r="BD8" s="18" t="str">
        <f>AH8</f>
        <v xml:space="preserve"> 11 Corporate managers and directors</v>
      </c>
      <c r="BE8" s="84">
        <v>372.10412947394065</v>
      </c>
      <c r="BF8" s="84">
        <v>374.55427154315566</v>
      </c>
      <c r="BG8" s="84">
        <v>441.48183103513355</v>
      </c>
      <c r="BH8" s="84">
        <v>402.10046218466704</v>
      </c>
      <c r="BI8" s="84">
        <v>386.76453351630767</v>
      </c>
      <c r="BJ8" s="84"/>
      <c r="BK8" s="84">
        <f>BI8-BG8</f>
        <v>-54.717297518825887</v>
      </c>
      <c r="BL8" s="84">
        <f>'RD T1'!E175</f>
        <v>122.7546023354349</v>
      </c>
      <c r="BM8" s="84">
        <f>SUM(BK8:BL8)</f>
        <v>68.037304816609009</v>
      </c>
      <c r="BO8" s="18" t="str">
        <f>AS8</f>
        <v xml:space="preserve"> 11 Corporate managers and directors</v>
      </c>
      <c r="BP8" s="84">
        <v>341.18147375598562</v>
      </c>
      <c r="BQ8" s="84">
        <v>323.48917754020124</v>
      </c>
      <c r="BR8" s="84">
        <v>346.78343073155918</v>
      </c>
      <c r="BS8" s="84">
        <v>307.56239423305567</v>
      </c>
      <c r="BT8" s="84">
        <v>283.55496282298134</v>
      </c>
      <c r="BU8" s="84"/>
      <c r="BV8" s="84">
        <f>BT8-BR8</f>
        <v>-63.228467908577841</v>
      </c>
      <c r="BW8" s="84">
        <f>'RD T1'!E203</f>
        <v>95.909758184561809</v>
      </c>
      <c r="BX8" s="84">
        <f>SUM(BV8:BW8)</f>
        <v>32.681290275983969</v>
      </c>
      <c r="BZ8" s="18" t="str">
        <f>BD8</f>
        <v xml:space="preserve"> 11 Corporate managers and directors</v>
      </c>
      <c r="CA8" s="84">
        <v>233.78763489196442</v>
      </c>
      <c r="CB8" s="84">
        <v>206.08498141968445</v>
      </c>
      <c r="CC8" s="84">
        <v>235.86216922104626</v>
      </c>
      <c r="CD8" s="84">
        <v>200.41220303016857</v>
      </c>
      <c r="CE8" s="84">
        <v>184.1100233278361</v>
      </c>
      <c r="CF8" s="84"/>
      <c r="CG8" s="84">
        <f>CE8-CC8</f>
        <v>-51.752145893210155</v>
      </c>
      <c r="CH8" s="84">
        <f>'RD T1'!E231</f>
        <v>59.115233190539897</v>
      </c>
      <c r="CI8" s="84">
        <f>SUM(CG8:CH8)</f>
        <v>7.3630872973297414</v>
      </c>
      <c r="CK8" s="18" t="str">
        <f>BO8</f>
        <v xml:space="preserve"> 11 Corporate managers and directors</v>
      </c>
      <c r="CL8" s="84">
        <v>66.432686005301704</v>
      </c>
      <c r="CM8" s="84">
        <v>50.875332872455154</v>
      </c>
      <c r="CN8" s="84">
        <v>47.289272129398533</v>
      </c>
      <c r="CO8" s="84">
        <v>35.587355154536958</v>
      </c>
      <c r="CP8" s="84">
        <v>36.627059731799612</v>
      </c>
      <c r="CQ8" s="84"/>
      <c r="CR8" s="84">
        <f>CP8-CN8</f>
        <v>-10.662212397598921</v>
      </c>
      <c r="CS8" s="84">
        <f>'RD T1'!E259</f>
        <v>8.4678844445588854</v>
      </c>
      <c r="CT8" s="84">
        <f>SUM(CR8:CS8)</f>
        <v>-2.1943279530400357</v>
      </c>
    </row>
    <row r="9" spans="1:98" x14ac:dyDescent="0.25">
      <c r="A9" s="12" t="str">
        <f>name!D5</f>
        <v xml:space="preserve"> 12 Other managers and proprietors</v>
      </c>
      <c r="B9" s="84">
        <v>2.3512913861783771</v>
      </c>
      <c r="C9" s="84">
        <v>8.9833483620743468</v>
      </c>
      <c r="D9" s="84">
        <v>13.641689163493639</v>
      </c>
      <c r="E9" s="84">
        <v>17.158839687969039</v>
      </c>
      <c r="F9" s="84">
        <v>20.450459092393384</v>
      </c>
      <c r="H9" s="84">
        <f t="shared" ref="H9:H34" si="26">F9-D9</f>
        <v>6.8087699288997445</v>
      </c>
      <c r="I9" s="84">
        <f>'RD T1'!E36</f>
        <v>7.2077085127410276</v>
      </c>
      <c r="J9" s="84">
        <f t="shared" ref="J9:J32" si="27">SUM(H9:I9)</f>
        <v>14.016478441640771</v>
      </c>
      <c r="L9" s="18" t="str">
        <f t="shared" ref="L9:L32" si="28">A9</f>
        <v xml:space="preserve"> 12 Other managers and proprietors</v>
      </c>
      <c r="M9" s="84">
        <v>49.223909745753275</v>
      </c>
      <c r="N9" s="84">
        <v>71.197161579680809</v>
      </c>
      <c r="O9" s="84">
        <v>105.00278288414242</v>
      </c>
      <c r="P9" s="84">
        <v>128.6084193988562</v>
      </c>
      <c r="Q9" s="84">
        <v>148.93388578359054</v>
      </c>
      <c r="S9" s="84">
        <f t="shared" ref="S9:S34" si="29">Q9-O9</f>
        <v>43.931102899448121</v>
      </c>
      <c r="T9" s="84">
        <f>'RD T1'!E64</f>
        <v>53.411040043362839</v>
      </c>
      <c r="U9" s="84">
        <f t="shared" ref="U9:U32" si="30">SUM(S9:T9)</f>
        <v>97.342142942810966</v>
      </c>
      <c r="W9" s="18" t="str">
        <f t="shared" ref="W9:W32" si="31">A9</f>
        <v xml:space="preserve"> 12 Other managers and proprietors</v>
      </c>
      <c r="X9" s="84">
        <v>120.01733334686033</v>
      </c>
      <c r="Y9" s="84">
        <v>185.79562796333136</v>
      </c>
      <c r="Z9" s="84">
        <v>217.18042599025841</v>
      </c>
      <c r="AA9" s="84">
        <v>275.97654538736077</v>
      </c>
      <c r="AB9" s="84">
        <v>309.42913281074516</v>
      </c>
      <c r="AC9" s="84"/>
      <c r="AD9" s="84">
        <f t="shared" ref="AD9:AD32" si="32">AB9-Z9</f>
        <v>92.248706820486746</v>
      </c>
      <c r="AE9" s="84">
        <f>'RD T1'!E92</f>
        <v>121.45104159526056</v>
      </c>
      <c r="AF9" s="84">
        <f t="shared" ref="AF9:AF32" si="33">SUM(AD9:AE9)</f>
        <v>213.69974841574731</v>
      </c>
      <c r="AH9" s="18" t="str">
        <f t="shared" ref="AH9:AH32" si="34">L9</f>
        <v xml:space="preserve"> 12 Other managers and proprietors</v>
      </c>
      <c r="AI9" s="84">
        <v>54.267523982663221</v>
      </c>
      <c r="AJ9" s="84">
        <v>62.251572497182273</v>
      </c>
      <c r="AK9" s="84">
        <v>70.311757529438808</v>
      </c>
      <c r="AL9" s="84">
        <v>87.887451391395459</v>
      </c>
      <c r="AM9" s="84">
        <v>97.982662009052049</v>
      </c>
      <c r="AN9" s="84"/>
      <c r="AO9" s="84">
        <f t="shared" ref="AO9:AO32" si="35">AM9-AK9</f>
        <v>27.670904479613242</v>
      </c>
      <c r="AP9" s="84">
        <f>'RD T1'!E120</f>
        <v>38.850191385213165</v>
      </c>
      <c r="AQ9" s="84">
        <f t="shared" ref="AQ9:AQ32" si="36">SUM(AO9:AP9)</f>
        <v>66.521095864826407</v>
      </c>
      <c r="AS9" s="18" t="str">
        <f t="shared" ref="AS9:AS32" si="37">W9</f>
        <v xml:space="preserve"> 12 Other managers and proprietors</v>
      </c>
      <c r="AT9" s="84">
        <v>51.346204917132823</v>
      </c>
      <c r="AU9" s="84">
        <v>64.881981250525044</v>
      </c>
      <c r="AV9" s="84">
        <v>72.959532687074983</v>
      </c>
      <c r="AW9" s="84">
        <v>89.923942818150721</v>
      </c>
      <c r="AX9" s="84">
        <v>97.611537866003886</v>
      </c>
      <c r="AY9" s="84"/>
      <c r="AZ9" s="84">
        <f t="shared" ref="AZ9:AZ32" si="38">AX9-AV9</f>
        <v>24.652005178928903</v>
      </c>
      <c r="BA9" s="84">
        <f>'RD T1'!E148</f>
        <v>37.268121958119821</v>
      </c>
      <c r="BB9" s="84">
        <f t="shared" ref="BB9:BB32" si="39">SUM(AZ9:BA9)</f>
        <v>61.920127137048723</v>
      </c>
      <c r="BD9" s="18" t="str">
        <f t="shared" ref="BD9:BD32" si="40">AH9</f>
        <v xml:space="preserve"> 12 Other managers and proprietors</v>
      </c>
      <c r="BE9" s="84">
        <v>168.94513058570308</v>
      </c>
      <c r="BF9" s="84">
        <v>170.79863029045219</v>
      </c>
      <c r="BG9" s="84">
        <v>181.33747970741746</v>
      </c>
      <c r="BH9" s="84">
        <v>160.83254333307985</v>
      </c>
      <c r="BI9" s="84">
        <v>147.15215328060768</v>
      </c>
      <c r="BJ9" s="84"/>
      <c r="BK9" s="84">
        <f t="shared" ref="BK9:BK32" si="41">BI9-BG9</f>
        <v>-34.18532642680978</v>
      </c>
      <c r="BL9" s="84">
        <f>'RD T1'!E176</f>
        <v>54.098357687071697</v>
      </c>
      <c r="BM9" s="84">
        <f t="shared" ref="BM9:BM32" si="42">SUM(BK9:BL9)</f>
        <v>19.913031260261917</v>
      </c>
      <c r="BO9" s="18" t="str">
        <f t="shared" ref="BO9:BO32" si="43">AS9</f>
        <v xml:space="preserve"> 12 Other managers and proprietors</v>
      </c>
      <c r="BP9" s="84">
        <v>173.57405880994574</v>
      </c>
      <c r="BQ9" s="84">
        <v>185.30574432348632</v>
      </c>
      <c r="BR9" s="84">
        <v>195.71721028801622</v>
      </c>
      <c r="BS9" s="84">
        <v>185.07672845036151</v>
      </c>
      <c r="BT9" s="84">
        <v>179.15636668482168</v>
      </c>
      <c r="BU9" s="84"/>
      <c r="BV9" s="84">
        <f t="shared" ref="BV9:BV32" si="44">BT9-BR9</f>
        <v>-16.560843603194542</v>
      </c>
      <c r="BW9" s="84">
        <f>'RD T1'!E204</f>
        <v>69.952300666215763</v>
      </c>
      <c r="BX9" s="84">
        <f t="shared" ref="BX9:BX32" si="45">SUM(BV9:BW9)</f>
        <v>53.391457063021221</v>
      </c>
      <c r="BZ9" s="18" t="str">
        <f t="shared" ref="BZ9:BZ32" si="46">BD9</f>
        <v xml:space="preserve"> 12 Other managers and proprietors</v>
      </c>
      <c r="CA9" s="84">
        <v>133.43893452380138</v>
      </c>
      <c r="CB9" s="84">
        <v>123.0220307353551</v>
      </c>
      <c r="CC9" s="84">
        <v>132.99403305395043</v>
      </c>
      <c r="CD9" s="84">
        <v>106.98082006053728</v>
      </c>
      <c r="CE9" s="84">
        <v>91.127292922476272</v>
      </c>
      <c r="CF9" s="84"/>
      <c r="CG9" s="84">
        <f t="shared" ref="CG9:CG32" si="47">CE9-CC9</f>
        <v>-41.86674013147416</v>
      </c>
      <c r="CH9" s="84">
        <f>'RD T1'!E232</f>
        <v>33.695807441691372</v>
      </c>
      <c r="CI9" s="84">
        <f t="shared" ref="CI9:CI32" si="48">SUM(CG9:CH9)</f>
        <v>-8.1709326897827879</v>
      </c>
      <c r="CK9" s="18" t="str">
        <f t="shared" ref="CK9:CK32" si="49">BO9</f>
        <v xml:space="preserve"> 12 Other managers and proprietors</v>
      </c>
      <c r="CL9" s="84">
        <v>62.647779670395721</v>
      </c>
      <c r="CM9" s="84">
        <v>54.28007920304033</v>
      </c>
      <c r="CN9" s="84">
        <v>51.278968351548301</v>
      </c>
      <c r="CO9" s="84">
        <v>38.104308665680115</v>
      </c>
      <c r="CP9" s="84">
        <v>38.26136193901668</v>
      </c>
      <c r="CQ9" s="84"/>
      <c r="CR9" s="84">
        <f t="shared" ref="CR9:CR32" si="50">CP9-CN9</f>
        <v>-13.01760641253162</v>
      </c>
      <c r="CS9" s="84">
        <f>'RD T1'!E260</f>
        <v>9.9889468172442442</v>
      </c>
      <c r="CT9" s="84">
        <f t="shared" ref="CT9:CT32" si="51">SUM(CR9:CS9)</f>
        <v>-3.028659595287376</v>
      </c>
    </row>
    <row r="10" spans="1:98" x14ac:dyDescent="0.25">
      <c r="A10" s="12" t="str">
        <f>name!D6</f>
        <v xml:space="preserve"> 21 Science, research, engineering and technology professionals</v>
      </c>
      <c r="B10" s="84">
        <v>49.428244200774301</v>
      </c>
      <c r="C10" s="84">
        <v>65.146629328757413</v>
      </c>
      <c r="D10" s="84">
        <v>96.660518859770931</v>
      </c>
      <c r="E10" s="84">
        <v>108.20534405352937</v>
      </c>
      <c r="F10" s="84">
        <v>120.07041248526208</v>
      </c>
      <c r="G10" s="13"/>
      <c r="H10" s="84">
        <f t="shared" si="26"/>
        <v>23.409893625491151</v>
      </c>
      <c r="I10" s="84">
        <f>'RD T1'!E37</f>
        <v>27.818804917588935</v>
      </c>
      <c r="J10" s="84">
        <f t="shared" si="27"/>
        <v>51.228698543080085</v>
      </c>
      <c r="L10" s="18" t="str">
        <f t="shared" si="28"/>
        <v xml:space="preserve"> 21 Science, research, engineering and technology professionals</v>
      </c>
      <c r="M10" s="84">
        <v>198.70073568448922</v>
      </c>
      <c r="N10" s="84">
        <v>237.77434364466572</v>
      </c>
      <c r="O10" s="84">
        <v>379.18222475223979</v>
      </c>
      <c r="P10" s="84">
        <v>437.11064058110406</v>
      </c>
      <c r="Q10" s="84">
        <v>502.89867674393935</v>
      </c>
      <c r="R10" s="13"/>
      <c r="S10" s="84">
        <f t="shared" si="29"/>
        <v>123.71645199169956</v>
      </c>
      <c r="T10" s="84">
        <f>'RD T1'!E65</f>
        <v>118.07489530108927</v>
      </c>
      <c r="U10" s="84">
        <f t="shared" si="30"/>
        <v>241.79134729278883</v>
      </c>
      <c r="W10" s="18" t="str">
        <f t="shared" si="31"/>
        <v xml:space="preserve"> 21 Science, research, engineering and technology professionals</v>
      </c>
      <c r="X10" s="84">
        <v>410.97962932390971</v>
      </c>
      <c r="Y10" s="84">
        <v>522.82752265391571</v>
      </c>
      <c r="Z10" s="84">
        <v>589.77124498257479</v>
      </c>
      <c r="AA10" s="84">
        <v>670.86311758783927</v>
      </c>
      <c r="AB10" s="84">
        <v>708.36723369104004</v>
      </c>
      <c r="AC10" s="84"/>
      <c r="AD10" s="84">
        <f t="shared" si="32"/>
        <v>118.59598870846526</v>
      </c>
      <c r="AE10" s="84">
        <f>'RD T1'!E93</f>
        <v>178.12840997836412</v>
      </c>
      <c r="AF10" s="84">
        <f t="shared" si="33"/>
        <v>296.72439868682937</v>
      </c>
      <c r="AH10" s="18" t="str">
        <f t="shared" si="34"/>
        <v xml:space="preserve"> 21 Science, research, engineering and technology professionals</v>
      </c>
      <c r="AI10" s="84">
        <v>59.505494407772147</v>
      </c>
      <c r="AJ10" s="84">
        <v>59.364477644840093</v>
      </c>
      <c r="AK10" s="84">
        <v>58.957197501439296</v>
      </c>
      <c r="AL10" s="84">
        <v>65.615688224499308</v>
      </c>
      <c r="AM10" s="84">
        <v>69.837305697441153</v>
      </c>
      <c r="AN10" s="84"/>
      <c r="AO10" s="84">
        <f t="shared" si="35"/>
        <v>10.880108196001856</v>
      </c>
      <c r="AP10" s="84">
        <f>'RD T1'!E121</f>
        <v>17.088732783178088</v>
      </c>
      <c r="AQ10" s="84">
        <f t="shared" si="36"/>
        <v>27.968840979179944</v>
      </c>
      <c r="AS10" s="18" t="str">
        <f t="shared" si="37"/>
        <v xml:space="preserve"> 21 Science, research, engineering and technology professionals</v>
      </c>
      <c r="AT10" s="84">
        <v>138.68978678331365</v>
      </c>
      <c r="AU10" s="84">
        <v>155.34359710532991</v>
      </c>
      <c r="AV10" s="84">
        <v>158.93864202022169</v>
      </c>
      <c r="AW10" s="84">
        <v>165.99108775218292</v>
      </c>
      <c r="AX10" s="84">
        <v>162.53545915938116</v>
      </c>
      <c r="AY10" s="84"/>
      <c r="AZ10" s="84">
        <f t="shared" si="38"/>
        <v>3.5968171391594694</v>
      </c>
      <c r="BA10" s="84">
        <f>'RD T1'!E149</f>
        <v>40.191377651399151</v>
      </c>
      <c r="BB10" s="84">
        <f t="shared" si="39"/>
        <v>43.78819479055862</v>
      </c>
      <c r="BD10" s="18" t="str">
        <f t="shared" si="40"/>
        <v xml:space="preserve"> 21 Science, research, engineering and technology professionals</v>
      </c>
      <c r="BE10" s="84">
        <v>192.41234092307894</v>
      </c>
      <c r="BF10" s="84">
        <v>189.82760283463401</v>
      </c>
      <c r="BG10" s="84">
        <v>208.22512862073785</v>
      </c>
      <c r="BH10" s="84">
        <v>169.78609950751661</v>
      </c>
      <c r="BI10" s="84">
        <v>148.12194458274857</v>
      </c>
      <c r="BJ10" s="84"/>
      <c r="BK10" s="84">
        <f t="shared" si="41"/>
        <v>-60.10318403798928</v>
      </c>
      <c r="BL10" s="84">
        <f>'RD T1'!E177</f>
        <v>34.102633359923118</v>
      </c>
      <c r="BM10" s="84">
        <f t="shared" si="42"/>
        <v>-26.000550678066162</v>
      </c>
      <c r="BO10" s="18" t="str">
        <f t="shared" si="43"/>
        <v xml:space="preserve"> 21 Science, research, engineering and technology professionals</v>
      </c>
      <c r="BP10" s="84">
        <v>143.56967978188723</v>
      </c>
      <c r="BQ10" s="84">
        <v>145.00458311994973</v>
      </c>
      <c r="BR10" s="84">
        <v>153.61505345568193</v>
      </c>
      <c r="BS10" s="84">
        <v>130.63566949386484</v>
      </c>
      <c r="BT10" s="84">
        <v>122.70568068936687</v>
      </c>
      <c r="BU10" s="84"/>
      <c r="BV10" s="84">
        <f t="shared" si="44"/>
        <v>-30.909372766315059</v>
      </c>
      <c r="BW10" s="84">
        <f>'RD T1'!E205</f>
        <v>30.016524964987791</v>
      </c>
      <c r="BX10" s="84">
        <f t="shared" si="45"/>
        <v>-0.89284780132726738</v>
      </c>
      <c r="BZ10" s="18" t="str">
        <f t="shared" si="46"/>
        <v xml:space="preserve"> 21 Science, research, engineering and technology professionals</v>
      </c>
      <c r="CA10" s="84">
        <v>95.36834670584615</v>
      </c>
      <c r="CB10" s="84">
        <v>80.222801254654485</v>
      </c>
      <c r="CC10" s="84">
        <v>89.744973131015556</v>
      </c>
      <c r="CD10" s="84">
        <v>72.581888524990049</v>
      </c>
      <c r="CE10" s="84">
        <v>59.303758551751883</v>
      </c>
      <c r="CF10" s="84"/>
      <c r="CG10" s="84">
        <f t="shared" si="47"/>
        <v>-30.441214579263672</v>
      </c>
      <c r="CH10" s="84">
        <f>'RD T1'!E233</f>
        <v>14.625067717434328</v>
      </c>
      <c r="CI10" s="84">
        <f t="shared" si="48"/>
        <v>-15.816146861829344</v>
      </c>
      <c r="CK10" s="18" t="str">
        <f t="shared" si="49"/>
        <v xml:space="preserve"> 21 Science, research, engineering and technology professionals</v>
      </c>
      <c r="CL10" s="84">
        <v>20.409667044956798</v>
      </c>
      <c r="CM10" s="84">
        <v>15.888484316449482</v>
      </c>
      <c r="CN10" s="84">
        <v>18.948354150061572</v>
      </c>
      <c r="CO10" s="84">
        <v>16.279164963741128</v>
      </c>
      <c r="CP10" s="84">
        <v>19.668901384742874</v>
      </c>
      <c r="CQ10" s="84"/>
      <c r="CR10" s="84">
        <f t="shared" si="50"/>
        <v>0.72054723468130177</v>
      </c>
      <c r="CS10" s="84">
        <f>'RD T1'!E261</f>
        <v>3.3396982199554301</v>
      </c>
      <c r="CT10" s="84">
        <f t="shared" si="51"/>
        <v>4.0602454546367319</v>
      </c>
    </row>
    <row r="11" spans="1:98" x14ac:dyDescent="0.25">
      <c r="A11" s="12" t="str">
        <f>name!D7</f>
        <v xml:space="preserve"> 22 Health professionals</v>
      </c>
      <c r="B11" s="84">
        <v>48.274571193136758</v>
      </c>
      <c r="C11" s="84">
        <v>64.254706220281818</v>
      </c>
      <c r="D11" s="84">
        <v>98.550187866531402</v>
      </c>
      <c r="E11" s="84">
        <v>115.93676862030793</v>
      </c>
      <c r="F11" s="84">
        <v>134.48409997852238</v>
      </c>
      <c r="G11" s="13"/>
      <c r="H11" s="84">
        <f t="shared" si="26"/>
        <v>35.933912111990978</v>
      </c>
      <c r="I11" s="84">
        <f>'RD T1'!E38</f>
        <v>39.527304282499934</v>
      </c>
      <c r="J11" s="84">
        <f t="shared" si="27"/>
        <v>75.461216394490918</v>
      </c>
      <c r="L11" s="18" t="str">
        <f t="shared" si="28"/>
        <v xml:space="preserve"> 22 Health professionals</v>
      </c>
      <c r="M11" s="84">
        <v>169.85109496637401</v>
      </c>
      <c r="N11" s="84">
        <v>194.39561977368996</v>
      </c>
      <c r="O11" s="84">
        <v>288.42624430102529</v>
      </c>
      <c r="P11" s="84">
        <v>333.51841367816434</v>
      </c>
      <c r="Q11" s="84">
        <v>378.01131040317159</v>
      </c>
      <c r="R11" s="13"/>
      <c r="S11" s="84">
        <f t="shared" si="29"/>
        <v>89.5850661021463</v>
      </c>
      <c r="T11" s="84">
        <f>'RD T1'!E66</f>
        <v>121.5046324316458</v>
      </c>
      <c r="U11" s="84">
        <f t="shared" si="30"/>
        <v>211.0896985337921</v>
      </c>
      <c r="W11" s="18" t="str">
        <f t="shared" si="31"/>
        <v xml:space="preserve"> 22 Health professionals</v>
      </c>
      <c r="X11" s="84">
        <v>355.71905429426567</v>
      </c>
      <c r="Y11" s="84">
        <v>452.03012970650883</v>
      </c>
      <c r="Z11" s="84">
        <v>555.63112764232471</v>
      </c>
      <c r="AA11" s="84">
        <v>685.97859005108728</v>
      </c>
      <c r="AB11" s="84">
        <v>780.71417897251933</v>
      </c>
      <c r="AC11" s="84"/>
      <c r="AD11" s="84">
        <f t="shared" si="32"/>
        <v>225.08305133019462</v>
      </c>
      <c r="AE11" s="84">
        <f>'RD T1'!E94</f>
        <v>271.70420732987577</v>
      </c>
      <c r="AF11" s="84">
        <f t="shared" si="33"/>
        <v>496.78725866007039</v>
      </c>
      <c r="AH11" s="18" t="str">
        <f t="shared" si="34"/>
        <v xml:space="preserve"> 22 Health professionals</v>
      </c>
      <c r="AI11" s="84">
        <v>366.17717170070614</v>
      </c>
      <c r="AJ11" s="84">
        <v>307.13396608771023</v>
      </c>
      <c r="AK11" s="84">
        <v>245.25492329758555</v>
      </c>
      <c r="AL11" s="84">
        <v>169.56011742961857</v>
      </c>
      <c r="AM11" s="84">
        <v>99.982775818272728</v>
      </c>
      <c r="AN11" s="84"/>
      <c r="AO11" s="84">
        <f t="shared" si="35"/>
        <v>-145.27214747931282</v>
      </c>
      <c r="AP11" s="84">
        <f>'RD T1'!E122</f>
        <v>46.977731761893217</v>
      </c>
      <c r="AQ11" s="84">
        <f t="shared" si="36"/>
        <v>-98.294415717419611</v>
      </c>
      <c r="AS11" s="18" t="str">
        <f t="shared" si="37"/>
        <v xml:space="preserve"> 22 Health professionals</v>
      </c>
      <c r="AT11" s="84">
        <v>33.470474830221924</v>
      </c>
      <c r="AU11" s="84">
        <v>35.009770575019424</v>
      </c>
      <c r="AV11" s="84">
        <v>38.398071407078191</v>
      </c>
      <c r="AW11" s="84">
        <v>43.891844179783092</v>
      </c>
      <c r="AX11" s="84">
        <v>50.067832875364722</v>
      </c>
      <c r="AY11" s="84"/>
      <c r="AZ11" s="84">
        <f t="shared" si="38"/>
        <v>11.669761468286531</v>
      </c>
      <c r="BA11" s="84">
        <f>'RD T1'!E150</f>
        <v>15.936897681020685</v>
      </c>
      <c r="BB11" s="84">
        <f t="shared" si="39"/>
        <v>27.606659149307216</v>
      </c>
      <c r="BD11" s="18" t="str">
        <f t="shared" si="40"/>
        <v xml:space="preserve"> 22 Health professionals</v>
      </c>
      <c r="BE11" s="84">
        <v>105.33885211776015</v>
      </c>
      <c r="BF11" s="84">
        <v>109.72096187330366</v>
      </c>
      <c r="BG11" s="84">
        <v>143.62806618839542</v>
      </c>
      <c r="BH11" s="84">
        <v>154.79456781885574</v>
      </c>
      <c r="BI11" s="84">
        <v>173.67591606979229</v>
      </c>
      <c r="BJ11" s="84"/>
      <c r="BK11" s="84">
        <f t="shared" si="41"/>
        <v>30.047849881396871</v>
      </c>
      <c r="BL11" s="84">
        <f>'RD T1'!E178</f>
        <v>60.107232182702148</v>
      </c>
      <c r="BM11" s="84">
        <f t="shared" si="42"/>
        <v>90.15508206409902</v>
      </c>
      <c r="BO11" s="18" t="str">
        <f t="shared" si="43"/>
        <v xml:space="preserve"> 22 Health professionals</v>
      </c>
      <c r="BP11" s="84">
        <v>83.520186817880926</v>
      </c>
      <c r="BQ11" s="84">
        <v>90.676581299737791</v>
      </c>
      <c r="BR11" s="84">
        <v>103.15522448488458</v>
      </c>
      <c r="BS11" s="84">
        <v>98.953169043284504</v>
      </c>
      <c r="BT11" s="84">
        <v>97.889804080938262</v>
      </c>
      <c r="BU11" s="84"/>
      <c r="BV11" s="84">
        <f t="shared" si="44"/>
        <v>-5.2654204039463224</v>
      </c>
      <c r="BW11" s="84">
        <f>'RD T1'!E206</f>
        <v>33.450848731991819</v>
      </c>
      <c r="BX11" s="84">
        <f t="shared" si="45"/>
        <v>28.185428328045496</v>
      </c>
      <c r="BZ11" s="18" t="str">
        <f t="shared" si="46"/>
        <v xml:space="preserve"> 22 Health professionals</v>
      </c>
      <c r="CA11" s="84">
        <v>64.656730024470576</v>
      </c>
      <c r="CB11" s="84">
        <v>51.582090580141788</v>
      </c>
      <c r="CC11" s="84">
        <v>62.17840648135126</v>
      </c>
      <c r="CD11" s="84">
        <v>48.37549145376812</v>
      </c>
      <c r="CE11" s="84">
        <v>46.885653946500192</v>
      </c>
      <c r="CF11" s="84"/>
      <c r="CG11" s="84">
        <f t="shared" si="47"/>
        <v>-15.292752534851068</v>
      </c>
      <c r="CH11" s="84">
        <f>'RD T1'!E234</f>
        <v>14.502369086332244</v>
      </c>
      <c r="CI11" s="84">
        <f t="shared" si="48"/>
        <v>-0.79038344851882414</v>
      </c>
      <c r="CK11" s="18" t="str">
        <f t="shared" si="49"/>
        <v xml:space="preserve"> 22 Health professionals</v>
      </c>
      <c r="CL11" s="84">
        <v>6.6930942418750652</v>
      </c>
      <c r="CM11" s="84">
        <v>6.1857605256941817</v>
      </c>
      <c r="CN11" s="84">
        <v>7.7786406004750894</v>
      </c>
      <c r="CO11" s="84">
        <v>7.5155976017949184</v>
      </c>
      <c r="CP11" s="84">
        <v>11.701009236407161</v>
      </c>
      <c r="CQ11" s="84"/>
      <c r="CR11" s="84">
        <f t="shared" si="50"/>
        <v>3.922368635932072</v>
      </c>
      <c r="CS11" s="84">
        <f>'RD T1'!E262</f>
        <v>2.3378232774044054</v>
      </c>
      <c r="CT11" s="84">
        <f t="shared" si="51"/>
        <v>6.2601919133364774</v>
      </c>
    </row>
    <row r="12" spans="1:98" x14ac:dyDescent="0.25">
      <c r="A12" s="12" t="str">
        <f>name!D8</f>
        <v xml:space="preserve"> 23 Teaching and educational professionals</v>
      </c>
      <c r="B12" s="84">
        <v>89.370077985996204</v>
      </c>
      <c r="C12" s="84">
        <v>109.22258787689422</v>
      </c>
      <c r="D12" s="84">
        <v>150.19196571200069</v>
      </c>
      <c r="E12" s="84">
        <v>166.90148106376296</v>
      </c>
      <c r="F12" s="84">
        <v>187.26283791072174</v>
      </c>
      <c r="G12" s="13"/>
      <c r="H12" s="84">
        <f t="shared" si="26"/>
        <v>37.070872198721048</v>
      </c>
      <c r="I12" s="84">
        <f>'RD T1'!E39</f>
        <v>57.744073916527462</v>
      </c>
      <c r="J12" s="84">
        <f t="shared" si="27"/>
        <v>94.814946115248517</v>
      </c>
      <c r="L12" s="18" t="str">
        <f t="shared" si="28"/>
        <v xml:space="preserve"> 23 Teaching and educational professionals</v>
      </c>
      <c r="M12" s="84">
        <v>544.25230626418113</v>
      </c>
      <c r="N12" s="84">
        <v>614.53121820267882</v>
      </c>
      <c r="O12" s="84">
        <v>853.9183878252046</v>
      </c>
      <c r="P12" s="84">
        <v>947.31977174146675</v>
      </c>
      <c r="Q12" s="84">
        <v>1050.4931357537175</v>
      </c>
      <c r="R12" s="13"/>
      <c r="S12" s="84">
        <f t="shared" si="29"/>
        <v>196.57474792851292</v>
      </c>
      <c r="T12" s="84">
        <f>'RD T1'!E67</f>
        <v>341.31905296732867</v>
      </c>
      <c r="U12" s="84">
        <f t="shared" si="30"/>
        <v>537.89380089584165</v>
      </c>
      <c r="W12" s="18" t="str">
        <f t="shared" si="31"/>
        <v xml:space="preserve"> 23 Teaching and educational professionals</v>
      </c>
      <c r="X12" s="84">
        <v>447.26402113931312</v>
      </c>
      <c r="Y12" s="84">
        <v>495.30546104870984</v>
      </c>
      <c r="Z12" s="84">
        <v>482.45605429599721</v>
      </c>
      <c r="AA12" s="84">
        <v>478.54520875853194</v>
      </c>
      <c r="AB12" s="84">
        <v>477.14093598884239</v>
      </c>
      <c r="AC12" s="84"/>
      <c r="AD12" s="84">
        <f t="shared" si="32"/>
        <v>-5.3151183071548189</v>
      </c>
      <c r="AE12" s="84">
        <f>'RD T1'!E95</f>
        <v>171.73324299773535</v>
      </c>
      <c r="AF12" s="84">
        <f t="shared" si="33"/>
        <v>166.41812469058053</v>
      </c>
      <c r="AH12" s="18" t="str">
        <f t="shared" si="34"/>
        <v xml:space="preserve"> 23 Teaching and educational professionals</v>
      </c>
      <c r="AI12" s="84">
        <v>167.92814282728278</v>
      </c>
      <c r="AJ12" s="84">
        <v>118.15156110571392</v>
      </c>
      <c r="AK12" s="84">
        <v>56.852544902931591</v>
      </c>
      <c r="AL12" s="84">
        <v>29.600728355812262</v>
      </c>
      <c r="AM12" s="84">
        <v>29.892259506221915</v>
      </c>
      <c r="AN12" s="84"/>
      <c r="AO12" s="84">
        <f t="shared" si="35"/>
        <v>-26.960285396709676</v>
      </c>
      <c r="AP12" s="84">
        <f>'RD T1'!E123</f>
        <v>7.9860058372749725</v>
      </c>
      <c r="AQ12" s="84">
        <f t="shared" si="36"/>
        <v>-18.974279559434702</v>
      </c>
      <c r="AS12" s="18" t="str">
        <f t="shared" si="37"/>
        <v xml:space="preserve"> 23 Teaching and educational professionals</v>
      </c>
      <c r="AT12" s="84">
        <v>21.060224600183673</v>
      </c>
      <c r="AU12" s="84">
        <v>21.019151034209067</v>
      </c>
      <c r="AV12" s="84">
        <v>17.827690148872986</v>
      </c>
      <c r="AW12" s="84">
        <v>19.804402834913208</v>
      </c>
      <c r="AX12" s="84">
        <v>21.806068647444008</v>
      </c>
      <c r="AY12" s="84"/>
      <c r="AZ12" s="84">
        <f t="shared" si="38"/>
        <v>3.978378498571022</v>
      </c>
      <c r="BA12" s="84">
        <f>'RD T1'!E151</f>
        <v>7.0714920536039401</v>
      </c>
      <c r="BB12" s="84">
        <f t="shared" si="39"/>
        <v>11.049870552174962</v>
      </c>
      <c r="BD12" s="18" t="str">
        <f t="shared" si="40"/>
        <v xml:space="preserve"> 23 Teaching and educational professionals</v>
      </c>
      <c r="BE12" s="84">
        <v>50.742343027942631</v>
      </c>
      <c r="BF12" s="84">
        <v>55.35429143407184</v>
      </c>
      <c r="BG12" s="84">
        <v>63.813797724530666</v>
      </c>
      <c r="BH12" s="84">
        <v>60.536473736753479</v>
      </c>
      <c r="BI12" s="84">
        <v>69.109270554885939</v>
      </c>
      <c r="BJ12" s="84"/>
      <c r="BK12" s="84">
        <f t="shared" si="41"/>
        <v>5.2954728303552727</v>
      </c>
      <c r="BL12" s="84">
        <f>'RD T1'!E179</f>
        <v>18.669524254336945</v>
      </c>
      <c r="BM12" s="84">
        <f t="shared" si="42"/>
        <v>23.964997084692218</v>
      </c>
      <c r="BO12" s="18" t="str">
        <f t="shared" si="43"/>
        <v xml:space="preserve"> 23 Teaching and educational professionals</v>
      </c>
      <c r="BP12" s="84">
        <v>51.20818244872406</v>
      </c>
      <c r="BQ12" s="84">
        <v>42.760169044440396</v>
      </c>
      <c r="BR12" s="84">
        <v>48.48233201319136</v>
      </c>
      <c r="BS12" s="84">
        <v>47.066744150338877</v>
      </c>
      <c r="BT12" s="84">
        <v>52.462260280920738</v>
      </c>
      <c r="BU12" s="84"/>
      <c r="BV12" s="84">
        <f t="shared" si="44"/>
        <v>3.9799282677293775</v>
      </c>
      <c r="BW12" s="84">
        <f>'RD T1'!E207</f>
        <v>15.820696508245188</v>
      </c>
      <c r="BX12" s="84">
        <f t="shared" si="45"/>
        <v>19.800624775974565</v>
      </c>
      <c r="BZ12" s="18" t="str">
        <f t="shared" si="46"/>
        <v xml:space="preserve"> 23 Teaching and educational professionals</v>
      </c>
      <c r="CA12" s="84">
        <v>40.473481870313094</v>
      </c>
      <c r="CB12" s="84">
        <v>32.756541114068689</v>
      </c>
      <c r="CC12" s="84">
        <v>38.500008443979162</v>
      </c>
      <c r="CD12" s="84">
        <v>31.733628022375608</v>
      </c>
      <c r="CE12" s="84">
        <v>34.170880884727517</v>
      </c>
      <c r="CF12" s="84"/>
      <c r="CG12" s="84">
        <f t="shared" si="47"/>
        <v>-4.3291275592516456</v>
      </c>
      <c r="CH12" s="84">
        <f>'RD T1'!E235</f>
        <v>9.7869221287378707</v>
      </c>
      <c r="CI12" s="84">
        <f t="shared" si="48"/>
        <v>5.4577945694862251</v>
      </c>
      <c r="CK12" s="18" t="str">
        <f t="shared" si="49"/>
        <v xml:space="preserve"> 23 Teaching and educational professionals</v>
      </c>
      <c r="CL12" s="84">
        <v>6.678581508266868</v>
      </c>
      <c r="CM12" s="84">
        <v>6.2050378230862933</v>
      </c>
      <c r="CN12" s="84">
        <v>8.6965410625032966</v>
      </c>
      <c r="CO12" s="84">
        <v>8.0348021997388024</v>
      </c>
      <c r="CP12" s="84">
        <v>10.543999073987232</v>
      </c>
      <c r="CQ12" s="84"/>
      <c r="CR12" s="84">
        <f t="shared" si="50"/>
        <v>1.8474580114839352</v>
      </c>
      <c r="CS12" s="84">
        <f>'RD T1'!E263</f>
        <v>2.332838253709125</v>
      </c>
      <c r="CT12" s="84">
        <f t="shared" si="51"/>
        <v>4.1802962651930606</v>
      </c>
    </row>
    <row r="13" spans="1:98" x14ac:dyDescent="0.25">
      <c r="A13" s="12" t="str">
        <f>name!D9</f>
        <v xml:space="preserve"> 24 Business, media and public service professionals</v>
      </c>
      <c r="B13" s="84">
        <v>23.681029862495681</v>
      </c>
      <c r="C13" s="84">
        <v>24.820264275115999</v>
      </c>
      <c r="D13" s="84">
        <v>39.36922863308672</v>
      </c>
      <c r="E13" s="84">
        <v>45.73103405245385</v>
      </c>
      <c r="F13" s="84">
        <v>52.080274529787246</v>
      </c>
      <c r="G13" s="13"/>
      <c r="H13" s="84">
        <f t="shared" si="26"/>
        <v>12.711045896700526</v>
      </c>
      <c r="I13" s="84">
        <f>'RD T1'!E40</f>
        <v>15.494376551660229</v>
      </c>
      <c r="J13" s="84">
        <f t="shared" si="27"/>
        <v>28.205422448360757</v>
      </c>
      <c r="L13" s="18" t="str">
        <f t="shared" si="28"/>
        <v xml:space="preserve"> 24 Business, media and public service professionals</v>
      </c>
      <c r="M13" s="84">
        <v>286.79593743453876</v>
      </c>
      <c r="N13" s="84">
        <v>331.31622087777907</v>
      </c>
      <c r="O13" s="84">
        <v>506.26008850138811</v>
      </c>
      <c r="P13" s="84">
        <v>568.58970129743295</v>
      </c>
      <c r="Q13" s="84">
        <v>620.18442875237986</v>
      </c>
      <c r="R13" s="13"/>
      <c r="S13" s="84">
        <f t="shared" si="29"/>
        <v>113.92434025099175</v>
      </c>
      <c r="T13" s="84">
        <f>'RD T1'!E68</f>
        <v>192.84571764629251</v>
      </c>
      <c r="U13" s="84">
        <f t="shared" si="30"/>
        <v>306.77005789728423</v>
      </c>
      <c r="W13" s="18" t="str">
        <f t="shared" si="31"/>
        <v xml:space="preserve"> 24 Business, media and public service professionals</v>
      </c>
      <c r="X13" s="84">
        <v>533.7687696709728</v>
      </c>
      <c r="Y13" s="84">
        <v>658.22256198362425</v>
      </c>
      <c r="Z13" s="84">
        <v>742.65597727593195</v>
      </c>
      <c r="AA13" s="84">
        <v>854.21131885851605</v>
      </c>
      <c r="AB13" s="84">
        <v>899.69318905395562</v>
      </c>
      <c r="AC13" s="84"/>
      <c r="AD13" s="84">
        <f t="shared" si="32"/>
        <v>157.03721177802367</v>
      </c>
      <c r="AE13" s="84">
        <f>'RD T1'!E96</f>
        <v>301.40442969566499</v>
      </c>
      <c r="AF13" s="84">
        <f t="shared" si="33"/>
        <v>458.44164147368866</v>
      </c>
      <c r="AH13" s="18" t="str">
        <f t="shared" si="34"/>
        <v xml:space="preserve"> 24 Business, media and public service professionals</v>
      </c>
      <c r="AI13" s="84">
        <v>121.46671433343238</v>
      </c>
      <c r="AJ13" s="84">
        <v>80.728058885729553</v>
      </c>
      <c r="AK13" s="84">
        <v>51.790567386856445</v>
      </c>
      <c r="AL13" s="84">
        <v>45.797708711742743</v>
      </c>
      <c r="AM13" s="84">
        <v>43.126308616010235</v>
      </c>
      <c r="AN13" s="84"/>
      <c r="AO13" s="84">
        <f t="shared" si="35"/>
        <v>-8.6642587708462102</v>
      </c>
      <c r="AP13" s="84">
        <f>'RD T1'!E124</f>
        <v>12.670186879197425</v>
      </c>
      <c r="AQ13" s="84">
        <f t="shared" si="36"/>
        <v>4.005928108351215</v>
      </c>
      <c r="AS13" s="18" t="str">
        <f t="shared" si="37"/>
        <v xml:space="preserve"> 24 Business, media and public service professionals</v>
      </c>
      <c r="AT13" s="84">
        <v>86.388159120642911</v>
      </c>
      <c r="AU13" s="84">
        <v>94.052862078311577</v>
      </c>
      <c r="AV13" s="84">
        <v>99.152721494306874</v>
      </c>
      <c r="AW13" s="84">
        <v>113.73813452748963</v>
      </c>
      <c r="AX13" s="84">
        <v>120.6372805047542</v>
      </c>
      <c r="AY13" s="84"/>
      <c r="AZ13" s="84">
        <f t="shared" si="38"/>
        <v>21.484559010447327</v>
      </c>
      <c r="BA13" s="84">
        <f>'RD T1'!E152</f>
        <v>37.942879990148612</v>
      </c>
      <c r="BB13" s="84">
        <f t="shared" si="39"/>
        <v>59.427439000595939</v>
      </c>
      <c r="BD13" s="18" t="str">
        <f t="shared" si="40"/>
        <v xml:space="preserve"> 24 Business, media and public service professionals</v>
      </c>
      <c r="BE13" s="84">
        <v>164.33569569517968</v>
      </c>
      <c r="BF13" s="84">
        <v>164.32766226231803</v>
      </c>
      <c r="BG13" s="84">
        <v>192.97789898630933</v>
      </c>
      <c r="BH13" s="84">
        <v>178.32980959775875</v>
      </c>
      <c r="BI13" s="84">
        <v>173.63813044421633</v>
      </c>
      <c r="BJ13" s="84"/>
      <c r="BK13" s="84">
        <f t="shared" si="41"/>
        <v>-19.339768542092997</v>
      </c>
      <c r="BL13" s="84">
        <f>'RD T1'!E180</f>
        <v>50.16282159853651</v>
      </c>
      <c r="BM13" s="84">
        <f t="shared" si="42"/>
        <v>30.823053056443513</v>
      </c>
      <c r="BO13" s="18" t="str">
        <f t="shared" si="43"/>
        <v xml:space="preserve"> 24 Business, media and public service professionals</v>
      </c>
      <c r="BP13" s="84">
        <v>141.13121521731685</v>
      </c>
      <c r="BQ13" s="84">
        <v>124.24792430157244</v>
      </c>
      <c r="BR13" s="84">
        <v>126.25386239059122</v>
      </c>
      <c r="BS13" s="84">
        <v>106.69972130828407</v>
      </c>
      <c r="BT13" s="84">
        <v>96.52787511735032</v>
      </c>
      <c r="BU13" s="84"/>
      <c r="BV13" s="84">
        <f t="shared" si="44"/>
        <v>-29.725987273240904</v>
      </c>
      <c r="BW13" s="84">
        <f>'RD T1'!E208</f>
        <v>29.608113463292547</v>
      </c>
      <c r="BX13" s="84">
        <f t="shared" si="45"/>
        <v>-0.11787380994835672</v>
      </c>
      <c r="BZ13" s="18" t="str">
        <f t="shared" si="46"/>
        <v xml:space="preserve"> 24 Business, media and public service professionals</v>
      </c>
      <c r="CA13" s="84">
        <v>87.464248290024202</v>
      </c>
      <c r="CB13" s="84">
        <v>71.525841784721791</v>
      </c>
      <c r="CC13" s="84">
        <v>78.306832612832423</v>
      </c>
      <c r="CD13" s="84">
        <v>61.237629742918372</v>
      </c>
      <c r="CE13" s="84">
        <v>50.306339456143021</v>
      </c>
      <c r="CF13" s="84"/>
      <c r="CG13" s="84">
        <f t="shared" si="47"/>
        <v>-28.000493156689402</v>
      </c>
      <c r="CH13" s="84">
        <f>'RD T1'!E236</f>
        <v>15.842071711631187</v>
      </c>
      <c r="CI13" s="84">
        <f t="shared" si="48"/>
        <v>-12.158421445058215</v>
      </c>
      <c r="CK13" s="18" t="str">
        <f t="shared" si="49"/>
        <v xml:space="preserve"> 24 Business, media and public service professionals</v>
      </c>
      <c r="CL13" s="84">
        <v>19.277457282709371</v>
      </c>
      <c r="CM13" s="84">
        <v>14.988277996946781</v>
      </c>
      <c r="CN13" s="84">
        <v>18.941109410272087</v>
      </c>
      <c r="CO13" s="84">
        <v>15.828600349423469</v>
      </c>
      <c r="CP13" s="84">
        <v>18.621454224694645</v>
      </c>
      <c r="CQ13" s="84"/>
      <c r="CR13" s="84">
        <f t="shared" si="50"/>
        <v>-0.31965518557744232</v>
      </c>
      <c r="CS13" s="84">
        <f>'RD T1'!E264</f>
        <v>3.9977097917807551</v>
      </c>
      <c r="CT13" s="84">
        <f t="shared" si="51"/>
        <v>3.6780546062033128</v>
      </c>
    </row>
    <row r="14" spans="1:98" x14ac:dyDescent="0.25">
      <c r="A14" s="12" t="str">
        <f>name!D10</f>
        <v xml:space="preserve"> 31 Science, engineering and technology associate professionals</v>
      </c>
      <c r="B14" s="84">
        <v>8.8440752135137952</v>
      </c>
      <c r="C14" s="84">
        <v>8.9215725154238257</v>
      </c>
      <c r="D14" s="84">
        <v>14.545339003139937</v>
      </c>
      <c r="E14" s="84">
        <v>16.861512267899379</v>
      </c>
      <c r="F14" s="84">
        <v>19.711204328330023</v>
      </c>
      <c r="G14" s="13"/>
      <c r="H14" s="84">
        <f t="shared" si="26"/>
        <v>5.1658653251900866</v>
      </c>
      <c r="I14" s="84">
        <f>'RD T1'!E41</f>
        <v>5.3257752955026936</v>
      </c>
      <c r="J14" s="84">
        <f t="shared" si="27"/>
        <v>10.491640620692781</v>
      </c>
      <c r="L14" s="18" t="str">
        <f t="shared" si="28"/>
        <v xml:space="preserve"> 31 Science, engineering and technology associate professionals</v>
      </c>
      <c r="M14" s="84">
        <v>49.478805432131672</v>
      </c>
      <c r="N14" s="84">
        <v>52.630641958122716</v>
      </c>
      <c r="O14" s="84">
        <v>80.897460692186058</v>
      </c>
      <c r="P14" s="84">
        <v>91.050183506716266</v>
      </c>
      <c r="Q14" s="84">
        <v>103.32002098210472</v>
      </c>
      <c r="R14" s="13"/>
      <c r="S14" s="84">
        <f t="shared" si="29"/>
        <v>22.422560289918664</v>
      </c>
      <c r="T14" s="84">
        <f>'RD T1'!E69</f>
        <v>26.964144184679125</v>
      </c>
      <c r="U14" s="84">
        <f t="shared" si="30"/>
        <v>49.386704474597792</v>
      </c>
      <c r="W14" s="18" t="str">
        <f t="shared" si="31"/>
        <v xml:space="preserve"> 31 Science, engineering and technology associate professionals</v>
      </c>
      <c r="X14" s="84">
        <v>122.86849284528151</v>
      </c>
      <c r="Y14" s="84">
        <v>152.86113726154093</v>
      </c>
      <c r="Z14" s="84">
        <v>182.0275485159527</v>
      </c>
      <c r="AA14" s="84">
        <v>209.97252526136148</v>
      </c>
      <c r="AB14" s="84">
        <v>227.51117039205366</v>
      </c>
      <c r="AC14" s="84"/>
      <c r="AD14" s="84">
        <f t="shared" si="32"/>
        <v>45.483621876100955</v>
      </c>
      <c r="AE14" s="84">
        <f>'RD T1'!E97</f>
        <v>63.793140075711207</v>
      </c>
      <c r="AF14" s="84">
        <f t="shared" si="33"/>
        <v>109.27676195181216</v>
      </c>
      <c r="AH14" s="18" t="str">
        <f t="shared" si="34"/>
        <v xml:space="preserve"> 31 Science, engineering and technology associate professionals</v>
      </c>
      <c r="AI14" s="84">
        <v>21.801056468565477</v>
      </c>
      <c r="AJ14" s="84">
        <v>26.553953972760528</v>
      </c>
      <c r="AK14" s="84">
        <v>28.983888254112202</v>
      </c>
      <c r="AL14" s="84">
        <v>35.056621255561801</v>
      </c>
      <c r="AM14" s="84">
        <v>39.234575585403938</v>
      </c>
      <c r="AN14" s="84"/>
      <c r="AO14" s="84">
        <f t="shared" si="35"/>
        <v>10.250687331291736</v>
      </c>
      <c r="AP14" s="84">
        <f>'RD T1'!E125</f>
        <v>11.059325810070312</v>
      </c>
      <c r="AQ14" s="84">
        <f t="shared" si="36"/>
        <v>21.310013141362049</v>
      </c>
      <c r="AS14" s="18" t="str">
        <f t="shared" si="37"/>
        <v xml:space="preserve"> 31 Science, engineering and technology associate professionals</v>
      </c>
      <c r="AT14" s="84">
        <v>84.700158471160265</v>
      </c>
      <c r="AU14" s="84">
        <v>80.537241105450093</v>
      </c>
      <c r="AV14" s="84">
        <v>75.229765015101933</v>
      </c>
      <c r="AW14" s="84">
        <v>77.377069323651455</v>
      </c>
      <c r="AX14" s="84">
        <v>76.44035758772506</v>
      </c>
      <c r="AY14" s="84"/>
      <c r="AZ14" s="84">
        <f t="shared" si="38"/>
        <v>1.2105925726231277</v>
      </c>
      <c r="BA14" s="84">
        <f>'RD T1'!E153</f>
        <v>19.995482816541479</v>
      </c>
      <c r="BB14" s="84">
        <f t="shared" si="39"/>
        <v>21.206075389164607</v>
      </c>
      <c r="BD14" s="18" t="str">
        <f t="shared" si="40"/>
        <v xml:space="preserve"> 31 Science, engineering and technology associate professionals</v>
      </c>
      <c r="BE14" s="84">
        <v>135.46348177934394</v>
      </c>
      <c r="BF14" s="84">
        <v>117.32725952945634</v>
      </c>
      <c r="BG14" s="84">
        <v>118.10905033639871</v>
      </c>
      <c r="BH14" s="84">
        <v>95.322312431628106</v>
      </c>
      <c r="BI14" s="84">
        <v>75.744305952152274</v>
      </c>
      <c r="BJ14" s="84"/>
      <c r="BK14" s="84">
        <f t="shared" si="41"/>
        <v>-42.364744384246436</v>
      </c>
      <c r="BL14" s="84">
        <f>'RD T1'!E181</f>
        <v>21.732419891950904</v>
      </c>
      <c r="BM14" s="84">
        <f t="shared" si="42"/>
        <v>-20.632324492295531</v>
      </c>
      <c r="BO14" s="18" t="str">
        <f t="shared" si="43"/>
        <v xml:space="preserve"> 31 Science, engineering and technology associate professionals</v>
      </c>
      <c r="BP14" s="84">
        <v>97.323143742422275</v>
      </c>
      <c r="BQ14" s="84">
        <v>89.93455670068137</v>
      </c>
      <c r="BR14" s="84">
        <v>88.933349650914721</v>
      </c>
      <c r="BS14" s="84">
        <v>77.18294138724228</v>
      </c>
      <c r="BT14" s="84">
        <v>70.60327627010092</v>
      </c>
      <c r="BU14" s="84"/>
      <c r="BV14" s="84">
        <f t="shared" si="44"/>
        <v>-18.330073380813801</v>
      </c>
      <c r="BW14" s="84">
        <f>'RD T1'!E209</f>
        <v>19.426310154755797</v>
      </c>
      <c r="BX14" s="84">
        <f t="shared" si="45"/>
        <v>1.096236773941996</v>
      </c>
      <c r="BZ14" s="18" t="str">
        <f t="shared" si="46"/>
        <v xml:space="preserve"> 31 Science, engineering and technology associate professionals</v>
      </c>
      <c r="CA14" s="84">
        <v>74.953420278764412</v>
      </c>
      <c r="CB14" s="84">
        <v>59.830970076898048</v>
      </c>
      <c r="CC14" s="84">
        <v>68.832056325736616</v>
      </c>
      <c r="CD14" s="84">
        <v>58.675618845511082</v>
      </c>
      <c r="CE14" s="84">
        <v>52.420342069549733</v>
      </c>
      <c r="CF14" s="84"/>
      <c r="CG14" s="84">
        <f t="shared" si="47"/>
        <v>-16.411714256186883</v>
      </c>
      <c r="CH14" s="84">
        <f>'RD T1'!E237</f>
        <v>14.009260787197649</v>
      </c>
      <c r="CI14" s="84">
        <f t="shared" si="48"/>
        <v>-2.4024534689892345</v>
      </c>
      <c r="CK14" s="18" t="str">
        <f t="shared" si="49"/>
        <v xml:space="preserve"> 31 Science, engineering and technology associate professionals</v>
      </c>
      <c r="CL14" s="84">
        <v>14.211238152364329</v>
      </c>
      <c r="CM14" s="84">
        <v>10.839725346200408</v>
      </c>
      <c r="CN14" s="84">
        <v>13.591864051438323</v>
      </c>
      <c r="CO14" s="84">
        <v>12.171694701049507</v>
      </c>
      <c r="CP14" s="84">
        <v>15.128325981086588</v>
      </c>
      <c r="CQ14" s="84"/>
      <c r="CR14" s="84">
        <f t="shared" si="50"/>
        <v>1.5364619296482651</v>
      </c>
      <c r="CS14" s="84">
        <f>'RD T1'!E265</f>
        <v>3.2616617769132934</v>
      </c>
      <c r="CT14" s="84">
        <f t="shared" si="51"/>
        <v>4.7981237065615581</v>
      </c>
    </row>
    <row r="15" spans="1:98" x14ac:dyDescent="0.25">
      <c r="A15" s="12" t="str">
        <f>name!D11</f>
        <v xml:space="preserve"> 32 Health and social care associate professionals</v>
      </c>
      <c r="B15" s="84">
        <v>2.5005154647807255</v>
      </c>
      <c r="C15" s="84">
        <v>2.0025158212884695</v>
      </c>
      <c r="D15" s="84">
        <v>3.0863500176622636</v>
      </c>
      <c r="E15" s="84">
        <v>3.7930364984680804</v>
      </c>
      <c r="F15" s="84">
        <v>4.4773711015031097</v>
      </c>
      <c r="G15" s="13"/>
      <c r="H15" s="84">
        <f t="shared" si="26"/>
        <v>1.3910210838408461</v>
      </c>
      <c r="I15" s="84">
        <f>'RD T1'!E42</f>
        <v>1.56643372485772</v>
      </c>
      <c r="J15" s="84">
        <f t="shared" si="27"/>
        <v>2.9574548086985661</v>
      </c>
      <c r="L15" s="18" t="str">
        <f t="shared" si="28"/>
        <v xml:space="preserve"> 32 Health and social care associate professionals</v>
      </c>
      <c r="M15" s="84">
        <v>37.219731473501952</v>
      </c>
      <c r="N15" s="84">
        <v>44.031598267690143</v>
      </c>
      <c r="O15" s="84">
        <v>69.709386409747182</v>
      </c>
      <c r="P15" s="84">
        <v>82.514355135495975</v>
      </c>
      <c r="Q15" s="84">
        <v>96.305966511763472</v>
      </c>
      <c r="R15" s="13"/>
      <c r="S15" s="84">
        <f t="shared" si="29"/>
        <v>26.59658010201629</v>
      </c>
      <c r="T15" s="84">
        <f>'RD T1'!E70</f>
        <v>33.102549702926922</v>
      </c>
      <c r="U15" s="84">
        <f t="shared" si="30"/>
        <v>59.699129804943212</v>
      </c>
      <c r="W15" s="18" t="str">
        <f t="shared" si="31"/>
        <v xml:space="preserve"> 32 Health and social care associate professionals</v>
      </c>
      <c r="X15" s="84">
        <v>110.59799200160761</v>
      </c>
      <c r="Y15" s="84">
        <v>143.24494446971468</v>
      </c>
      <c r="Z15" s="84">
        <v>188.05596785208076</v>
      </c>
      <c r="AA15" s="84">
        <v>240.36132602901048</v>
      </c>
      <c r="AB15" s="84">
        <v>279.57491453401536</v>
      </c>
      <c r="AC15" s="84"/>
      <c r="AD15" s="84">
        <f t="shared" si="32"/>
        <v>91.518946681934608</v>
      </c>
      <c r="AE15" s="84">
        <f>'RD T1'!E98</f>
        <v>103.52897245913408</v>
      </c>
      <c r="AF15" s="84">
        <f t="shared" si="33"/>
        <v>195.04791914106869</v>
      </c>
      <c r="AH15" s="18" t="str">
        <f t="shared" si="34"/>
        <v xml:space="preserve"> 32 Health and social care associate professionals</v>
      </c>
      <c r="AI15" s="84">
        <v>137.88896613799574</v>
      </c>
      <c r="AJ15" s="84">
        <v>124.448233902182</v>
      </c>
      <c r="AK15" s="84">
        <v>110.78197010029645</v>
      </c>
      <c r="AL15" s="84">
        <v>89.989992040447262</v>
      </c>
      <c r="AM15" s="84">
        <v>69.308941805037094</v>
      </c>
      <c r="AN15" s="84"/>
      <c r="AO15" s="84">
        <f t="shared" si="35"/>
        <v>-41.473028295259354</v>
      </c>
      <c r="AP15" s="84">
        <f>'RD T1'!E126</f>
        <v>27.531048824217734</v>
      </c>
      <c r="AQ15" s="84">
        <f t="shared" si="36"/>
        <v>-13.94197947104162</v>
      </c>
      <c r="AS15" s="18" t="str">
        <f t="shared" si="37"/>
        <v xml:space="preserve"> 32 Health and social care associate professionals</v>
      </c>
      <c r="AT15" s="84">
        <v>15.561424278747234</v>
      </c>
      <c r="AU15" s="84">
        <v>18.570120620412272</v>
      </c>
      <c r="AV15" s="84">
        <v>21.933896544465757</v>
      </c>
      <c r="AW15" s="84">
        <v>25.762033708207834</v>
      </c>
      <c r="AX15" s="84">
        <v>28.757118725247437</v>
      </c>
      <c r="AY15" s="84"/>
      <c r="AZ15" s="84">
        <f t="shared" si="38"/>
        <v>6.8232221807816806</v>
      </c>
      <c r="BA15" s="84">
        <f>'RD T1'!E154</f>
        <v>10.128550248548768</v>
      </c>
      <c r="BB15" s="84">
        <f t="shared" si="39"/>
        <v>16.951772429330447</v>
      </c>
      <c r="BD15" s="18" t="str">
        <f t="shared" si="40"/>
        <v xml:space="preserve"> 32 Health and social care associate professionals</v>
      </c>
      <c r="BE15" s="84">
        <v>49.601285382852431</v>
      </c>
      <c r="BF15" s="84">
        <v>47.4525327795142</v>
      </c>
      <c r="BG15" s="84">
        <v>59.484012377184307</v>
      </c>
      <c r="BH15" s="84">
        <v>61.968418384243535</v>
      </c>
      <c r="BI15" s="84">
        <v>68.011347553614655</v>
      </c>
      <c r="BJ15" s="84"/>
      <c r="BK15" s="84">
        <f t="shared" si="41"/>
        <v>8.5273351764303484</v>
      </c>
      <c r="BL15" s="84">
        <f>'RD T1'!E182</f>
        <v>23.684042542914217</v>
      </c>
      <c r="BM15" s="84">
        <f t="shared" si="42"/>
        <v>32.211377719344569</v>
      </c>
      <c r="BO15" s="18" t="str">
        <f t="shared" si="43"/>
        <v xml:space="preserve"> 32 Health and social care associate professionals</v>
      </c>
      <c r="BP15" s="84">
        <v>36.162476813192946</v>
      </c>
      <c r="BQ15" s="84">
        <v>41.257853827436456</v>
      </c>
      <c r="BR15" s="84">
        <v>47.273820516018219</v>
      </c>
      <c r="BS15" s="84">
        <v>44.869673678785766</v>
      </c>
      <c r="BT15" s="84">
        <v>44.24854163772094</v>
      </c>
      <c r="BU15" s="84"/>
      <c r="BV15" s="84">
        <f t="shared" si="44"/>
        <v>-3.0252788782972786</v>
      </c>
      <c r="BW15" s="84">
        <f>'RD T1'!E210</f>
        <v>15.684026105742438</v>
      </c>
      <c r="BX15" s="84">
        <f t="shared" si="45"/>
        <v>12.65874722744516</v>
      </c>
      <c r="BZ15" s="18" t="str">
        <f t="shared" si="46"/>
        <v xml:space="preserve"> 32 Health and social care associate professionals</v>
      </c>
      <c r="CA15" s="84">
        <v>25.760657684264217</v>
      </c>
      <c r="CB15" s="84">
        <v>21.991343625211027</v>
      </c>
      <c r="CC15" s="84">
        <v>25.932675682918081</v>
      </c>
      <c r="CD15" s="84">
        <v>19.65737161624493</v>
      </c>
      <c r="CE15" s="84">
        <v>17.491294459760041</v>
      </c>
      <c r="CF15" s="84"/>
      <c r="CG15" s="84">
        <f t="shared" si="47"/>
        <v>-8.4413812231580394</v>
      </c>
      <c r="CH15" s="84">
        <f>'RD T1'!E238</f>
        <v>5.8588207457331496</v>
      </c>
      <c r="CI15" s="84">
        <f t="shared" si="48"/>
        <v>-2.5825604774248898</v>
      </c>
      <c r="CK15" s="18" t="str">
        <f t="shared" si="49"/>
        <v xml:space="preserve"> 32 Health and social care associate professionals</v>
      </c>
      <c r="CL15" s="84">
        <v>2.9573285501364235</v>
      </c>
      <c r="CM15" s="84">
        <v>2.8864254230316391</v>
      </c>
      <c r="CN15" s="84">
        <v>3.6243044303710437</v>
      </c>
      <c r="CO15" s="84">
        <v>3.2786509091359255</v>
      </c>
      <c r="CP15" s="84">
        <v>4.6305193328799819</v>
      </c>
      <c r="CQ15" s="84"/>
      <c r="CR15" s="84">
        <f t="shared" si="50"/>
        <v>1.0062149025089382</v>
      </c>
      <c r="CS15" s="84">
        <f>'RD T1'!E266</f>
        <v>1.0256765224178945</v>
      </c>
      <c r="CT15" s="84">
        <f t="shared" si="51"/>
        <v>2.0318914249268327</v>
      </c>
    </row>
    <row r="16" spans="1:98" x14ac:dyDescent="0.25">
      <c r="A16" s="12" t="str">
        <f>name!D12</f>
        <v xml:space="preserve"> 33 Protective service occupations</v>
      </c>
      <c r="B16" s="84">
        <v>0.84879240487702046</v>
      </c>
      <c r="C16" s="84">
        <v>1.0922076382377957</v>
      </c>
      <c r="D16" s="84">
        <v>1.6870178935393156</v>
      </c>
      <c r="E16" s="84">
        <v>1.9863660157299434</v>
      </c>
      <c r="F16" s="84">
        <v>2.3526740236140347</v>
      </c>
      <c r="G16" s="13"/>
      <c r="H16" s="84">
        <f t="shared" si="26"/>
        <v>0.66565613007471902</v>
      </c>
      <c r="I16" s="84">
        <f>'RD T1'!E43</f>
        <v>0.50199611398347777</v>
      </c>
      <c r="J16" s="84">
        <f t="shared" si="27"/>
        <v>1.1676522440581967</v>
      </c>
      <c r="L16" s="18" t="str">
        <f t="shared" si="28"/>
        <v xml:space="preserve"> 33 Protective service occupations</v>
      </c>
      <c r="M16" s="84">
        <v>16.255607719585548</v>
      </c>
      <c r="N16" s="84">
        <v>18.054027006576547</v>
      </c>
      <c r="O16" s="84">
        <v>26.291902678048448</v>
      </c>
      <c r="P16" s="84">
        <v>29.01990804129769</v>
      </c>
      <c r="Q16" s="84">
        <v>33.694973675661821</v>
      </c>
      <c r="R16" s="13"/>
      <c r="S16" s="84">
        <f t="shared" si="29"/>
        <v>7.4030709976133728</v>
      </c>
      <c r="T16" s="84">
        <f>'RD T1'!E71</f>
        <v>6.7377013022953474</v>
      </c>
      <c r="U16" s="84">
        <f t="shared" si="30"/>
        <v>14.14077229990872</v>
      </c>
      <c r="W16" s="18" t="str">
        <f t="shared" si="31"/>
        <v xml:space="preserve"> 33 Protective service occupations</v>
      </c>
      <c r="X16" s="84">
        <v>65.262476298913995</v>
      </c>
      <c r="Y16" s="84">
        <v>82.853918298207631</v>
      </c>
      <c r="Z16" s="84">
        <v>98.494663680763637</v>
      </c>
      <c r="AA16" s="84">
        <v>120.38843744873489</v>
      </c>
      <c r="AB16" s="84">
        <v>136.7346603978562</v>
      </c>
      <c r="AC16" s="84"/>
      <c r="AD16" s="84">
        <f t="shared" si="32"/>
        <v>38.239996717092566</v>
      </c>
      <c r="AE16" s="84">
        <f>'RD T1'!E99</f>
        <v>34.340417567697052</v>
      </c>
      <c r="AF16" s="84">
        <f t="shared" si="33"/>
        <v>72.580414284789612</v>
      </c>
      <c r="AH16" s="18" t="str">
        <f t="shared" si="34"/>
        <v xml:space="preserve"> 33 Protective service occupations</v>
      </c>
      <c r="AI16" s="84">
        <v>17.829502569699031</v>
      </c>
      <c r="AJ16" s="84">
        <v>23.606186946361671</v>
      </c>
      <c r="AK16" s="84">
        <v>25.85830980228214</v>
      </c>
      <c r="AL16" s="84">
        <v>30.314851110329176</v>
      </c>
      <c r="AM16" s="84">
        <v>33.472177078298579</v>
      </c>
      <c r="AN16" s="84"/>
      <c r="AO16" s="84">
        <f t="shared" si="35"/>
        <v>7.613867276016439</v>
      </c>
      <c r="AP16" s="84">
        <f>'RD T1'!E127</f>
        <v>7.7188228692294674</v>
      </c>
      <c r="AQ16" s="84">
        <f t="shared" si="36"/>
        <v>15.332690145245905</v>
      </c>
      <c r="AS16" s="18" t="str">
        <f t="shared" si="37"/>
        <v xml:space="preserve"> 33 Protective service occupations</v>
      </c>
      <c r="AT16" s="84">
        <v>26.648059360050514</v>
      </c>
      <c r="AU16" s="84">
        <v>25.04610727834768</v>
      </c>
      <c r="AV16" s="84">
        <v>22.645899813726736</v>
      </c>
      <c r="AW16" s="84">
        <v>22.032748735015652</v>
      </c>
      <c r="AX16" s="84">
        <v>21.655942967104522</v>
      </c>
      <c r="AY16" s="84"/>
      <c r="AZ16" s="84">
        <f t="shared" si="38"/>
        <v>-0.9899568466222135</v>
      </c>
      <c r="BA16" s="84">
        <f>'RD T1'!E155</f>
        <v>5.4487278817594449</v>
      </c>
      <c r="BB16" s="84">
        <f t="shared" si="39"/>
        <v>4.4587710351372314</v>
      </c>
      <c r="BD16" s="18" t="str">
        <f t="shared" si="40"/>
        <v xml:space="preserve"> 33 Protective service occupations</v>
      </c>
      <c r="BE16" s="84">
        <v>99.01539939346749</v>
      </c>
      <c r="BF16" s="84">
        <v>80.833991019004429</v>
      </c>
      <c r="BG16" s="84">
        <v>75.690019981832904</v>
      </c>
      <c r="BH16" s="84">
        <v>63.05871504570927</v>
      </c>
      <c r="BI16" s="84">
        <v>55.01061405129856</v>
      </c>
      <c r="BJ16" s="84"/>
      <c r="BK16" s="84">
        <f t="shared" si="41"/>
        <v>-20.679405930534344</v>
      </c>
      <c r="BL16" s="84">
        <f>'RD T1'!E183</f>
        <v>10.911568821903273</v>
      </c>
      <c r="BM16" s="84">
        <f t="shared" si="42"/>
        <v>-9.7678371086310705</v>
      </c>
      <c r="BO16" s="18" t="str">
        <f t="shared" si="43"/>
        <v xml:space="preserve"> 33 Protective service occupations</v>
      </c>
      <c r="BP16" s="84">
        <v>99.650983941219224</v>
      </c>
      <c r="BQ16" s="84">
        <v>87.451928748379288</v>
      </c>
      <c r="BR16" s="84">
        <v>83.467875345467476</v>
      </c>
      <c r="BS16" s="84">
        <v>69.458992380466924</v>
      </c>
      <c r="BT16" s="84">
        <v>59.41149875534721</v>
      </c>
      <c r="BU16" s="84"/>
      <c r="BV16" s="84">
        <f t="shared" si="44"/>
        <v>-24.056376590120266</v>
      </c>
      <c r="BW16" s="84">
        <f>'RD T1'!E211</f>
        <v>13.915470143099663</v>
      </c>
      <c r="BX16" s="84">
        <f t="shared" si="45"/>
        <v>-10.140906447020603</v>
      </c>
      <c r="BZ16" s="18" t="str">
        <f t="shared" si="46"/>
        <v xml:space="preserve"> 33 Protective service occupations</v>
      </c>
      <c r="CA16" s="84">
        <v>63.506914025451316</v>
      </c>
      <c r="CB16" s="84">
        <v>47.162510537447645</v>
      </c>
      <c r="CC16" s="84">
        <v>45.350391106647045</v>
      </c>
      <c r="CD16" s="84">
        <v>35.466556544692637</v>
      </c>
      <c r="CE16" s="84">
        <v>29.851550514453859</v>
      </c>
      <c r="CF16" s="84"/>
      <c r="CG16" s="84">
        <f t="shared" si="47"/>
        <v>-15.498840592193186</v>
      </c>
      <c r="CH16" s="84">
        <f>'RD T1'!E239</f>
        <v>7.9960320505499585</v>
      </c>
      <c r="CI16" s="84">
        <f t="shared" si="48"/>
        <v>-7.502808541643228</v>
      </c>
      <c r="CK16" s="18" t="str">
        <f t="shared" si="49"/>
        <v xml:space="preserve"> 33 Protective service occupations</v>
      </c>
      <c r="CL16" s="84">
        <v>11.36848419394963</v>
      </c>
      <c r="CM16" s="84">
        <v>8.119055395255641</v>
      </c>
      <c r="CN16" s="84">
        <v>6.7631069172648752</v>
      </c>
      <c r="CO16" s="84">
        <v>4.5278066592954991</v>
      </c>
      <c r="CP16" s="84">
        <v>3.1866167365525921</v>
      </c>
      <c r="CQ16" s="84"/>
      <c r="CR16" s="84">
        <f t="shared" si="50"/>
        <v>-3.5764901807122831</v>
      </c>
      <c r="CS16" s="84">
        <f>'RD T1'!E267</f>
        <v>0.68074048648662222</v>
      </c>
      <c r="CT16" s="84">
        <f t="shared" si="51"/>
        <v>-2.8957496942256609</v>
      </c>
    </row>
    <row r="17" spans="1:98" x14ac:dyDescent="0.25">
      <c r="A17" s="12" t="str">
        <f>name!D13</f>
        <v xml:space="preserve"> 34 Culture, media and sports occupations</v>
      </c>
      <c r="B17" s="84">
        <v>5.0483209905306525</v>
      </c>
      <c r="C17" s="84">
        <v>6.2961171271617928</v>
      </c>
      <c r="D17" s="84">
        <v>10.102745679451035</v>
      </c>
      <c r="E17" s="84">
        <v>12.058002435708149</v>
      </c>
      <c r="F17" s="84">
        <v>13.450324188395015</v>
      </c>
      <c r="G17" s="13"/>
      <c r="H17" s="84">
        <f t="shared" si="26"/>
        <v>3.3475785089439807</v>
      </c>
      <c r="I17" s="84">
        <f>'RD T1'!E44</f>
        <v>4.4113220009555167</v>
      </c>
      <c r="J17" s="84">
        <f t="shared" si="27"/>
        <v>7.7589005098994974</v>
      </c>
      <c r="L17" s="18" t="str">
        <f t="shared" si="28"/>
        <v xml:space="preserve"> 34 Culture, media and sports occupations</v>
      </c>
      <c r="M17" s="84">
        <v>87.218805549012146</v>
      </c>
      <c r="N17" s="84">
        <v>110.58314994124639</v>
      </c>
      <c r="O17" s="84">
        <v>163.49130722362574</v>
      </c>
      <c r="P17" s="84">
        <v>183.57582455119856</v>
      </c>
      <c r="Q17" s="84">
        <v>195.32886192720363</v>
      </c>
      <c r="R17" s="13"/>
      <c r="S17" s="84">
        <f t="shared" si="29"/>
        <v>31.837554703577894</v>
      </c>
      <c r="T17" s="84">
        <f>'RD T1'!E72</f>
        <v>63.240359963905874</v>
      </c>
      <c r="U17" s="84">
        <f t="shared" si="30"/>
        <v>95.077914667483768</v>
      </c>
      <c r="W17" s="18" t="str">
        <f t="shared" si="31"/>
        <v xml:space="preserve"> 34 Culture, media and sports occupations</v>
      </c>
      <c r="X17" s="84">
        <v>235.58063362743673</v>
      </c>
      <c r="Y17" s="84">
        <v>294.2916859389386</v>
      </c>
      <c r="Z17" s="84">
        <v>323.44176150169676</v>
      </c>
      <c r="AA17" s="84">
        <v>371.04323473674907</v>
      </c>
      <c r="AB17" s="84">
        <v>384.22841385170557</v>
      </c>
      <c r="AC17" s="84"/>
      <c r="AD17" s="84">
        <f t="shared" si="32"/>
        <v>60.786652350008808</v>
      </c>
      <c r="AE17" s="84">
        <f>'RD T1'!E100</f>
        <v>123.03356294924323</v>
      </c>
      <c r="AF17" s="84">
        <f t="shared" si="33"/>
        <v>183.82021529925203</v>
      </c>
      <c r="AH17" s="18" t="str">
        <f t="shared" si="34"/>
        <v xml:space="preserve"> 34 Culture, media and sports occupations</v>
      </c>
      <c r="AI17" s="84">
        <v>33.312976931499172</v>
      </c>
      <c r="AJ17" s="84">
        <v>43.568653159330388</v>
      </c>
      <c r="AK17" s="84">
        <v>46.319201016779267</v>
      </c>
      <c r="AL17" s="84">
        <v>57.225991914789198</v>
      </c>
      <c r="AM17" s="84">
        <v>63.172858218923544</v>
      </c>
      <c r="AN17" s="84"/>
      <c r="AO17" s="84">
        <f t="shared" si="35"/>
        <v>16.853657202144277</v>
      </c>
      <c r="AP17" s="84">
        <f>'RD T1'!E128</f>
        <v>18.963247701981704</v>
      </c>
      <c r="AQ17" s="84">
        <f t="shared" si="36"/>
        <v>35.816904904125977</v>
      </c>
      <c r="AS17" s="18" t="str">
        <f t="shared" si="37"/>
        <v xml:space="preserve"> 34 Culture, media and sports occupations</v>
      </c>
      <c r="AT17" s="84">
        <v>59.39310279106936</v>
      </c>
      <c r="AU17" s="84">
        <v>49.994873352920472</v>
      </c>
      <c r="AV17" s="84">
        <v>50.132275596199342</v>
      </c>
      <c r="AW17" s="84">
        <v>53.804052810513738</v>
      </c>
      <c r="AX17" s="84">
        <v>53.861794739292002</v>
      </c>
      <c r="AY17" s="84"/>
      <c r="AZ17" s="84">
        <f t="shared" si="38"/>
        <v>3.7295191430926593</v>
      </c>
      <c r="BA17" s="84">
        <f>'RD T1'!E156</f>
        <v>17.019842674131439</v>
      </c>
      <c r="BB17" s="84">
        <f t="shared" si="39"/>
        <v>20.749361817224099</v>
      </c>
      <c r="BD17" s="18" t="str">
        <f t="shared" si="40"/>
        <v xml:space="preserve"> 34 Culture, media and sports occupations</v>
      </c>
      <c r="BE17" s="84">
        <v>109.38418172806337</v>
      </c>
      <c r="BF17" s="84">
        <v>104.7547190588303</v>
      </c>
      <c r="BG17" s="84">
        <v>120.25582139991468</v>
      </c>
      <c r="BH17" s="84">
        <v>110.58264276671726</v>
      </c>
      <c r="BI17" s="84">
        <v>104.4610141769535</v>
      </c>
      <c r="BJ17" s="84"/>
      <c r="BK17" s="84">
        <f t="shared" si="41"/>
        <v>-15.794807222961182</v>
      </c>
      <c r="BL17" s="84">
        <f>'RD T1'!E184</f>
        <v>28.663733364249346</v>
      </c>
      <c r="BM17" s="84">
        <f t="shared" si="42"/>
        <v>12.868926141288163</v>
      </c>
      <c r="BO17" s="18" t="str">
        <f t="shared" si="43"/>
        <v xml:space="preserve"> 34 Culture, media and sports occupations</v>
      </c>
      <c r="BP17" s="84">
        <v>96.939021778452101</v>
      </c>
      <c r="BQ17" s="84">
        <v>65.996701276757449</v>
      </c>
      <c r="BR17" s="84">
        <v>58.185352005543535</v>
      </c>
      <c r="BS17" s="84">
        <v>44.616260429334432</v>
      </c>
      <c r="BT17" s="84">
        <v>33.120234044312404</v>
      </c>
      <c r="BU17" s="84"/>
      <c r="BV17" s="84">
        <f t="shared" si="44"/>
        <v>-25.065117961231131</v>
      </c>
      <c r="BW17" s="84">
        <f>'RD T1'!E212</f>
        <v>11.189576924111249</v>
      </c>
      <c r="BX17" s="84">
        <f t="shared" si="45"/>
        <v>-13.875541037119882</v>
      </c>
      <c r="BZ17" s="18" t="str">
        <f t="shared" si="46"/>
        <v xml:space="preserve"> 34 Culture, media and sports occupations</v>
      </c>
      <c r="CA17" s="84">
        <v>63.297460218410841</v>
      </c>
      <c r="CB17" s="84">
        <v>46.129110389795386</v>
      </c>
      <c r="CC17" s="84">
        <v>50.021775597645444</v>
      </c>
      <c r="CD17" s="84">
        <v>36.354401882751354</v>
      </c>
      <c r="CE17" s="84">
        <v>28.141114805680772</v>
      </c>
      <c r="CF17" s="84"/>
      <c r="CG17" s="84">
        <f t="shared" si="47"/>
        <v>-21.880660791964672</v>
      </c>
      <c r="CH17" s="84">
        <f>'RD T1'!E240</f>
        <v>8.7521933858614549</v>
      </c>
      <c r="CI17" s="84">
        <f t="shared" si="48"/>
        <v>-13.128467406103217</v>
      </c>
      <c r="CK17" s="18" t="str">
        <f t="shared" si="49"/>
        <v xml:space="preserve"> 34 Culture, media and sports occupations</v>
      </c>
      <c r="CL17" s="84">
        <v>15.140933075096726</v>
      </c>
      <c r="CM17" s="84">
        <v>13.295475920868038</v>
      </c>
      <c r="CN17" s="84">
        <v>17.732788848129104</v>
      </c>
      <c r="CO17" s="84">
        <v>14.55366744293765</v>
      </c>
      <c r="CP17" s="84">
        <v>16.145132502585007</v>
      </c>
      <c r="CQ17" s="84"/>
      <c r="CR17" s="84">
        <f t="shared" si="50"/>
        <v>-1.5876563455440973</v>
      </c>
      <c r="CS17" s="84">
        <f>'RD T1'!E268</f>
        <v>3.3868915502366952</v>
      </c>
      <c r="CT17" s="84">
        <f t="shared" si="51"/>
        <v>1.7992352046925979</v>
      </c>
    </row>
    <row r="18" spans="1:98" x14ac:dyDescent="0.25">
      <c r="A18" s="12" t="str">
        <f>name!D14</f>
        <v xml:space="preserve"> 35 Business and public service associate professionals</v>
      </c>
      <c r="B18" s="84">
        <v>19.456581178534492</v>
      </c>
      <c r="C18" s="84">
        <v>22.361284204092932</v>
      </c>
      <c r="D18" s="84">
        <v>36.802959995373634</v>
      </c>
      <c r="E18" s="84">
        <v>45.662829419342259</v>
      </c>
      <c r="F18" s="84">
        <v>55.677806018785375</v>
      </c>
      <c r="G18" s="13"/>
      <c r="H18" s="84">
        <f t="shared" si="26"/>
        <v>18.874846023411742</v>
      </c>
      <c r="I18" s="84">
        <f>'RD T1'!E45</f>
        <v>14.924276887484778</v>
      </c>
      <c r="J18" s="84">
        <f t="shared" si="27"/>
        <v>33.799122910896521</v>
      </c>
      <c r="L18" s="18" t="str">
        <f t="shared" si="28"/>
        <v xml:space="preserve"> 35 Business and public service associate professionals</v>
      </c>
      <c r="M18" s="84">
        <v>191.70856632152848</v>
      </c>
      <c r="N18" s="84">
        <v>239.05458441796409</v>
      </c>
      <c r="O18" s="84">
        <v>375.72497325912707</v>
      </c>
      <c r="P18" s="84">
        <v>448.4899844377303</v>
      </c>
      <c r="Q18" s="84">
        <v>522.88692095001215</v>
      </c>
      <c r="R18" s="13"/>
      <c r="S18" s="84">
        <f t="shared" si="29"/>
        <v>147.16194769088509</v>
      </c>
      <c r="T18" s="84">
        <f>'RD T1'!E73</f>
        <v>151.48151648783409</v>
      </c>
      <c r="U18" s="84">
        <f t="shared" si="30"/>
        <v>298.64346417871917</v>
      </c>
      <c r="W18" s="18" t="str">
        <f t="shared" si="31"/>
        <v xml:space="preserve"> 35 Business and public service associate professionals</v>
      </c>
      <c r="X18" s="84">
        <v>506.9569855303144</v>
      </c>
      <c r="Y18" s="84">
        <v>592.3717205612478</v>
      </c>
      <c r="Z18" s="84">
        <v>686.15631446033251</v>
      </c>
      <c r="AA18" s="84">
        <v>831.12007959545008</v>
      </c>
      <c r="AB18" s="84">
        <v>911.63746109004398</v>
      </c>
      <c r="AC18" s="84"/>
      <c r="AD18" s="84">
        <f t="shared" si="32"/>
        <v>225.48114662971147</v>
      </c>
      <c r="AE18" s="84">
        <f>'RD T1'!E101</f>
        <v>285.54783967438203</v>
      </c>
      <c r="AF18" s="84">
        <f t="shared" si="33"/>
        <v>511.02898630409351</v>
      </c>
      <c r="AH18" s="18" t="str">
        <f t="shared" si="34"/>
        <v xml:space="preserve"> 35 Business and public service associate professionals</v>
      </c>
      <c r="AI18" s="84">
        <v>138.05720473899254</v>
      </c>
      <c r="AJ18" s="84">
        <v>157.4675039343112</v>
      </c>
      <c r="AK18" s="84">
        <v>173.84706546484497</v>
      </c>
      <c r="AL18" s="84">
        <v>211.65151726677547</v>
      </c>
      <c r="AM18" s="84">
        <v>234.92016656794047</v>
      </c>
      <c r="AN18" s="84"/>
      <c r="AO18" s="84">
        <f t="shared" si="35"/>
        <v>61.073101103095496</v>
      </c>
      <c r="AP18" s="84">
        <f>'RD T1'!E129</f>
        <v>70.464238567605733</v>
      </c>
      <c r="AQ18" s="84">
        <f t="shared" si="36"/>
        <v>131.53733967070121</v>
      </c>
      <c r="AS18" s="18" t="str">
        <f t="shared" si="37"/>
        <v xml:space="preserve"> 35 Business and public service associate professionals</v>
      </c>
      <c r="AT18" s="84">
        <v>148.8052633439404</v>
      </c>
      <c r="AU18" s="84">
        <v>148.65682299673432</v>
      </c>
      <c r="AV18" s="84">
        <v>160.90563263697715</v>
      </c>
      <c r="AW18" s="84">
        <v>190.46866955746211</v>
      </c>
      <c r="AX18" s="84">
        <v>208.37943346451999</v>
      </c>
      <c r="AY18" s="84"/>
      <c r="AZ18" s="84">
        <f t="shared" si="38"/>
        <v>47.473800827542846</v>
      </c>
      <c r="BA18" s="84">
        <f>'RD T1'!E157</f>
        <v>61.560921337092452</v>
      </c>
      <c r="BB18" s="84">
        <f t="shared" si="39"/>
        <v>109.0347221646353</v>
      </c>
      <c r="BD18" s="18" t="str">
        <f t="shared" si="40"/>
        <v xml:space="preserve"> 35 Business and public service associate professionals</v>
      </c>
      <c r="BE18" s="84">
        <v>384.91003978255026</v>
      </c>
      <c r="BF18" s="84">
        <v>373.02248179451891</v>
      </c>
      <c r="BG18" s="84">
        <v>426.30619011374267</v>
      </c>
      <c r="BH18" s="84">
        <v>394.33566510180401</v>
      </c>
      <c r="BI18" s="84">
        <v>378.31441800940183</v>
      </c>
      <c r="BJ18" s="84"/>
      <c r="BK18" s="84">
        <f t="shared" si="41"/>
        <v>-47.991772104340839</v>
      </c>
      <c r="BL18" s="84">
        <f>'RD T1'!E185</f>
        <v>112.87208486238289</v>
      </c>
      <c r="BM18" s="84">
        <f t="shared" si="42"/>
        <v>64.880312758042052</v>
      </c>
      <c r="BO18" s="18" t="str">
        <f t="shared" si="43"/>
        <v xml:space="preserve"> 35 Business and public service associate professionals</v>
      </c>
      <c r="BP18" s="84">
        <v>358.22228524295599</v>
      </c>
      <c r="BQ18" s="84">
        <v>327.84873817786695</v>
      </c>
      <c r="BR18" s="84">
        <v>343.24509242735934</v>
      </c>
      <c r="BS18" s="84">
        <v>299.4228313289891</v>
      </c>
      <c r="BT18" s="84">
        <v>267.4193620226215</v>
      </c>
      <c r="BU18" s="84"/>
      <c r="BV18" s="84">
        <f t="shared" si="44"/>
        <v>-75.82573040473784</v>
      </c>
      <c r="BW18" s="84">
        <f>'RD T1'!E213</f>
        <v>80.855278470315795</v>
      </c>
      <c r="BX18" s="84">
        <f t="shared" si="45"/>
        <v>5.0295480655779556</v>
      </c>
      <c r="BZ18" s="18" t="str">
        <f t="shared" si="46"/>
        <v xml:space="preserve"> 35 Business and public service associate professionals</v>
      </c>
      <c r="CA18" s="84">
        <v>258.66126647159683</v>
      </c>
      <c r="CB18" s="84">
        <v>192.12991170595564</v>
      </c>
      <c r="CC18" s="84">
        <v>212.39608163843531</v>
      </c>
      <c r="CD18" s="84">
        <v>164.23379288582495</v>
      </c>
      <c r="CE18" s="84">
        <v>136.38091160351377</v>
      </c>
      <c r="CF18" s="84"/>
      <c r="CG18" s="84">
        <f t="shared" si="47"/>
        <v>-76.015170034921539</v>
      </c>
      <c r="CH18" s="84">
        <f>'RD T1'!E241</f>
        <v>39.625189723502658</v>
      </c>
      <c r="CI18" s="84">
        <f t="shared" si="48"/>
        <v>-36.389980311418881</v>
      </c>
      <c r="CK18" s="18" t="str">
        <f t="shared" si="49"/>
        <v xml:space="preserve"> 35 Business and public service associate professionals</v>
      </c>
      <c r="CL18" s="84">
        <v>51.814852216796119</v>
      </c>
      <c r="CM18" s="84">
        <v>38.020975881487672</v>
      </c>
      <c r="CN18" s="84">
        <v>42.034450061584245</v>
      </c>
      <c r="CO18" s="84">
        <v>31.827382467776857</v>
      </c>
      <c r="CP18" s="84">
        <v>33.705428209954633</v>
      </c>
      <c r="CQ18" s="84"/>
      <c r="CR18" s="84">
        <f t="shared" si="50"/>
        <v>-8.3290218516296122</v>
      </c>
      <c r="CS18" s="84">
        <f>'RD T1'!E269</f>
        <v>7.328107715689482</v>
      </c>
      <c r="CT18" s="84">
        <f t="shared" si="51"/>
        <v>-1.0009141359401301</v>
      </c>
    </row>
    <row r="19" spans="1:98" x14ac:dyDescent="0.25">
      <c r="A19" s="12" t="str">
        <f>name!D15</f>
        <v xml:space="preserve"> 41 Administrative occupations</v>
      </c>
      <c r="B19" s="84">
        <v>11.917290501708694</v>
      </c>
      <c r="C19" s="84">
        <v>11.512312377310121</v>
      </c>
      <c r="D19" s="84">
        <v>16.664037401165782</v>
      </c>
      <c r="E19" s="84">
        <v>19.763447746436569</v>
      </c>
      <c r="F19" s="84">
        <v>22.83324177167351</v>
      </c>
      <c r="G19" s="13"/>
      <c r="H19" s="84">
        <f t="shared" si="26"/>
        <v>6.1692043705077282</v>
      </c>
      <c r="I19" s="84">
        <f>'RD T1'!E46</f>
        <v>7.1619132067162123</v>
      </c>
      <c r="J19" s="84">
        <f t="shared" si="27"/>
        <v>13.331117577223941</v>
      </c>
      <c r="L19" s="18" t="str">
        <f t="shared" si="28"/>
        <v xml:space="preserve"> 41 Administrative occupations</v>
      </c>
      <c r="M19" s="84">
        <v>110.84734278303077</v>
      </c>
      <c r="N19" s="84">
        <v>135.25049420072546</v>
      </c>
      <c r="O19" s="84">
        <v>192.37018653564658</v>
      </c>
      <c r="P19" s="84">
        <v>219.72244701777927</v>
      </c>
      <c r="Q19" s="84">
        <v>247.74511266196589</v>
      </c>
      <c r="R19" s="13"/>
      <c r="S19" s="84">
        <f t="shared" si="29"/>
        <v>55.374926126319309</v>
      </c>
      <c r="T19" s="84">
        <f>'RD T1'!E74</f>
        <v>81.125502485119185</v>
      </c>
      <c r="U19" s="84">
        <f t="shared" si="30"/>
        <v>136.50042861143851</v>
      </c>
      <c r="W19" s="18" t="str">
        <f t="shared" si="31"/>
        <v xml:space="preserve"> 41 Administrative occupations</v>
      </c>
      <c r="X19" s="84">
        <v>418.52991625395845</v>
      </c>
      <c r="Y19" s="84">
        <v>510.26765834753672</v>
      </c>
      <c r="Z19" s="84">
        <v>584.56063153452305</v>
      </c>
      <c r="AA19" s="84">
        <v>699.0096458169711</v>
      </c>
      <c r="AB19" s="84">
        <v>774.81422797627272</v>
      </c>
      <c r="AC19" s="84"/>
      <c r="AD19" s="84">
        <f t="shared" si="32"/>
        <v>190.25359644174966</v>
      </c>
      <c r="AE19" s="84">
        <f>'RD T1'!E102</f>
        <v>267.79391729435156</v>
      </c>
      <c r="AF19" s="84">
        <f t="shared" si="33"/>
        <v>458.04751373610122</v>
      </c>
      <c r="AH19" s="18" t="str">
        <f t="shared" si="34"/>
        <v xml:space="preserve"> 41 Administrative occupations</v>
      </c>
      <c r="AI19" s="84">
        <v>150.03605367486341</v>
      </c>
      <c r="AJ19" s="84">
        <v>186.16239220993268</v>
      </c>
      <c r="AK19" s="84">
        <v>204.64308070939518</v>
      </c>
      <c r="AL19" s="84">
        <v>237.45500104872681</v>
      </c>
      <c r="AM19" s="84">
        <v>259.63978665416494</v>
      </c>
      <c r="AN19" s="84"/>
      <c r="AO19" s="84">
        <f t="shared" si="35"/>
        <v>54.996705944769758</v>
      </c>
      <c r="AP19" s="84">
        <f>'RD T1'!E130</f>
        <v>96.607494972026316</v>
      </c>
      <c r="AQ19" s="84">
        <f t="shared" si="36"/>
        <v>151.60420091679606</v>
      </c>
      <c r="AS19" s="18" t="str">
        <f t="shared" si="37"/>
        <v xml:space="preserve"> 41 Administrative occupations</v>
      </c>
      <c r="AT19" s="84">
        <v>168.14076388119716</v>
      </c>
      <c r="AU19" s="84">
        <v>182.74019177462753</v>
      </c>
      <c r="AV19" s="84">
        <v>194.39111700769115</v>
      </c>
      <c r="AW19" s="84">
        <v>223.43017620789738</v>
      </c>
      <c r="AX19" s="84">
        <v>243.17998475590599</v>
      </c>
      <c r="AY19" s="84"/>
      <c r="AZ19" s="84">
        <f t="shared" si="38"/>
        <v>48.788867748214841</v>
      </c>
      <c r="BA19" s="84">
        <f>'RD T1'!E158</f>
        <v>86.091996513445423</v>
      </c>
      <c r="BB19" s="84">
        <f t="shared" si="39"/>
        <v>134.88086426166026</v>
      </c>
      <c r="BD19" s="18" t="str">
        <f t="shared" si="40"/>
        <v xml:space="preserve"> 41 Administrative occupations</v>
      </c>
      <c r="BE19" s="84">
        <v>637.82547695020742</v>
      </c>
      <c r="BF19" s="84">
        <v>591.99927797088708</v>
      </c>
      <c r="BG19" s="84">
        <v>611.9124820418424</v>
      </c>
      <c r="BH19" s="84">
        <v>541.22842731058154</v>
      </c>
      <c r="BI19" s="84">
        <v>489.38958022824312</v>
      </c>
      <c r="BJ19" s="84"/>
      <c r="BK19" s="84">
        <f t="shared" si="41"/>
        <v>-122.52290181359928</v>
      </c>
      <c r="BL19" s="84">
        <f>'RD T1'!E186</f>
        <v>177.81530785050069</v>
      </c>
      <c r="BM19" s="84">
        <f t="shared" si="42"/>
        <v>55.292406036901411</v>
      </c>
      <c r="BO19" s="18" t="str">
        <f t="shared" si="43"/>
        <v xml:space="preserve"> 41 Administrative occupations</v>
      </c>
      <c r="BP19" s="84">
        <v>795.43813504331729</v>
      </c>
      <c r="BQ19" s="84">
        <v>713.7797533152733</v>
      </c>
      <c r="BR19" s="84">
        <v>684.19734014775668</v>
      </c>
      <c r="BS19" s="84">
        <v>572.65687493881137</v>
      </c>
      <c r="BT19" s="84">
        <v>470.45348382772193</v>
      </c>
      <c r="BU19" s="84"/>
      <c r="BV19" s="84">
        <f t="shared" si="44"/>
        <v>-213.74385632003475</v>
      </c>
      <c r="BW19" s="84">
        <f>'RD T1'!E214</f>
        <v>172.73936715872642</v>
      </c>
      <c r="BX19" s="84">
        <f t="shared" si="45"/>
        <v>-41.004489161308328</v>
      </c>
      <c r="BZ19" s="18" t="str">
        <f t="shared" si="46"/>
        <v xml:space="preserve"> 41 Administrative occupations</v>
      </c>
      <c r="CA19" s="84">
        <v>586.80747623397042</v>
      </c>
      <c r="CB19" s="84">
        <v>400.24652591598829</v>
      </c>
      <c r="CC19" s="84">
        <v>357.23199300873472</v>
      </c>
      <c r="CD19" s="84">
        <v>230.07872690741763</v>
      </c>
      <c r="CE19" s="84">
        <v>132.4893774882359</v>
      </c>
      <c r="CF19" s="84"/>
      <c r="CG19" s="84">
        <f t="shared" si="47"/>
        <v>-224.74261552049882</v>
      </c>
      <c r="CH19" s="84">
        <f>'RD T1'!E242</f>
        <v>58.053275644133372</v>
      </c>
      <c r="CI19" s="84">
        <f t="shared" si="48"/>
        <v>-166.68933987636544</v>
      </c>
      <c r="CK19" s="18" t="str">
        <f t="shared" si="49"/>
        <v xml:space="preserve"> 41 Administrative occupations</v>
      </c>
      <c r="CL19" s="84">
        <v>150.49809012971014</v>
      </c>
      <c r="CM19" s="84">
        <v>90.378589711407656</v>
      </c>
      <c r="CN19" s="84">
        <v>85.831303649284408</v>
      </c>
      <c r="CO19" s="84">
        <v>58.269921401395358</v>
      </c>
      <c r="CP19" s="84">
        <v>47.692831015827963</v>
      </c>
      <c r="CQ19" s="84"/>
      <c r="CR19" s="84">
        <f t="shared" si="50"/>
        <v>-38.138472633456445</v>
      </c>
      <c r="CS19" s="84">
        <f>'RD T1'!E270</f>
        <v>13.108691141534383</v>
      </c>
      <c r="CT19" s="84">
        <f t="shared" si="51"/>
        <v>-25.029781491922062</v>
      </c>
    </row>
    <row r="20" spans="1:98" x14ac:dyDescent="0.25">
      <c r="A20" s="12" t="str">
        <f>name!D16</f>
        <v xml:space="preserve"> 42 Secretarial and related occupations</v>
      </c>
      <c r="B20" s="84">
        <v>0.6167460104718393</v>
      </c>
      <c r="C20" s="84">
        <v>1.1120434970113271</v>
      </c>
      <c r="D20" s="84">
        <v>1.7525263064144636</v>
      </c>
      <c r="E20" s="84">
        <v>1.8814769349863329</v>
      </c>
      <c r="F20" s="84">
        <v>2.1603029877122304</v>
      </c>
      <c r="G20" s="13"/>
      <c r="H20" s="84">
        <f t="shared" si="26"/>
        <v>0.40777668129776679</v>
      </c>
      <c r="I20" s="84">
        <f>'RD T1'!E47</f>
        <v>0.8089180545852106</v>
      </c>
      <c r="J20" s="84">
        <f t="shared" si="27"/>
        <v>1.2166947358829774</v>
      </c>
      <c r="L20" s="18" t="str">
        <f t="shared" si="28"/>
        <v xml:space="preserve"> 42 Secretarial and related occupations</v>
      </c>
      <c r="M20" s="84">
        <v>18.074562369607364</v>
      </c>
      <c r="N20" s="84">
        <v>27.325930288641185</v>
      </c>
      <c r="O20" s="84">
        <v>34.20136552535957</v>
      </c>
      <c r="P20" s="84">
        <v>32.372619077152912</v>
      </c>
      <c r="Q20" s="84">
        <v>31.305063872465741</v>
      </c>
      <c r="R20" s="13"/>
      <c r="S20" s="84">
        <f t="shared" si="29"/>
        <v>-2.896301652893829</v>
      </c>
      <c r="T20" s="84">
        <f>'RD T1'!E75</f>
        <v>12.482286278999471</v>
      </c>
      <c r="U20" s="84">
        <f t="shared" si="30"/>
        <v>9.5859846261056418</v>
      </c>
      <c r="W20" s="18" t="str">
        <f t="shared" si="31"/>
        <v xml:space="preserve"> 42 Secretarial and related occupations</v>
      </c>
      <c r="X20" s="84">
        <v>90.746380739503351</v>
      </c>
      <c r="Y20" s="84">
        <v>111.30676428281872</v>
      </c>
      <c r="Z20" s="84">
        <v>111.56272379884851</v>
      </c>
      <c r="AA20" s="84">
        <v>113.2546386375782</v>
      </c>
      <c r="AB20" s="84">
        <v>114.24061232795707</v>
      </c>
      <c r="AC20" s="84"/>
      <c r="AD20" s="84">
        <f t="shared" si="32"/>
        <v>2.6778885291085572</v>
      </c>
      <c r="AE20" s="84">
        <f>'RD T1'!E103</f>
        <v>47.319867213410348</v>
      </c>
      <c r="AF20" s="84">
        <f t="shared" si="33"/>
        <v>49.997755742518905</v>
      </c>
      <c r="AH20" s="18" t="str">
        <f t="shared" si="34"/>
        <v xml:space="preserve"> 42 Secretarial and related occupations</v>
      </c>
      <c r="AI20" s="84">
        <v>52.23610443987382</v>
      </c>
      <c r="AJ20" s="84">
        <v>55.077654881202186</v>
      </c>
      <c r="AK20" s="84">
        <v>49.91840765664724</v>
      </c>
      <c r="AL20" s="84">
        <v>47.929455251156348</v>
      </c>
      <c r="AM20" s="84">
        <v>45.6866097963347</v>
      </c>
      <c r="AN20" s="84"/>
      <c r="AO20" s="84">
        <f t="shared" si="35"/>
        <v>-4.2317978603125397</v>
      </c>
      <c r="AP20" s="84">
        <f>'RD T1'!E131</f>
        <v>19.498755548612838</v>
      </c>
      <c r="AQ20" s="84">
        <f t="shared" si="36"/>
        <v>15.266957688300298</v>
      </c>
      <c r="AS20" s="18" t="str">
        <f t="shared" si="37"/>
        <v xml:space="preserve"> 42 Secretarial and related occupations</v>
      </c>
      <c r="AT20" s="84">
        <v>45.388812165646939</v>
      </c>
      <c r="AU20" s="84">
        <v>44.515286286689822</v>
      </c>
      <c r="AV20" s="84">
        <v>38.811945161256503</v>
      </c>
      <c r="AW20" s="84">
        <v>34.753798929504704</v>
      </c>
      <c r="AX20" s="84">
        <v>30.397857450665821</v>
      </c>
      <c r="AY20" s="84"/>
      <c r="AZ20" s="84">
        <f t="shared" si="38"/>
        <v>-8.4140877105906817</v>
      </c>
      <c r="BA20" s="84">
        <f>'RD T1'!E159</f>
        <v>13.251046858682324</v>
      </c>
      <c r="BB20" s="84">
        <f t="shared" si="39"/>
        <v>4.8369591480916423</v>
      </c>
      <c r="BD20" s="18" t="str">
        <f t="shared" si="40"/>
        <v xml:space="preserve"> 42 Secretarial and related occupations</v>
      </c>
      <c r="BE20" s="84">
        <v>172.95621292840036</v>
      </c>
      <c r="BF20" s="84">
        <v>167.8759048151332</v>
      </c>
      <c r="BG20" s="84">
        <v>142.33622831180384</v>
      </c>
      <c r="BH20" s="84">
        <v>103.71982563827004</v>
      </c>
      <c r="BI20" s="84">
        <v>66.039213687982638</v>
      </c>
      <c r="BJ20" s="84"/>
      <c r="BK20" s="84">
        <f t="shared" si="41"/>
        <v>-76.297014623821198</v>
      </c>
      <c r="BL20" s="84">
        <f>'RD T1'!E187</f>
        <v>33.969691476447586</v>
      </c>
      <c r="BM20" s="84">
        <f t="shared" si="42"/>
        <v>-42.327323147373612</v>
      </c>
      <c r="BO20" s="18" t="str">
        <f t="shared" si="43"/>
        <v xml:space="preserve"> 42 Secretarial and related occupations</v>
      </c>
      <c r="BP20" s="84">
        <v>287.95519510532381</v>
      </c>
      <c r="BQ20" s="84">
        <v>229.61193119085863</v>
      </c>
      <c r="BR20" s="84">
        <v>171.11487163698959</v>
      </c>
      <c r="BS20" s="84">
        <v>110.86177023924881</v>
      </c>
      <c r="BT20" s="84">
        <v>52.553528026995011</v>
      </c>
      <c r="BU20" s="84"/>
      <c r="BV20" s="84">
        <f t="shared" si="44"/>
        <v>-118.56134360999458</v>
      </c>
      <c r="BW20" s="84">
        <f>'RD T1'!E215</f>
        <v>33.394069261358339</v>
      </c>
      <c r="BX20" s="84">
        <f t="shared" si="45"/>
        <v>-85.167274348636241</v>
      </c>
      <c r="BZ20" s="18" t="str">
        <f t="shared" si="46"/>
        <v xml:space="preserve"> 42 Secretarial and related occupations</v>
      </c>
      <c r="CA20" s="84">
        <v>271.70232777982903</v>
      </c>
      <c r="CB20" s="84">
        <v>190.22128147671106</v>
      </c>
      <c r="CC20" s="84">
        <v>161.19807579329603</v>
      </c>
      <c r="CD20" s="84">
        <v>87.110335216017603</v>
      </c>
      <c r="CE20" s="84">
        <v>27.359254279622597</v>
      </c>
      <c r="CF20" s="84"/>
      <c r="CG20" s="84">
        <f t="shared" si="47"/>
        <v>-133.83882151367342</v>
      </c>
      <c r="CH20" s="84">
        <f>'RD T1'!E243</f>
        <v>23.749543246678115</v>
      </c>
      <c r="CI20" s="84">
        <f t="shared" si="48"/>
        <v>-110.08927826699531</v>
      </c>
      <c r="CK20" s="18" t="str">
        <f t="shared" si="49"/>
        <v xml:space="preserve"> 42 Secretarial and related occupations</v>
      </c>
      <c r="CL20" s="84">
        <v>53.660605721617841</v>
      </c>
      <c r="CM20" s="84">
        <v>37.305130676134119</v>
      </c>
      <c r="CN20" s="84">
        <v>38.08808131539994</v>
      </c>
      <c r="CO20" s="84">
        <v>25.587774896717669</v>
      </c>
      <c r="CP20" s="84">
        <v>19.175008140420932</v>
      </c>
      <c r="CQ20" s="84"/>
      <c r="CR20" s="84">
        <f t="shared" si="50"/>
        <v>-18.913073174979008</v>
      </c>
      <c r="CS20" s="84">
        <f>'RD T1'!E271</f>
        <v>7.1882840925549001</v>
      </c>
      <c r="CT20" s="84">
        <f t="shared" si="51"/>
        <v>-11.724789082424108</v>
      </c>
    </row>
    <row r="21" spans="1:98" x14ac:dyDescent="0.25">
      <c r="A21" s="12" t="str">
        <f>name!D17</f>
        <v xml:space="preserve"> 51 Skilled agricultural and related trades</v>
      </c>
      <c r="B21" s="84">
        <v>4.5308337122257236E-2</v>
      </c>
      <c r="C21" s="84">
        <v>0.65374439260592854</v>
      </c>
      <c r="D21" s="84">
        <v>0.8886531154141103</v>
      </c>
      <c r="E21" s="84">
        <v>1.1149047322627157</v>
      </c>
      <c r="F21" s="84">
        <v>1.3150650291269688</v>
      </c>
      <c r="G21" s="13"/>
      <c r="H21" s="84">
        <f t="shared" si="26"/>
        <v>0.42641191371285847</v>
      </c>
      <c r="I21" s="84">
        <f>'RD T1'!E48</f>
        <v>0.52167907176456885</v>
      </c>
      <c r="J21" s="84">
        <f t="shared" si="27"/>
        <v>0.94809098547742732</v>
      </c>
      <c r="L21" s="18" t="str">
        <f t="shared" si="28"/>
        <v xml:space="preserve"> 51 Skilled agricultural and related trades</v>
      </c>
      <c r="M21" s="84">
        <v>3.9460276196995174</v>
      </c>
      <c r="N21" s="84">
        <v>4.5505492783017987</v>
      </c>
      <c r="O21" s="84">
        <v>4.7551897034515216</v>
      </c>
      <c r="P21" s="84">
        <v>4.6126297154228393</v>
      </c>
      <c r="Q21" s="84">
        <v>4.9730449796886127</v>
      </c>
      <c r="R21" s="13"/>
      <c r="S21" s="84">
        <f t="shared" si="29"/>
        <v>0.21785527623709111</v>
      </c>
      <c r="T21" s="84">
        <f>'RD T1'!E76</f>
        <v>1.6640296997202852</v>
      </c>
      <c r="U21" s="84">
        <f t="shared" si="30"/>
        <v>1.8818849759573764</v>
      </c>
      <c r="W21" s="18" t="str">
        <f t="shared" si="31"/>
        <v xml:space="preserve"> 51 Skilled agricultural and related trades</v>
      </c>
      <c r="X21" s="84">
        <v>23.777228962073199</v>
      </c>
      <c r="Y21" s="84">
        <v>37.707925336699248</v>
      </c>
      <c r="Z21" s="84">
        <v>43.111379589418434</v>
      </c>
      <c r="AA21" s="84">
        <v>55.563656911967925</v>
      </c>
      <c r="AB21" s="84">
        <v>64.982575819641525</v>
      </c>
      <c r="AC21" s="84"/>
      <c r="AD21" s="84">
        <f t="shared" si="32"/>
        <v>21.871196230223092</v>
      </c>
      <c r="AE21" s="84">
        <f>'RD T1'!E104</f>
        <v>24.552193817128568</v>
      </c>
      <c r="AF21" s="84">
        <f t="shared" si="33"/>
        <v>46.42339004735166</v>
      </c>
      <c r="AH21" s="18" t="str">
        <f t="shared" si="34"/>
        <v xml:space="preserve"> 51 Skilled agricultural and related trades</v>
      </c>
      <c r="AI21" s="84">
        <v>17.187446513793105</v>
      </c>
      <c r="AJ21" s="84">
        <v>18.928986911051894</v>
      </c>
      <c r="AK21" s="84">
        <v>21.335392061142464</v>
      </c>
      <c r="AL21" s="84">
        <v>28.285664531933445</v>
      </c>
      <c r="AM21" s="84">
        <v>33.804261266460124</v>
      </c>
      <c r="AN21" s="84"/>
      <c r="AO21" s="84">
        <f t="shared" si="35"/>
        <v>12.46886920531766</v>
      </c>
      <c r="AP21" s="84">
        <f>'RD T1'!E132</f>
        <v>13.590460920056893</v>
      </c>
      <c r="AQ21" s="84">
        <f t="shared" si="36"/>
        <v>26.059330125374551</v>
      </c>
      <c r="AS21" s="18" t="str">
        <f t="shared" si="37"/>
        <v xml:space="preserve"> 51 Skilled agricultural and related trades</v>
      </c>
      <c r="AT21" s="84">
        <v>19.753359528730126</v>
      </c>
      <c r="AU21" s="84">
        <v>30.742150608426822</v>
      </c>
      <c r="AV21" s="84">
        <v>32.917420393591513</v>
      </c>
      <c r="AW21" s="84">
        <v>41.160351609603289</v>
      </c>
      <c r="AX21" s="84">
        <v>48.743654042115615</v>
      </c>
      <c r="AY21" s="84"/>
      <c r="AZ21" s="84">
        <f t="shared" si="38"/>
        <v>15.826233648524102</v>
      </c>
      <c r="BA21" s="84">
        <f>'RD T1'!E160</f>
        <v>17.723598670508785</v>
      </c>
      <c r="BB21" s="84">
        <f t="shared" si="39"/>
        <v>33.549832319032888</v>
      </c>
      <c r="BD21" s="18" t="str">
        <f t="shared" si="40"/>
        <v xml:space="preserve"> 51 Skilled agricultural and related trades</v>
      </c>
      <c r="BE21" s="84">
        <v>57.530329324252854</v>
      </c>
      <c r="BF21" s="84">
        <v>55.175889859200794</v>
      </c>
      <c r="BG21" s="84">
        <v>53.009822597831068</v>
      </c>
      <c r="BH21" s="84">
        <v>47.408993236942244</v>
      </c>
      <c r="BI21" s="84">
        <v>46.799066061438033</v>
      </c>
      <c r="BJ21" s="84"/>
      <c r="BK21" s="84">
        <f t="shared" si="41"/>
        <v>-6.2107565363930348</v>
      </c>
      <c r="BL21" s="84">
        <f>'RD T1'!E188</f>
        <v>16.317011011504327</v>
      </c>
      <c r="BM21" s="84">
        <f t="shared" si="42"/>
        <v>10.106254475111292</v>
      </c>
      <c r="BO21" s="18" t="str">
        <f t="shared" si="43"/>
        <v xml:space="preserve"> 51 Skilled agricultural and related trades</v>
      </c>
      <c r="BP21" s="84">
        <v>73.334740699524062</v>
      </c>
      <c r="BQ21" s="84">
        <v>87.404873423729214</v>
      </c>
      <c r="BR21" s="84">
        <v>83.203890228505884</v>
      </c>
      <c r="BS21" s="84">
        <v>77.523288628868826</v>
      </c>
      <c r="BT21" s="84">
        <v>78.827196655670292</v>
      </c>
      <c r="BU21" s="84"/>
      <c r="BV21" s="84">
        <f t="shared" si="44"/>
        <v>-4.3766935728355918</v>
      </c>
      <c r="BW21" s="84">
        <f>'RD T1'!E216</f>
        <v>28.351174895794173</v>
      </c>
      <c r="BX21" s="84">
        <f t="shared" si="45"/>
        <v>23.974481322958582</v>
      </c>
      <c r="BZ21" s="18" t="str">
        <f t="shared" si="46"/>
        <v xml:space="preserve"> 51 Skilled agricultural and related trades</v>
      </c>
      <c r="CA21" s="84">
        <v>68.334227072951862</v>
      </c>
      <c r="CB21" s="84">
        <v>69.235735711696762</v>
      </c>
      <c r="CC21" s="84">
        <v>65.26010133682766</v>
      </c>
      <c r="CD21" s="84">
        <v>55.847038820199792</v>
      </c>
      <c r="CE21" s="84">
        <v>51.946864844011301</v>
      </c>
      <c r="CF21" s="84"/>
      <c r="CG21" s="84">
        <f t="shared" si="47"/>
        <v>-13.313236492816358</v>
      </c>
      <c r="CH21" s="84">
        <f>'RD T1'!E244</f>
        <v>17.94612282279143</v>
      </c>
      <c r="CI21" s="84">
        <f t="shared" si="48"/>
        <v>4.6328863299750722</v>
      </c>
      <c r="CK21" s="18" t="str">
        <f t="shared" si="49"/>
        <v xml:space="preserve"> 51 Skilled agricultural and related trades</v>
      </c>
      <c r="CL21" s="84">
        <v>62.687017613125988</v>
      </c>
      <c r="CM21" s="84">
        <v>56.7685372364068</v>
      </c>
      <c r="CN21" s="84">
        <v>50.479297214984847</v>
      </c>
      <c r="CO21" s="84">
        <v>37.648328725779876</v>
      </c>
      <c r="CP21" s="84">
        <v>29.036843824636463</v>
      </c>
      <c r="CQ21" s="84"/>
      <c r="CR21" s="84">
        <f t="shared" si="50"/>
        <v>-21.442453390348383</v>
      </c>
      <c r="CS21" s="84">
        <f>'RD T1'!E272</f>
        <v>9.2305014793130677</v>
      </c>
      <c r="CT21" s="84">
        <f t="shared" si="51"/>
        <v>-12.211951911035316</v>
      </c>
    </row>
    <row r="22" spans="1:98" x14ac:dyDescent="0.25">
      <c r="A22" s="12" t="str">
        <f>name!D18</f>
        <v xml:space="preserve"> 52 Skilled metal, electrical and electronic trades</v>
      </c>
      <c r="B22" s="84">
        <v>0.76170984780023177</v>
      </c>
      <c r="C22" s="84">
        <v>1.1104353150627821</v>
      </c>
      <c r="D22" s="84">
        <v>1.4089075812846301</v>
      </c>
      <c r="E22" s="84">
        <v>1.7385492570751393</v>
      </c>
      <c r="F22" s="84">
        <v>2.1908102910455254</v>
      </c>
      <c r="G22" s="13"/>
      <c r="H22" s="84">
        <f t="shared" si="26"/>
        <v>0.78190270976089526</v>
      </c>
      <c r="I22" s="84">
        <f>'RD T1'!E49</f>
        <v>0.54760233408568282</v>
      </c>
      <c r="J22" s="84">
        <f t="shared" si="27"/>
        <v>1.3295050438465781</v>
      </c>
      <c r="L22" s="18" t="str">
        <f t="shared" si="28"/>
        <v xml:space="preserve"> 52 Skilled metal, electrical and electronic trades</v>
      </c>
      <c r="M22" s="84">
        <v>9.9928238965131939</v>
      </c>
      <c r="N22" s="84">
        <v>20.403457937167268</v>
      </c>
      <c r="O22" s="84">
        <v>27.418344362304239</v>
      </c>
      <c r="P22" s="84">
        <v>31.372789733628039</v>
      </c>
      <c r="Q22" s="84">
        <v>35.779939368270895</v>
      </c>
      <c r="R22" s="13"/>
      <c r="S22" s="84">
        <f t="shared" si="29"/>
        <v>8.3615950059666559</v>
      </c>
      <c r="T22" s="84">
        <f>'RD T1'!E77</f>
        <v>9.9737132398200092</v>
      </c>
      <c r="U22" s="84">
        <f t="shared" si="30"/>
        <v>18.335308245786663</v>
      </c>
      <c r="W22" s="18" t="str">
        <f t="shared" si="31"/>
        <v xml:space="preserve"> 52 Skilled metal, electrical and electronic trades</v>
      </c>
      <c r="X22" s="84">
        <v>48.531874649624527</v>
      </c>
      <c r="Y22" s="84">
        <v>64.357645473752484</v>
      </c>
      <c r="Z22" s="84">
        <v>72.054795184350851</v>
      </c>
      <c r="AA22" s="84">
        <v>89.962874779450175</v>
      </c>
      <c r="AB22" s="84">
        <v>101.30840960846851</v>
      </c>
      <c r="AC22" s="84"/>
      <c r="AD22" s="84">
        <f t="shared" si="32"/>
        <v>29.253614424117657</v>
      </c>
      <c r="AE22" s="84">
        <f>'RD T1'!E105</f>
        <v>29.902469241899354</v>
      </c>
      <c r="AF22" s="84">
        <f t="shared" si="33"/>
        <v>59.156083666017011</v>
      </c>
      <c r="AH22" s="18" t="str">
        <f t="shared" si="34"/>
        <v xml:space="preserve"> 52 Skilled metal, electrical and electronic trades</v>
      </c>
      <c r="AI22" s="84">
        <v>14.845123161598796</v>
      </c>
      <c r="AJ22" s="84">
        <v>23.041732264921301</v>
      </c>
      <c r="AK22" s="84">
        <v>24.404477989701384</v>
      </c>
      <c r="AL22" s="84">
        <v>29.635511046806474</v>
      </c>
      <c r="AM22" s="84">
        <v>32.665954081986577</v>
      </c>
      <c r="AN22" s="84"/>
      <c r="AO22" s="84">
        <f t="shared" si="35"/>
        <v>8.2614760922851929</v>
      </c>
      <c r="AP22" s="84">
        <f>'RD T1'!E133</f>
        <v>9.2643596417260277</v>
      </c>
      <c r="AQ22" s="84">
        <f t="shared" si="36"/>
        <v>17.525835734011221</v>
      </c>
      <c r="AS22" s="18" t="str">
        <f t="shared" si="37"/>
        <v xml:space="preserve"> 52 Skilled metal, electrical and electronic trades</v>
      </c>
      <c r="AT22" s="84">
        <v>90.11012948489423</v>
      </c>
      <c r="AU22" s="84">
        <v>98.145263738176567</v>
      </c>
      <c r="AV22" s="84">
        <v>101.75285027876107</v>
      </c>
      <c r="AW22" s="84">
        <v>120.23558116715871</v>
      </c>
      <c r="AX22" s="84">
        <v>131.07742468690117</v>
      </c>
      <c r="AY22" s="84"/>
      <c r="AZ22" s="84">
        <f t="shared" si="38"/>
        <v>29.324574408140094</v>
      </c>
      <c r="BA22" s="84">
        <f>'RD T1'!E161</f>
        <v>36.949220235759981</v>
      </c>
      <c r="BB22" s="84">
        <f t="shared" si="39"/>
        <v>66.273794643900075</v>
      </c>
      <c r="BD22" s="18" t="str">
        <f t="shared" si="40"/>
        <v xml:space="preserve"> 52 Skilled metal, electrical and electronic trades</v>
      </c>
      <c r="BE22" s="84">
        <v>522.48182420277715</v>
      </c>
      <c r="BF22" s="84">
        <v>479.28049047494449</v>
      </c>
      <c r="BG22" s="84">
        <v>509.10568924980123</v>
      </c>
      <c r="BH22" s="84">
        <v>444.23292113458086</v>
      </c>
      <c r="BI22" s="84">
        <v>408.92692433906768</v>
      </c>
      <c r="BJ22" s="84"/>
      <c r="BK22" s="84">
        <f t="shared" si="41"/>
        <v>-100.17876491073355</v>
      </c>
      <c r="BL22" s="84">
        <f>'RD T1'!E189</f>
        <v>105.74459402809198</v>
      </c>
      <c r="BM22" s="84">
        <f t="shared" si="42"/>
        <v>5.5658291173584331</v>
      </c>
      <c r="BO22" s="18" t="str">
        <f t="shared" si="43"/>
        <v xml:space="preserve"> 52 Skilled metal, electrical and electronic trades</v>
      </c>
      <c r="BP22" s="84">
        <v>305.11113190831946</v>
      </c>
      <c r="BQ22" s="84">
        <v>307.30451250507798</v>
      </c>
      <c r="BR22" s="84">
        <v>293.48253815562282</v>
      </c>
      <c r="BS22" s="84">
        <v>249.23766643161477</v>
      </c>
      <c r="BT22" s="84">
        <v>217.77655090823842</v>
      </c>
      <c r="BU22" s="84"/>
      <c r="BV22" s="84">
        <f t="shared" si="44"/>
        <v>-75.7059872473844</v>
      </c>
      <c r="BW22" s="84">
        <f>'RD T1'!E217</f>
        <v>62.756871841800958</v>
      </c>
      <c r="BX22" s="84">
        <f t="shared" si="45"/>
        <v>-12.949115405583441</v>
      </c>
      <c r="BZ22" s="18" t="str">
        <f t="shared" si="46"/>
        <v xml:space="preserve"> 52 Skilled metal, electrical and electronic trades</v>
      </c>
      <c r="CA22" s="84">
        <v>197.50764404096896</v>
      </c>
      <c r="CB22" s="84">
        <v>150.93015725194857</v>
      </c>
      <c r="CC22" s="84">
        <v>144.3697953954655</v>
      </c>
      <c r="CD22" s="84">
        <v>115.00880110472235</v>
      </c>
      <c r="CE22" s="84">
        <v>89.447162681840936</v>
      </c>
      <c r="CF22" s="84"/>
      <c r="CG22" s="84">
        <f t="shared" si="47"/>
        <v>-54.922632713624566</v>
      </c>
      <c r="CH22" s="84">
        <f>'RD T1'!E245</f>
        <v>27.139823545265241</v>
      </c>
      <c r="CI22" s="84">
        <f t="shared" si="48"/>
        <v>-27.782809168359325</v>
      </c>
      <c r="CK22" s="18" t="str">
        <f t="shared" si="49"/>
        <v xml:space="preserve"> 52 Skilled metal, electrical and electronic trades</v>
      </c>
      <c r="CL22" s="84">
        <v>89.850891283924781</v>
      </c>
      <c r="CM22" s="84">
        <v>62.592603172959649</v>
      </c>
      <c r="CN22" s="84">
        <v>54.043563894962247</v>
      </c>
      <c r="CO22" s="84">
        <v>36.809156173955294</v>
      </c>
      <c r="CP22" s="84">
        <v>24.635763299469524</v>
      </c>
      <c r="CQ22" s="84"/>
      <c r="CR22" s="84">
        <f t="shared" si="50"/>
        <v>-29.407800595492724</v>
      </c>
      <c r="CS22" s="84">
        <f>'RD T1'!E273</f>
        <v>7.6861836286152201</v>
      </c>
      <c r="CT22" s="84">
        <f t="shared" si="51"/>
        <v>-21.721616966877505</v>
      </c>
    </row>
    <row r="23" spans="1:98" x14ac:dyDescent="0.25">
      <c r="A23" s="12" t="str">
        <f>name!D19</f>
        <v xml:space="preserve"> 53 Skilled construction and building trades</v>
      </c>
      <c r="B23" s="84">
        <v>0.19950104184566769</v>
      </c>
      <c r="C23" s="84">
        <v>0.38148295671368099</v>
      </c>
      <c r="D23" s="84">
        <v>0.49699512297141513</v>
      </c>
      <c r="E23" s="84">
        <v>0.59337107013397095</v>
      </c>
      <c r="F23" s="84">
        <v>0.67760938178570196</v>
      </c>
      <c r="G23" s="13"/>
      <c r="H23" s="84">
        <f t="shared" si="26"/>
        <v>0.18061425881428683</v>
      </c>
      <c r="I23" s="84">
        <f>'RD T1'!E50</f>
        <v>0.18149514829625144</v>
      </c>
      <c r="J23" s="84">
        <f t="shared" si="27"/>
        <v>0.36210940711053829</v>
      </c>
      <c r="L23" s="18" t="str">
        <f t="shared" si="28"/>
        <v xml:space="preserve"> 53 Skilled construction and building trades</v>
      </c>
      <c r="M23" s="84">
        <v>13.204128424232643</v>
      </c>
      <c r="N23" s="84">
        <v>8.7654102428095051</v>
      </c>
      <c r="O23" s="84">
        <v>13.649069397277223</v>
      </c>
      <c r="P23" s="84">
        <v>19.072112314464754</v>
      </c>
      <c r="Q23" s="84">
        <v>23.711023136946807</v>
      </c>
      <c r="R23" s="13"/>
      <c r="S23" s="84">
        <f t="shared" si="29"/>
        <v>10.061953739669583</v>
      </c>
      <c r="T23" s="84">
        <f>'RD T1'!E78</f>
        <v>6.5813001294620888</v>
      </c>
      <c r="U23" s="84">
        <f t="shared" si="30"/>
        <v>16.643253869131673</v>
      </c>
      <c r="W23" s="18" t="str">
        <f t="shared" si="31"/>
        <v xml:space="preserve"> 53 Skilled construction and building trades</v>
      </c>
      <c r="X23" s="84">
        <v>30.989726093885917</v>
      </c>
      <c r="Y23" s="84">
        <v>35.462555110363503</v>
      </c>
      <c r="Z23" s="84">
        <v>40.201652327263552</v>
      </c>
      <c r="AA23" s="84">
        <v>57.290726180401236</v>
      </c>
      <c r="AB23" s="84">
        <v>66.592278088254687</v>
      </c>
      <c r="AC23" s="84"/>
      <c r="AD23" s="84">
        <f t="shared" si="32"/>
        <v>26.390625760991135</v>
      </c>
      <c r="AE23" s="84">
        <f>'RD T1'!E106</f>
        <v>20.284393698985387</v>
      </c>
      <c r="AF23" s="84">
        <f t="shared" si="33"/>
        <v>46.675019459976525</v>
      </c>
      <c r="AH23" s="18" t="str">
        <f t="shared" si="34"/>
        <v xml:space="preserve"> 53 Skilled construction and building trades</v>
      </c>
      <c r="AI23" s="84">
        <v>16.895927735349257</v>
      </c>
      <c r="AJ23" s="84">
        <v>20.4110976458308</v>
      </c>
      <c r="AK23" s="84">
        <v>25.297901320116267</v>
      </c>
      <c r="AL23" s="84">
        <v>38.171392014365125</v>
      </c>
      <c r="AM23" s="84">
        <v>44.591940888673868</v>
      </c>
      <c r="AN23" s="84"/>
      <c r="AO23" s="84">
        <f t="shared" si="35"/>
        <v>19.294039568557601</v>
      </c>
      <c r="AP23" s="84">
        <f>'RD T1'!E134</f>
        <v>14.399253970320013</v>
      </c>
      <c r="AQ23" s="84">
        <f t="shared" si="36"/>
        <v>33.693293538877612</v>
      </c>
      <c r="AS23" s="18" t="str">
        <f t="shared" si="37"/>
        <v xml:space="preserve"> 53 Skilled construction and building trades</v>
      </c>
      <c r="AT23" s="84">
        <v>33.175580144222288</v>
      </c>
      <c r="AU23" s="84">
        <v>33.4112957160959</v>
      </c>
      <c r="AV23" s="84">
        <v>37.790895357838849</v>
      </c>
      <c r="AW23" s="84">
        <v>54.045083202787488</v>
      </c>
      <c r="AX23" s="84">
        <v>61.522065974629967</v>
      </c>
      <c r="AY23" s="84"/>
      <c r="AZ23" s="84">
        <f t="shared" si="38"/>
        <v>23.731170616791118</v>
      </c>
      <c r="BA23" s="84">
        <f>'RD T1'!E162</f>
        <v>19.691689251236998</v>
      </c>
      <c r="BB23" s="84">
        <f t="shared" si="39"/>
        <v>43.422859868028112</v>
      </c>
      <c r="BD23" s="18" t="str">
        <f t="shared" si="40"/>
        <v xml:space="preserve"> 53 Skilled construction and building trades</v>
      </c>
      <c r="BE23" s="84">
        <v>409.92799711008939</v>
      </c>
      <c r="BF23" s="84">
        <v>351.4040957451661</v>
      </c>
      <c r="BG23" s="84">
        <v>374.31874507950721</v>
      </c>
      <c r="BH23" s="84">
        <v>354.43331850002482</v>
      </c>
      <c r="BI23" s="84">
        <v>337.54384055090327</v>
      </c>
      <c r="BJ23" s="84"/>
      <c r="BK23" s="84">
        <f t="shared" si="41"/>
        <v>-36.77490452860394</v>
      </c>
      <c r="BL23" s="84">
        <f>'RD T1'!E190</f>
        <v>90.659192907329995</v>
      </c>
      <c r="BM23" s="84">
        <f t="shared" si="42"/>
        <v>53.884288378726055</v>
      </c>
      <c r="BO23" s="18" t="str">
        <f t="shared" si="43"/>
        <v xml:space="preserve"> 53 Skilled construction and building trades</v>
      </c>
      <c r="BP23" s="84">
        <v>308.6162175937921</v>
      </c>
      <c r="BQ23" s="84">
        <v>302.11517339955083</v>
      </c>
      <c r="BR23" s="84">
        <v>332.16524950637313</v>
      </c>
      <c r="BS23" s="84">
        <v>347.39101851130869</v>
      </c>
      <c r="BT23" s="84">
        <v>356.62394534164383</v>
      </c>
      <c r="BU23" s="84"/>
      <c r="BV23" s="84">
        <f t="shared" si="44"/>
        <v>24.458695835270703</v>
      </c>
      <c r="BW23" s="84">
        <f>'RD T1'!E218</f>
        <v>103.79574981965646</v>
      </c>
      <c r="BX23" s="84">
        <f t="shared" si="45"/>
        <v>128.25444565492717</v>
      </c>
      <c r="BZ23" s="18" t="str">
        <f t="shared" si="46"/>
        <v xml:space="preserve"> 53 Skilled construction and building trades</v>
      </c>
      <c r="CA23" s="84">
        <v>175.34284629822017</v>
      </c>
      <c r="CB23" s="84">
        <v>153.40217493145036</v>
      </c>
      <c r="CC23" s="84">
        <v>162.38448793481905</v>
      </c>
      <c r="CD23" s="84">
        <v>153.31870191274646</v>
      </c>
      <c r="CE23" s="84">
        <v>141.73356481166184</v>
      </c>
      <c r="CF23" s="84"/>
      <c r="CG23" s="84">
        <f t="shared" si="47"/>
        <v>-20.650923123157213</v>
      </c>
      <c r="CH23" s="84">
        <f>'RD T1'!E246</f>
        <v>40.747124765481203</v>
      </c>
      <c r="CI23" s="84">
        <f t="shared" si="48"/>
        <v>20.09620164232399</v>
      </c>
      <c r="CK23" s="18" t="str">
        <f t="shared" si="49"/>
        <v xml:space="preserve"> 53 Skilled construction and building trades</v>
      </c>
      <c r="CL23" s="84">
        <v>145.6753722936954</v>
      </c>
      <c r="CM23" s="84">
        <v>91.83391497783721</v>
      </c>
      <c r="CN23" s="84">
        <v>82.799989631805019</v>
      </c>
      <c r="CO23" s="84">
        <v>59.344752991285191</v>
      </c>
      <c r="CP23" s="84">
        <v>30.881515642913776</v>
      </c>
      <c r="CQ23" s="84"/>
      <c r="CR23" s="84">
        <f t="shared" si="50"/>
        <v>-51.918473988891243</v>
      </c>
      <c r="CS23" s="84">
        <f>'RD T1'!E274</f>
        <v>11.564928064149425</v>
      </c>
      <c r="CT23" s="84">
        <f t="shared" si="51"/>
        <v>-40.353545924741816</v>
      </c>
    </row>
    <row r="24" spans="1:98" x14ac:dyDescent="0.25">
      <c r="A24" s="12" t="str">
        <f>name!D20</f>
        <v xml:space="preserve"> 54 Textiles, printing and other skilled trades</v>
      </c>
      <c r="B24" s="84">
        <v>0.28885817176433659</v>
      </c>
      <c r="C24" s="84">
        <v>2.0793996583584824</v>
      </c>
      <c r="D24" s="84">
        <v>2.7574568218805133</v>
      </c>
      <c r="E24" s="84">
        <v>3.3603666319096788</v>
      </c>
      <c r="F24" s="84">
        <v>3.9404828059608046</v>
      </c>
      <c r="G24" s="13"/>
      <c r="H24" s="84">
        <f t="shared" si="26"/>
        <v>1.1830259840802912</v>
      </c>
      <c r="I24" s="84">
        <f>'RD T1'!E51</f>
        <v>1.1518064005405377</v>
      </c>
      <c r="J24" s="84">
        <f t="shared" si="27"/>
        <v>2.334832384620829</v>
      </c>
      <c r="L24" s="18" t="str">
        <f t="shared" si="28"/>
        <v xml:space="preserve"> 54 Textiles, printing and other skilled trades</v>
      </c>
      <c r="M24" s="84">
        <v>14.700376201935942</v>
      </c>
      <c r="N24" s="84">
        <v>18.483508761463245</v>
      </c>
      <c r="O24" s="84">
        <v>25.616823189196264</v>
      </c>
      <c r="P24" s="84">
        <v>31.23781776514776</v>
      </c>
      <c r="Q24" s="84">
        <v>35.91341169954746</v>
      </c>
      <c r="R24" s="13"/>
      <c r="S24" s="84">
        <f t="shared" si="29"/>
        <v>10.296588510351196</v>
      </c>
      <c r="T24" s="84">
        <f>'RD T1'!E79</f>
        <v>11.364839333691721</v>
      </c>
      <c r="U24" s="84">
        <f t="shared" si="30"/>
        <v>21.661427844042919</v>
      </c>
      <c r="W24" s="18" t="str">
        <f t="shared" si="31"/>
        <v xml:space="preserve"> 54 Textiles, printing and other skilled trades</v>
      </c>
      <c r="X24" s="84">
        <v>45.689065569439563</v>
      </c>
      <c r="Y24" s="84">
        <v>61.870434717308214</v>
      </c>
      <c r="Z24" s="84">
        <v>66.534762187296039</v>
      </c>
      <c r="AA24" s="84">
        <v>85.938462182680212</v>
      </c>
      <c r="AB24" s="84">
        <v>97.331006148034277</v>
      </c>
      <c r="AC24" s="84"/>
      <c r="AD24" s="84">
        <f t="shared" si="32"/>
        <v>30.796243960738238</v>
      </c>
      <c r="AE24" s="84">
        <f>'RD T1'!E107</f>
        <v>31.241836699311563</v>
      </c>
      <c r="AF24" s="84">
        <f t="shared" si="33"/>
        <v>62.0380806600498</v>
      </c>
      <c r="AH24" s="18" t="str">
        <f t="shared" si="34"/>
        <v xml:space="preserve"> 54 Textiles, printing and other skilled trades</v>
      </c>
      <c r="AI24" s="84">
        <v>24.505860906782992</v>
      </c>
      <c r="AJ24" s="84">
        <v>24.053967260248463</v>
      </c>
      <c r="AK24" s="84">
        <v>23.618136998893782</v>
      </c>
      <c r="AL24" s="84">
        <v>27.560699230839454</v>
      </c>
      <c r="AM24" s="84">
        <v>29.457405832447417</v>
      </c>
      <c r="AN24" s="84"/>
      <c r="AO24" s="84">
        <f t="shared" si="35"/>
        <v>5.8392688335536356</v>
      </c>
      <c r="AP24" s="84">
        <f>'RD T1'!E135</f>
        <v>10.129194826051023</v>
      </c>
      <c r="AQ24" s="84">
        <f t="shared" si="36"/>
        <v>15.968463659604659</v>
      </c>
      <c r="AS24" s="18" t="str">
        <f t="shared" si="37"/>
        <v xml:space="preserve"> 54 Textiles, printing and other skilled trades</v>
      </c>
      <c r="AT24" s="84">
        <v>25.370168242985862</v>
      </c>
      <c r="AU24" s="84">
        <v>29.264269234023935</v>
      </c>
      <c r="AV24" s="84">
        <v>29.325927524765568</v>
      </c>
      <c r="AW24" s="84">
        <v>35.282508725521708</v>
      </c>
      <c r="AX24" s="84">
        <v>38.407515074801275</v>
      </c>
      <c r="AY24" s="84"/>
      <c r="AZ24" s="84">
        <f t="shared" si="38"/>
        <v>9.0815875500357066</v>
      </c>
      <c r="BA24" s="84">
        <f>'RD T1'!E163</f>
        <v>12.29323550426194</v>
      </c>
      <c r="BB24" s="84">
        <f t="shared" si="39"/>
        <v>21.374823054297647</v>
      </c>
      <c r="BD24" s="18" t="str">
        <f t="shared" si="40"/>
        <v xml:space="preserve"> 54 Textiles, printing and other skilled trades</v>
      </c>
      <c r="BE24" s="84">
        <v>200.65253055109366</v>
      </c>
      <c r="BF24" s="84">
        <v>187.84671372966761</v>
      </c>
      <c r="BG24" s="84">
        <v>192.87443578323004</v>
      </c>
      <c r="BH24" s="84">
        <v>182.99641429936278</v>
      </c>
      <c r="BI24" s="84">
        <v>177.40092203415281</v>
      </c>
      <c r="BJ24" s="84"/>
      <c r="BK24" s="84">
        <f t="shared" si="41"/>
        <v>-15.473513749077227</v>
      </c>
      <c r="BL24" s="84">
        <f>'RD T1'!E191</f>
        <v>49.782600188951314</v>
      </c>
      <c r="BM24" s="84">
        <f t="shared" si="42"/>
        <v>34.309086439874086</v>
      </c>
      <c r="BO24" s="18" t="str">
        <f t="shared" si="43"/>
        <v xml:space="preserve"> 54 Textiles, printing and other skilled trades</v>
      </c>
      <c r="BP24" s="84">
        <v>218.21880391849581</v>
      </c>
      <c r="BQ24" s="84">
        <v>219.90747034903302</v>
      </c>
      <c r="BR24" s="84">
        <v>196.98191774919286</v>
      </c>
      <c r="BS24" s="84">
        <v>160.95168288926706</v>
      </c>
      <c r="BT24" s="84">
        <v>126.33510558977703</v>
      </c>
      <c r="BU24" s="84"/>
      <c r="BV24" s="84">
        <f t="shared" si="44"/>
        <v>-70.64681215941583</v>
      </c>
      <c r="BW24" s="84">
        <f>'RD T1'!E219</f>
        <v>42.057578232677656</v>
      </c>
      <c r="BX24" s="84">
        <f t="shared" si="45"/>
        <v>-28.589233926738174</v>
      </c>
      <c r="BZ24" s="18" t="str">
        <f t="shared" si="46"/>
        <v xml:space="preserve"> 54 Textiles, printing and other skilled trades</v>
      </c>
      <c r="CA24" s="84">
        <v>195.38081931318777</v>
      </c>
      <c r="CB24" s="84">
        <v>169.97509733690094</v>
      </c>
      <c r="CC24" s="84">
        <v>170.10818650340534</v>
      </c>
      <c r="CD24" s="84">
        <v>138.66016913363018</v>
      </c>
      <c r="CE24" s="84">
        <v>117.35179937361788</v>
      </c>
      <c r="CF24" s="84"/>
      <c r="CG24" s="84">
        <f t="shared" si="47"/>
        <v>-52.756387129787456</v>
      </c>
      <c r="CH24" s="84">
        <f>'RD T1'!E247</f>
        <v>33.603654435814612</v>
      </c>
      <c r="CI24" s="84">
        <f t="shared" si="48"/>
        <v>-19.152732693972844</v>
      </c>
      <c r="CK24" s="18" t="str">
        <f t="shared" si="49"/>
        <v xml:space="preserve"> 54 Textiles, printing and other skilled trades</v>
      </c>
      <c r="CL24" s="84">
        <v>118.99270996975144</v>
      </c>
      <c r="CM24" s="84">
        <v>82.037682281444035</v>
      </c>
      <c r="CN24" s="84">
        <v>72.911618102940565</v>
      </c>
      <c r="CO24" s="84">
        <v>51.905946976718923</v>
      </c>
      <c r="CP24" s="84">
        <v>31.932608011773571</v>
      </c>
      <c r="CQ24" s="84"/>
      <c r="CR24" s="84">
        <f t="shared" si="50"/>
        <v>-40.979010091166998</v>
      </c>
      <c r="CS24" s="84">
        <f>'RD T1'!E275</f>
        <v>9.976632478529476</v>
      </c>
      <c r="CT24" s="84">
        <f t="shared" si="51"/>
        <v>-31.002377612637524</v>
      </c>
    </row>
    <row r="25" spans="1:98" x14ac:dyDescent="0.25">
      <c r="A25" s="12" t="str">
        <f>name!D21</f>
        <v xml:space="preserve"> 61 Caring personal service occupations</v>
      </c>
      <c r="B25" s="84">
        <v>1.8049040749056269</v>
      </c>
      <c r="C25" s="84">
        <v>1.3505299115813869</v>
      </c>
      <c r="D25" s="84">
        <v>2.1703394505887266</v>
      </c>
      <c r="E25" s="84">
        <v>2.8436869138918093</v>
      </c>
      <c r="F25" s="84">
        <v>3.5276865795336252</v>
      </c>
      <c r="G25" s="13"/>
      <c r="H25" s="84">
        <f t="shared" si="26"/>
        <v>1.3573471289448986</v>
      </c>
      <c r="I25" s="84">
        <f>'RD T1'!E52</f>
        <v>1.1094611141578017</v>
      </c>
      <c r="J25" s="84">
        <f t="shared" si="27"/>
        <v>2.4668082431027001</v>
      </c>
      <c r="L25" s="18" t="str">
        <f t="shared" si="28"/>
        <v xml:space="preserve"> 61 Caring personal service occupations</v>
      </c>
      <c r="M25" s="84">
        <v>45.030467810125295</v>
      </c>
      <c r="N25" s="84">
        <v>59.954444853775982</v>
      </c>
      <c r="O25" s="84">
        <v>103.19218410270646</v>
      </c>
      <c r="P25" s="84">
        <v>138.08208155673267</v>
      </c>
      <c r="Q25" s="84">
        <v>172.56519431683873</v>
      </c>
      <c r="R25" s="13"/>
      <c r="S25" s="84">
        <f t="shared" si="29"/>
        <v>69.373010214132265</v>
      </c>
      <c r="T25" s="84">
        <f>'RD T1'!E80</f>
        <v>56.746803361777005</v>
      </c>
      <c r="U25" s="84">
        <f t="shared" si="30"/>
        <v>126.11981357590926</v>
      </c>
      <c r="W25" s="18" t="str">
        <f t="shared" si="31"/>
        <v xml:space="preserve"> 61 Caring personal service occupations</v>
      </c>
      <c r="X25" s="84">
        <v>151.19528367319239</v>
      </c>
      <c r="Y25" s="84">
        <v>222.55976129713434</v>
      </c>
      <c r="Z25" s="84">
        <v>305.3483931309363</v>
      </c>
      <c r="AA25" s="84">
        <v>417.38652627839411</v>
      </c>
      <c r="AB25" s="84">
        <v>491.04690139731116</v>
      </c>
      <c r="AC25" s="84"/>
      <c r="AD25" s="84">
        <f t="shared" si="32"/>
        <v>185.69850826637486</v>
      </c>
      <c r="AE25" s="84">
        <f>'RD T1'!E108</f>
        <v>186.14483999083802</v>
      </c>
      <c r="AF25" s="84">
        <f t="shared" si="33"/>
        <v>371.84334825721288</v>
      </c>
      <c r="AH25" s="18" t="str">
        <f t="shared" si="34"/>
        <v xml:space="preserve"> 61 Caring personal service occupations</v>
      </c>
      <c r="AI25" s="84">
        <v>172.74914738464886</v>
      </c>
      <c r="AJ25" s="84">
        <v>224.93621996334815</v>
      </c>
      <c r="AK25" s="84">
        <v>263.85445600921787</v>
      </c>
      <c r="AL25" s="84">
        <v>311.62072412797176</v>
      </c>
      <c r="AM25" s="84">
        <v>342.37041500772244</v>
      </c>
      <c r="AN25" s="84"/>
      <c r="AO25" s="84">
        <f t="shared" si="35"/>
        <v>78.515958998504573</v>
      </c>
      <c r="AP25" s="84">
        <f>'RD T1'!E136</f>
        <v>126.82304815187948</v>
      </c>
      <c r="AQ25" s="84">
        <f t="shared" si="36"/>
        <v>205.33900715038405</v>
      </c>
      <c r="AS25" s="18" t="str">
        <f t="shared" si="37"/>
        <v xml:space="preserve"> 61 Caring personal service occupations</v>
      </c>
      <c r="AT25" s="84">
        <v>81.920666893967606</v>
      </c>
      <c r="AU25" s="84">
        <v>119.08859331753365</v>
      </c>
      <c r="AV25" s="84">
        <v>146.46667412379537</v>
      </c>
      <c r="AW25" s="84">
        <v>185.58863682418882</v>
      </c>
      <c r="AX25" s="84">
        <v>209.51143358317353</v>
      </c>
      <c r="AY25" s="84"/>
      <c r="AZ25" s="84">
        <f t="shared" si="38"/>
        <v>63.044759459378156</v>
      </c>
      <c r="BA25" s="84">
        <f>'RD T1'!E164</f>
        <v>76.695879057586296</v>
      </c>
      <c r="BB25" s="84">
        <f t="shared" si="39"/>
        <v>139.74063851696445</v>
      </c>
      <c r="BD25" s="18" t="str">
        <f t="shared" si="40"/>
        <v xml:space="preserve"> 61 Caring personal service occupations</v>
      </c>
      <c r="BE25" s="84">
        <v>497.78621243544512</v>
      </c>
      <c r="BF25" s="84">
        <v>671.56942288329833</v>
      </c>
      <c r="BG25" s="84">
        <v>895.97762724582572</v>
      </c>
      <c r="BH25" s="84">
        <v>980.49355936157895</v>
      </c>
      <c r="BI25" s="84">
        <v>1101.0454167958831</v>
      </c>
      <c r="BJ25" s="84"/>
      <c r="BK25" s="84">
        <f t="shared" si="41"/>
        <v>205.06778955005734</v>
      </c>
      <c r="BL25" s="84">
        <f>'RD T1'!E192</f>
        <v>383.02868518128975</v>
      </c>
      <c r="BM25" s="84">
        <f t="shared" si="42"/>
        <v>588.09647473134714</v>
      </c>
      <c r="BO25" s="18" t="str">
        <f t="shared" si="43"/>
        <v xml:space="preserve"> 61 Caring personal service occupations</v>
      </c>
      <c r="BP25" s="84">
        <v>553.93799453482666</v>
      </c>
      <c r="BQ25" s="84">
        <v>605.68531834829389</v>
      </c>
      <c r="BR25" s="84">
        <v>678.36386057257357</v>
      </c>
      <c r="BS25" s="84">
        <v>646.21664591581805</v>
      </c>
      <c r="BT25" s="84">
        <v>642.20659492786319</v>
      </c>
      <c r="BU25" s="84"/>
      <c r="BV25" s="84">
        <f t="shared" si="44"/>
        <v>-36.157265644710378</v>
      </c>
      <c r="BW25" s="84">
        <f>'RD T1'!E220</f>
        <v>220.29784551009053</v>
      </c>
      <c r="BX25" s="84">
        <f t="shared" si="45"/>
        <v>184.14057986538015</v>
      </c>
      <c r="BZ25" s="18" t="str">
        <f t="shared" si="46"/>
        <v xml:space="preserve"> 61 Caring personal service occupations</v>
      </c>
      <c r="CA25" s="84">
        <v>335.73766055589397</v>
      </c>
      <c r="CB25" s="84">
        <v>226.98842571603203</v>
      </c>
      <c r="CC25" s="84">
        <v>155.58706388852983</v>
      </c>
      <c r="CD25" s="84">
        <v>83.232077638052431</v>
      </c>
      <c r="CE25" s="84">
        <v>67.592354525811004</v>
      </c>
      <c r="CF25" s="84"/>
      <c r="CG25" s="84">
        <f t="shared" si="47"/>
        <v>-87.994709362718822</v>
      </c>
      <c r="CH25" s="84">
        <f>'RD T1'!E248</f>
        <v>19.333389275824906</v>
      </c>
      <c r="CI25" s="84">
        <f t="shared" si="48"/>
        <v>-68.661320086893909</v>
      </c>
      <c r="CK25" s="18" t="str">
        <f t="shared" si="49"/>
        <v xml:space="preserve"> 61 Caring personal service occupations</v>
      </c>
      <c r="CL25" s="84">
        <v>120.17030333434016</v>
      </c>
      <c r="CM25" s="84">
        <v>56.160425721685115</v>
      </c>
      <c r="CN25" s="84">
        <v>27.503960978426921</v>
      </c>
      <c r="CO25" s="84">
        <v>21.952494870596897</v>
      </c>
      <c r="CP25" s="84">
        <v>26.660206566669157</v>
      </c>
      <c r="CQ25" s="84"/>
      <c r="CR25" s="84">
        <f t="shared" si="50"/>
        <v>-0.84375441175776444</v>
      </c>
      <c r="CS25" s="84">
        <f>'RD T1'!E276</f>
        <v>4.4967390375266412</v>
      </c>
      <c r="CT25" s="84">
        <f t="shared" si="51"/>
        <v>3.6529846257688767</v>
      </c>
    </row>
    <row r="26" spans="1:98" x14ac:dyDescent="0.25">
      <c r="A26" s="12" t="str">
        <f>name!D22</f>
        <v xml:space="preserve"> 62 Leisure, travel and related personal service occupations</v>
      </c>
      <c r="B26" s="84">
        <v>0.26180777252822651</v>
      </c>
      <c r="C26" s="84">
        <v>0.69519501286106467</v>
      </c>
      <c r="D26" s="84">
        <v>0.9633764750156516</v>
      </c>
      <c r="E26" s="84">
        <v>1.1586234594278446</v>
      </c>
      <c r="F26" s="84">
        <v>1.2946863430265299</v>
      </c>
      <c r="G26" s="13"/>
      <c r="H26" s="84">
        <f t="shared" si="26"/>
        <v>0.33130986801087825</v>
      </c>
      <c r="I26" s="84">
        <f>'RD T1'!E53</f>
        <v>0.43599672442107151</v>
      </c>
      <c r="J26" s="84">
        <f t="shared" si="27"/>
        <v>0.76730659243194976</v>
      </c>
      <c r="L26" s="18" t="str">
        <f t="shared" si="28"/>
        <v xml:space="preserve"> 62 Leisure, travel and related personal service occupations</v>
      </c>
      <c r="M26" s="84">
        <v>7.9490386137089724</v>
      </c>
      <c r="N26" s="84">
        <v>13.308910041809325</v>
      </c>
      <c r="O26" s="84">
        <v>18.371727908498528</v>
      </c>
      <c r="P26" s="84">
        <v>21.933995599604874</v>
      </c>
      <c r="Q26" s="84">
        <v>24.857868840266597</v>
      </c>
      <c r="R26" s="13"/>
      <c r="S26" s="84">
        <f t="shared" si="29"/>
        <v>6.4861409317680696</v>
      </c>
      <c r="T26" s="84">
        <f>'RD T1'!E81</f>
        <v>8.4521180120879382</v>
      </c>
      <c r="U26" s="84">
        <f t="shared" si="30"/>
        <v>14.938258943856008</v>
      </c>
      <c r="W26" s="18" t="str">
        <f t="shared" si="31"/>
        <v xml:space="preserve"> 62 Leisure, travel and related personal service occupations</v>
      </c>
      <c r="X26" s="84">
        <v>40.362880681939657</v>
      </c>
      <c r="Y26" s="84">
        <v>62.60551507684989</v>
      </c>
      <c r="Z26" s="84">
        <v>76.870868967763641</v>
      </c>
      <c r="AA26" s="84">
        <v>100.19506556727082</v>
      </c>
      <c r="AB26" s="84">
        <v>114.98607949629216</v>
      </c>
      <c r="AC26" s="84"/>
      <c r="AD26" s="84">
        <f t="shared" si="32"/>
        <v>38.115210528528522</v>
      </c>
      <c r="AE26" s="84">
        <f>'RD T1'!E109</f>
        <v>41.420671452623623</v>
      </c>
      <c r="AF26" s="84">
        <f t="shared" si="33"/>
        <v>79.535881981152144</v>
      </c>
      <c r="AH26" s="18" t="str">
        <f t="shared" si="34"/>
        <v xml:space="preserve"> 62 Leisure, travel and related personal service occupations</v>
      </c>
      <c r="AI26" s="84">
        <v>27.756942014036312</v>
      </c>
      <c r="AJ26" s="84">
        <v>38.121913363914722</v>
      </c>
      <c r="AK26" s="84">
        <v>47.253321675247783</v>
      </c>
      <c r="AL26" s="84">
        <v>61.861072840268292</v>
      </c>
      <c r="AM26" s="84">
        <v>70.851033885950969</v>
      </c>
      <c r="AN26" s="84"/>
      <c r="AO26" s="84">
        <f t="shared" si="35"/>
        <v>23.597712210703186</v>
      </c>
      <c r="AP26" s="84">
        <f>'RD T1'!E137</f>
        <v>26.332061494000488</v>
      </c>
      <c r="AQ26" s="84">
        <f t="shared" si="36"/>
        <v>49.929773704703678</v>
      </c>
      <c r="AS26" s="18" t="str">
        <f t="shared" si="37"/>
        <v xml:space="preserve"> 62 Leisure, travel and related personal service occupations</v>
      </c>
      <c r="AT26" s="84">
        <v>31.005756098058587</v>
      </c>
      <c r="AU26" s="84">
        <v>45.672913138532564</v>
      </c>
      <c r="AV26" s="84">
        <v>59.638400188467614</v>
      </c>
      <c r="AW26" s="84">
        <v>82.131533213326435</v>
      </c>
      <c r="AX26" s="84">
        <v>96.132565476907786</v>
      </c>
      <c r="AY26" s="84"/>
      <c r="AZ26" s="84">
        <f t="shared" si="38"/>
        <v>36.494165288440172</v>
      </c>
      <c r="BA26" s="84">
        <f>'RD T1'!E165</f>
        <v>34.820715344931166</v>
      </c>
      <c r="BB26" s="84">
        <f t="shared" si="39"/>
        <v>71.314880633371331</v>
      </c>
      <c r="BD26" s="18" t="str">
        <f t="shared" si="40"/>
        <v xml:space="preserve"> 62 Leisure, travel and related personal service occupations</v>
      </c>
      <c r="BE26" s="84">
        <v>161.8227497035615</v>
      </c>
      <c r="BF26" s="84">
        <v>182.06225919010373</v>
      </c>
      <c r="BG26" s="84">
        <v>198.5393763201788</v>
      </c>
      <c r="BH26" s="84">
        <v>185.11957632774931</v>
      </c>
      <c r="BI26" s="84">
        <v>174.8922018231583</v>
      </c>
      <c r="BJ26" s="84"/>
      <c r="BK26" s="84">
        <f t="shared" si="41"/>
        <v>-23.647174497020501</v>
      </c>
      <c r="BL26" s="84">
        <f>'RD T1'!E193</f>
        <v>57.811769961606259</v>
      </c>
      <c r="BM26" s="84">
        <f t="shared" si="42"/>
        <v>34.164595464585759</v>
      </c>
      <c r="BO26" s="18" t="str">
        <f t="shared" si="43"/>
        <v xml:space="preserve"> 62 Leisure, travel and related personal service occupations</v>
      </c>
      <c r="BP26" s="84">
        <v>230.38811757479286</v>
      </c>
      <c r="BQ26" s="84">
        <v>193.67072281419502</v>
      </c>
      <c r="BR26" s="84">
        <v>193.49862745303579</v>
      </c>
      <c r="BS26" s="84">
        <v>172.23493096347391</v>
      </c>
      <c r="BT26" s="84">
        <v>151.89473118704899</v>
      </c>
      <c r="BU26" s="84"/>
      <c r="BV26" s="84">
        <f t="shared" si="44"/>
        <v>-41.603896265986805</v>
      </c>
      <c r="BW26" s="84">
        <f>'RD T1'!E221</f>
        <v>54.299052241457133</v>
      </c>
      <c r="BX26" s="84">
        <f t="shared" si="45"/>
        <v>12.695155975470328</v>
      </c>
      <c r="BZ26" s="18" t="str">
        <f t="shared" si="46"/>
        <v xml:space="preserve"> 62 Leisure, travel and related personal service occupations</v>
      </c>
      <c r="CA26" s="84">
        <v>117.90309265893923</v>
      </c>
      <c r="CB26" s="84">
        <v>116.38931762242878</v>
      </c>
      <c r="CC26" s="84">
        <v>126.80370321302476</v>
      </c>
      <c r="CD26" s="84">
        <v>106.44077557257697</v>
      </c>
      <c r="CE26" s="84">
        <v>94.556523307775763</v>
      </c>
      <c r="CF26" s="84"/>
      <c r="CG26" s="84">
        <f t="shared" si="47"/>
        <v>-32.247179905248998</v>
      </c>
      <c r="CH26" s="84">
        <f>'RD T1'!E249</f>
        <v>30.19763077433381</v>
      </c>
      <c r="CI26" s="84">
        <f t="shared" si="48"/>
        <v>-2.0495491309151888</v>
      </c>
      <c r="CK26" s="18" t="str">
        <f t="shared" si="49"/>
        <v xml:space="preserve"> 62 Leisure, travel and related personal service occupations</v>
      </c>
      <c r="CL26" s="84">
        <v>67.767796907489853</v>
      </c>
      <c r="CM26" s="84">
        <v>48.729681767965026</v>
      </c>
      <c r="CN26" s="84">
        <v>44.68216402141551</v>
      </c>
      <c r="CO26" s="84">
        <v>31.0642862659518</v>
      </c>
      <c r="CP26" s="84">
        <v>24.817299581149989</v>
      </c>
      <c r="CQ26" s="84"/>
      <c r="CR26" s="84">
        <f t="shared" si="50"/>
        <v>-19.864864440265521</v>
      </c>
      <c r="CS26" s="84">
        <f>'RD T1'!E277</f>
        <v>6.9936779996729825</v>
      </c>
      <c r="CT26" s="84">
        <f t="shared" si="51"/>
        <v>-12.871186440592538</v>
      </c>
    </row>
    <row r="27" spans="1:98" x14ac:dyDescent="0.25">
      <c r="A27" s="12" t="str">
        <f>name!D23</f>
        <v xml:space="preserve"> 71 Sales occupations</v>
      </c>
      <c r="B27" s="84">
        <v>1.3961422646510793</v>
      </c>
      <c r="C27" s="84">
        <v>3.0999042674554809</v>
      </c>
      <c r="D27" s="84">
        <v>4.6011435035710013</v>
      </c>
      <c r="E27" s="84">
        <v>5.4817232952468951</v>
      </c>
      <c r="F27" s="84">
        <v>6.2077124183393</v>
      </c>
      <c r="G27" s="13"/>
      <c r="H27" s="84">
        <f t="shared" si="26"/>
        <v>1.6065689147682987</v>
      </c>
      <c r="I27" s="84">
        <f>'RD T1'!E54</f>
        <v>1.9033835394273801</v>
      </c>
      <c r="J27" s="84">
        <f t="shared" si="27"/>
        <v>3.5099524541956786</v>
      </c>
      <c r="L27" s="18" t="str">
        <f t="shared" si="28"/>
        <v xml:space="preserve"> 71 Sales occupations</v>
      </c>
      <c r="M27" s="84">
        <v>41.194304695713782</v>
      </c>
      <c r="N27" s="84">
        <v>47.550504648212154</v>
      </c>
      <c r="O27" s="84">
        <v>69.876571116921795</v>
      </c>
      <c r="P27" s="84">
        <v>87.414765406132489</v>
      </c>
      <c r="Q27" s="84">
        <v>106.07202325969747</v>
      </c>
      <c r="R27" s="13"/>
      <c r="S27" s="84">
        <f t="shared" si="29"/>
        <v>36.195452142775679</v>
      </c>
      <c r="T27" s="84">
        <f>'RD T1'!E82</f>
        <v>29.541631586304891</v>
      </c>
      <c r="U27" s="84">
        <f t="shared" si="30"/>
        <v>65.737083729080567</v>
      </c>
      <c r="W27" s="18" t="str">
        <f t="shared" si="31"/>
        <v xml:space="preserve"> 71 Sales occupations</v>
      </c>
      <c r="X27" s="84">
        <v>139.35104436224103</v>
      </c>
      <c r="Y27" s="84">
        <v>231.84643563275966</v>
      </c>
      <c r="Z27" s="84">
        <v>270.60132524267635</v>
      </c>
      <c r="AA27" s="84">
        <v>360.11860611073286</v>
      </c>
      <c r="AB27" s="84">
        <v>424.47918399796288</v>
      </c>
      <c r="AC27" s="84"/>
      <c r="AD27" s="84">
        <f t="shared" si="32"/>
        <v>153.87785875528652</v>
      </c>
      <c r="AE27" s="84">
        <f>'RD T1'!E110</f>
        <v>135.17950789271327</v>
      </c>
      <c r="AF27" s="84">
        <f t="shared" si="33"/>
        <v>289.0573666479998</v>
      </c>
      <c r="AH27" s="18" t="str">
        <f t="shared" si="34"/>
        <v xml:space="preserve"> 71 Sales occupations</v>
      </c>
      <c r="AI27" s="84">
        <v>62.202541611523827</v>
      </c>
      <c r="AJ27" s="84">
        <v>82.419849790475965</v>
      </c>
      <c r="AK27" s="84">
        <v>88.641730396561684</v>
      </c>
      <c r="AL27" s="84">
        <v>110.51617250247571</v>
      </c>
      <c r="AM27" s="84">
        <v>126.54292760522799</v>
      </c>
      <c r="AN27" s="84"/>
      <c r="AO27" s="84">
        <f t="shared" si="35"/>
        <v>37.901197208666304</v>
      </c>
      <c r="AP27" s="84">
        <f>'RD T1'!E138</f>
        <v>42.339787355074058</v>
      </c>
      <c r="AQ27" s="84">
        <f t="shared" si="36"/>
        <v>80.240984563740369</v>
      </c>
      <c r="AS27" s="18" t="str">
        <f t="shared" si="37"/>
        <v xml:space="preserve"> 71 Sales occupations</v>
      </c>
      <c r="AT27" s="84">
        <v>63.557428427598488</v>
      </c>
      <c r="AU27" s="84">
        <v>72.392269785349029</v>
      </c>
      <c r="AV27" s="84">
        <v>70.915734258897317</v>
      </c>
      <c r="AW27" s="84">
        <v>82.703613886479374</v>
      </c>
      <c r="AX27" s="84">
        <v>91.559887250515274</v>
      </c>
      <c r="AY27" s="84"/>
      <c r="AZ27" s="84">
        <f t="shared" si="38"/>
        <v>20.644152991617958</v>
      </c>
      <c r="BA27" s="84">
        <f>'RD T1'!E166</f>
        <v>27.710089583201821</v>
      </c>
      <c r="BB27" s="84">
        <f t="shared" si="39"/>
        <v>48.354242574819779</v>
      </c>
      <c r="BD27" s="18" t="str">
        <f t="shared" si="40"/>
        <v xml:space="preserve"> 71 Sales occupations</v>
      </c>
      <c r="BE27" s="84">
        <v>513.2981205904689</v>
      </c>
      <c r="BF27" s="84">
        <v>542.20279369599018</v>
      </c>
      <c r="BG27" s="84">
        <v>574.36606956604771</v>
      </c>
      <c r="BH27" s="84">
        <v>566.87116899841419</v>
      </c>
      <c r="BI27" s="84">
        <v>566.08949942279753</v>
      </c>
      <c r="BJ27" s="84"/>
      <c r="BK27" s="84">
        <f t="shared" si="41"/>
        <v>-8.2765701432501828</v>
      </c>
      <c r="BL27" s="84">
        <f>'RD T1'!E194</f>
        <v>178.27088684656496</v>
      </c>
      <c r="BM27" s="84">
        <f t="shared" si="42"/>
        <v>169.99431670331478</v>
      </c>
      <c r="BO27" s="18" t="str">
        <f t="shared" si="43"/>
        <v xml:space="preserve"> 71 Sales occupations</v>
      </c>
      <c r="BP27" s="84">
        <v>690.23861380016558</v>
      </c>
      <c r="BQ27" s="84">
        <v>633.44334516424863</v>
      </c>
      <c r="BR27" s="84">
        <v>584.84190823122537</v>
      </c>
      <c r="BS27" s="84">
        <v>517.92082949805831</v>
      </c>
      <c r="BT27" s="84">
        <v>458.08926467242708</v>
      </c>
      <c r="BU27" s="84"/>
      <c r="BV27" s="84">
        <f t="shared" si="44"/>
        <v>-126.7526435587983</v>
      </c>
      <c r="BW27" s="84">
        <f>'RD T1'!E222</f>
        <v>161.75384080951881</v>
      </c>
      <c r="BX27" s="84">
        <f t="shared" si="45"/>
        <v>35.001197250720509</v>
      </c>
      <c r="BZ27" s="18" t="str">
        <f t="shared" si="46"/>
        <v xml:space="preserve"> 71 Sales occupations</v>
      </c>
      <c r="CA27" s="84">
        <v>484.54189993633594</v>
      </c>
      <c r="CB27" s="84">
        <v>416.87139112341822</v>
      </c>
      <c r="CC27" s="84">
        <v>401.19496533342857</v>
      </c>
      <c r="CD27" s="84">
        <v>307.10224938720842</v>
      </c>
      <c r="CE27" s="84">
        <v>224.15380275431917</v>
      </c>
      <c r="CF27" s="84"/>
      <c r="CG27" s="84">
        <f t="shared" si="47"/>
        <v>-177.0411625791094</v>
      </c>
      <c r="CH27" s="84">
        <f>'RD T1'!E250</f>
        <v>77.313539030129519</v>
      </c>
      <c r="CI27" s="84">
        <f t="shared" si="48"/>
        <v>-99.727623548979878</v>
      </c>
      <c r="CK27" s="18" t="str">
        <f t="shared" si="49"/>
        <v xml:space="preserve"> 71 Sales occupations</v>
      </c>
      <c r="CL27" s="84">
        <v>270.81907834669397</v>
      </c>
      <c r="CM27" s="84">
        <v>193.15747275921456</v>
      </c>
      <c r="CN27" s="84">
        <v>167.06138378475566</v>
      </c>
      <c r="CO27" s="84">
        <v>95.952471252722447</v>
      </c>
      <c r="CP27" s="84">
        <v>74.668532392754699</v>
      </c>
      <c r="CQ27" s="84"/>
      <c r="CR27" s="84">
        <f t="shared" si="50"/>
        <v>-92.392851392000964</v>
      </c>
      <c r="CS27" s="84">
        <f>'RD T1'!E278</f>
        <v>19.394771261238088</v>
      </c>
      <c r="CT27" s="84">
        <f t="shared" si="51"/>
        <v>-72.998080130762872</v>
      </c>
    </row>
    <row r="28" spans="1:98" x14ac:dyDescent="0.25">
      <c r="A28" s="12" t="str">
        <f>name!D24</f>
        <v xml:space="preserve"> 72 Customer service occupations</v>
      </c>
      <c r="B28" s="84">
        <v>1.200017116323552</v>
      </c>
      <c r="C28" s="84">
        <v>1.7786062255705513</v>
      </c>
      <c r="D28" s="84">
        <v>2.7763738738405435</v>
      </c>
      <c r="E28" s="84">
        <v>3.5186031495055436</v>
      </c>
      <c r="F28" s="84">
        <v>4.1962961409512554</v>
      </c>
      <c r="G28" s="13"/>
      <c r="H28" s="84">
        <f t="shared" si="26"/>
        <v>1.4199222671107119</v>
      </c>
      <c r="I28" s="84">
        <f>'RD T1'!E55</f>
        <v>1.1030466572995132</v>
      </c>
      <c r="J28" s="84">
        <f t="shared" si="27"/>
        <v>2.5229689244102254</v>
      </c>
      <c r="L28" s="18" t="str">
        <f t="shared" si="28"/>
        <v xml:space="preserve"> 72 Customer service occupations</v>
      </c>
      <c r="M28" s="84">
        <v>18.010416886085615</v>
      </c>
      <c r="N28" s="84">
        <v>20.814062721106303</v>
      </c>
      <c r="O28" s="84">
        <v>32.958083548570841</v>
      </c>
      <c r="P28" s="84">
        <v>42.121500191542914</v>
      </c>
      <c r="Q28" s="84">
        <v>50.172755475625351</v>
      </c>
      <c r="R28" s="13"/>
      <c r="S28" s="84">
        <f t="shared" si="29"/>
        <v>17.214671927054511</v>
      </c>
      <c r="T28" s="84">
        <f>'RD T1'!E83</f>
        <v>14.253104195464934</v>
      </c>
      <c r="U28" s="84">
        <f t="shared" si="30"/>
        <v>31.467776122519446</v>
      </c>
      <c r="W28" s="18" t="str">
        <f t="shared" si="31"/>
        <v xml:space="preserve"> 72 Customer service occupations</v>
      </c>
      <c r="X28" s="84">
        <v>72.798022615477549</v>
      </c>
      <c r="Y28" s="84">
        <v>91.01326389089806</v>
      </c>
      <c r="Z28" s="84">
        <v>117.63107326483356</v>
      </c>
      <c r="AA28" s="84">
        <v>154.41297072539774</v>
      </c>
      <c r="AB28" s="84">
        <v>177.99929389551983</v>
      </c>
      <c r="AC28" s="84"/>
      <c r="AD28" s="84">
        <f t="shared" si="32"/>
        <v>60.368220630686267</v>
      </c>
      <c r="AE28" s="84">
        <f>'RD T1'!E111</f>
        <v>53.703923633500715</v>
      </c>
      <c r="AF28" s="84">
        <f t="shared" si="33"/>
        <v>114.07214426418699</v>
      </c>
      <c r="AH28" s="18" t="str">
        <f t="shared" si="34"/>
        <v xml:space="preserve"> 72 Customer service occupations</v>
      </c>
      <c r="AI28" s="84">
        <v>21.599758821855534</v>
      </c>
      <c r="AJ28" s="84">
        <v>27.139862230782285</v>
      </c>
      <c r="AK28" s="84">
        <v>34.263771751354504</v>
      </c>
      <c r="AL28" s="84">
        <v>47.360028022457442</v>
      </c>
      <c r="AM28" s="84">
        <v>55.729792184236288</v>
      </c>
      <c r="AN28" s="84"/>
      <c r="AO28" s="84">
        <f t="shared" si="35"/>
        <v>21.466020432881784</v>
      </c>
      <c r="AP28" s="84">
        <f>'RD T1'!E139</f>
        <v>17.450304500318268</v>
      </c>
      <c r="AQ28" s="84">
        <f t="shared" si="36"/>
        <v>38.916324933200052</v>
      </c>
      <c r="AS28" s="18" t="str">
        <f t="shared" si="37"/>
        <v xml:space="preserve"> 72 Customer service occupations</v>
      </c>
      <c r="AT28" s="84">
        <v>31.103565643514781</v>
      </c>
      <c r="AU28" s="84">
        <v>40.333976651698862</v>
      </c>
      <c r="AV28" s="84">
        <v>47.971068924416706</v>
      </c>
      <c r="AW28" s="84">
        <v>60.036181126117917</v>
      </c>
      <c r="AX28" s="84">
        <v>66.581449088543422</v>
      </c>
      <c r="AY28" s="84"/>
      <c r="AZ28" s="84">
        <f t="shared" si="38"/>
        <v>18.610380164126717</v>
      </c>
      <c r="BA28" s="84">
        <f>'RD T1'!E167</f>
        <v>19.435429972436268</v>
      </c>
      <c r="BB28" s="84">
        <f t="shared" si="39"/>
        <v>38.045810136562984</v>
      </c>
      <c r="BD28" s="18" t="str">
        <f t="shared" si="40"/>
        <v xml:space="preserve"> 72 Customer service occupations</v>
      </c>
      <c r="BE28" s="84">
        <v>124.29088145318298</v>
      </c>
      <c r="BF28" s="84">
        <v>141.95244068725268</v>
      </c>
      <c r="BG28" s="84">
        <v>167.06371517654208</v>
      </c>
      <c r="BH28" s="84">
        <v>165.27716672293212</v>
      </c>
      <c r="BI28" s="84">
        <v>166.44463675094357</v>
      </c>
      <c r="BJ28" s="84"/>
      <c r="BK28" s="84">
        <f t="shared" si="41"/>
        <v>-0.61907842559850224</v>
      </c>
      <c r="BL28" s="84">
        <f>'RD T1'!E195</f>
        <v>49.196940002490749</v>
      </c>
      <c r="BM28" s="84">
        <f t="shared" si="42"/>
        <v>48.577861576892246</v>
      </c>
      <c r="BO28" s="18" t="str">
        <f t="shared" si="43"/>
        <v xml:space="preserve"> 72 Customer service occupations</v>
      </c>
      <c r="BP28" s="84">
        <v>131.97363244287283</v>
      </c>
      <c r="BQ28" s="84">
        <v>156.07021719874535</v>
      </c>
      <c r="BR28" s="84">
        <v>177.27947147677042</v>
      </c>
      <c r="BS28" s="84">
        <v>178.39558421685314</v>
      </c>
      <c r="BT28" s="84">
        <v>183.78463439040232</v>
      </c>
      <c r="BU28" s="84"/>
      <c r="BV28" s="84">
        <f t="shared" si="44"/>
        <v>6.5051629136318923</v>
      </c>
      <c r="BW28" s="84">
        <f>'RD T1'!E223</f>
        <v>56.042977108595011</v>
      </c>
      <c r="BX28" s="84">
        <f t="shared" si="45"/>
        <v>62.548140022226903</v>
      </c>
      <c r="BZ28" s="18" t="str">
        <f t="shared" si="46"/>
        <v xml:space="preserve"> 72 Customer service occupations</v>
      </c>
      <c r="CA28" s="84">
        <v>95.008110832054797</v>
      </c>
      <c r="CB28" s="84">
        <v>84.222836401867937</v>
      </c>
      <c r="CC28" s="84">
        <v>89.478287199139018</v>
      </c>
      <c r="CD28" s="84">
        <v>70.427451458093984</v>
      </c>
      <c r="CE28" s="84">
        <v>61.410571588580268</v>
      </c>
      <c r="CF28" s="84"/>
      <c r="CG28" s="84">
        <f t="shared" si="47"/>
        <v>-28.06771561055875</v>
      </c>
      <c r="CH28" s="84">
        <f>'RD T1'!E251</f>
        <v>16.347742441055789</v>
      </c>
      <c r="CI28" s="84">
        <f t="shared" si="48"/>
        <v>-11.719973169502961</v>
      </c>
      <c r="CK28" s="18" t="str">
        <f t="shared" si="49"/>
        <v xml:space="preserve"> 72 Customer service occupations</v>
      </c>
      <c r="CL28" s="84">
        <v>29.600328968210022</v>
      </c>
      <c r="CM28" s="84">
        <v>22.406700515638416</v>
      </c>
      <c r="CN28" s="84">
        <v>27.510914126271675</v>
      </c>
      <c r="CO28" s="84">
        <v>25.614900414437955</v>
      </c>
      <c r="CP28" s="84">
        <v>32.431482607191562</v>
      </c>
      <c r="CQ28" s="84"/>
      <c r="CR28" s="84">
        <f t="shared" si="50"/>
        <v>4.9205684809198864</v>
      </c>
      <c r="CS28" s="84">
        <f>'RD T1'!E279</f>
        <v>6.2432151796349142</v>
      </c>
      <c r="CT28" s="84">
        <f t="shared" si="51"/>
        <v>11.163783660554801</v>
      </c>
    </row>
    <row r="29" spans="1:98" x14ac:dyDescent="0.25">
      <c r="A29" s="12" t="str">
        <f>name!D25</f>
        <v xml:space="preserve"> 81 Process, plant and machine operatives</v>
      </c>
      <c r="B29" s="84">
        <v>4.5674440374508012E-2</v>
      </c>
      <c r="C29" s="84">
        <v>1.2688134739108805</v>
      </c>
      <c r="D29" s="84">
        <v>1.8287993377712841</v>
      </c>
      <c r="E29" s="84">
        <v>2.2394699785912322</v>
      </c>
      <c r="F29" s="84">
        <v>2.7740841758839676</v>
      </c>
      <c r="G29" s="13"/>
      <c r="H29" s="84">
        <f>F29-D29</f>
        <v>0.94528483811268349</v>
      </c>
      <c r="I29" s="84">
        <f>'RD T1'!E56</f>
        <v>0.79617433732843657</v>
      </c>
      <c r="J29" s="84">
        <f t="shared" si="27"/>
        <v>1.7414591754411202</v>
      </c>
      <c r="L29" s="18" t="str">
        <f t="shared" si="28"/>
        <v xml:space="preserve"> 81 Process, plant and machine operatives</v>
      </c>
      <c r="M29" s="84">
        <v>9.0599427583942802</v>
      </c>
      <c r="N29" s="84">
        <v>9.7599116195889852</v>
      </c>
      <c r="O29" s="84">
        <v>13.205845090602185</v>
      </c>
      <c r="P29" s="84">
        <v>15.328711805261191</v>
      </c>
      <c r="Q29" s="84">
        <v>18.198066218550867</v>
      </c>
      <c r="R29" s="13"/>
      <c r="S29" s="84">
        <f t="shared" si="29"/>
        <v>4.9922211279486817</v>
      </c>
      <c r="T29" s="84">
        <f>'RD T1'!E84</f>
        <v>5.1811399370197195</v>
      </c>
      <c r="U29" s="84">
        <f t="shared" si="30"/>
        <v>10.1733610649684</v>
      </c>
      <c r="W29" s="18" t="str">
        <f t="shared" si="31"/>
        <v xml:space="preserve"> 81 Process, plant and machine operatives</v>
      </c>
      <c r="X29" s="84">
        <v>20.994041981717498</v>
      </c>
      <c r="Y29" s="84">
        <v>30.475634520999549</v>
      </c>
      <c r="Z29" s="84">
        <v>32.249237396272761</v>
      </c>
      <c r="AA29" s="84">
        <v>38.241258649094036</v>
      </c>
      <c r="AB29" s="84">
        <v>42.829033757202197</v>
      </c>
      <c r="AC29" s="84"/>
      <c r="AD29" s="84">
        <f t="shared" si="32"/>
        <v>10.579796360929436</v>
      </c>
      <c r="AE29" s="84">
        <f>'RD T1'!E112</f>
        <v>13.086624149695304</v>
      </c>
      <c r="AF29" s="84">
        <f t="shared" si="33"/>
        <v>23.666420510624739</v>
      </c>
      <c r="AH29" s="18" t="str">
        <f t="shared" si="34"/>
        <v xml:space="preserve"> 81 Process, plant and machine operatives</v>
      </c>
      <c r="AI29" s="84">
        <v>11.882983226445791</v>
      </c>
      <c r="AJ29" s="84">
        <v>14.131387056888208</v>
      </c>
      <c r="AK29" s="84">
        <v>14.679585874053249</v>
      </c>
      <c r="AL29" s="84">
        <v>17.534725266151145</v>
      </c>
      <c r="AM29" s="84">
        <v>19.928259142412745</v>
      </c>
      <c r="AN29" s="84"/>
      <c r="AO29" s="84">
        <f t="shared" si="35"/>
        <v>5.2486732683594965</v>
      </c>
      <c r="AP29" s="84">
        <f>'RD T1'!E140</f>
        <v>5.759780055576007</v>
      </c>
      <c r="AQ29" s="84">
        <f t="shared" si="36"/>
        <v>11.008453323935504</v>
      </c>
      <c r="AS29" s="18" t="str">
        <f t="shared" si="37"/>
        <v xml:space="preserve"> 81 Process, plant and machine operatives</v>
      </c>
      <c r="AT29" s="84">
        <v>26.822956782569108</v>
      </c>
      <c r="AU29" s="84">
        <v>32.603178699051902</v>
      </c>
      <c r="AV29" s="84">
        <v>35.221887378124912</v>
      </c>
      <c r="AW29" s="84">
        <v>43.682470419023325</v>
      </c>
      <c r="AX29" s="84">
        <v>49.886339809426374</v>
      </c>
      <c r="AY29" s="84"/>
      <c r="AZ29" s="84">
        <f t="shared" si="38"/>
        <v>14.664452431301463</v>
      </c>
      <c r="BA29" s="84">
        <f>'RD T1'!E168</f>
        <v>14.091253866623207</v>
      </c>
      <c r="BB29" s="84">
        <f t="shared" si="39"/>
        <v>28.755706297924668</v>
      </c>
      <c r="BD29" s="18" t="str">
        <f t="shared" si="40"/>
        <v xml:space="preserve"> 81 Process, plant and machine operatives</v>
      </c>
      <c r="BE29" s="84">
        <v>203.98609624240342</v>
      </c>
      <c r="BF29" s="84">
        <v>199.50210095037849</v>
      </c>
      <c r="BG29" s="84">
        <v>217.07629018077651</v>
      </c>
      <c r="BH29" s="84">
        <v>200.22338199923897</v>
      </c>
      <c r="BI29" s="84">
        <v>196.23456758404384</v>
      </c>
      <c r="BJ29" s="84"/>
      <c r="BK29" s="84">
        <f t="shared" si="41"/>
        <v>-20.841722596732666</v>
      </c>
      <c r="BL29" s="84">
        <f>'RD T1'!E196</f>
        <v>50.637318531070413</v>
      </c>
      <c r="BM29" s="84">
        <f t="shared" si="42"/>
        <v>29.795595934337747</v>
      </c>
      <c r="BO29" s="18" t="str">
        <f t="shared" si="43"/>
        <v xml:space="preserve"> 81 Process, plant and machine operatives</v>
      </c>
      <c r="BP29" s="84">
        <v>262.25888151657449</v>
      </c>
      <c r="BQ29" s="84">
        <v>279.85010978631033</v>
      </c>
      <c r="BR29" s="84">
        <v>275.80932508279801</v>
      </c>
      <c r="BS29" s="84">
        <v>251.28114754610982</v>
      </c>
      <c r="BT29" s="84">
        <v>238.94372129111142</v>
      </c>
      <c r="BU29" s="84"/>
      <c r="BV29" s="84">
        <f t="shared" si="44"/>
        <v>-36.865603791686596</v>
      </c>
      <c r="BW29" s="84">
        <f>'RD T1'!E224</f>
        <v>68.392895896404625</v>
      </c>
      <c r="BX29" s="84">
        <f t="shared" si="45"/>
        <v>31.527292104718029</v>
      </c>
      <c r="BZ29" s="18" t="str">
        <f t="shared" si="46"/>
        <v xml:space="preserve"> 81 Process, plant and machine operatives</v>
      </c>
      <c r="CA29" s="84">
        <v>303.80898868408252</v>
      </c>
      <c r="CB29" s="84">
        <v>242.34360875752978</v>
      </c>
      <c r="CC29" s="84">
        <v>220.4797964945792</v>
      </c>
      <c r="CD29" s="84">
        <v>165.88626542115702</v>
      </c>
      <c r="CE29" s="84">
        <v>118.05096878983916</v>
      </c>
      <c r="CF29" s="84"/>
      <c r="CG29" s="84">
        <f t="shared" si="47"/>
        <v>-102.42882770474004</v>
      </c>
      <c r="CH29" s="84">
        <f>'RD T1'!E252</f>
        <v>39.367965626256307</v>
      </c>
      <c r="CI29" s="84">
        <f t="shared" si="48"/>
        <v>-63.060862078483737</v>
      </c>
      <c r="CK29" s="18" t="str">
        <f t="shared" si="49"/>
        <v xml:space="preserve"> 81 Process, plant and machine operatives</v>
      </c>
      <c r="CL29" s="84">
        <v>224.08203619137291</v>
      </c>
      <c r="CM29" s="84">
        <v>137.34142010606641</v>
      </c>
      <c r="CN29" s="84">
        <v>99.814291306282584</v>
      </c>
      <c r="CO29" s="84">
        <v>53.596689076572353</v>
      </c>
      <c r="CP29" s="84">
        <v>22.114271654904979</v>
      </c>
      <c r="CQ29" s="84"/>
      <c r="CR29" s="84">
        <f t="shared" si="50"/>
        <v>-77.700019651377602</v>
      </c>
      <c r="CS29" s="84">
        <f>'RD T1'!E280</f>
        <v>9.2768269536067862</v>
      </c>
      <c r="CT29" s="84">
        <f t="shared" si="51"/>
        <v>-68.423192697770816</v>
      </c>
    </row>
    <row r="30" spans="1:98" x14ac:dyDescent="0.25">
      <c r="A30" s="12" t="str">
        <f>name!D26</f>
        <v xml:space="preserve"> 82 Transport and mobile machine drivers and operatives</v>
      </c>
      <c r="B30" s="84">
        <v>1.5225907591220125</v>
      </c>
      <c r="C30" s="84">
        <v>2.3882633570390048</v>
      </c>
      <c r="D30" s="84">
        <v>3.7213465486770652</v>
      </c>
      <c r="E30" s="84">
        <v>5.2069489627009915</v>
      </c>
      <c r="F30" s="84">
        <v>6.6707868254915663</v>
      </c>
      <c r="G30" s="13"/>
      <c r="H30" s="84">
        <f t="shared" si="26"/>
        <v>2.9494402768145012</v>
      </c>
      <c r="I30" s="84">
        <f>'RD T1'!E57</f>
        <v>2.3351296342317025</v>
      </c>
      <c r="J30" s="84">
        <f t="shared" si="27"/>
        <v>5.2845699110462032</v>
      </c>
      <c r="L30" s="18" t="str">
        <f t="shared" si="28"/>
        <v xml:space="preserve"> 82 Transport and mobile machine drivers and operatives</v>
      </c>
      <c r="M30" s="84">
        <v>12.08683289515746</v>
      </c>
      <c r="N30" s="84">
        <v>15.65393312593168</v>
      </c>
      <c r="O30" s="84">
        <v>23.134413881446577</v>
      </c>
      <c r="P30" s="84">
        <v>30.874131791282547</v>
      </c>
      <c r="Q30" s="84">
        <v>38.205666063484472</v>
      </c>
      <c r="R30" s="13"/>
      <c r="S30" s="84">
        <f t="shared" si="29"/>
        <v>15.071252182037895</v>
      </c>
      <c r="T30" s="84">
        <f>'RD T1'!E85</f>
        <v>13.595369240245722</v>
      </c>
      <c r="U30" s="84">
        <f t="shared" si="30"/>
        <v>28.666621422283619</v>
      </c>
      <c r="W30" s="18" t="str">
        <f t="shared" si="31"/>
        <v xml:space="preserve"> 82 Transport and mobile machine drivers and operatives</v>
      </c>
      <c r="X30" s="84">
        <v>35.983699869929275</v>
      </c>
      <c r="Y30" s="84">
        <v>53.186987720485071</v>
      </c>
      <c r="Z30" s="84">
        <v>61.460013107801331</v>
      </c>
      <c r="AA30" s="84">
        <v>87.247148160187535</v>
      </c>
      <c r="AB30" s="84">
        <v>103.17630337363107</v>
      </c>
      <c r="AC30" s="84"/>
      <c r="AD30" s="84">
        <f t="shared" si="32"/>
        <v>41.716290265829741</v>
      </c>
      <c r="AE30" s="84">
        <f>'RD T1'!E113</f>
        <v>40.054928979489333</v>
      </c>
      <c r="AF30" s="84">
        <f t="shared" si="33"/>
        <v>81.771219245319074</v>
      </c>
      <c r="AH30" s="18" t="str">
        <f t="shared" si="34"/>
        <v xml:space="preserve"> 82 Transport and mobile machine drivers and operatives</v>
      </c>
      <c r="AI30" s="84">
        <v>14.73886705459098</v>
      </c>
      <c r="AJ30" s="84">
        <v>27.354167356824568</v>
      </c>
      <c r="AK30" s="84">
        <v>29.537015683337216</v>
      </c>
      <c r="AL30" s="84">
        <v>40.750335325392527</v>
      </c>
      <c r="AM30" s="84">
        <v>47.355646864491675</v>
      </c>
      <c r="AN30" s="84"/>
      <c r="AO30" s="84">
        <f t="shared" si="35"/>
        <v>17.818631181154458</v>
      </c>
      <c r="AP30" s="84">
        <f>'RD T1'!E141</f>
        <v>18.20984885017625</v>
      </c>
      <c r="AQ30" s="84">
        <f t="shared" si="36"/>
        <v>36.028480031330709</v>
      </c>
      <c r="AS30" s="18" t="str">
        <f t="shared" si="37"/>
        <v xml:space="preserve"> 82 Transport and mobile machine drivers and operatives</v>
      </c>
      <c r="AT30" s="84">
        <v>29.372685092464042</v>
      </c>
      <c r="AU30" s="84">
        <v>43.016484725031006</v>
      </c>
      <c r="AV30" s="84">
        <v>48.143229726963099</v>
      </c>
      <c r="AW30" s="84">
        <v>68.492860016366393</v>
      </c>
      <c r="AX30" s="84">
        <v>81.086842530999732</v>
      </c>
      <c r="AY30" s="84"/>
      <c r="AZ30" s="84">
        <f t="shared" si="38"/>
        <v>32.943612804036633</v>
      </c>
      <c r="BA30" s="84">
        <f>'RD T1'!E169</f>
        <v>31.095905604926489</v>
      </c>
      <c r="BB30" s="84">
        <f t="shared" si="39"/>
        <v>64.039518408963119</v>
      </c>
      <c r="BD30" s="18" t="str">
        <f t="shared" si="40"/>
        <v xml:space="preserve"> 82 Transport and mobile machine drivers and operatives</v>
      </c>
      <c r="BE30" s="84">
        <v>205.68504868087129</v>
      </c>
      <c r="BF30" s="84">
        <v>225.36921339119471</v>
      </c>
      <c r="BG30" s="84">
        <v>254.53318107798253</v>
      </c>
      <c r="BH30" s="84">
        <v>260.79501854983977</v>
      </c>
      <c r="BI30" s="84">
        <v>280.8944884849048</v>
      </c>
      <c r="BJ30" s="84"/>
      <c r="BK30" s="84">
        <f t="shared" si="41"/>
        <v>26.361307406922265</v>
      </c>
      <c r="BL30" s="84">
        <f>'RD T1'!E197</f>
        <v>90.525354822098834</v>
      </c>
      <c r="BM30" s="84">
        <f t="shared" si="42"/>
        <v>116.8866622290211</v>
      </c>
      <c r="BO30" s="18" t="str">
        <f t="shared" si="43"/>
        <v xml:space="preserve"> 82 Transport and mobile machine drivers and operatives</v>
      </c>
      <c r="BP30" s="84">
        <v>339.03253425854143</v>
      </c>
      <c r="BQ30" s="84">
        <v>357.20749985894918</v>
      </c>
      <c r="BR30" s="84">
        <v>381.05800115328708</v>
      </c>
      <c r="BS30" s="84">
        <v>380.69224496438659</v>
      </c>
      <c r="BT30" s="84">
        <v>391.75459346629719</v>
      </c>
      <c r="BU30" s="84"/>
      <c r="BV30" s="84">
        <f t="shared" si="44"/>
        <v>10.696592313010115</v>
      </c>
      <c r="BW30" s="84">
        <f>'RD T1'!E225</f>
        <v>139.38997540031721</v>
      </c>
      <c r="BX30" s="84">
        <f t="shared" si="45"/>
        <v>150.08656771332733</v>
      </c>
      <c r="BZ30" s="18" t="str">
        <f t="shared" si="46"/>
        <v xml:space="preserve"> 82 Transport and mobile machine drivers and operatives</v>
      </c>
      <c r="CA30" s="84">
        <v>419.60277144942324</v>
      </c>
      <c r="CB30" s="84">
        <v>336.34495295508759</v>
      </c>
      <c r="CC30" s="84">
        <v>326.66068064924815</v>
      </c>
      <c r="CD30" s="84">
        <v>276.60439387159249</v>
      </c>
      <c r="CE30" s="84">
        <v>240.0347540366663</v>
      </c>
      <c r="CF30" s="84"/>
      <c r="CG30" s="84">
        <f t="shared" si="47"/>
        <v>-86.62592661258185</v>
      </c>
      <c r="CH30" s="84">
        <f>'RD T1'!E253</f>
        <v>86.743697023568217</v>
      </c>
      <c r="CI30" s="84">
        <f t="shared" si="48"/>
        <v>0.11777041098636687</v>
      </c>
      <c r="CK30" s="18" t="str">
        <f t="shared" si="49"/>
        <v xml:space="preserve"> 82 Transport and mobile machine drivers and operatives</v>
      </c>
      <c r="CL30" s="84">
        <v>193.18251947190183</v>
      </c>
      <c r="CM30" s="84">
        <v>149.76079578731284</v>
      </c>
      <c r="CN30" s="84">
        <v>141.34359871576251</v>
      </c>
      <c r="CO30" s="84">
        <v>108.74920594712808</v>
      </c>
      <c r="CP30" s="84">
        <v>75.987519712082175</v>
      </c>
      <c r="CQ30" s="84"/>
      <c r="CR30" s="84">
        <f t="shared" si="50"/>
        <v>-65.356079003680335</v>
      </c>
      <c r="CS30" s="84">
        <f>'RD T1'!E281</f>
        <v>28.869023305444685</v>
      </c>
      <c r="CT30" s="84">
        <f t="shared" si="51"/>
        <v>-36.48705569823565</v>
      </c>
    </row>
    <row r="31" spans="1:98" x14ac:dyDescent="0.25">
      <c r="A31" s="12" t="str">
        <f>name!D27</f>
        <v xml:space="preserve"> 91 Elementary trades and related occupations</v>
      </c>
      <c r="B31" s="84">
        <v>1.5244970982230373E-2</v>
      </c>
      <c r="C31" s="84">
        <v>2.032012361929094E-2</v>
      </c>
      <c r="D31" s="84">
        <v>4.0098957654546005E-2</v>
      </c>
      <c r="E31" s="84">
        <v>6.2100912554875452E-2</v>
      </c>
      <c r="F31" s="84">
        <v>7.8340565555453379E-2</v>
      </c>
      <c r="G31" s="13"/>
      <c r="H31" s="84">
        <f t="shared" si="26"/>
        <v>3.8241607900907373E-2</v>
      </c>
      <c r="I31" s="84">
        <f>'RD T1'!E58</f>
        <v>2.3065653422861224E-2</v>
      </c>
      <c r="J31" s="84">
        <f t="shared" si="27"/>
        <v>6.1307261323768597E-2</v>
      </c>
      <c r="L31" s="18" t="str">
        <f t="shared" si="28"/>
        <v xml:space="preserve"> 91 Elementary trades and related occupations</v>
      </c>
      <c r="M31" s="84">
        <v>1.4561257996134767</v>
      </c>
      <c r="N31" s="84">
        <v>4.6859559229288603</v>
      </c>
      <c r="O31" s="84">
        <v>7.6494410015002234</v>
      </c>
      <c r="P31" s="84">
        <v>10.378001395502315</v>
      </c>
      <c r="Q31" s="84">
        <v>12.814932261020965</v>
      </c>
      <c r="R31" s="13"/>
      <c r="S31" s="84">
        <f t="shared" si="29"/>
        <v>5.1654912595207421</v>
      </c>
      <c r="T31" s="84">
        <f>'RD T1'!E86</f>
        <v>3.5506278829218987</v>
      </c>
      <c r="U31" s="84">
        <f t="shared" si="30"/>
        <v>8.7161191424426399</v>
      </c>
      <c r="W31" s="18" t="str">
        <f t="shared" si="31"/>
        <v xml:space="preserve"> 91 Elementary trades and related occupations</v>
      </c>
      <c r="X31" s="84">
        <v>12.34577880103603</v>
      </c>
      <c r="Y31" s="84">
        <v>18.450552667818318</v>
      </c>
      <c r="Z31" s="84">
        <v>23.727233462255462</v>
      </c>
      <c r="AA31" s="84">
        <v>34.204608503199303</v>
      </c>
      <c r="AB31" s="84">
        <v>40.056910083740526</v>
      </c>
      <c r="AC31" s="84"/>
      <c r="AD31" s="84">
        <f t="shared" si="32"/>
        <v>16.329676621485063</v>
      </c>
      <c r="AE31" s="84">
        <f>'RD T1'!E114</f>
        <v>13.364799563393822</v>
      </c>
      <c r="AF31" s="84">
        <f t="shared" si="33"/>
        <v>29.694476184878887</v>
      </c>
      <c r="AH31" s="18" t="str">
        <f t="shared" si="34"/>
        <v xml:space="preserve"> 91 Elementary trades and related occupations</v>
      </c>
      <c r="AI31" s="84">
        <v>7.6137180583351878</v>
      </c>
      <c r="AJ31" s="84">
        <v>12.651803122886474</v>
      </c>
      <c r="AK31" s="84">
        <v>14.908869126711302</v>
      </c>
      <c r="AL31" s="84">
        <v>21.198087624071469</v>
      </c>
      <c r="AM31" s="84">
        <v>24.633849997022775</v>
      </c>
      <c r="AN31" s="84"/>
      <c r="AO31" s="84">
        <f t="shared" si="35"/>
        <v>9.7249808703114731</v>
      </c>
      <c r="AP31" s="84">
        <f>'RD T1'!E142</f>
        <v>8.4356077916879375</v>
      </c>
      <c r="AQ31" s="84">
        <f t="shared" si="36"/>
        <v>18.160588661999412</v>
      </c>
      <c r="AS31" s="18" t="str">
        <f t="shared" si="37"/>
        <v xml:space="preserve"> 91 Elementary trades and related occupations</v>
      </c>
      <c r="AT31" s="84">
        <v>12.061107627951129</v>
      </c>
      <c r="AU31" s="84">
        <v>16.026534250741438</v>
      </c>
      <c r="AV31" s="84">
        <v>19.247326222919561</v>
      </c>
      <c r="AW31" s="84">
        <v>25.846196423392428</v>
      </c>
      <c r="AX31" s="84">
        <v>29.664418397858153</v>
      </c>
      <c r="AY31" s="84"/>
      <c r="AZ31" s="84">
        <f t="shared" si="38"/>
        <v>10.417092174938592</v>
      </c>
      <c r="BA31" s="84">
        <f>'RD T1'!E170</f>
        <v>8.5618301747213117</v>
      </c>
      <c r="BB31" s="84">
        <f t="shared" si="39"/>
        <v>18.978922349659904</v>
      </c>
      <c r="BD31" s="18" t="str">
        <f t="shared" si="40"/>
        <v xml:space="preserve"> 91 Elementary trades and related occupations</v>
      </c>
      <c r="BE31" s="84">
        <v>78.470903096788604</v>
      </c>
      <c r="BF31" s="84">
        <v>82.804899541513677</v>
      </c>
      <c r="BG31" s="84">
        <v>91.800954693682399</v>
      </c>
      <c r="BH31" s="84">
        <v>88.378767788378624</v>
      </c>
      <c r="BI31" s="84">
        <v>88.583447978435018</v>
      </c>
      <c r="BJ31" s="84"/>
      <c r="BK31" s="84">
        <f t="shared" si="41"/>
        <v>-3.2175067152473815</v>
      </c>
      <c r="BL31" s="84">
        <f>'RD T1'!E198</f>
        <v>22.038020010324171</v>
      </c>
      <c r="BM31" s="84">
        <f t="shared" si="42"/>
        <v>18.82051329507679</v>
      </c>
      <c r="BO31" s="18" t="str">
        <f t="shared" si="43"/>
        <v xml:space="preserve"> 91 Elementary trades and related occupations</v>
      </c>
      <c r="BP31" s="84">
        <v>135.7112137044027</v>
      </c>
      <c r="BQ31" s="84">
        <v>141.39310954908424</v>
      </c>
      <c r="BR31" s="84">
        <v>144.34314601582776</v>
      </c>
      <c r="BS31" s="84">
        <v>140.08462432357834</v>
      </c>
      <c r="BT31" s="84">
        <v>136.64246098296204</v>
      </c>
      <c r="BU31" s="84"/>
      <c r="BV31" s="84">
        <f t="shared" si="44"/>
        <v>-7.7006850328657208</v>
      </c>
      <c r="BW31" s="84">
        <f>'RD T1'!E226</f>
        <v>36.697227342948658</v>
      </c>
      <c r="BX31" s="84">
        <f t="shared" si="45"/>
        <v>28.996542310082937</v>
      </c>
      <c r="BZ31" s="18" t="str">
        <f t="shared" si="46"/>
        <v xml:space="preserve"> 91 Elementary trades and related occupations</v>
      </c>
      <c r="CA31" s="84">
        <v>176.35081127799455</v>
      </c>
      <c r="CB31" s="84">
        <v>162.89172189700193</v>
      </c>
      <c r="CC31" s="84">
        <v>171.13001566927326</v>
      </c>
      <c r="CD31" s="84">
        <v>156.33455390023767</v>
      </c>
      <c r="CE31" s="84">
        <v>146.09871500780716</v>
      </c>
      <c r="CF31" s="84"/>
      <c r="CG31" s="84">
        <f t="shared" si="47"/>
        <v>-25.031300661466105</v>
      </c>
      <c r="CH31" s="84">
        <f>'RD T1'!E254</f>
        <v>41.769030805743043</v>
      </c>
      <c r="CI31" s="84">
        <f t="shared" si="48"/>
        <v>16.737730144276938</v>
      </c>
      <c r="CK31" s="18" t="str">
        <f t="shared" si="49"/>
        <v xml:space="preserve"> 91 Elementary trades and related occupations</v>
      </c>
      <c r="CL31" s="84">
        <v>129.11037381547041</v>
      </c>
      <c r="CM31" s="84">
        <v>91.579137666791652</v>
      </c>
      <c r="CN31" s="84">
        <v>82.286704440152377</v>
      </c>
      <c r="CO31" s="84">
        <v>62.513762183743758</v>
      </c>
      <c r="CP31" s="84">
        <v>52.402240978510157</v>
      </c>
      <c r="CQ31" s="84"/>
      <c r="CR31" s="84">
        <f t="shared" si="50"/>
        <v>-29.88446346164222</v>
      </c>
      <c r="CS31" s="84">
        <f>'RD T1'!E282</f>
        <v>13.048763786773815</v>
      </c>
      <c r="CT31" s="84">
        <f t="shared" si="51"/>
        <v>-16.835699674868405</v>
      </c>
    </row>
    <row r="32" spans="1:98" x14ac:dyDescent="0.25">
      <c r="A32" s="12" t="str">
        <f>name!D28</f>
        <v xml:space="preserve"> 92 Elementary administration and service occupations</v>
      </c>
      <c r="B32" s="84">
        <v>0.98781055418692232</v>
      </c>
      <c r="C32" s="84">
        <v>1.6041232662883671</v>
      </c>
      <c r="D32" s="84">
        <v>2.7444372232760177</v>
      </c>
      <c r="E32" s="84">
        <v>4.1534432775401076</v>
      </c>
      <c r="F32" s="84">
        <v>5.2344818582013843</v>
      </c>
      <c r="G32" s="13"/>
      <c r="H32" s="84">
        <f t="shared" si="26"/>
        <v>2.4900446349253667</v>
      </c>
      <c r="I32" s="84">
        <f>'RD T1'!E59</f>
        <v>1.5499929652426006</v>
      </c>
      <c r="J32" s="84">
        <f t="shared" si="27"/>
        <v>4.0400376001679668</v>
      </c>
      <c r="L32" s="18" t="str">
        <f t="shared" si="28"/>
        <v xml:space="preserve"> 92 Elementary administration and service occupations</v>
      </c>
      <c r="M32" s="84">
        <v>28.461973601074547</v>
      </c>
      <c r="N32" s="84">
        <v>46.068862669700415</v>
      </c>
      <c r="O32" s="84">
        <v>78.151634538648096</v>
      </c>
      <c r="P32" s="84">
        <v>112.02701237196206</v>
      </c>
      <c r="Q32" s="84">
        <v>145.22542251137838</v>
      </c>
      <c r="R32" s="13"/>
      <c r="S32" s="84">
        <f t="shared" si="29"/>
        <v>67.073787972730287</v>
      </c>
      <c r="T32" s="84">
        <f>'RD T1'!E87</f>
        <v>43.548587265072875</v>
      </c>
      <c r="U32" s="84">
        <f t="shared" si="30"/>
        <v>110.62237523780317</v>
      </c>
      <c r="W32" s="18" t="str">
        <f t="shared" si="31"/>
        <v xml:space="preserve"> 92 Elementary administration and service occupations</v>
      </c>
      <c r="X32" s="84">
        <v>113.6269346150011</v>
      </c>
      <c r="Y32" s="84">
        <v>190.74860501475672</v>
      </c>
      <c r="Z32" s="84">
        <v>248.89601271662295</v>
      </c>
      <c r="AA32" s="84">
        <v>374.62904507604679</v>
      </c>
      <c r="AB32" s="84">
        <v>467.25265537010648</v>
      </c>
      <c r="AC32" s="84"/>
      <c r="AD32" s="84">
        <f t="shared" si="32"/>
        <v>218.35664265348353</v>
      </c>
      <c r="AE32" s="84">
        <f>'RD T1'!E115</f>
        <v>160.13977936103231</v>
      </c>
      <c r="AF32" s="84">
        <f t="shared" si="33"/>
        <v>378.49642201451582</v>
      </c>
      <c r="AH32" s="18" t="str">
        <f t="shared" si="34"/>
        <v xml:space="preserve"> 92 Elementary administration and service occupations</v>
      </c>
      <c r="AI32" s="84">
        <v>60.357502798612195</v>
      </c>
      <c r="AJ32" s="84">
        <v>98.174754207674681</v>
      </c>
      <c r="AK32" s="84">
        <v>118.8699852323755</v>
      </c>
      <c r="AL32" s="84">
        <v>173.82427095400561</v>
      </c>
      <c r="AM32" s="84">
        <v>209.36192111108016</v>
      </c>
      <c r="AN32" s="84"/>
      <c r="AO32" s="84">
        <f t="shared" si="35"/>
        <v>90.491935878704666</v>
      </c>
      <c r="AP32" s="84">
        <f>'RD T1'!E143</f>
        <v>72.04144883407298</v>
      </c>
      <c r="AQ32" s="84">
        <f t="shared" si="36"/>
        <v>162.53338471277766</v>
      </c>
      <c r="AS32" s="18" t="str">
        <f t="shared" si="37"/>
        <v xml:space="preserve"> 92 Elementary administration and service occupations</v>
      </c>
      <c r="AT32" s="84">
        <v>70.785892160663394</v>
      </c>
      <c r="AU32" s="84">
        <v>91.917701297532915</v>
      </c>
      <c r="AV32" s="84">
        <v>108.10050594291327</v>
      </c>
      <c r="AW32" s="84">
        <v>151.54949245909046</v>
      </c>
      <c r="AX32" s="84">
        <v>183.21355589471742</v>
      </c>
      <c r="AY32" s="84"/>
      <c r="AZ32" s="84">
        <f t="shared" si="38"/>
        <v>75.113049951804143</v>
      </c>
      <c r="BA32" s="84">
        <f>'RD T1'!E171</f>
        <v>61.167955830523084</v>
      </c>
      <c r="BB32" s="84">
        <f t="shared" si="39"/>
        <v>136.28100578232721</v>
      </c>
      <c r="BD32" s="18" t="str">
        <f t="shared" si="40"/>
        <v xml:space="preserve"> 92 Elementary administration and service occupations</v>
      </c>
      <c r="BE32" s="84">
        <v>578.57814546509792</v>
      </c>
      <c r="BF32" s="84">
        <v>574.60948806359727</v>
      </c>
      <c r="BG32" s="84">
        <v>602.43931913088693</v>
      </c>
      <c r="BH32" s="84">
        <v>591.26515424980357</v>
      </c>
      <c r="BI32" s="84">
        <v>585.80622837157284</v>
      </c>
      <c r="BJ32" s="84"/>
      <c r="BK32" s="84">
        <f t="shared" si="41"/>
        <v>-16.633090759314086</v>
      </c>
      <c r="BL32" s="84">
        <f>'RD T1'!E199</f>
        <v>194.10272506687653</v>
      </c>
      <c r="BM32" s="84">
        <f t="shared" si="42"/>
        <v>177.46963430756244</v>
      </c>
      <c r="BO32" s="18" t="str">
        <f t="shared" si="43"/>
        <v xml:space="preserve"> 92 Elementary administration and service occupations</v>
      </c>
      <c r="BP32" s="84">
        <v>895.91272348017242</v>
      </c>
      <c r="BQ32" s="84">
        <v>920.25500533051274</v>
      </c>
      <c r="BR32" s="84">
        <v>961.31800098250926</v>
      </c>
      <c r="BS32" s="84">
        <v>970.27372879111931</v>
      </c>
      <c r="BT32" s="84">
        <v>961.79750492915036</v>
      </c>
      <c r="BU32" s="84"/>
      <c r="BV32" s="84">
        <f t="shared" si="44"/>
        <v>0.47950394664110263</v>
      </c>
      <c r="BW32" s="84">
        <f>'RD T1'!E227</f>
        <v>311.53525166660688</v>
      </c>
      <c r="BX32" s="84">
        <f t="shared" si="45"/>
        <v>312.01475561324798</v>
      </c>
      <c r="BZ32" s="18" t="str">
        <f t="shared" si="46"/>
        <v xml:space="preserve"> 92 Elementary administration and service occupations</v>
      </c>
      <c r="CA32" s="84">
        <v>961.38934937997374</v>
      </c>
      <c r="CB32" s="84">
        <v>827.86784021440701</v>
      </c>
      <c r="CC32" s="84">
        <v>884.80886259990473</v>
      </c>
      <c r="CD32" s="84">
        <v>786.20210817704856</v>
      </c>
      <c r="CE32" s="84">
        <v>691.48785720037165</v>
      </c>
      <c r="CF32" s="84"/>
      <c r="CG32" s="84">
        <f t="shared" si="47"/>
        <v>-193.32100539953308</v>
      </c>
      <c r="CH32" s="84">
        <f>'RD T1'!E255</f>
        <v>217.40344565890183</v>
      </c>
      <c r="CI32" s="84">
        <f t="shared" si="48"/>
        <v>24.082440259368752</v>
      </c>
      <c r="CK32" s="18" t="str">
        <f t="shared" si="49"/>
        <v xml:space="preserve"> 92 Elementary administration and service occupations</v>
      </c>
      <c r="CL32" s="84">
        <v>773.98176766535084</v>
      </c>
      <c r="CM32" s="84">
        <v>484.4414209723152</v>
      </c>
      <c r="CN32" s="84">
        <v>395.53056318736634</v>
      </c>
      <c r="CO32" s="84">
        <v>245.11600994064682</v>
      </c>
      <c r="CP32" s="84">
        <v>166.59631902775729</v>
      </c>
      <c r="CQ32" s="84"/>
      <c r="CR32" s="84">
        <f t="shared" si="50"/>
        <v>-228.93424415960905</v>
      </c>
      <c r="CS32" s="84">
        <f>'RD T1'!E283</f>
        <v>48.764403406457916</v>
      </c>
      <c r="CT32" s="84">
        <f t="shared" si="51"/>
        <v>-180.16984075315114</v>
      </c>
    </row>
    <row r="33" spans="1:98" x14ac:dyDescent="0.25">
      <c r="A33" s="18"/>
      <c r="B33" s="13"/>
      <c r="C33" s="13"/>
      <c r="D33" s="13"/>
      <c r="E33" s="13"/>
      <c r="F33" s="13"/>
      <c r="G33" s="13"/>
      <c r="H33" s="84"/>
      <c r="I33" s="84"/>
      <c r="J33" s="84"/>
      <c r="L33" s="18"/>
      <c r="M33" s="84"/>
      <c r="N33" s="84"/>
      <c r="O33" s="84"/>
      <c r="P33" s="84"/>
      <c r="Q33" s="84"/>
      <c r="R33" s="13"/>
      <c r="S33" s="84"/>
      <c r="T33" s="84"/>
      <c r="U33" s="84"/>
      <c r="W33" s="18"/>
      <c r="X33" s="84"/>
      <c r="Y33" s="84"/>
      <c r="Z33" s="84"/>
      <c r="AA33" s="84"/>
      <c r="AB33" s="84"/>
      <c r="AC33" s="84"/>
      <c r="AD33" s="84"/>
      <c r="AE33" s="84"/>
      <c r="AF33" s="84"/>
      <c r="AH33" s="18"/>
      <c r="AI33" s="84"/>
      <c r="AJ33" s="84"/>
      <c r="AK33" s="84"/>
      <c r="AL33" s="84"/>
      <c r="AM33" s="84"/>
      <c r="AN33" s="84"/>
      <c r="AO33" s="84"/>
      <c r="AP33" s="84"/>
      <c r="AQ33" s="84"/>
      <c r="AS33" s="18"/>
      <c r="AT33" s="84"/>
      <c r="AU33" s="84"/>
      <c r="AV33" s="84"/>
      <c r="AW33" s="84"/>
      <c r="AX33" s="84"/>
      <c r="AY33" s="84"/>
      <c r="AZ33" s="84"/>
      <c r="BA33" s="84"/>
      <c r="BB33" s="84"/>
      <c r="BD33" s="18"/>
      <c r="BE33" s="84"/>
      <c r="BF33" s="84"/>
      <c r="BG33" s="84"/>
      <c r="BH33" s="84"/>
      <c r="BI33" s="84"/>
      <c r="BJ33" s="84"/>
      <c r="BK33" s="84"/>
      <c r="BL33" s="84"/>
      <c r="BM33" s="84"/>
      <c r="BO33" s="18"/>
      <c r="BP33" s="84"/>
      <c r="BQ33" s="84"/>
      <c r="BR33" s="84"/>
      <c r="BS33" s="84"/>
      <c r="BT33" s="84"/>
      <c r="BU33" s="84"/>
      <c r="BV33" s="84"/>
      <c r="BW33" s="84"/>
      <c r="BX33" s="84"/>
      <c r="BZ33" s="18"/>
      <c r="CA33" s="84"/>
      <c r="CB33" s="84"/>
      <c r="CC33" s="84"/>
      <c r="CD33" s="84"/>
      <c r="CE33" s="84"/>
      <c r="CF33" s="84"/>
      <c r="CG33" s="84"/>
      <c r="CH33" s="84"/>
      <c r="CI33" s="84"/>
      <c r="CK33" s="18"/>
      <c r="CL33" s="84"/>
      <c r="CM33" s="84"/>
      <c r="CN33" s="84"/>
      <c r="CO33" s="84"/>
      <c r="CP33" s="84"/>
      <c r="CQ33" s="84"/>
      <c r="CR33" s="84"/>
      <c r="CS33" s="84"/>
      <c r="CT33" s="84"/>
    </row>
    <row r="34" spans="1:98" x14ac:dyDescent="0.25">
      <c r="A34" s="336" t="str">
        <f>name!D3</f>
        <v>All occupations</v>
      </c>
      <c r="B34" s="82">
        <f>SUM(B8:B32)</f>
        <v>294.35280970569653</v>
      </c>
      <c r="C34" s="82">
        <f>SUM(C8:C32)</f>
        <v>368.02656869033405</v>
      </c>
      <c r="D34" s="82">
        <f>SUM(D8:D32)</f>
        <v>548.71700814268661</v>
      </c>
      <c r="E34" s="82">
        <f>SUM(E8:E32)</f>
        <v>636.93683908098205</v>
      </c>
      <c r="F34" s="82">
        <f>SUM(F8:F32)</f>
        <v>731.7326668137066</v>
      </c>
      <c r="G34" s="13"/>
      <c r="H34" s="82">
        <f t="shared" si="26"/>
        <v>183.01565867101999</v>
      </c>
      <c r="I34" s="82">
        <f>SUM(I8:I32)</f>
        <v>212.21073340271681</v>
      </c>
      <c r="J34" s="82">
        <f>SUM(H34:I34)</f>
        <v>395.2263920737368</v>
      </c>
      <c r="L34" s="28" t="str">
        <f>A34</f>
        <v>All occupations</v>
      </c>
      <c r="M34" s="82">
        <f>SUM(M8:M32)</f>
        <v>2152.1787706991718</v>
      </c>
      <c r="N34" s="82">
        <f>SUM(N8:N32)</f>
        <v>2571.8117364701588</v>
      </c>
      <c r="O34" s="82">
        <f>SUM(O8:O32)</f>
        <v>3839.3943653282918</v>
      </c>
      <c r="P34" s="82">
        <f>SUM(P8:P32)</f>
        <v>4454.2817768167215</v>
      </c>
      <c r="Q34" s="82">
        <f>SUM(Q8:Q32)</f>
        <v>5076.2341667681412</v>
      </c>
      <c r="R34" s="13"/>
      <c r="S34" s="82">
        <f t="shared" si="29"/>
        <v>1236.8398014398495</v>
      </c>
      <c r="T34" s="82">
        <f>SUM(T8:T32)</f>
        <v>1556.8914029580865</v>
      </c>
      <c r="U34" s="82">
        <f>SUM(S34:T34)</f>
        <v>2793.7312043979359</v>
      </c>
      <c r="W34" s="28" t="str">
        <f>A34</f>
        <v>All occupations</v>
      </c>
      <c r="X34" s="82">
        <f>SUM(X8:X32)</f>
        <v>4602.2940717735601</v>
      </c>
      <c r="Y34" s="82">
        <f>SUM(Y8:Y32)</f>
        <v>5900.8400557432324</v>
      </c>
      <c r="Z34" s="82">
        <f>SUM(Z8:Z32)</f>
        <v>6850.5415007430638</v>
      </c>
      <c r="AA34" s="82">
        <f>SUM(AA8:AA32)</f>
        <v>8320.0245057423672</v>
      </c>
      <c r="AB34" s="82">
        <f>SUM(AB8:AB32)</f>
        <v>9223.9699308177787</v>
      </c>
      <c r="AC34" s="84"/>
      <c r="AD34" s="82">
        <f t="shared" ref="AD34" si="52">AB34-Z34</f>
        <v>2373.4284300747149</v>
      </c>
      <c r="AE34" s="82">
        <f>SUM(AE8:AE32)</f>
        <v>3077.0295251828966</v>
      </c>
      <c r="AF34" s="82">
        <f>SUM(AD34:AE34)</f>
        <v>5450.4579552576115</v>
      </c>
      <c r="AH34" s="28" t="str">
        <f>L34</f>
        <v>All occupations</v>
      </c>
      <c r="AI34" s="82">
        <f>SUM(AI8:AI32)</f>
        <v>1895.6113833887819</v>
      </c>
      <c r="AJ34" s="82">
        <f>SUM(AJ8:AJ32)</f>
        <v>1985.008742449545</v>
      </c>
      <c r="AK34" s="82">
        <f>SUM(AK8:AK32)</f>
        <v>1966.1273252754909</v>
      </c>
      <c r="AL34" s="82">
        <f>SUM(AL8:AL32)</f>
        <v>2170.030272710103</v>
      </c>
      <c r="AM34" s="82">
        <f>SUM(AM8:AM32)</f>
        <v>2288.7418318613609</v>
      </c>
      <c r="AN34" s="84"/>
      <c r="AO34" s="82">
        <f t="shared" ref="AO34" si="53">AM34-AK34</f>
        <v>322.61450658587</v>
      </c>
      <c r="AP34" s="82">
        <f>SUM(AP8:AP32)</f>
        <v>796.06171586899825</v>
      </c>
      <c r="AQ34" s="82">
        <f>SUM(AO34:AP34)</f>
        <v>1118.6762224548684</v>
      </c>
      <c r="AS34" s="28" t="str">
        <f>W34</f>
        <v>All occupations</v>
      </c>
      <c r="AT34" s="82">
        <f>SUM(AT8:AT32)</f>
        <v>1558.9157977239961</v>
      </c>
      <c r="AU34" s="82">
        <f>SUM(AU8:AU32)</f>
        <v>1754.5761560409164</v>
      </c>
      <c r="AV34" s="82">
        <f>SUM(AV8:AV32)</f>
        <v>1890.39556318314</v>
      </c>
      <c r="AW34" s="82">
        <f>SUM(AW8:AW32)</f>
        <v>2248.0182545175699</v>
      </c>
      <c r="AX34" s="82">
        <f>SUM(AX8:AX32)</f>
        <v>2458.2425587875396</v>
      </c>
      <c r="AY34" s="84"/>
      <c r="AZ34" s="82">
        <f t="shared" ref="AZ34" si="54">AX34-AV34</f>
        <v>567.84699560439958</v>
      </c>
      <c r="BA34" s="82">
        <f>SUM(BA8:BA32)</f>
        <v>798.18121445320878</v>
      </c>
      <c r="BB34" s="82">
        <f>SUM(AZ34:BA34)</f>
        <v>1366.0282100576082</v>
      </c>
      <c r="BD34" s="28" t="str">
        <f>AH34</f>
        <v>All occupations</v>
      </c>
      <c r="BE34" s="82">
        <f>SUM(BE8:BE32)</f>
        <v>6197.5454086245245</v>
      </c>
      <c r="BF34" s="82">
        <f>SUM(BF8:BF32)</f>
        <v>6241.6293954175881</v>
      </c>
      <c r="BG34" s="82">
        <f>SUM(BG8:BG32)</f>
        <v>6916.6632329275371</v>
      </c>
      <c r="BH34" s="82">
        <f>SUM(BH8:BH32)</f>
        <v>6564.0914040264288</v>
      </c>
      <c r="BI34" s="82">
        <f>SUM(BI8:BI32)</f>
        <v>6466.0936823055072</v>
      </c>
      <c r="BJ34" s="84"/>
      <c r="BK34" s="82">
        <f t="shared" ref="BK34" si="55">BI34-BG34</f>
        <v>-450.56955062202996</v>
      </c>
      <c r="BL34" s="82">
        <f>SUM(BL8:BL32)</f>
        <v>2037.6591187865529</v>
      </c>
      <c r="BM34" s="82">
        <f>SUM(BK34:BL34)</f>
        <v>1587.0895681645229</v>
      </c>
      <c r="BO34" s="28" t="str">
        <f>AS34</f>
        <v>All occupations</v>
      </c>
      <c r="BP34" s="82">
        <f>SUM(BP8:BP32)</f>
        <v>6850.6106439311043</v>
      </c>
      <c r="BQ34" s="82">
        <f>SUM(BQ8:BQ32)</f>
        <v>6671.6730005943737</v>
      </c>
      <c r="BR34" s="82">
        <f>SUM(BR8:BR32)</f>
        <v>6752.770751701697</v>
      </c>
      <c r="BS34" s="82">
        <f>SUM(BS8:BS32)</f>
        <v>6187.2671637425237</v>
      </c>
      <c r="BT34" s="82">
        <f>SUM(BT8:BT32)</f>
        <v>5774.7831786037914</v>
      </c>
      <c r="BU34" s="84"/>
      <c r="BV34" s="82">
        <f t="shared" ref="BV34" si="56">BT34-BR34</f>
        <v>-977.98757309790562</v>
      </c>
      <c r="BW34" s="82">
        <f>SUM(BW8:BW32)</f>
        <v>1907.3327815032728</v>
      </c>
      <c r="BX34" s="82">
        <f>SUM(BV34:BW34)</f>
        <v>929.3452084053672</v>
      </c>
      <c r="BZ34" s="28" t="str">
        <f>BD34</f>
        <v>All occupations</v>
      </c>
      <c r="CA34" s="82">
        <f>SUM(CA8:CA32)</f>
        <v>5530.7871204987332</v>
      </c>
      <c r="CB34" s="82">
        <f>SUM(CB8:CB32)</f>
        <v>4480.3692005364028</v>
      </c>
      <c r="CC34" s="82">
        <f>SUM(CC8:CC32)</f>
        <v>4476.8154183152337</v>
      </c>
      <c r="CD34" s="82">
        <f>SUM(CD8:CD32)</f>
        <v>3567.9630511304845</v>
      </c>
      <c r="CE34" s="82">
        <f>SUM(CE8:CE32)</f>
        <v>2933.9027332325545</v>
      </c>
      <c r="CF34" s="84"/>
      <c r="CG34" s="82">
        <f t="shared" ref="CG34" si="57">CE34-CC34</f>
        <v>-1542.9126850826792</v>
      </c>
      <c r="CH34" s="82">
        <f>SUM(CH8:CH32)</f>
        <v>953.52495306518904</v>
      </c>
      <c r="CI34" s="82">
        <f>SUM(CG34:CH34)</f>
        <v>-589.38773201749018</v>
      </c>
      <c r="CK34" s="28" t="str">
        <f>BO34</f>
        <v>All occupations</v>
      </c>
      <c r="CL34" s="82">
        <f>SUM(CL8:CL32)</f>
        <v>2707.7109936545044</v>
      </c>
      <c r="CM34" s="82">
        <f>SUM(CM8:CM32)</f>
        <v>1826.0781440576943</v>
      </c>
      <c r="CN34" s="82">
        <f>SUM(CN8:CN32)</f>
        <v>1606.566834382857</v>
      </c>
      <c r="CO34" s="82">
        <f>SUM(CO8:CO32)</f>
        <v>1101.8347322327634</v>
      </c>
      <c r="CP34" s="82">
        <f>SUM(CP8:CP32)</f>
        <v>867.25225080976929</v>
      </c>
      <c r="CQ34" s="84"/>
      <c r="CR34" s="82">
        <f t="shared" ref="CR34" si="58">CP34-CN34</f>
        <v>-739.3145835730877</v>
      </c>
      <c r="CS34" s="82">
        <f>SUM(CS8:CS32)</f>
        <v>241.99062067144911</v>
      </c>
      <c r="CT34" s="82">
        <f>SUM(CR34:CS34)</f>
        <v>-497.32396290163859</v>
      </c>
    </row>
    <row r="35" spans="1:98" x14ac:dyDescent="0.25">
      <c r="BZ35" s="286"/>
      <c r="CA35" s="286"/>
      <c r="CB35" s="286"/>
      <c r="CC35" s="286"/>
      <c r="CD35" s="286"/>
      <c r="CE35" s="286"/>
      <c r="CF35" s="286"/>
    </row>
    <row r="36" spans="1:98" x14ac:dyDescent="0.25">
      <c r="BZ36" s="286"/>
      <c r="CA36" s="286"/>
      <c r="CB36" s="286"/>
      <c r="CC36" s="286"/>
      <c r="CD36" s="286"/>
      <c r="CE36" s="286"/>
      <c r="CF36" s="286"/>
    </row>
    <row r="37" spans="1:98" ht="52.5" customHeight="1" x14ac:dyDescent="0.25">
      <c r="A37" s="526" t="str">
        <f>CONCATENATE(A$1," (Continued)")</f>
        <v>Basic Table 2  Employment Change by Occupation and Replacement Demand, RQF8 Doctorate, 2007-2027, United Kingdom (Continued)</v>
      </c>
      <c r="B37" s="526"/>
      <c r="C37" s="526"/>
      <c r="D37" s="526"/>
      <c r="E37" s="526"/>
      <c r="F37" s="526"/>
      <c r="G37" s="526"/>
      <c r="H37" s="526"/>
      <c r="I37" s="526"/>
      <c r="J37" s="526"/>
      <c r="L37" s="526" t="str">
        <f>CONCATENATE(L$1," (Continued)")</f>
        <v>Basic Table 2.1  Employment Change by Occupation and Replacement Demand, RQF7 Other higher degree, 2007-2027, United Kingdom (Continued)</v>
      </c>
      <c r="M37" s="526"/>
      <c r="N37" s="526"/>
      <c r="O37" s="526"/>
      <c r="P37" s="526"/>
      <c r="Q37" s="526"/>
      <c r="R37" s="526"/>
      <c r="S37" s="526"/>
      <c r="T37" s="526"/>
      <c r="U37" s="526"/>
      <c r="W37" s="526" t="str">
        <f>CONCATENATE(W$1," (Continued)")</f>
        <v>Basic Table 2.2  Employment Change by Occupation and Replacement Demand, RQF6 First degree, 2007-2027, United Kingdom (Continued)</v>
      </c>
      <c r="X37" s="526"/>
      <c r="Y37" s="526"/>
      <c r="Z37" s="526"/>
      <c r="AA37" s="526"/>
      <c r="AB37" s="526"/>
      <c r="AC37" s="526"/>
      <c r="AD37" s="526"/>
      <c r="AE37" s="526"/>
      <c r="AF37" s="526"/>
      <c r="AH37" s="526" t="str">
        <f>CONCATENATE(AH$1," (Continued)")</f>
        <v>Basic Table 2.3  Employment Change by Occupation and Replacement Demand, RQF5 Foundation degree;Nursing;Teaching, 2007-2027, United Kingdom (Continued)</v>
      </c>
      <c r="AI37" s="526"/>
      <c r="AJ37" s="526"/>
      <c r="AK37" s="526"/>
      <c r="AL37" s="526"/>
      <c r="AM37" s="526"/>
      <c r="AN37" s="526"/>
      <c r="AO37" s="526"/>
      <c r="AP37" s="526"/>
      <c r="AQ37" s="526"/>
      <c r="AS37" s="526" t="str">
        <f>CONCATENATE(AS$1," (Continued)")</f>
        <v>Basic Table 2.4  Employment Change by Occupation and Replacement Demand, RQF4 HE below degree level, 2007-2027, United Kingdom (Continued)</v>
      </c>
      <c r="AT37" s="526"/>
      <c r="AU37" s="526"/>
      <c r="AV37" s="526"/>
      <c r="AW37" s="526"/>
      <c r="AX37" s="526"/>
      <c r="AY37" s="526"/>
      <c r="AZ37" s="526"/>
      <c r="BA37" s="526"/>
      <c r="BB37" s="526"/>
      <c r="BD37" s="526" t="str">
        <f>CONCATENATE(BD$1," (Continued)")</f>
        <v>Basic Table 2.5  Employment Change by Occupation and Replacement Demand, RQF3 A level &amp; equivalent, 2007-2027, United Kingdom (Continued)</v>
      </c>
      <c r="BE37" s="526"/>
      <c r="BF37" s="526"/>
      <c r="BG37" s="526"/>
      <c r="BH37" s="526"/>
      <c r="BI37" s="526"/>
      <c r="BJ37" s="526"/>
      <c r="BK37" s="526"/>
      <c r="BL37" s="526"/>
      <c r="BM37" s="526"/>
      <c r="BO37" s="526" t="str">
        <f>CONCATENATE(BO$1," (Continued)")</f>
        <v>Basic Table 2.6  Employment Change by Occupation and Replacement Demand, RQF2 GCSE(A-C) &amp; equivalent, 2007-2027, United Kingdom (Continued)</v>
      </c>
      <c r="BP37" s="526"/>
      <c r="BQ37" s="526"/>
      <c r="BR37" s="526"/>
      <c r="BS37" s="526"/>
      <c r="BT37" s="526"/>
      <c r="BU37" s="526"/>
      <c r="BV37" s="526"/>
      <c r="BW37" s="526"/>
      <c r="BX37" s="526"/>
      <c r="BZ37" s="526" t="str">
        <f>CONCATENATE(BZ$1," (Continued)")</f>
        <v>Basic Table 2.7  Employment Change by Occupation and Replacement Demand, RQF1 GCSE(below grade C) &amp; equivalent, 2007-2027, United Kingdom (Continued)</v>
      </c>
      <c r="CA37" s="526"/>
      <c r="CB37" s="526"/>
      <c r="CC37" s="526"/>
      <c r="CD37" s="526"/>
      <c r="CE37" s="526"/>
      <c r="CF37" s="526"/>
      <c r="CG37" s="526"/>
      <c r="CH37" s="526"/>
      <c r="CI37" s="526"/>
      <c r="CK37" s="526" t="str">
        <f>CONCATENATE(CK$1," (Continued)")</f>
        <v>Basic Table 2.8  Employment Change by Occupation and Replacement Demand, No Qualification, 2007-2027, United Kingdom (Continued)</v>
      </c>
      <c r="CL37" s="526"/>
      <c r="CM37" s="526"/>
      <c r="CN37" s="526"/>
      <c r="CO37" s="526"/>
      <c r="CP37" s="526"/>
      <c r="CQ37" s="526"/>
      <c r="CR37" s="526"/>
      <c r="CS37" s="526"/>
      <c r="CT37" s="526"/>
    </row>
    <row r="38" spans="1:98" ht="12.75" customHeight="1" x14ac:dyDescent="0.25">
      <c r="BZ38" s="286"/>
      <c r="CA38" s="286"/>
      <c r="CB38" s="286"/>
      <c r="CC38" s="286"/>
      <c r="CD38" s="286"/>
      <c r="CE38" s="286"/>
      <c r="CF38" s="286"/>
    </row>
    <row r="39" spans="1:98" ht="12.75" customHeight="1" x14ac:dyDescent="0.25">
      <c r="F39" s="19" t="s">
        <v>34</v>
      </c>
      <c r="J39" s="19" t="s">
        <v>34</v>
      </c>
      <c r="Q39" s="19" t="s">
        <v>34</v>
      </c>
      <c r="U39" s="19" t="s">
        <v>34</v>
      </c>
      <c r="AB39" s="19" t="s">
        <v>34</v>
      </c>
      <c r="AF39" s="19" t="s">
        <v>34</v>
      </c>
      <c r="AM39" s="19" t="s">
        <v>34</v>
      </c>
      <c r="AQ39" s="19" t="s">
        <v>34</v>
      </c>
      <c r="AX39" s="19" t="s">
        <v>34</v>
      </c>
      <c r="BB39" s="19" t="s">
        <v>34</v>
      </c>
      <c r="BI39" s="19" t="s">
        <v>34</v>
      </c>
      <c r="BM39" s="19" t="s">
        <v>34</v>
      </c>
      <c r="BT39" s="19" t="s">
        <v>34</v>
      </c>
      <c r="BX39" s="19" t="s">
        <v>34</v>
      </c>
      <c r="BZ39" s="286"/>
      <c r="CA39" s="286"/>
      <c r="CB39" s="286"/>
      <c r="CC39" s="286"/>
      <c r="CD39" s="286"/>
      <c r="CE39" s="19" t="s">
        <v>34</v>
      </c>
      <c r="CF39" s="286"/>
      <c r="CI39" s="19" t="s">
        <v>34</v>
      </c>
      <c r="CP39" s="19" t="s">
        <v>34</v>
      </c>
      <c r="CT39" s="19" t="s">
        <v>34</v>
      </c>
    </row>
    <row r="40" spans="1:98" ht="12.75" customHeight="1" x14ac:dyDescent="0.25">
      <c r="A40" s="41"/>
      <c r="B40" s="41"/>
      <c r="C40" s="41"/>
      <c r="D40" s="41"/>
      <c r="E40" s="41"/>
      <c r="F40" s="41"/>
      <c r="H40" s="32" t="str">
        <f>$H$4</f>
        <v>2017-2027</v>
      </c>
      <c r="I40" s="41"/>
      <c r="J40" s="41"/>
      <c r="L40" s="41"/>
      <c r="M40" s="41"/>
      <c r="N40" s="41"/>
      <c r="O40" s="41"/>
      <c r="P40" s="41"/>
      <c r="Q40" s="41"/>
      <c r="S40" s="32" t="str">
        <f>$H$4</f>
        <v>2017-2027</v>
      </c>
      <c r="T40" s="41"/>
      <c r="U40" s="41"/>
      <c r="W40" s="41"/>
      <c r="X40" s="41"/>
      <c r="Y40" s="41"/>
      <c r="Z40" s="41"/>
      <c r="AA40" s="41"/>
      <c r="AB40" s="41"/>
      <c r="AD40" s="32" t="str">
        <f>$H$4</f>
        <v>2017-2027</v>
      </c>
      <c r="AE40" s="41"/>
      <c r="AF40" s="41"/>
      <c r="AH40" s="41"/>
      <c r="AI40" s="41"/>
      <c r="AJ40" s="41"/>
      <c r="AK40" s="41"/>
      <c r="AL40" s="41"/>
      <c r="AM40" s="41"/>
      <c r="AO40" s="32" t="str">
        <f>$H$4</f>
        <v>2017-2027</v>
      </c>
      <c r="AP40" s="41"/>
      <c r="AQ40" s="41"/>
      <c r="AS40" s="41"/>
      <c r="AT40" s="41"/>
      <c r="AU40" s="41"/>
      <c r="AV40" s="41"/>
      <c r="AW40" s="41"/>
      <c r="AX40" s="41"/>
      <c r="AZ40" s="32" t="str">
        <f>$H$4</f>
        <v>2017-2027</v>
      </c>
      <c r="BA40" s="41"/>
      <c r="BB40" s="41"/>
      <c r="BD40" s="41"/>
      <c r="BE40" s="41"/>
      <c r="BF40" s="41"/>
      <c r="BG40" s="41"/>
      <c r="BH40" s="41"/>
      <c r="BI40" s="41"/>
      <c r="BK40" s="32" t="str">
        <f>$H$4</f>
        <v>2017-2027</v>
      </c>
      <c r="BL40" s="41"/>
      <c r="BM40" s="41"/>
      <c r="BO40" s="41"/>
      <c r="BP40" s="41"/>
      <c r="BQ40" s="41"/>
      <c r="BR40" s="41"/>
      <c r="BS40" s="41"/>
      <c r="BT40" s="41"/>
      <c r="BV40" s="32" t="str">
        <f>$H$4</f>
        <v>2017-2027</v>
      </c>
      <c r="BW40" s="41"/>
      <c r="BX40" s="41"/>
      <c r="BZ40" s="41"/>
      <c r="CA40" s="41"/>
      <c r="CB40" s="41"/>
      <c r="CC40" s="41"/>
      <c r="CD40" s="41"/>
      <c r="CE40" s="41"/>
      <c r="CF40" s="286"/>
      <c r="CG40" s="32" t="str">
        <f>$H$4</f>
        <v>2017-2027</v>
      </c>
      <c r="CH40" s="41"/>
      <c r="CI40" s="41"/>
      <c r="CK40" s="41"/>
      <c r="CL40" s="41"/>
      <c r="CM40" s="41"/>
      <c r="CN40" s="41"/>
      <c r="CO40" s="41"/>
      <c r="CP40" s="41"/>
      <c r="CR40" s="32" t="str">
        <f>$H$4</f>
        <v>2017-2027</v>
      </c>
      <c r="CS40" s="41"/>
      <c r="CT40" s="41"/>
    </row>
    <row r="41" spans="1:98" ht="12.75" customHeight="1" x14ac:dyDescent="0.25">
      <c r="A41" s="2"/>
      <c r="B41" s="2"/>
      <c r="C41" s="2"/>
      <c r="D41" s="2"/>
      <c r="E41" s="2"/>
      <c r="F41" s="2"/>
      <c r="H41" s="19" t="str">
        <f t="shared" ref="H41:J42" si="59">H5</f>
        <v>Net</v>
      </c>
      <c r="I41" s="19" t="str">
        <f t="shared" si="59"/>
        <v>Replacement</v>
      </c>
      <c r="J41" s="19" t="str">
        <f t="shared" si="59"/>
        <v>Total</v>
      </c>
      <c r="L41" s="2"/>
      <c r="M41" s="2"/>
      <c r="N41" s="2"/>
      <c r="O41" s="2"/>
      <c r="P41" s="2"/>
      <c r="Q41" s="2"/>
      <c r="S41" s="19" t="str">
        <f t="shared" ref="S41:U42" si="60">S5</f>
        <v>Net</v>
      </c>
      <c r="T41" s="19" t="str">
        <f t="shared" si="60"/>
        <v>Replacement</v>
      </c>
      <c r="U41" s="19" t="str">
        <f t="shared" si="60"/>
        <v>Total</v>
      </c>
      <c r="W41" s="2"/>
      <c r="X41" s="2"/>
      <c r="Y41" s="2"/>
      <c r="Z41" s="2"/>
      <c r="AA41" s="2"/>
      <c r="AB41" s="2"/>
      <c r="AD41" s="19" t="str">
        <f t="shared" ref="AD41:AF42" si="61">AD5</f>
        <v>Net</v>
      </c>
      <c r="AE41" s="19" t="str">
        <f t="shared" si="61"/>
        <v>Replacement</v>
      </c>
      <c r="AF41" s="19" t="str">
        <f t="shared" si="61"/>
        <v>Total</v>
      </c>
      <c r="AH41" s="2"/>
      <c r="AI41" s="2"/>
      <c r="AJ41" s="2"/>
      <c r="AK41" s="2"/>
      <c r="AL41" s="2"/>
      <c r="AM41" s="2"/>
      <c r="AO41" s="19" t="str">
        <f t="shared" ref="AO41:AQ42" si="62">AO5</f>
        <v>Net</v>
      </c>
      <c r="AP41" s="19" t="str">
        <f t="shared" si="62"/>
        <v>Replacement</v>
      </c>
      <c r="AQ41" s="19" t="str">
        <f t="shared" si="62"/>
        <v>Total</v>
      </c>
      <c r="AS41" s="2"/>
      <c r="AT41" s="2"/>
      <c r="AU41" s="2"/>
      <c r="AV41" s="2"/>
      <c r="AW41" s="2"/>
      <c r="AX41" s="2"/>
      <c r="AZ41" s="19" t="str">
        <f t="shared" ref="AZ41:BB42" si="63">AZ5</f>
        <v>Net</v>
      </c>
      <c r="BA41" s="19" t="str">
        <f t="shared" si="63"/>
        <v>Replacement</v>
      </c>
      <c r="BB41" s="19" t="str">
        <f t="shared" si="63"/>
        <v>Total</v>
      </c>
      <c r="BD41" s="2"/>
      <c r="BE41" s="2"/>
      <c r="BF41" s="2"/>
      <c r="BG41" s="2"/>
      <c r="BH41" s="2"/>
      <c r="BI41" s="2"/>
      <c r="BK41" s="19" t="str">
        <f t="shared" ref="BK41:BM42" si="64">BK5</f>
        <v>Net</v>
      </c>
      <c r="BL41" s="19" t="str">
        <f t="shared" si="64"/>
        <v>Replacement</v>
      </c>
      <c r="BM41" s="19" t="str">
        <f t="shared" si="64"/>
        <v>Total</v>
      </c>
      <c r="BO41" s="2"/>
      <c r="BP41" s="2"/>
      <c r="BQ41" s="2"/>
      <c r="BR41" s="2"/>
      <c r="BS41" s="2"/>
      <c r="BT41" s="2"/>
      <c r="BV41" s="19" t="str">
        <f t="shared" ref="BV41:BX42" si="65">BV5</f>
        <v>Net</v>
      </c>
      <c r="BW41" s="19" t="str">
        <f t="shared" si="65"/>
        <v>Replacement</v>
      </c>
      <c r="BX41" s="19" t="str">
        <f t="shared" si="65"/>
        <v>Total</v>
      </c>
      <c r="BZ41" s="2"/>
      <c r="CA41" s="2"/>
      <c r="CB41" s="2"/>
      <c r="CC41" s="2"/>
      <c r="CD41" s="2"/>
      <c r="CE41" s="2"/>
      <c r="CF41" s="286"/>
      <c r="CG41" s="19" t="str">
        <f t="shared" ref="CG41:CI42" si="66">CG5</f>
        <v>Net</v>
      </c>
      <c r="CH41" s="19" t="str">
        <f t="shared" si="66"/>
        <v>Replacement</v>
      </c>
      <c r="CI41" s="19" t="str">
        <f t="shared" si="66"/>
        <v>Total</v>
      </c>
      <c r="CK41" s="2"/>
      <c r="CL41" s="2"/>
      <c r="CM41" s="2"/>
      <c r="CN41" s="2"/>
      <c r="CO41" s="2"/>
      <c r="CP41" s="2"/>
      <c r="CR41" s="19" t="str">
        <f t="shared" ref="CR41:CT42" si="67">CR5</f>
        <v>Net</v>
      </c>
      <c r="CS41" s="19" t="str">
        <f t="shared" si="67"/>
        <v>Replacement</v>
      </c>
      <c r="CT41" s="19" t="str">
        <f t="shared" si="67"/>
        <v>Total</v>
      </c>
    </row>
    <row r="42" spans="1:98" ht="12.75" customHeight="1" x14ac:dyDescent="0.25">
      <c r="A42" s="78" t="s">
        <v>515</v>
      </c>
      <c r="B42" s="40">
        <f>B$6</f>
        <v>2007</v>
      </c>
      <c r="C42" s="40">
        <f>C$6</f>
        <v>2012</v>
      </c>
      <c r="D42" s="40">
        <f>D$6</f>
        <v>2017</v>
      </c>
      <c r="E42" s="40">
        <f>E$6</f>
        <v>2022</v>
      </c>
      <c r="F42" s="40">
        <f>F$6</f>
        <v>2027</v>
      </c>
      <c r="H42" s="75" t="str">
        <f t="shared" si="59"/>
        <v>Change</v>
      </c>
      <c r="I42" s="75" t="str">
        <f t="shared" si="59"/>
        <v>Demand</v>
      </c>
      <c r="J42" s="75" t="str">
        <f t="shared" si="59"/>
        <v>Requirement</v>
      </c>
      <c r="L42" s="78" t="s">
        <v>515</v>
      </c>
      <c r="M42" s="40">
        <f>M$6</f>
        <v>2007</v>
      </c>
      <c r="N42" s="40">
        <f>N$6</f>
        <v>2012</v>
      </c>
      <c r="O42" s="40">
        <f>O$6</f>
        <v>2017</v>
      </c>
      <c r="P42" s="40">
        <f>P$6</f>
        <v>2022</v>
      </c>
      <c r="Q42" s="40">
        <f>Q$6</f>
        <v>2027</v>
      </c>
      <c r="S42" s="75" t="str">
        <f t="shared" si="60"/>
        <v>Change</v>
      </c>
      <c r="T42" s="75" t="str">
        <f t="shared" si="60"/>
        <v>Demand</v>
      </c>
      <c r="U42" s="75" t="str">
        <f t="shared" si="60"/>
        <v>Requirement</v>
      </c>
      <c r="W42" s="78" t="s">
        <v>515</v>
      </c>
      <c r="X42" s="40">
        <f>X$6</f>
        <v>2007</v>
      </c>
      <c r="Y42" s="40">
        <f>Y$6</f>
        <v>2012</v>
      </c>
      <c r="Z42" s="40">
        <f>Z$6</f>
        <v>2017</v>
      </c>
      <c r="AA42" s="40">
        <f>AA$6</f>
        <v>2022</v>
      </c>
      <c r="AB42" s="40">
        <f>AB$6</f>
        <v>2027</v>
      </c>
      <c r="AD42" s="75" t="str">
        <f t="shared" si="61"/>
        <v>Change</v>
      </c>
      <c r="AE42" s="75" t="str">
        <f t="shared" si="61"/>
        <v>Demand</v>
      </c>
      <c r="AF42" s="75" t="str">
        <f t="shared" si="61"/>
        <v>Requirement</v>
      </c>
      <c r="AH42" s="78" t="s">
        <v>515</v>
      </c>
      <c r="AI42" s="40">
        <f>AI$6</f>
        <v>2007</v>
      </c>
      <c r="AJ42" s="40">
        <f>AJ$6</f>
        <v>2012</v>
      </c>
      <c r="AK42" s="40">
        <f>AK$6</f>
        <v>2017</v>
      </c>
      <c r="AL42" s="40">
        <f>AL$6</f>
        <v>2022</v>
      </c>
      <c r="AM42" s="40">
        <f>AM$6</f>
        <v>2027</v>
      </c>
      <c r="AO42" s="75" t="str">
        <f t="shared" si="62"/>
        <v>Change</v>
      </c>
      <c r="AP42" s="75" t="str">
        <f t="shared" si="62"/>
        <v>Demand</v>
      </c>
      <c r="AQ42" s="75" t="str">
        <f t="shared" si="62"/>
        <v>Requirement</v>
      </c>
      <c r="AS42" s="78" t="s">
        <v>515</v>
      </c>
      <c r="AT42" s="40">
        <f>AT$6</f>
        <v>2007</v>
      </c>
      <c r="AU42" s="40">
        <f>AU$6</f>
        <v>2012</v>
      </c>
      <c r="AV42" s="40">
        <f>AV$6</f>
        <v>2017</v>
      </c>
      <c r="AW42" s="40">
        <f>AW$6</f>
        <v>2022</v>
      </c>
      <c r="AX42" s="40">
        <f>AX$6</f>
        <v>2027</v>
      </c>
      <c r="AZ42" s="75" t="str">
        <f t="shared" si="63"/>
        <v>Change</v>
      </c>
      <c r="BA42" s="75" t="str">
        <f t="shared" si="63"/>
        <v>Demand</v>
      </c>
      <c r="BB42" s="75" t="str">
        <f t="shared" si="63"/>
        <v>Requirement</v>
      </c>
      <c r="BD42" s="78" t="s">
        <v>515</v>
      </c>
      <c r="BE42" s="40">
        <f>BE$6</f>
        <v>2007</v>
      </c>
      <c r="BF42" s="40">
        <f>BF$6</f>
        <v>2012</v>
      </c>
      <c r="BG42" s="40">
        <f>BG$6</f>
        <v>2017</v>
      </c>
      <c r="BH42" s="40">
        <f>BH$6</f>
        <v>2022</v>
      </c>
      <c r="BI42" s="40">
        <f>BI$6</f>
        <v>2027</v>
      </c>
      <c r="BK42" s="75" t="str">
        <f t="shared" si="64"/>
        <v>Change</v>
      </c>
      <c r="BL42" s="75" t="str">
        <f t="shared" si="64"/>
        <v>Demand</v>
      </c>
      <c r="BM42" s="75" t="str">
        <f t="shared" si="64"/>
        <v>Requirement</v>
      </c>
      <c r="BO42" s="78" t="s">
        <v>515</v>
      </c>
      <c r="BP42" s="40">
        <f>BP$6</f>
        <v>2007</v>
      </c>
      <c r="BQ42" s="40">
        <f>BQ$6</f>
        <v>2012</v>
      </c>
      <c r="BR42" s="40">
        <f>BR$6</f>
        <v>2017</v>
      </c>
      <c r="BS42" s="40">
        <f>BS$6</f>
        <v>2022</v>
      </c>
      <c r="BT42" s="40">
        <f>BT$6</f>
        <v>2027</v>
      </c>
      <c r="BV42" s="75" t="str">
        <f t="shared" si="65"/>
        <v>Change</v>
      </c>
      <c r="BW42" s="75" t="str">
        <f t="shared" si="65"/>
        <v>Demand</v>
      </c>
      <c r="BX42" s="75" t="str">
        <f t="shared" si="65"/>
        <v>Requirement</v>
      </c>
      <c r="BZ42" s="78" t="s">
        <v>515</v>
      </c>
      <c r="CA42" s="40">
        <f>CA$6</f>
        <v>2007</v>
      </c>
      <c r="CB42" s="40">
        <f>CB$6</f>
        <v>2012</v>
      </c>
      <c r="CC42" s="40">
        <f>CC$6</f>
        <v>2017</v>
      </c>
      <c r="CD42" s="40">
        <f>CD$6</f>
        <v>2022</v>
      </c>
      <c r="CE42" s="40">
        <f>CE$6</f>
        <v>2027</v>
      </c>
      <c r="CF42" s="286"/>
      <c r="CG42" s="75" t="str">
        <f t="shared" si="66"/>
        <v>Change</v>
      </c>
      <c r="CH42" s="75" t="str">
        <f t="shared" si="66"/>
        <v>Demand</v>
      </c>
      <c r="CI42" s="75" t="str">
        <f t="shared" si="66"/>
        <v>Requirement</v>
      </c>
      <c r="CK42" s="78" t="s">
        <v>515</v>
      </c>
      <c r="CL42" s="40">
        <f>CL$6</f>
        <v>2007</v>
      </c>
      <c r="CM42" s="40">
        <f>CM$6</f>
        <v>2012</v>
      </c>
      <c r="CN42" s="40">
        <f>CN$6</f>
        <v>2017</v>
      </c>
      <c r="CO42" s="40">
        <f>CO$6</f>
        <v>2022</v>
      </c>
      <c r="CP42" s="40">
        <f>CP$6</f>
        <v>2027</v>
      </c>
      <c r="CR42" s="75" t="str">
        <f t="shared" si="67"/>
        <v>Change</v>
      </c>
      <c r="CS42" s="75" t="str">
        <f t="shared" si="67"/>
        <v>Demand</v>
      </c>
      <c r="CT42" s="75" t="str">
        <f t="shared" si="67"/>
        <v>Requirement</v>
      </c>
    </row>
    <row r="43" spans="1:98" x14ac:dyDescent="0.25">
      <c r="G43" s="13"/>
      <c r="R43" s="13"/>
      <c r="AC43" s="13"/>
      <c r="AN43" s="13"/>
      <c r="AY43" s="13"/>
      <c r="BJ43" s="13"/>
      <c r="BU43" s="13"/>
      <c r="BZ43" s="286"/>
      <c r="CA43" s="286"/>
      <c r="CB43" s="286"/>
      <c r="CC43" s="286"/>
      <c r="CD43" s="286"/>
      <c r="CE43" s="286"/>
      <c r="CF43" s="13"/>
      <c r="CQ43" s="13"/>
    </row>
    <row r="44" spans="1:98" x14ac:dyDescent="0.25">
      <c r="A44" s="18" t="str">
        <f t="shared" ref="A44:A68" si="68">A8</f>
        <v xml:space="preserve"> 11 Corporate managers and directors</v>
      </c>
      <c r="B44" s="22">
        <f t="shared" ref="B44:F53" si="69">B8/B$34*100</f>
        <v>7.9787599053574825</v>
      </c>
      <c r="C44" s="22">
        <f t="shared" si="69"/>
        <v>7.0294276790067363</v>
      </c>
      <c r="D44" s="22">
        <f t="shared" si="69"/>
        <v>7.5201812567801989</v>
      </c>
      <c r="E44" s="22">
        <f t="shared" si="69"/>
        <v>7.775481901000628</v>
      </c>
      <c r="F44" s="22">
        <f t="shared" si="69"/>
        <v>8.0102500052832557</v>
      </c>
      <c r="H44" s="83">
        <f>IF(D8&gt;0,(H8/D8)*100,0)</f>
        <v>42.043637183127849</v>
      </c>
      <c r="I44" s="84">
        <f>IF(D8&gt;0,I8/D8*100,0)</f>
        <v>43.763986976412838</v>
      </c>
      <c r="J44" s="84">
        <f>IF(D8&gt;0,(J8/D8)*100,0)</f>
        <v>85.80762415954068</v>
      </c>
      <c r="L44" s="18" t="str">
        <f>A44</f>
        <v xml:space="preserve"> 11 Corporate managers and directors</v>
      </c>
      <c r="M44" s="22">
        <f t="shared" ref="M44:Q53" si="70">M8/M$34*100</f>
        <v>8.7101921227614216</v>
      </c>
      <c r="N44" s="22">
        <f t="shared" si="70"/>
        <v>8.7746405107254599</v>
      </c>
      <c r="O44" s="22">
        <f t="shared" si="70"/>
        <v>9.010242084622309</v>
      </c>
      <c r="P44" s="22">
        <f t="shared" si="70"/>
        <v>9.1582432173200967</v>
      </c>
      <c r="Q44" s="22">
        <f t="shared" si="70"/>
        <v>9.3895680333105229</v>
      </c>
      <c r="S44" s="83">
        <f>IF(O8&gt;0,(S8/O8)*100,0)</f>
        <v>37.780602042111852</v>
      </c>
      <c r="T44" s="84">
        <f>IF(O8&gt;0,T8/O8*100,0)</f>
        <v>43.403275957210333</v>
      </c>
      <c r="U44" s="84">
        <f>IF(O8&gt;0,(U8/O8)*100,0)</f>
        <v>81.183877999322192</v>
      </c>
      <c r="W44" s="18" t="str">
        <f>A44</f>
        <v xml:space="preserve"> 11 Corporate managers and directors</v>
      </c>
      <c r="X44" s="22">
        <f t="shared" ref="X44:AB53" si="71">X8/X$34*100</f>
        <v>9.7420286021158766</v>
      </c>
      <c r="Y44" s="22">
        <f t="shared" si="71"/>
        <v>10.154072998202023</v>
      </c>
      <c r="Z44" s="22">
        <f t="shared" si="71"/>
        <v>10.654052859253856</v>
      </c>
      <c r="AA44" s="22">
        <f t="shared" si="71"/>
        <v>10.986853317769064</v>
      </c>
      <c r="AB44" s="22">
        <f t="shared" si="71"/>
        <v>11.143175621816901</v>
      </c>
      <c r="AD44" s="83">
        <f>IF(Z8&gt;0,(AD8/Z8)*100,0)</f>
        <v>40.827381747174165</v>
      </c>
      <c r="AE44" s="84">
        <f>IF(Z8&gt;0,AE8/Z8*100,0)</f>
        <v>49.074391588534802</v>
      </c>
      <c r="AF44" s="84">
        <f>IF(Z8&gt;0,(AF8/Z8)*100,0)</f>
        <v>89.901773335708967</v>
      </c>
      <c r="AH44" s="18" t="str">
        <f>L44</f>
        <v xml:space="preserve"> 11 Corporate managers and directors</v>
      </c>
      <c r="AI44" s="22">
        <f t="shared" ref="AI44:AM53" si="72">AI8/AI$34*100</f>
        <v>6.4764673267782191</v>
      </c>
      <c r="AJ44" s="22">
        <f t="shared" si="72"/>
        <v>6.5051998656738066</v>
      </c>
      <c r="AK44" s="22">
        <f t="shared" si="72"/>
        <v>6.9142911441465378</v>
      </c>
      <c r="AL44" s="22">
        <f t="shared" si="72"/>
        <v>7.0794618468916406</v>
      </c>
      <c r="AM44" s="22">
        <f t="shared" si="72"/>
        <v>7.2175897840867798</v>
      </c>
      <c r="AO44" s="83">
        <f>IF(AK8&gt;0,(AO8/AK8)*100,0)</f>
        <v>21.514946684868352</v>
      </c>
      <c r="AP44" s="84">
        <f>IF(AK8&gt;0,AP8/AK8*100,0)</f>
        <v>41.098446476051336</v>
      </c>
      <c r="AQ44" s="84">
        <f>IF(AK8&gt;0,(AQ8/AK8)*100,0)</f>
        <v>62.613393160919685</v>
      </c>
      <c r="AS44" s="18" t="str">
        <f>W44</f>
        <v xml:space="preserve"> 11 Corporate managers and directors</v>
      </c>
      <c r="AT44" s="22">
        <f t="shared" ref="AT44:AX53" si="73">AT8/AT$34*100</f>
        <v>10.538354110781556</v>
      </c>
      <c r="AU44" s="22">
        <f t="shared" si="73"/>
        <v>10.349708605974598</v>
      </c>
      <c r="AV44" s="22">
        <f t="shared" si="73"/>
        <v>10.663189083521106</v>
      </c>
      <c r="AW44" s="22">
        <f t="shared" si="73"/>
        <v>10.510848102986095</v>
      </c>
      <c r="AX44" s="22">
        <f t="shared" si="73"/>
        <v>10.39461046348379</v>
      </c>
      <c r="AZ44" s="83">
        <f>IF(AV8&gt;0,(AZ8/AV8)*100,0)</f>
        <v>26.763187869396404</v>
      </c>
      <c r="BA44" s="84">
        <f>IF(AV8&gt;0,BA8/AV8*100,0)</f>
        <v>42.682105112593014</v>
      </c>
      <c r="BB44" s="84">
        <f>IF(AV8&gt;0,(BB8/AV8)*100,0)</f>
        <v>69.445292981989411</v>
      </c>
      <c r="BD44" s="18" t="str">
        <f>AH44</f>
        <v xml:space="preserve"> 11 Corporate managers and directors</v>
      </c>
      <c r="BE44" s="22">
        <f t="shared" ref="BE44:BI53" si="74">BE8/BE$34*100</f>
        <v>6.0040565246382762</v>
      </c>
      <c r="BF44" s="22">
        <f t="shared" si="74"/>
        <v>6.0009053376053032</v>
      </c>
      <c r="BG44" s="22">
        <f t="shared" si="74"/>
        <v>6.3828730150314481</v>
      </c>
      <c r="BH44" s="22">
        <f t="shared" si="74"/>
        <v>6.1257596434141321</v>
      </c>
      <c r="BI44" s="22">
        <f t="shared" si="74"/>
        <v>5.9814248372969052</v>
      </c>
      <c r="BK44" s="83">
        <f>IF(BG8&gt;0,(BK8/BG8)*100,0)</f>
        <v>-12.394008920034453</v>
      </c>
      <c r="BL44" s="84">
        <f>IF(BG8&gt;0,BL8/BG8*100,0)</f>
        <v>27.805131198177431</v>
      </c>
      <c r="BM44" s="84">
        <f>IF(BG8&gt;0,(BM8/BG8)*100,0)</f>
        <v>15.411122278142978</v>
      </c>
      <c r="BO44" s="18" t="str">
        <f>AS44</f>
        <v xml:space="preserve"> 11 Corporate managers and directors</v>
      </c>
      <c r="BP44" s="22">
        <f t="shared" ref="BP44:BT53" si="75">BP8/BP$34*100</f>
        <v>4.9803074716884588</v>
      </c>
      <c r="BQ44" s="22">
        <f t="shared" si="75"/>
        <v>4.8486965340085142</v>
      </c>
      <c r="BR44" s="22">
        <f t="shared" si="75"/>
        <v>5.135424309261051</v>
      </c>
      <c r="BS44" s="22">
        <f t="shared" si="75"/>
        <v>4.9708924165320649</v>
      </c>
      <c r="BT44" s="22">
        <f t="shared" si="75"/>
        <v>4.9102269999258805</v>
      </c>
      <c r="BV44" s="83">
        <f>IF(BR8&gt;0,(BV8/BR8)*100,0)</f>
        <v>-18.232839952933688</v>
      </c>
      <c r="BW44" s="84">
        <f>IF(BR8&gt;0,BW8/BR8*100,0)</f>
        <v>27.656960997887005</v>
      </c>
      <c r="BX44" s="84">
        <f>IF(BR8&gt;0,(BX8/BR8)*100,0)</f>
        <v>9.4241210449533153</v>
      </c>
      <c r="BZ44" s="18" t="str">
        <f>BD44</f>
        <v xml:space="preserve"> 11 Corporate managers and directors</v>
      </c>
      <c r="CA44" s="22">
        <f t="shared" ref="CA44:CE53" si="76">CA8/CA$34*100</f>
        <v>4.2270228413868667</v>
      </c>
      <c r="CB44" s="22">
        <f t="shared" si="76"/>
        <v>4.5997321246430172</v>
      </c>
      <c r="CC44" s="22">
        <f t="shared" si="76"/>
        <v>5.2685256634906921</v>
      </c>
      <c r="CD44" s="22">
        <f t="shared" si="76"/>
        <v>5.6169921088916368</v>
      </c>
      <c r="CE44" s="22">
        <f t="shared" si="76"/>
        <v>6.2752599546810783</v>
      </c>
      <c r="CF44" s="286"/>
      <c r="CG44" s="83">
        <f>IF(CC8&gt;0,(CG8/CC8)*100,0)</f>
        <v>-21.941689955674441</v>
      </c>
      <c r="CH44" s="84">
        <f>IF(CC8&gt;0,CH8/CC8*100,0)</f>
        <v>25.06346540684023</v>
      </c>
      <c r="CI44" s="84">
        <f>IF(CC8&gt;0,(CI8/CC8)*100,0)</f>
        <v>3.1217754511657922</v>
      </c>
      <c r="CK44" s="18" t="str">
        <f>BO44</f>
        <v xml:space="preserve"> 11 Corporate managers and directors</v>
      </c>
      <c r="CL44" s="22">
        <f t="shared" ref="CL44:CP53" si="77">CL8/CL$34*100</f>
        <v>2.4534629493688986</v>
      </c>
      <c r="CM44" s="22">
        <f t="shared" si="77"/>
        <v>2.786043578584541</v>
      </c>
      <c r="CN44" s="22">
        <f t="shared" si="77"/>
        <v>2.9434985907426707</v>
      </c>
      <c r="CO44" s="22">
        <f t="shared" si="77"/>
        <v>3.2298269525795913</v>
      </c>
      <c r="CP44" s="22">
        <f t="shared" si="77"/>
        <v>4.2233455949638943</v>
      </c>
      <c r="CR44" s="83">
        <f>IF(CN8&gt;0,(CR8/CN8)*100,0)</f>
        <v>-22.54678898085745</v>
      </c>
      <c r="CS44" s="84">
        <f>IF(CN8&gt;0,CS8/CN8*100,0)</f>
        <v>17.906565407452355</v>
      </c>
      <c r="CT44" s="84">
        <f>IF(CN8&gt;0,(CT8/CN8)*100,0)</f>
        <v>-4.6402235734050938</v>
      </c>
    </row>
    <row r="45" spans="1:98" x14ac:dyDescent="0.25">
      <c r="A45" s="18" t="str">
        <f t="shared" si="68"/>
        <v xml:space="preserve"> 12 Other managers and proprietors</v>
      </c>
      <c r="B45" s="22">
        <f t="shared" si="69"/>
        <v>0.79880038805448272</v>
      </c>
      <c r="C45" s="22">
        <f t="shared" si="69"/>
        <v>2.4409510416714344</v>
      </c>
      <c r="D45" s="22">
        <f t="shared" si="69"/>
        <v>2.4861064922460536</v>
      </c>
      <c r="E45" s="22">
        <f t="shared" si="69"/>
        <v>2.6939625148275361</v>
      </c>
      <c r="F45" s="22">
        <f t="shared" si="69"/>
        <v>2.7947992511314119</v>
      </c>
      <c r="H45" s="83">
        <f t="shared" ref="H45:H70" si="78">IF(D9&gt;0,(H9/D9)*100,0)</f>
        <v>49.911487113491873</v>
      </c>
      <c r="I45" s="84">
        <f t="shared" ref="I45:I70" si="79">IF(D9&gt;0,I9/D9*100,0)</f>
        <v>52.835894634144644</v>
      </c>
      <c r="J45" s="84">
        <f t="shared" ref="J45:J70" si="80">IF(D9&gt;0,(J9/D9)*100,0)</f>
        <v>102.74738174763651</v>
      </c>
      <c r="L45" s="18" t="str">
        <f t="shared" ref="L45:L68" si="81">A45</f>
        <v xml:space="preserve"> 12 Other managers and proprietors</v>
      </c>
      <c r="M45" s="22">
        <f t="shared" si="70"/>
        <v>2.2871664015978586</v>
      </c>
      <c r="N45" s="22">
        <f t="shared" si="70"/>
        <v>2.7683659954596727</v>
      </c>
      <c r="O45" s="22">
        <f t="shared" si="70"/>
        <v>2.7348788088134843</v>
      </c>
      <c r="P45" s="22">
        <f t="shared" si="70"/>
        <v>2.8872986901777677</v>
      </c>
      <c r="Q45" s="22">
        <f t="shared" si="70"/>
        <v>2.9339443550219722</v>
      </c>
      <c r="S45" s="83">
        <f t="shared" ref="S45:S68" si="82">IF(O9&gt;0,(S9/O9)*100,0)</f>
        <v>41.838036757483522</v>
      </c>
      <c r="T45" s="84">
        <f t="shared" ref="T45:T68" si="83">IF(O9&gt;0,T9/O9*100,0)</f>
        <v>50.866309040871151</v>
      </c>
      <c r="U45" s="84">
        <f t="shared" ref="U45:U68" si="84">IF(O9&gt;0,(U9/O9)*100,0)</f>
        <v>92.70434579835468</v>
      </c>
      <c r="W45" s="18" t="str">
        <f t="shared" ref="W45:W68" si="85">A45</f>
        <v xml:space="preserve"> 12 Other managers and proprietors</v>
      </c>
      <c r="X45" s="22">
        <f t="shared" si="71"/>
        <v>2.6077719388454881</v>
      </c>
      <c r="Y45" s="22">
        <f t="shared" si="71"/>
        <v>3.1486301307641478</v>
      </c>
      <c r="Z45" s="22">
        <f t="shared" si="71"/>
        <v>3.1702665543548827</v>
      </c>
      <c r="AA45" s="22">
        <f t="shared" si="71"/>
        <v>3.3170160159610775</v>
      </c>
      <c r="AB45" s="22">
        <f t="shared" si="71"/>
        <v>3.3546199210485912</v>
      </c>
      <c r="AD45" s="83">
        <f t="shared" ref="AD45:AD68" si="86">IF(Z9&gt;0,(AD9/Z9)*100,0)</f>
        <v>42.475608195291294</v>
      </c>
      <c r="AE45" s="84">
        <f t="shared" ref="AE45:AE68" si="87">IF(Z9&gt;0,AE9/Z9*100,0)</f>
        <v>55.921725469268679</v>
      </c>
      <c r="AF45" s="84">
        <f t="shared" ref="AF45:AF68" si="88">IF(Z9&gt;0,(AF9/Z9)*100,0)</f>
        <v>98.397333664559966</v>
      </c>
      <c r="AH45" s="18" t="str">
        <f t="shared" ref="AH45:AH68" si="89">L45</f>
        <v xml:space="preserve"> 12 Other managers and proprietors</v>
      </c>
      <c r="AI45" s="22">
        <f t="shared" si="72"/>
        <v>2.8627979583900389</v>
      </c>
      <c r="AJ45" s="22">
        <f t="shared" si="72"/>
        <v>3.1360855580093037</v>
      </c>
      <c r="AK45" s="22">
        <f t="shared" si="72"/>
        <v>3.5761548413242679</v>
      </c>
      <c r="AL45" s="22">
        <f t="shared" si="72"/>
        <v>4.0500564667991821</v>
      </c>
      <c r="AM45" s="22">
        <f t="shared" si="72"/>
        <v>4.281070964188471</v>
      </c>
      <c r="AO45" s="83">
        <f t="shared" ref="AO45:AO68" si="90">IF(AK9&gt;0,(AO9/AK9)*100,0)</f>
        <v>39.354590827896345</v>
      </c>
      <c r="AP45" s="84">
        <f t="shared" ref="AP45:AP68" si="91">IF(AK9&gt;0,AP9/AK9*100,0)</f>
        <v>55.254188986738086</v>
      </c>
      <c r="AQ45" s="84">
        <f t="shared" ref="AQ45:AQ68" si="92">IF(AK9&gt;0,(AQ9/AK9)*100,0)</f>
        <v>94.608779814634431</v>
      </c>
      <c r="AS45" s="18" t="str">
        <f t="shared" ref="AS45:AS68" si="93">W45</f>
        <v xml:space="preserve"> 12 Other managers and proprietors</v>
      </c>
      <c r="AT45" s="22">
        <f t="shared" si="73"/>
        <v>3.2937125271357086</v>
      </c>
      <c r="AU45" s="22">
        <f t="shared" si="73"/>
        <v>3.6978720488785672</v>
      </c>
      <c r="AV45" s="22">
        <f t="shared" si="73"/>
        <v>3.8594849727758658</v>
      </c>
      <c r="AW45" s="22">
        <f t="shared" si="73"/>
        <v>4.0001429097580266</v>
      </c>
      <c r="AX45" s="22">
        <f t="shared" si="73"/>
        <v>3.9707854506492675</v>
      </c>
      <c r="AZ45" s="83">
        <f t="shared" ref="AZ45:AZ68" si="94">IF(AV9&gt;0,(AZ9/AV9)*100,0)</f>
        <v>33.788600709192984</v>
      </c>
      <c r="BA45" s="84">
        <f t="shared" ref="BA45:BA68" si="95">IF(AV9&gt;0,BA9/AV9*100,0)</f>
        <v>51.080538190894956</v>
      </c>
      <c r="BB45" s="84">
        <f t="shared" ref="BB45:BB68" si="96">IF(AV9&gt;0,(BB9/AV9)*100,0)</f>
        <v>84.869138900087933</v>
      </c>
      <c r="BD45" s="18" t="str">
        <f t="shared" ref="BD45:BD68" si="97">AH45</f>
        <v xml:space="preserve"> 12 Other managers and proprietors</v>
      </c>
      <c r="BE45" s="22">
        <f t="shared" si="74"/>
        <v>2.7260006897343336</v>
      </c>
      <c r="BF45" s="22">
        <f t="shared" si="74"/>
        <v>2.7364429938093937</v>
      </c>
      <c r="BG45" s="22">
        <f t="shared" si="74"/>
        <v>2.6217479961166883</v>
      </c>
      <c r="BH45" s="22">
        <f t="shared" si="74"/>
        <v>2.4501874430698027</v>
      </c>
      <c r="BI45" s="22">
        <f t="shared" si="74"/>
        <v>2.2757504068227496</v>
      </c>
      <c r="BK45" s="83">
        <f t="shared" ref="BK45:BK68" si="98">IF(BG9&gt;0,(BK9/BG9)*100,0)</f>
        <v>-18.851771008379938</v>
      </c>
      <c r="BL45" s="84">
        <f t="shared" ref="BL45:BL68" si="99">IF(BG9&gt;0,BL9/BG9*100,0)</f>
        <v>29.83297097453751</v>
      </c>
      <c r="BM45" s="84">
        <f t="shared" ref="BM45:BM68" si="100">IF(BG9&gt;0,(BM9/BG9)*100,0)</f>
        <v>10.98119996615757</v>
      </c>
      <c r="BO45" s="18" t="str">
        <f t="shared" ref="BO45:BO68" si="101">AS45</f>
        <v xml:space="preserve"> 12 Other managers and proprietors</v>
      </c>
      <c r="BP45" s="22">
        <f t="shared" si="75"/>
        <v>2.5337019987220186</v>
      </c>
      <c r="BQ45" s="22">
        <f t="shared" si="75"/>
        <v>2.7775004006787745</v>
      </c>
      <c r="BR45" s="22">
        <f t="shared" si="75"/>
        <v>2.8983245172168108</v>
      </c>
      <c r="BS45" s="22">
        <f t="shared" si="75"/>
        <v>2.9912516067661317</v>
      </c>
      <c r="BT45" s="22">
        <f t="shared" si="75"/>
        <v>3.1023912265419034</v>
      </c>
      <c r="BV45" s="83">
        <f t="shared" ref="BV45:BV68" si="102">IF(BR9&gt;0,(BV9/BR9)*100,0)</f>
        <v>-8.4616184641216314</v>
      </c>
      <c r="BW45" s="84">
        <f t="shared" ref="BW45:BW68" si="103">IF(BR9&gt;0,BW9/BR9*100,0)</f>
        <v>35.741517347030644</v>
      </c>
      <c r="BX45" s="84">
        <f t="shared" ref="BX45:BX68" si="104">IF(BR9&gt;0,(BX9/BR9)*100,0)</f>
        <v>27.279898882909016</v>
      </c>
      <c r="BZ45" s="18" t="str">
        <f t="shared" ref="BZ45:BZ68" si="105">BD45</f>
        <v xml:space="preserve"> 12 Other managers and proprietors</v>
      </c>
      <c r="CA45" s="22">
        <f t="shared" si="76"/>
        <v>2.4126572152675561</v>
      </c>
      <c r="CB45" s="22">
        <f t="shared" si="76"/>
        <v>2.7458011880053665</v>
      </c>
      <c r="CC45" s="22">
        <f t="shared" si="76"/>
        <v>2.9707285341686092</v>
      </c>
      <c r="CD45" s="22">
        <f t="shared" si="76"/>
        <v>2.9983724194296562</v>
      </c>
      <c r="CE45" s="22">
        <f t="shared" si="76"/>
        <v>3.1060093400599147</v>
      </c>
      <c r="CF45" s="286"/>
      <c r="CG45" s="83">
        <f t="shared" ref="CG45:CG68" si="106">IF(CC9&gt;0,(CG9/CC9)*100,0)</f>
        <v>-31.480164312703018</v>
      </c>
      <c r="CH45" s="84">
        <f t="shared" ref="CH45:CH68" si="107">IF(CC9&gt;0,CH9/CC9*100,0)</f>
        <v>25.336330260788703</v>
      </c>
      <c r="CI45" s="84">
        <f t="shared" ref="CI45:CI68" si="108">IF(CC9&gt;0,(CI9/CC9)*100,0)</f>
        <v>-6.1438340519143164</v>
      </c>
      <c r="CK45" s="18" t="str">
        <f t="shared" ref="CK45:CK68" si="109">BO45</f>
        <v xml:space="preserve"> 12 Other managers and proprietors</v>
      </c>
      <c r="CL45" s="22">
        <f t="shared" si="77"/>
        <v>2.3136804414211936</v>
      </c>
      <c r="CM45" s="22">
        <f t="shared" si="77"/>
        <v>2.9724948726687881</v>
      </c>
      <c r="CN45" s="22">
        <f t="shared" si="77"/>
        <v>3.1918353630925345</v>
      </c>
      <c r="CO45" s="22">
        <f t="shared" si="77"/>
        <v>3.4582598960613047</v>
      </c>
      <c r="CP45" s="22">
        <f t="shared" si="77"/>
        <v>4.4117915984987466</v>
      </c>
      <c r="CR45" s="83">
        <f t="shared" ref="CR45:CR68" si="110">IF(CN9&gt;0,(CR9/CN9)*100,0)</f>
        <v>-25.385858629775989</v>
      </c>
      <c r="CS45" s="84">
        <f t="shared" ref="CS45:CS68" si="111">IF(CN9&gt;0,CS9/CN9*100,0)</f>
        <v>19.479617352603469</v>
      </c>
      <c r="CT45" s="84">
        <f t="shared" ref="CT45:CT68" si="112">IF(CN9&gt;0,(CT9/CN9)*100,0)</f>
        <v>-5.9062412771725148</v>
      </c>
    </row>
    <row r="46" spans="1:98" x14ac:dyDescent="0.25">
      <c r="A46" s="18" t="str">
        <f t="shared" si="68"/>
        <v xml:space="preserve"> 21 Science, research, engineering and technology professionals</v>
      </c>
      <c r="B46" s="22">
        <f t="shared" si="69"/>
        <v>16.792176792942545</v>
      </c>
      <c r="C46" s="22">
        <f t="shared" si="69"/>
        <v>17.701610392040276</v>
      </c>
      <c r="D46" s="22">
        <f t="shared" si="69"/>
        <v>17.615732230890799</v>
      </c>
      <c r="E46" s="22">
        <f t="shared" si="69"/>
        <v>16.988394674997252</v>
      </c>
      <c r="F46" s="22">
        <f t="shared" si="69"/>
        <v>16.409054553776137</v>
      </c>
      <c r="H46" s="83">
        <f t="shared" si="78"/>
        <v>24.218671595848527</v>
      </c>
      <c r="I46" s="84">
        <f t="shared" si="79"/>
        <v>28.779904397106254</v>
      </c>
      <c r="J46" s="84">
        <f t="shared" si="80"/>
        <v>52.998575992954777</v>
      </c>
      <c r="L46" s="18" t="str">
        <f t="shared" si="81"/>
        <v xml:space="preserve"> 21 Science, research, engineering and technology professionals</v>
      </c>
      <c r="M46" s="22">
        <f t="shared" si="70"/>
        <v>9.2325385971509188</v>
      </c>
      <c r="N46" s="22">
        <f t="shared" si="70"/>
        <v>9.2454023859076759</v>
      </c>
      <c r="O46" s="22">
        <f t="shared" si="70"/>
        <v>9.8760947345354921</v>
      </c>
      <c r="P46" s="22">
        <f t="shared" si="70"/>
        <v>9.8132687261982721</v>
      </c>
      <c r="Q46" s="22">
        <f t="shared" si="70"/>
        <v>9.906924310864035</v>
      </c>
      <c r="S46" s="83">
        <f t="shared" si="82"/>
        <v>32.627176042478446</v>
      </c>
      <c r="T46" s="84">
        <f t="shared" si="83"/>
        <v>31.139354008020863</v>
      </c>
      <c r="U46" s="84">
        <f t="shared" si="84"/>
        <v>63.766530050499313</v>
      </c>
      <c r="W46" s="18" t="str">
        <f t="shared" si="85"/>
        <v xml:space="preserve"> 21 Science, research, engineering and technology professionals</v>
      </c>
      <c r="X46" s="22">
        <f t="shared" si="71"/>
        <v>8.9298863330898115</v>
      </c>
      <c r="Y46" s="22">
        <f t="shared" si="71"/>
        <v>8.8602218957799508</v>
      </c>
      <c r="Z46" s="22">
        <f t="shared" si="71"/>
        <v>8.6091186356378326</v>
      </c>
      <c r="AA46" s="22">
        <f t="shared" si="71"/>
        <v>8.0632348753879111</v>
      </c>
      <c r="AB46" s="22">
        <f t="shared" si="71"/>
        <v>7.6796351137740277</v>
      </c>
      <c r="AD46" s="83">
        <f t="shared" si="86"/>
        <v>20.108811631189184</v>
      </c>
      <c r="AE46" s="84">
        <f t="shared" si="87"/>
        <v>30.202966233734752</v>
      </c>
      <c r="AF46" s="84">
        <f t="shared" si="88"/>
        <v>50.311777864923933</v>
      </c>
      <c r="AH46" s="18" t="str">
        <f t="shared" si="89"/>
        <v xml:space="preserve"> 21 Science, research, engineering and technology professionals</v>
      </c>
      <c r="AI46" s="22">
        <f t="shared" si="72"/>
        <v>3.1391188578639073</v>
      </c>
      <c r="AJ46" s="22">
        <f t="shared" si="72"/>
        <v>2.9906406140853066</v>
      </c>
      <c r="AK46" s="22">
        <f t="shared" si="72"/>
        <v>2.9986459545888415</v>
      </c>
      <c r="AL46" s="22">
        <f t="shared" si="72"/>
        <v>3.0237222516971309</v>
      </c>
      <c r="AM46" s="22">
        <f t="shared" si="72"/>
        <v>3.051340466855744</v>
      </c>
      <c r="AO46" s="83">
        <f t="shared" si="90"/>
        <v>18.454249280991085</v>
      </c>
      <c r="AP46" s="84">
        <f t="shared" si="91"/>
        <v>28.984981490615979</v>
      </c>
      <c r="AQ46" s="84">
        <f t="shared" si="92"/>
        <v>47.439230771607065</v>
      </c>
      <c r="AS46" s="18" t="str">
        <f t="shared" si="93"/>
        <v xml:space="preserve"> 21 Science, research, engineering and technology professionals</v>
      </c>
      <c r="AT46" s="22">
        <f t="shared" si="73"/>
        <v>8.8965540657038424</v>
      </c>
      <c r="AU46" s="22">
        <f t="shared" si="73"/>
        <v>8.853625222848823</v>
      </c>
      <c r="AV46" s="22">
        <f t="shared" si="73"/>
        <v>8.4076922902100488</v>
      </c>
      <c r="AW46" s="22">
        <f t="shared" si="73"/>
        <v>7.3838852250692701</v>
      </c>
      <c r="AX46" s="22">
        <f t="shared" si="73"/>
        <v>6.6118560423731045</v>
      </c>
      <c r="AZ46" s="83">
        <f t="shared" si="94"/>
        <v>2.2630224427750223</v>
      </c>
      <c r="BA46" s="84">
        <f t="shared" si="95"/>
        <v>25.287354378103732</v>
      </c>
      <c r="BB46" s="84">
        <f t="shared" si="96"/>
        <v>27.550376820878757</v>
      </c>
      <c r="BD46" s="18" t="str">
        <f t="shared" si="97"/>
        <v xml:space="preserve"> 21 Science, research, engineering and technology professionals</v>
      </c>
      <c r="BE46" s="22">
        <f t="shared" si="74"/>
        <v>3.1046539918096814</v>
      </c>
      <c r="BF46" s="22">
        <f t="shared" si="74"/>
        <v>3.0413148684220115</v>
      </c>
      <c r="BG46" s="22">
        <f t="shared" si="74"/>
        <v>3.0104852818257681</v>
      </c>
      <c r="BH46" s="22">
        <f t="shared" si="74"/>
        <v>2.5865895073211416</v>
      </c>
      <c r="BI46" s="22">
        <f t="shared" si="74"/>
        <v>2.2907485084554975</v>
      </c>
      <c r="BK46" s="83">
        <f t="shared" si="98"/>
        <v>-28.864520068306206</v>
      </c>
      <c r="BL46" s="84">
        <f t="shared" si="99"/>
        <v>16.377770342040609</v>
      </c>
      <c r="BM46" s="84">
        <f t="shared" si="100"/>
        <v>-12.486749726265593</v>
      </c>
      <c r="BO46" s="18" t="str">
        <f t="shared" si="101"/>
        <v xml:space="preserve"> 21 Science, research, engineering and technology professionals</v>
      </c>
      <c r="BP46" s="22">
        <f t="shared" si="75"/>
        <v>2.0957209107931765</v>
      </c>
      <c r="BQ46" s="22">
        <f t="shared" si="75"/>
        <v>2.173436604387406</v>
      </c>
      <c r="BR46" s="22">
        <f t="shared" si="75"/>
        <v>2.2748447874818045</v>
      </c>
      <c r="BS46" s="22">
        <f t="shared" si="75"/>
        <v>2.1113629981810349</v>
      </c>
      <c r="BT46" s="22">
        <f t="shared" si="75"/>
        <v>2.1248534688541199</v>
      </c>
      <c r="BV46" s="83">
        <f t="shared" si="102"/>
        <v>-20.121317586386439</v>
      </c>
      <c r="BW46" s="84">
        <f t="shared" si="103"/>
        <v>19.540093428179279</v>
      </c>
      <c r="BX46" s="84">
        <f t="shared" si="104"/>
        <v>-0.58122415820716078</v>
      </c>
      <c r="BZ46" s="18" t="str">
        <f t="shared" si="105"/>
        <v xml:space="preserve"> 21 Science, research, engineering and technology professionals</v>
      </c>
      <c r="CA46" s="22">
        <f t="shared" si="76"/>
        <v>1.7243177983181244</v>
      </c>
      <c r="CB46" s="22">
        <f t="shared" si="76"/>
        <v>1.7905399681135648</v>
      </c>
      <c r="CC46" s="22">
        <f t="shared" si="76"/>
        <v>2.0046610088916599</v>
      </c>
      <c r="CD46" s="22">
        <f t="shared" si="76"/>
        <v>2.0342668207282295</v>
      </c>
      <c r="CE46" s="22">
        <f t="shared" si="76"/>
        <v>2.0213266745353686</v>
      </c>
      <c r="CF46" s="286"/>
      <c r="CG46" s="83">
        <f t="shared" si="106"/>
        <v>-33.91968766297763</v>
      </c>
      <c r="CH46" s="84">
        <f t="shared" si="107"/>
        <v>16.296252823078682</v>
      </c>
      <c r="CI46" s="84">
        <f t="shared" si="108"/>
        <v>-17.623434839898948</v>
      </c>
      <c r="CK46" s="18" t="str">
        <f t="shared" si="109"/>
        <v xml:space="preserve"> 21 Science, research, engineering and technology professionals</v>
      </c>
      <c r="CL46" s="22">
        <f t="shared" si="77"/>
        <v>0.75376091070231144</v>
      </c>
      <c r="CM46" s="22">
        <f t="shared" si="77"/>
        <v>0.87008786388209969</v>
      </c>
      <c r="CN46" s="22">
        <f t="shared" si="77"/>
        <v>1.1794314275969946</v>
      </c>
      <c r="CO46" s="22">
        <f t="shared" si="77"/>
        <v>1.4774597757281573</v>
      </c>
      <c r="CP46" s="22">
        <f t="shared" si="77"/>
        <v>2.2679562222384155</v>
      </c>
      <c r="CR46" s="83">
        <f t="shared" si="110"/>
        <v>3.8026903496468605</v>
      </c>
      <c r="CS46" s="84">
        <f t="shared" si="111"/>
        <v>17.625268102478326</v>
      </c>
      <c r="CT46" s="84">
        <f t="shared" si="112"/>
        <v>21.427958452125186</v>
      </c>
    </row>
    <row r="47" spans="1:98" x14ac:dyDescent="0.25">
      <c r="A47" s="18" t="str">
        <f t="shared" si="68"/>
        <v xml:space="preserve"> 22 Health professionals</v>
      </c>
      <c r="B47" s="22">
        <f t="shared" si="69"/>
        <v>16.400241343509933</v>
      </c>
      <c r="C47" s="22">
        <f t="shared" si="69"/>
        <v>17.459257479409644</v>
      </c>
      <c r="D47" s="22">
        <f t="shared" si="69"/>
        <v>17.960111752341515</v>
      </c>
      <c r="E47" s="22">
        <f t="shared" si="69"/>
        <v>18.202239454007682</v>
      </c>
      <c r="F47" s="22">
        <f t="shared" si="69"/>
        <v>18.378856934750047</v>
      </c>
      <c r="H47" s="83">
        <f t="shared" si="78"/>
        <v>36.462550594684842</v>
      </c>
      <c r="I47" s="84">
        <f t="shared" si="79"/>
        <v>40.108806627575987</v>
      </c>
      <c r="J47" s="84">
        <f t="shared" si="80"/>
        <v>76.571357222260843</v>
      </c>
      <c r="L47" s="18" t="str">
        <f t="shared" si="81"/>
        <v xml:space="preserve"> 22 Health professionals</v>
      </c>
      <c r="M47" s="22">
        <f t="shared" si="70"/>
        <v>7.8920532661510734</v>
      </c>
      <c r="N47" s="22">
        <f t="shared" si="70"/>
        <v>7.5587033458561077</v>
      </c>
      <c r="O47" s="22">
        <f t="shared" si="70"/>
        <v>7.5122849297707681</v>
      </c>
      <c r="P47" s="22">
        <f t="shared" si="70"/>
        <v>7.4875912748500433</v>
      </c>
      <c r="Q47" s="22">
        <f t="shared" si="70"/>
        <v>7.4466878001382284</v>
      </c>
      <c r="S47" s="83">
        <f t="shared" si="82"/>
        <v>31.059956530393944</v>
      </c>
      <c r="T47" s="84">
        <f t="shared" si="83"/>
        <v>42.126760248916042</v>
      </c>
      <c r="U47" s="84">
        <f t="shared" si="84"/>
        <v>73.18671677930999</v>
      </c>
      <c r="W47" s="18" t="str">
        <f t="shared" si="85"/>
        <v xml:space="preserve"> 22 Health professionals</v>
      </c>
      <c r="X47" s="22">
        <f t="shared" si="71"/>
        <v>7.7291682962185044</v>
      </c>
      <c r="Y47" s="22">
        <f t="shared" si="71"/>
        <v>7.6604369112928614</v>
      </c>
      <c r="Z47" s="22">
        <f t="shared" si="71"/>
        <v>8.1107621577368239</v>
      </c>
      <c r="AA47" s="22">
        <f t="shared" si="71"/>
        <v>8.2449106920013779</v>
      </c>
      <c r="AB47" s="22">
        <f t="shared" si="71"/>
        <v>8.4639714225879175</v>
      </c>
      <c r="AD47" s="83">
        <f t="shared" si="86"/>
        <v>40.509438750358647</v>
      </c>
      <c r="AE47" s="84">
        <f t="shared" si="87"/>
        <v>48.900105449955888</v>
      </c>
      <c r="AF47" s="84">
        <f t="shared" si="88"/>
        <v>89.409544200314542</v>
      </c>
      <c r="AH47" s="18" t="str">
        <f t="shared" si="89"/>
        <v xml:space="preserve"> 22 Health professionals</v>
      </c>
      <c r="AI47" s="22">
        <f t="shared" si="72"/>
        <v>19.317101327282163</v>
      </c>
      <c r="AJ47" s="22">
        <f t="shared" si="72"/>
        <v>15.472675737876099</v>
      </c>
      <c r="AK47" s="22">
        <f t="shared" si="72"/>
        <v>12.474010210057012</v>
      </c>
      <c r="AL47" s="22">
        <f t="shared" si="72"/>
        <v>7.8137212905264528</v>
      </c>
      <c r="AM47" s="22">
        <f t="shared" si="72"/>
        <v>4.3684601918146413</v>
      </c>
      <c r="AO47" s="83">
        <f t="shared" si="90"/>
        <v>-59.233121817107673</v>
      </c>
      <c r="AP47" s="84">
        <f t="shared" si="91"/>
        <v>19.154653912856109</v>
      </c>
      <c r="AQ47" s="84">
        <f t="shared" si="92"/>
        <v>-40.078467904251561</v>
      </c>
      <c r="AS47" s="18" t="str">
        <f t="shared" si="93"/>
        <v xml:space="preserve"> 22 Health professionals</v>
      </c>
      <c r="AT47" s="22">
        <f t="shared" si="73"/>
        <v>2.1470354511185619</v>
      </c>
      <c r="AU47" s="22">
        <f t="shared" si="73"/>
        <v>1.9953406100090079</v>
      </c>
      <c r="AV47" s="22">
        <f t="shared" si="73"/>
        <v>2.0312188705321361</v>
      </c>
      <c r="AW47" s="22">
        <f t="shared" si="73"/>
        <v>1.9524683169978254</v>
      </c>
      <c r="AX47" s="22">
        <f t="shared" si="73"/>
        <v>2.0367328153353306</v>
      </c>
      <c r="AZ47" s="83">
        <f t="shared" si="94"/>
        <v>30.391530201007335</v>
      </c>
      <c r="BA47" s="84">
        <f t="shared" si="95"/>
        <v>41.504422219713156</v>
      </c>
      <c r="BB47" s="84">
        <f t="shared" si="96"/>
        <v>71.895952420720491</v>
      </c>
      <c r="BD47" s="18" t="str">
        <f t="shared" si="97"/>
        <v xml:space="preserve"> 22 Health professionals</v>
      </c>
      <c r="BE47" s="22">
        <f t="shared" si="74"/>
        <v>1.6996866528992312</v>
      </c>
      <c r="BF47" s="22">
        <f t="shared" si="74"/>
        <v>1.7578897259401114</v>
      </c>
      <c r="BG47" s="22">
        <f t="shared" si="74"/>
        <v>2.0765513854229334</v>
      </c>
      <c r="BH47" s="22">
        <f t="shared" si="74"/>
        <v>2.3582025034554577</v>
      </c>
      <c r="BI47" s="22">
        <f t="shared" si="74"/>
        <v>2.6859480329686094</v>
      </c>
      <c r="BK47" s="83">
        <f t="shared" si="98"/>
        <v>20.920597678996401</v>
      </c>
      <c r="BL47" s="84">
        <f t="shared" si="99"/>
        <v>41.849224721761644</v>
      </c>
      <c r="BM47" s="84">
        <f t="shared" si="100"/>
        <v>62.769822400758045</v>
      </c>
      <c r="BO47" s="18" t="str">
        <f t="shared" si="101"/>
        <v xml:space="preserve"> 22 Health professionals</v>
      </c>
      <c r="BP47" s="22">
        <f t="shared" si="75"/>
        <v>1.2191641177545351</v>
      </c>
      <c r="BQ47" s="22">
        <f t="shared" si="75"/>
        <v>1.3591280821416081</v>
      </c>
      <c r="BR47" s="22">
        <f t="shared" si="75"/>
        <v>1.5275984966450917</v>
      </c>
      <c r="BS47" s="22">
        <f t="shared" si="75"/>
        <v>1.5993033180004175</v>
      </c>
      <c r="BT47" s="22">
        <f t="shared" si="75"/>
        <v>1.6951251857148644</v>
      </c>
      <c r="BV47" s="83">
        <f t="shared" si="102"/>
        <v>-5.1043661920563883</v>
      </c>
      <c r="BW47" s="84">
        <f t="shared" si="103"/>
        <v>32.427682552223416</v>
      </c>
      <c r="BX47" s="84">
        <f t="shared" si="104"/>
        <v>27.323316360167034</v>
      </c>
      <c r="BZ47" s="18" t="str">
        <f t="shared" si="105"/>
        <v xml:space="preserve"> 22 Health professionals</v>
      </c>
      <c r="CA47" s="22">
        <f t="shared" si="76"/>
        <v>1.1690330619458054</v>
      </c>
      <c r="CB47" s="22">
        <f t="shared" si="76"/>
        <v>1.1512910715921856</v>
      </c>
      <c r="CC47" s="22">
        <f t="shared" si="76"/>
        <v>1.3888981490496866</v>
      </c>
      <c r="CD47" s="22">
        <f t="shared" si="76"/>
        <v>1.3558293838956847</v>
      </c>
      <c r="CE47" s="22">
        <f t="shared" si="76"/>
        <v>1.5980643603287386</v>
      </c>
      <c r="CF47" s="286"/>
      <c r="CG47" s="83">
        <f t="shared" si="106"/>
        <v>-24.594957317598222</v>
      </c>
      <c r="CH47" s="84">
        <f t="shared" si="107"/>
        <v>23.323803080546686</v>
      </c>
      <c r="CI47" s="84">
        <f t="shared" si="108"/>
        <v>-1.2711542370515372</v>
      </c>
      <c r="CK47" s="18" t="str">
        <f t="shared" si="109"/>
        <v xml:space="preserve"> 22 Health professionals</v>
      </c>
      <c r="CL47" s="22">
        <f t="shared" si="77"/>
        <v>0.24718643376491325</v>
      </c>
      <c r="CM47" s="22">
        <f t="shared" si="77"/>
        <v>0.33874566353162294</v>
      </c>
      <c r="CN47" s="22">
        <f t="shared" si="77"/>
        <v>0.48417784022431654</v>
      </c>
      <c r="CO47" s="22">
        <f t="shared" si="77"/>
        <v>0.68209844742915982</v>
      </c>
      <c r="CP47" s="22">
        <f t="shared" si="77"/>
        <v>1.3492048277167012</v>
      </c>
      <c r="CR47" s="83">
        <f t="shared" si="110"/>
        <v>50.424860041644152</v>
      </c>
      <c r="CS47" s="84">
        <f t="shared" si="111"/>
        <v>30.054393787799121</v>
      </c>
      <c r="CT47" s="84">
        <f t="shared" si="112"/>
        <v>80.47925382944328</v>
      </c>
    </row>
    <row r="48" spans="1:98" x14ac:dyDescent="0.25">
      <c r="A48" s="18" t="str">
        <f t="shared" si="68"/>
        <v xml:space="preserve"> 23 Teaching and educational professionals</v>
      </c>
      <c r="B48" s="22">
        <f t="shared" si="69"/>
        <v>30.361550846194163</v>
      </c>
      <c r="C48" s="22">
        <f t="shared" si="69"/>
        <v>29.677908381880059</v>
      </c>
      <c r="D48" s="22">
        <f t="shared" si="69"/>
        <v>27.371479921931861</v>
      </c>
      <c r="E48" s="22">
        <f t="shared" si="69"/>
        <v>26.203772622820864</v>
      </c>
      <c r="F48" s="22">
        <f t="shared" si="69"/>
        <v>25.591701232384285</v>
      </c>
      <c r="H48" s="83">
        <f t="shared" si="78"/>
        <v>24.682327062558045</v>
      </c>
      <c r="I48" s="84">
        <f t="shared" si="79"/>
        <v>38.446846103109209</v>
      </c>
      <c r="J48" s="84">
        <f t="shared" si="80"/>
        <v>63.129173165667261</v>
      </c>
      <c r="L48" s="18" t="str">
        <f t="shared" si="81"/>
        <v xml:space="preserve"> 23 Teaching and educational professionals</v>
      </c>
      <c r="M48" s="22">
        <f t="shared" si="70"/>
        <v>25.28843391979801</v>
      </c>
      <c r="N48" s="22">
        <f t="shared" si="70"/>
        <v>23.894875720807228</v>
      </c>
      <c r="O48" s="22">
        <f t="shared" si="70"/>
        <v>22.240965802745542</v>
      </c>
      <c r="P48" s="22">
        <f t="shared" si="70"/>
        <v>21.267621116203259</v>
      </c>
      <c r="Q48" s="22">
        <f t="shared" si="70"/>
        <v>20.694339568312888</v>
      </c>
      <c r="S48" s="83">
        <f t="shared" si="82"/>
        <v>23.02032029420959</v>
      </c>
      <c r="T48" s="84">
        <f t="shared" si="83"/>
        <v>39.970922026473097</v>
      </c>
      <c r="U48" s="84">
        <f t="shared" si="84"/>
        <v>62.991242320682694</v>
      </c>
      <c r="W48" s="18" t="str">
        <f t="shared" si="85"/>
        <v xml:space="preserve"> 23 Teaching and educational professionals</v>
      </c>
      <c r="X48" s="22">
        <f t="shared" si="71"/>
        <v>9.7182842765836881</v>
      </c>
      <c r="Y48" s="22">
        <f t="shared" si="71"/>
        <v>8.3938126837827731</v>
      </c>
      <c r="Z48" s="22">
        <f t="shared" si="71"/>
        <v>7.0425973515183609</v>
      </c>
      <c r="AA48" s="22">
        <f t="shared" si="71"/>
        <v>5.7517283564278756</v>
      </c>
      <c r="AB48" s="22">
        <f t="shared" si="71"/>
        <v>5.1728370708873292</v>
      </c>
      <c r="AD48" s="83">
        <f t="shared" si="86"/>
        <v>-1.1016792638058346</v>
      </c>
      <c r="AE48" s="84">
        <f t="shared" si="87"/>
        <v>35.595623988661416</v>
      </c>
      <c r="AF48" s="84">
        <f t="shared" si="88"/>
        <v>34.493944724855588</v>
      </c>
      <c r="AH48" s="18" t="str">
        <f t="shared" si="89"/>
        <v xml:space="preserve"> 23 Teaching and educational professionals</v>
      </c>
      <c r="AI48" s="22">
        <f t="shared" si="72"/>
        <v>8.8587853132153001</v>
      </c>
      <c r="AJ48" s="22">
        <f t="shared" si="72"/>
        <v>5.9521934880706002</v>
      </c>
      <c r="AK48" s="22">
        <f t="shared" si="72"/>
        <v>2.8916003644354769</v>
      </c>
      <c r="AL48" s="22">
        <f t="shared" si="72"/>
        <v>1.3640698347882754</v>
      </c>
      <c r="AM48" s="22">
        <f t="shared" si="72"/>
        <v>1.3060564144935252</v>
      </c>
      <c r="AO48" s="83">
        <f t="shared" si="90"/>
        <v>-47.421422282398964</v>
      </c>
      <c r="AP48" s="84">
        <f t="shared" si="91"/>
        <v>14.046874860061322</v>
      </c>
      <c r="AQ48" s="84">
        <f t="shared" si="92"/>
        <v>-33.374547422337635</v>
      </c>
      <c r="AS48" s="18" t="str">
        <f t="shared" si="93"/>
        <v xml:space="preserve"> 23 Teaching and educational professionals</v>
      </c>
      <c r="AT48" s="22">
        <f t="shared" si="73"/>
        <v>1.3509533119705006</v>
      </c>
      <c r="AU48" s="22">
        <f t="shared" si="73"/>
        <v>1.1979617391836312</v>
      </c>
      <c r="AV48" s="22">
        <f t="shared" si="73"/>
        <v>0.94306665208491358</v>
      </c>
      <c r="AW48" s="22">
        <f t="shared" si="73"/>
        <v>0.88097162000863216</v>
      </c>
      <c r="AX48" s="22">
        <f t="shared" si="73"/>
        <v>0.88705927612770852</v>
      </c>
      <c r="AZ48" s="83">
        <f t="shared" si="94"/>
        <v>22.315726071907996</v>
      </c>
      <c r="BA48" s="84">
        <f t="shared" si="95"/>
        <v>39.665778317618894</v>
      </c>
      <c r="BB48" s="84">
        <f t="shared" si="96"/>
        <v>61.98150438952689</v>
      </c>
      <c r="BD48" s="18" t="str">
        <f t="shared" si="97"/>
        <v xml:space="preserve"> 23 Teaching and educational professionals</v>
      </c>
      <c r="BE48" s="22">
        <f t="shared" si="74"/>
        <v>0.81874903179135117</v>
      </c>
      <c r="BF48" s="22">
        <f t="shared" si="74"/>
        <v>0.88685642686044852</v>
      </c>
      <c r="BG48" s="22">
        <f t="shared" si="74"/>
        <v>0.92260958175234054</v>
      </c>
      <c r="BH48" s="22">
        <f t="shared" si="74"/>
        <v>0.92223691004089725</v>
      </c>
      <c r="BI48" s="22">
        <f t="shared" si="74"/>
        <v>1.0687947615730304</v>
      </c>
      <c r="BK48" s="83">
        <f t="shared" si="98"/>
        <v>8.2983195158116079</v>
      </c>
      <c r="BL48" s="84">
        <f t="shared" si="99"/>
        <v>29.256250090190434</v>
      </c>
      <c r="BM48" s="84">
        <f t="shared" si="100"/>
        <v>37.554569606002048</v>
      </c>
      <c r="BO48" s="18" t="str">
        <f t="shared" si="101"/>
        <v xml:space="preserve"> 23 Teaching and educational professionals</v>
      </c>
      <c r="BP48" s="22">
        <f t="shared" si="75"/>
        <v>0.74749807149073544</v>
      </c>
      <c r="BQ48" s="22">
        <f t="shared" si="75"/>
        <v>0.64092123580743432</v>
      </c>
      <c r="BR48" s="22">
        <f t="shared" si="75"/>
        <v>0.71796206025465648</v>
      </c>
      <c r="BS48" s="22">
        <f t="shared" si="75"/>
        <v>0.76070327827688922</v>
      </c>
      <c r="BT48" s="22">
        <f t="shared" si="75"/>
        <v>0.90847151587091957</v>
      </c>
      <c r="BV48" s="83">
        <f t="shared" si="102"/>
        <v>8.2090281190403438</v>
      </c>
      <c r="BW48" s="84">
        <f t="shared" si="103"/>
        <v>32.63188021554037</v>
      </c>
      <c r="BX48" s="84">
        <f t="shared" si="104"/>
        <v>40.840908334580718</v>
      </c>
      <c r="BZ48" s="18" t="str">
        <f t="shared" si="105"/>
        <v xml:space="preserve"> 23 Teaching and educational professionals</v>
      </c>
      <c r="CA48" s="22">
        <f t="shared" si="76"/>
        <v>0.73178520504443934</v>
      </c>
      <c r="CB48" s="22">
        <f t="shared" si="76"/>
        <v>0.73111254113047164</v>
      </c>
      <c r="CC48" s="22">
        <f t="shared" si="76"/>
        <v>0.85998650483713535</v>
      </c>
      <c r="CD48" s="22">
        <f t="shared" si="76"/>
        <v>0.88940461455510389</v>
      </c>
      <c r="CE48" s="22">
        <f t="shared" si="76"/>
        <v>1.1646903115659279</v>
      </c>
      <c r="CF48" s="286"/>
      <c r="CG48" s="83">
        <f t="shared" si="106"/>
        <v>-11.244484700700522</v>
      </c>
      <c r="CH48" s="84">
        <f t="shared" si="107"/>
        <v>25.420571382415897</v>
      </c>
      <c r="CI48" s="84">
        <f t="shared" si="108"/>
        <v>14.176086681715375</v>
      </c>
      <c r="CK48" s="18" t="str">
        <f t="shared" si="109"/>
        <v xml:space="preserve"> 23 Teaching and educational professionals</v>
      </c>
      <c r="CL48" s="22">
        <f t="shared" si="77"/>
        <v>0.24665045582479306</v>
      </c>
      <c r="CM48" s="22">
        <f t="shared" si="77"/>
        <v>0.33980133014998987</v>
      </c>
      <c r="CN48" s="22">
        <f t="shared" si="77"/>
        <v>0.54131212448711896</v>
      </c>
      <c r="CO48" s="22">
        <f t="shared" si="77"/>
        <v>0.72922026912847804</v>
      </c>
      <c r="CP48" s="22">
        <f t="shared" si="77"/>
        <v>1.2157937974957238</v>
      </c>
      <c r="CR48" s="83">
        <f t="shared" si="110"/>
        <v>21.243595565248157</v>
      </c>
      <c r="CS48" s="84">
        <f t="shared" si="111"/>
        <v>26.824897817910358</v>
      </c>
      <c r="CT48" s="84">
        <f t="shared" si="112"/>
        <v>48.068493383158518</v>
      </c>
    </row>
    <row r="49" spans="1:98" x14ac:dyDescent="0.25">
      <c r="A49" s="18" t="str">
        <f t="shared" si="68"/>
        <v xml:space="preserve"> 24 Business, media and public service professionals</v>
      </c>
      <c r="B49" s="22">
        <f t="shared" si="69"/>
        <v>8.0451176552969681</v>
      </c>
      <c r="C49" s="22">
        <f t="shared" si="69"/>
        <v>6.7441501203138232</v>
      </c>
      <c r="D49" s="22">
        <f t="shared" si="69"/>
        <v>7.1747782643634173</v>
      </c>
      <c r="E49" s="22">
        <f t="shared" si="69"/>
        <v>7.1798381325278422</v>
      </c>
      <c r="F49" s="22">
        <f t="shared" si="69"/>
        <v>7.1173909395856549</v>
      </c>
      <c r="H49" s="83">
        <f t="shared" si="78"/>
        <v>32.286753736439472</v>
      </c>
      <c r="I49" s="84">
        <f t="shared" si="79"/>
        <v>39.356566256516473</v>
      </c>
      <c r="J49" s="84">
        <f t="shared" si="80"/>
        <v>71.643319992955952</v>
      </c>
      <c r="L49" s="18" t="str">
        <f t="shared" si="81"/>
        <v xml:space="preserve"> 24 Business, media and public service professionals</v>
      </c>
      <c r="M49" s="22">
        <f t="shared" si="70"/>
        <v>13.325841762734619</v>
      </c>
      <c r="N49" s="22">
        <f t="shared" si="70"/>
        <v>12.882600082248416</v>
      </c>
      <c r="O49" s="22">
        <f t="shared" si="70"/>
        <v>13.18593612245664</v>
      </c>
      <c r="P49" s="22">
        <f t="shared" si="70"/>
        <v>12.765014199523295</v>
      </c>
      <c r="Q49" s="22">
        <f t="shared" si="70"/>
        <v>12.217411734321731</v>
      </c>
      <c r="S49" s="83">
        <f t="shared" si="82"/>
        <v>22.50312494279892</v>
      </c>
      <c r="T49" s="84">
        <f t="shared" si="83"/>
        <v>38.092222165319626</v>
      </c>
      <c r="U49" s="84">
        <f t="shared" si="84"/>
        <v>60.595347108118538</v>
      </c>
      <c r="W49" s="18" t="str">
        <f t="shared" si="85"/>
        <v xml:space="preserve"> 24 Business, media and public service professionals</v>
      </c>
      <c r="X49" s="22">
        <f t="shared" si="71"/>
        <v>11.597884910150414</v>
      </c>
      <c r="Y49" s="22">
        <f t="shared" si="71"/>
        <v>11.154726373967423</v>
      </c>
      <c r="Z49" s="22">
        <f t="shared" si="71"/>
        <v>10.8408361177781</v>
      </c>
      <c r="AA49" s="22">
        <f t="shared" si="71"/>
        <v>10.26693272680809</v>
      </c>
      <c r="AB49" s="22">
        <f t="shared" si="71"/>
        <v>9.7538608191688958</v>
      </c>
      <c r="AD49" s="83">
        <f t="shared" si="86"/>
        <v>21.145350819640264</v>
      </c>
      <c r="AE49" s="84">
        <f t="shared" si="87"/>
        <v>40.584663547881057</v>
      </c>
      <c r="AF49" s="84">
        <f t="shared" si="88"/>
        <v>61.730014367521321</v>
      </c>
      <c r="AH49" s="18" t="str">
        <f t="shared" si="89"/>
        <v xml:space="preserve"> 24 Business, media and public service professionals</v>
      </c>
      <c r="AI49" s="22">
        <f t="shared" si="72"/>
        <v>6.4077856567988363</v>
      </c>
      <c r="AJ49" s="22">
        <f t="shared" si="72"/>
        <v>4.0668868181461679</v>
      </c>
      <c r="AK49" s="22">
        <f t="shared" si="72"/>
        <v>2.634141071184168</v>
      </c>
      <c r="AL49" s="22">
        <f t="shared" si="72"/>
        <v>2.1104640468700464</v>
      </c>
      <c r="AM49" s="22">
        <f t="shared" si="72"/>
        <v>1.8842801759312879</v>
      </c>
      <c r="AO49" s="83">
        <f t="shared" si="90"/>
        <v>-16.729414656007517</v>
      </c>
      <c r="AP49" s="84">
        <f t="shared" si="91"/>
        <v>24.464275095802293</v>
      </c>
      <c r="AQ49" s="84">
        <f t="shared" si="92"/>
        <v>7.7348604397947778</v>
      </c>
      <c r="AS49" s="18" t="str">
        <f t="shared" si="93"/>
        <v xml:space="preserve"> 24 Business, media and public service professionals</v>
      </c>
      <c r="AT49" s="22">
        <f t="shared" si="73"/>
        <v>5.541553895776083</v>
      </c>
      <c r="AU49" s="22">
        <f t="shared" si="73"/>
        <v>5.3604320196927535</v>
      </c>
      <c r="AV49" s="22">
        <f t="shared" si="73"/>
        <v>5.2450779839616581</v>
      </c>
      <c r="AW49" s="22">
        <f t="shared" si="73"/>
        <v>5.0594844725537209</v>
      </c>
      <c r="AX49" s="22">
        <f t="shared" si="73"/>
        <v>4.907460416121638</v>
      </c>
      <c r="AZ49" s="83">
        <f t="shared" si="94"/>
        <v>21.668148575912689</v>
      </c>
      <c r="BA49" s="84">
        <f t="shared" si="95"/>
        <v>38.267108979280216</v>
      </c>
      <c r="BB49" s="84">
        <f t="shared" si="96"/>
        <v>59.935257555192898</v>
      </c>
      <c r="BD49" s="18" t="str">
        <f t="shared" si="97"/>
        <v xml:space="preserve"> 24 Business, media and public service professionals</v>
      </c>
      <c r="BE49" s="22">
        <f t="shared" si="74"/>
        <v>2.6516255204276451</v>
      </c>
      <c r="BF49" s="22">
        <f t="shared" si="74"/>
        <v>2.6327686546555031</v>
      </c>
      <c r="BG49" s="22">
        <f t="shared" si="74"/>
        <v>2.7900432981559198</v>
      </c>
      <c r="BH49" s="22">
        <f t="shared" si="74"/>
        <v>2.7167478120181392</v>
      </c>
      <c r="BI49" s="22">
        <f t="shared" si="74"/>
        <v>2.6853636673928465</v>
      </c>
      <c r="BK49" s="83">
        <f t="shared" si="98"/>
        <v>-10.021753083478767</v>
      </c>
      <c r="BL49" s="84">
        <f t="shared" si="99"/>
        <v>25.994075934102316</v>
      </c>
      <c r="BM49" s="84">
        <f t="shared" si="100"/>
        <v>15.972322850623549</v>
      </c>
      <c r="BO49" s="18" t="str">
        <f t="shared" si="101"/>
        <v xml:space="preserve"> 24 Business, media and public service professionals</v>
      </c>
      <c r="BP49" s="22">
        <f t="shared" si="75"/>
        <v>2.0601260610591519</v>
      </c>
      <c r="BQ49" s="22">
        <f t="shared" si="75"/>
        <v>1.8623203548870471</v>
      </c>
      <c r="BR49" s="22">
        <f t="shared" si="75"/>
        <v>1.8696601296404929</v>
      </c>
      <c r="BS49" s="22">
        <f t="shared" si="75"/>
        <v>1.7245048336290696</v>
      </c>
      <c r="BT49" s="22">
        <f t="shared" si="75"/>
        <v>1.6715411147382424</v>
      </c>
      <c r="BV49" s="83">
        <f t="shared" si="102"/>
        <v>-23.544616149070912</v>
      </c>
      <c r="BW49" s="84">
        <f t="shared" si="103"/>
        <v>23.451253611310527</v>
      </c>
      <c r="BX49" s="84">
        <f t="shared" si="104"/>
        <v>-9.3362537760382211E-2</v>
      </c>
      <c r="BZ49" s="18" t="str">
        <f t="shared" si="105"/>
        <v xml:space="preserve"> 24 Business, media and public service professionals</v>
      </c>
      <c r="CA49" s="22">
        <f t="shared" si="76"/>
        <v>1.5814068844894755</v>
      </c>
      <c r="CB49" s="22">
        <f t="shared" si="76"/>
        <v>1.5964274054950318</v>
      </c>
      <c r="CC49" s="22">
        <f t="shared" si="76"/>
        <v>1.749163753601924</v>
      </c>
      <c r="CD49" s="22">
        <f t="shared" si="76"/>
        <v>1.7163190555887526</v>
      </c>
      <c r="CE49" s="22">
        <f t="shared" si="76"/>
        <v>1.7146560070420547</v>
      </c>
      <c r="CF49" s="286"/>
      <c r="CG49" s="83">
        <f t="shared" si="106"/>
        <v>-35.75740739653012</v>
      </c>
      <c r="CH49" s="84">
        <f t="shared" si="107"/>
        <v>20.230765545017189</v>
      </c>
      <c r="CI49" s="84">
        <f t="shared" si="108"/>
        <v>-15.526641851512929</v>
      </c>
      <c r="CK49" s="18" t="str">
        <f t="shared" si="109"/>
        <v xml:space="preserve"> 24 Business, media and public service professionals</v>
      </c>
      <c r="CL49" s="22">
        <f t="shared" si="77"/>
        <v>0.71194663418237447</v>
      </c>
      <c r="CM49" s="22">
        <f t="shared" si="77"/>
        <v>0.82079061324514879</v>
      </c>
      <c r="CN49" s="22">
        <f t="shared" si="77"/>
        <v>1.1789804821626413</v>
      </c>
      <c r="CO49" s="22">
        <f t="shared" si="77"/>
        <v>1.4365675619381062</v>
      </c>
      <c r="CP49" s="22">
        <f t="shared" si="77"/>
        <v>2.147178540880978</v>
      </c>
      <c r="CR49" s="83">
        <f t="shared" si="110"/>
        <v>-1.6876265199338738</v>
      </c>
      <c r="CS49" s="84">
        <f t="shared" si="111"/>
        <v>21.105995985708887</v>
      </c>
      <c r="CT49" s="84">
        <f t="shared" si="112"/>
        <v>19.418369465775015</v>
      </c>
    </row>
    <row r="50" spans="1:98" x14ac:dyDescent="0.25">
      <c r="A50" s="18" t="str">
        <f t="shared" si="68"/>
        <v xml:space="preserve"> 31 Science, engineering and technology associate professionals</v>
      </c>
      <c r="B50" s="22">
        <f t="shared" si="69"/>
        <v>3.0045832490460644</v>
      </c>
      <c r="C50" s="22">
        <f t="shared" si="69"/>
        <v>2.4241653387070108</v>
      </c>
      <c r="D50" s="22">
        <f t="shared" si="69"/>
        <v>2.6507906238178083</v>
      </c>
      <c r="E50" s="22">
        <f t="shared" si="69"/>
        <v>2.6472816821568013</v>
      </c>
      <c r="F50" s="22">
        <f t="shared" si="69"/>
        <v>2.6937712667881124</v>
      </c>
      <c r="H50" s="83">
        <f t="shared" si="78"/>
        <v>35.515606230112056</v>
      </c>
      <c r="I50" s="84">
        <f t="shared" si="79"/>
        <v>36.614996009051467</v>
      </c>
      <c r="J50" s="84">
        <f t="shared" si="80"/>
        <v>72.130602239163537</v>
      </c>
      <c r="L50" s="18" t="str">
        <f t="shared" si="81"/>
        <v xml:space="preserve"> 31 Science, engineering and technology associate professionals</v>
      </c>
      <c r="M50" s="22">
        <f t="shared" si="70"/>
        <v>2.2990100128186675</v>
      </c>
      <c r="N50" s="22">
        <f t="shared" si="70"/>
        <v>2.0464422497098829</v>
      </c>
      <c r="O50" s="22">
        <f t="shared" si="70"/>
        <v>2.1070370218472942</v>
      </c>
      <c r="P50" s="22">
        <f t="shared" si="70"/>
        <v>2.0441047079824801</v>
      </c>
      <c r="Q50" s="22">
        <f t="shared" si="70"/>
        <v>2.0353675103976716</v>
      </c>
      <c r="S50" s="83">
        <f t="shared" si="82"/>
        <v>27.717260959817093</v>
      </c>
      <c r="T50" s="84">
        <f t="shared" si="83"/>
        <v>33.331261517932433</v>
      </c>
      <c r="U50" s="84">
        <f t="shared" si="84"/>
        <v>61.048522477749522</v>
      </c>
      <c r="W50" s="18" t="str">
        <f t="shared" si="85"/>
        <v xml:space="preserve"> 31 Science, engineering and technology associate professionals</v>
      </c>
      <c r="X50" s="22">
        <f t="shared" si="71"/>
        <v>2.6697227714945293</v>
      </c>
      <c r="Y50" s="22">
        <f t="shared" si="71"/>
        <v>2.5904978921223702</v>
      </c>
      <c r="Z50" s="22">
        <f t="shared" si="71"/>
        <v>2.6571264256439955</v>
      </c>
      <c r="AA50" s="22">
        <f t="shared" si="71"/>
        <v>2.5237008030017374</v>
      </c>
      <c r="AB50" s="22">
        <f t="shared" si="71"/>
        <v>2.4665211627796686</v>
      </c>
      <c r="AD50" s="83">
        <f t="shared" si="86"/>
        <v>24.98721882864605</v>
      </c>
      <c r="AE50" s="84">
        <f t="shared" si="87"/>
        <v>35.045871130940625</v>
      </c>
      <c r="AF50" s="84">
        <f t="shared" si="88"/>
        <v>60.033089959586675</v>
      </c>
      <c r="AH50" s="18" t="str">
        <f t="shared" si="89"/>
        <v xml:space="preserve"> 31 Science, engineering and technology associate professionals</v>
      </c>
      <c r="AI50" s="22">
        <f t="shared" si="72"/>
        <v>1.1500804784993304</v>
      </c>
      <c r="AJ50" s="22">
        <f t="shared" si="72"/>
        <v>1.337724787045137</v>
      </c>
      <c r="AK50" s="22">
        <f t="shared" si="72"/>
        <v>1.4741613059088645</v>
      </c>
      <c r="AL50" s="22">
        <f t="shared" si="72"/>
        <v>1.6154899632704369</v>
      </c>
      <c r="AM50" s="22">
        <f t="shared" si="72"/>
        <v>1.7142420800469096</v>
      </c>
      <c r="AO50" s="83">
        <f t="shared" si="90"/>
        <v>35.366846716424874</v>
      </c>
      <c r="AP50" s="84">
        <f t="shared" si="91"/>
        <v>38.156805301998183</v>
      </c>
      <c r="AQ50" s="84">
        <f t="shared" si="92"/>
        <v>73.523652018423064</v>
      </c>
      <c r="AS50" s="18" t="str">
        <f t="shared" si="93"/>
        <v xml:space="preserve"> 31 Science, engineering and technology associate professionals</v>
      </c>
      <c r="AT50" s="22">
        <f t="shared" si="73"/>
        <v>5.4332734708841732</v>
      </c>
      <c r="AU50" s="22">
        <f t="shared" si="73"/>
        <v>4.5901251323953352</v>
      </c>
      <c r="AV50" s="22">
        <f t="shared" si="73"/>
        <v>3.9795779507875273</v>
      </c>
      <c r="AW50" s="22">
        <f t="shared" si="73"/>
        <v>3.4420125000389179</v>
      </c>
      <c r="AX50" s="22">
        <f t="shared" si="73"/>
        <v>3.1095530957460586</v>
      </c>
      <c r="AZ50" s="83">
        <f t="shared" si="94"/>
        <v>1.6091936115713086</v>
      </c>
      <c r="BA50" s="84">
        <f t="shared" si="95"/>
        <v>26.579217431461476</v>
      </c>
      <c r="BB50" s="84">
        <f t="shared" si="96"/>
        <v>28.188411043032787</v>
      </c>
      <c r="BD50" s="18" t="str">
        <f t="shared" si="97"/>
        <v xml:space="preserve"> 31 Science, engineering and technology associate professionals</v>
      </c>
      <c r="BE50" s="22">
        <f t="shared" si="74"/>
        <v>2.1857602138877841</v>
      </c>
      <c r="BF50" s="22">
        <f t="shared" si="74"/>
        <v>1.8797537004615239</v>
      </c>
      <c r="BG50" s="22">
        <f t="shared" si="74"/>
        <v>1.7076015754840796</v>
      </c>
      <c r="BH50" s="22">
        <f t="shared" si="74"/>
        <v>1.4521783223974789</v>
      </c>
      <c r="BI50" s="22">
        <f t="shared" si="74"/>
        <v>1.1714074938231547</v>
      </c>
      <c r="BK50" s="83">
        <f t="shared" si="98"/>
        <v>-35.869177055935161</v>
      </c>
      <c r="BL50" s="84">
        <f t="shared" si="99"/>
        <v>18.400300256460053</v>
      </c>
      <c r="BM50" s="84">
        <f t="shared" si="100"/>
        <v>-17.468876799475108</v>
      </c>
      <c r="BO50" s="18" t="str">
        <f t="shared" si="101"/>
        <v xml:space="preserve"> 31 Science, engineering and technology associate professionals</v>
      </c>
      <c r="BP50" s="22">
        <f t="shared" si="75"/>
        <v>1.420649177145106</v>
      </c>
      <c r="BQ50" s="22">
        <f t="shared" si="75"/>
        <v>1.3480060652353492</v>
      </c>
      <c r="BR50" s="22">
        <f t="shared" si="75"/>
        <v>1.3169905053937088</v>
      </c>
      <c r="BS50" s="22">
        <f t="shared" si="75"/>
        <v>1.2474480145214264</v>
      </c>
      <c r="BT50" s="22">
        <f t="shared" si="75"/>
        <v>1.2226134572756575</v>
      </c>
      <c r="BV50" s="83">
        <f t="shared" si="102"/>
        <v>-20.611023258163389</v>
      </c>
      <c r="BW50" s="84">
        <f t="shared" si="103"/>
        <v>21.843673077657417</v>
      </c>
      <c r="BX50" s="84">
        <f t="shared" si="104"/>
        <v>1.2326498194940314</v>
      </c>
      <c r="BZ50" s="18" t="str">
        <f t="shared" si="105"/>
        <v xml:space="preserve"> 31 Science, engineering and technology associate professionals</v>
      </c>
      <c r="CA50" s="22">
        <f t="shared" si="76"/>
        <v>1.3552034935672153</v>
      </c>
      <c r="CB50" s="22">
        <f t="shared" si="76"/>
        <v>1.3354026732827042</v>
      </c>
      <c r="CC50" s="22">
        <f t="shared" si="76"/>
        <v>1.5375227677276067</v>
      </c>
      <c r="CD50" s="22">
        <f t="shared" si="76"/>
        <v>1.6445130738369087</v>
      </c>
      <c r="CE50" s="22">
        <f t="shared" si="76"/>
        <v>1.7867102912370019</v>
      </c>
      <c r="CF50" s="286"/>
      <c r="CG50" s="83">
        <f t="shared" si="106"/>
        <v>-23.843126491123684</v>
      </c>
      <c r="CH50" s="84">
        <f t="shared" si="107"/>
        <v>20.352814567824442</v>
      </c>
      <c r="CI50" s="84">
        <f t="shared" si="108"/>
        <v>-3.4903119232992408</v>
      </c>
      <c r="CK50" s="18" t="str">
        <f t="shared" si="109"/>
        <v xml:space="preserve"> 31 Science, engineering and technology associate professionals</v>
      </c>
      <c r="CL50" s="22">
        <f t="shared" si="77"/>
        <v>0.52484324160400553</v>
      </c>
      <c r="CM50" s="22">
        <f t="shared" si="77"/>
        <v>0.59360687172530613</v>
      </c>
      <c r="CN50" s="22">
        <f t="shared" si="77"/>
        <v>0.84601921068907604</v>
      </c>
      <c r="CO50" s="22">
        <f t="shared" si="77"/>
        <v>1.1046751699671624</v>
      </c>
      <c r="CP50" s="22">
        <f t="shared" si="77"/>
        <v>1.7443974307314849</v>
      </c>
      <c r="CR50" s="83">
        <f t="shared" si="110"/>
        <v>11.304276763169016</v>
      </c>
      <c r="CS50" s="84">
        <f t="shared" si="111"/>
        <v>23.997163042313808</v>
      </c>
      <c r="CT50" s="84">
        <f t="shared" si="112"/>
        <v>35.301439805482822</v>
      </c>
    </row>
    <row r="51" spans="1:98" x14ac:dyDescent="0.25">
      <c r="A51" s="18" t="str">
        <f t="shared" si="68"/>
        <v xml:space="preserve"> 32 Health and social care associate professionals</v>
      </c>
      <c r="B51" s="22">
        <f t="shared" si="69"/>
        <v>0.84949604091797937</v>
      </c>
      <c r="C51" s="22">
        <f t="shared" si="69"/>
        <v>0.54412262365042241</v>
      </c>
      <c r="D51" s="22">
        <f t="shared" si="69"/>
        <v>0.5624666215667401</v>
      </c>
      <c r="E51" s="22">
        <f t="shared" si="69"/>
        <v>0.5955121867249733</v>
      </c>
      <c r="F51" s="22">
        <f t="shared" si="69"/>
        <v>0.61188618529217764</v>
      </c>
      <c r="H51" s="83">
        <f t="shared" si="78"/>
        <v>45.070101442819059</v>
      </c>
      <c r="I51" s="84">
        <f t="shared" si="79"/>
        <v>50.75359942629597</v>
      </c>
      <c r="J51" s="84">
        <f t="shared" si="80"/>
        <v>95.823700869115029</v>
      </c>
      <c r="L51" s="18" t="str">
        <f t="shared" si="81"/>
        <v xml:space="preserve"> 32 Health and social care associate professionals</v>
      </c>
      <c r="M51" s="22">
        <f t="shared" si="70"/>
        <v>1.7293977610145506</v>
      </c>
      <c r="N51" s="22">
        <f t="shared" si="70"/>
        <v>1.7120848172239862</v>
      </c>
      <c r="O51" s="22">
        <f t="shared" si="70"/>
        <v>1.8156349615777643</v>
      </c>
      <c r="P51" s="22">
        <f t="shared" si="70"/>
        <v>1.8524727278134916</v>
      </c>
      <c r="Q51" s="22">
        <f t="shared" si="70"/>
        <v>1.8971931425511457</v>
      </c>
      <c r="S51" s="83">
        <f t="shared" si="82"/>
        <v>38.15351342455282</v>
      </c>
      <c r="T51" s="84">
        <f t="shared" si="83"/>
        <v>47.486502762127778</v>
      </c>
      <c r="U51" s="84">
        <f t="shared" si="84"/>
        <v>85.640016186680597</v>
      </c>
      <c r="W51" s="18" t="str">
        <f t="shared" si="85"/>
        <v xml:space="preserve"> 32 Health and social care associate professionals</v>
      </c>
      <c r="X51" s="22">
        <f t="shared" si="71"/>
        <v>2.403105718079138</v>
      </c>
      <c r="Y51" s="22">
        <f t="shared" si="71"/>
        <v>2.4275347766848165</v>
      </c>
      <c r="Z51" s="22">
        <f t="shared" si="71"/>
        <v>2.7451255908993866</v>
      </c>
      <c r="AA51" s="22">
        <f t="shared" si="71"/>
        <v>2.8889497364234491</v>
      </c>
      <c r="AB51" s="22">
        <f t="shared" si="71"/>
        <v>3.0309608187244907</v>
      </c>
      <c r="AD51" s="83">
        <f t="shared" si="86"/>
        <v>48.665802913481961</v>
      </c>
      <c r="AE51" s="84">
        <f t="shared" si="87"/>
        <v>55.052213254177019</v>
      </c>
      <c r="AF51" s="84">
        <f t="shared" si="88"/>
        <v>103.71801616765899</v>
      </c>
      <c r="AH51" s="18" t="str">
        <f t="shared" si="89"/>
        <v xml:space="preserve"> 32 Health and social care associate professionals</v>
      </c>
      <c r="AI51" s="22">
        <f t="shared" si="72"/>
        <v>7.2741157468410966</v>
      </c>
      <c r="AJ51" s="22">
        <f t="shared" si="72"/>
        <v>6.2694048263288806</v>
      </c>
      <c r="AK51" s="22">
        <f t="shared" si="72"/>
        <v>5.6345267509454828</v>
      </c>
      <c r="AL51" s="22">
        <f t="shared" si="72"/>
        <v>4.1469463892805853</v>
      </c>
      <c r="AM51" s="22">
        <f t="shared" si="72"/>
        <v>3.0282551242867939</v>
      </c>
      <c r="AO51" s="83">
        <f t="shared" si="90"/>
        <v>-37.436622816611539</v>
      </c>
      <c r="AP51" s="84">
        <f t="shared" si="91"/>
        <v>24.851560952826983</v>
      </c>
      <c r="AQ51" s="84">
        <f t="shared" si="92"/>
        <v>-12.585061863784558</v>
      </c>
      <c r="AS51" s="18" t="str">
        <f t="shared" si="93"/>
        <v xml:space="preserve"> 32 Health and social care associate professionals</v>
      </c>
      <c r="AT51" s="22">
        <f t="shared" si="73"/>
        <v>0.9982209623808278</v>
      </c>
      <c r="AU51" s="22">
        <f t="shared" si="73"/>
        <v>1.0583821372743663</v>
      </c>
      <c r="AV51" s="22">
        <f t="shared" si="73"/>
        <v>1.1602807884045387</v>
      </c>
      <c r="AW51" s="22">
        <f t="shared" si="73"/>
        <v>1.1459886349426656</v>
      </c>
      <c r="AX51" s="22">
        <f t="shared" si="73"/>
        <v>1.1698242967297374</v>
      </c>
      <c r="AZ51" s="83">
        <f t="shared" si="94"/>
        <v>31.108116913696666</v>
      </c>
      <c r="BA51" s="84">
        <f t="shared" si="95"/>
        <v>46.177614761770855</v>
      </c>
      <c r="BB51" s="84">
        <f t="shared" si="96"/>
        <v>77.285731675467517</v>
      </c>
      <c r="BD51" s="18" t="str">
        <f t="shared" si="97"/>
        <v xml:space="preserve"> 32 Health and social care associate professionals</v>
      </c>
      <c r="BE51" s="22">
        <f t="shared" si="74"/>
        <v>0.80033758710064662</v>
      </c>
      <c r="BF51" s="22">
        <f t="shared" si="74"/>
        <v>0.760258736514417</v>
      </c>
      <c r="BG51" s="22">
        <f t="shared" si="74"/>
        <v>0.86001024444856755</v>
      </c>
      <c r="BH51" s="22">
        <f t="shared" si="74"/>
        <v>0.94405172886885702</v>
      </c>
      <c r="BI51" s="22">
        <f t="shared" si="74"/>
        <v>1.0518150663317483</v>
      </c>
      <c r="BK51" s="83">
        <f t="shared" si="98"/>
        <v>14.335507703076692</v>
      </c>
      <c r="BL51" s="84">
        <f t="shared" si="99"/>
        <v>39.815812007998417</v>
      </c>
      <c r="BM51" s="84">
        <f t="shared" si="100"/>
        <v>54.151319711075118</v>
      </c>
      <c r="BO51" s="18" t="str">
        <f t="shared" si="101"/>
        <v xml:space="preserve"> 32 Health and social care associate professionals</v>
      </c>
      <c r="BP51" s="22">
        <f t="shared" si="75"/>
        <v>0.52787231230589593</v>
      </c>
      <c r="BQ51" s="22">
        <f t="shared" si="75"/>
        <v>0.61840341731018333</v>
      </c>
      <c r="BR51" s="22">
        <f t="shared" si="75"/>
        <v>0.70006553242023239</v>
      </c>
      <c r="BS51" s="22">
        <f t="shared" si="75"/>
        <v>0.72519373240778595</v>
      </c>
      <c r="BT51" s="22">
        <f t="shared" si="75"/>
        <v>0.76623728145615355</v>
      </c>
      <c r="BV51" s="83">
        <f t="shared" si="102"/>
        <v>-6.3994804000920462</v>
      </c>
      <c r="BW51" s="84">
        <f t="shared" si="103"/>
        <v>33.176980270566617</v>
      </c>
      <c r="BX51" s="84">
        <f t="shared" si="104"/>
        <v>26.777499870474568</v>
      </c>
      <c r="BZ51" s="18" t="str">
        <f t="shared" si="105"/>
        <v xml:space="preserve"> 32 Health and social care associate professionals</v>
      </c>
      <c r="CA51" s="22">
        <f t="shared" si="76"/>
        <v>0.46576838202265275</v>
      </c>
      <c r="CB51" s="22">
        <f t="shared" si="76"/>
        <v>0.49083775557108467</v>
      </c>
      <c r="CC51" s="22">
        <f t="shared" si="76"/>
        <v>0.57926613585237696</v>
      </c>
      <c r="CD51" s="22">
        <f t="shared" si="76"/>
        <v>0.55094100848428429</v>
      </c>
      <c r="CE51" s="22">
        <f t="shared" si="76"/>
        <v>0.59617840297276148</v>
      </c>
      <c r="CF51" s="286"/>
      <c r="CG51" s="83">
        <f t="shared" si="106"/>
        <v>-32.551138672969252</v>
      </c>
      <c r="CH51" s="84">
        <f t="shared" si="107"/>
        <v>22.592426702780884</v>
      </c>
      <c r="CI51" s="84">
        <f t="shared" si="108"/>
        <v>-9.9587119701883644</v>
      </c>
      <c r="CK51" s="18" t="str">
        <f t="shared" si="109"/>
        <v xml:space="preserve"> 32 Health and social care associate professionals</v>
      </c>
      <c r="CL51" s="22">
        <f t="shared" si="77"/>
        <v>0.10921876659166711</v>
      </c>
      <c r="CM51" s="22">
        <f t="shared" si="77"/>
        <v>0.15806691692929234</v>
      </c>
      <c r="CN51" s="22">
        <f t="shared" si="77"/>
        <v>0.22559313144063972</v>
      </c>
      <c r="CO51" s="22">
        <f t="shared" si="77"/>
        <v>0.29756285704409147</v>
      </c>
      <c r="CP51" s="22">
        <f t="shared" si="77"/>
        <v>0.53392992967805863</v>
      </c>
      <c r="CR51" s="83">
        <f t="shared" si="110"/>
        <v>27.762979678998029</v>
      </c>
      <c r="CS51" s="84">
        <f>IF(CN15&gt;0,CS15/CN15*100,0)</f>
        <v>28.299954987856506</v>
      </c>
      <c r="CT51" s="84">
        <f t="shared" si="112"/>
        <v>56.062934666854538</v>
      </c>
    </row>
    <row r="52" spans="1:98" x14ac:dyDescent="0.25">
      <c r="A52" s="18" t="str">
        <f t="shared" si="68"/>
        <v xml:space="preserve"> 33 Protective service occupations</v>
      </c>
      <c r="B52" s="22">
        <f t="shared" si="69"/>
        <v>0.28835885946720552</v>
      </c>
      <c r="C52" s="22">
        <f t="shared" si="69"/>
        <v>0.29677412751056137</v>
      </c>
      <c r="D52" s="22">
        <f t="shared" si="69"/>
        <v>0.30744771321187642</v>
      </c>
      <c r="E52" s="22">
        <f t="shared" si="69"/>
        <v>0.3118623219526781</v>
      </c>
      <c r="F52" s="22">
        <f t="shared" si="69"/>
        <v>0.3215209775803281</v>
      </c>
      <c r="H52" s="83">
        <f t="shared" si="78"/>
        <v>39.457561927703765</v>
      </c>
      <c r="I52" s="84">
        <f t="shared" si="79"/>
        <v>29.756419057909582</v>
      </c>
      <c r="J52" s="84">
        <f t="shared" si="80"/>
        <v>69.213980985613347</v>
      </c>
      <c r="L52" s="18" t="str">
        <f t="shared" si="81"/>
        <v xml:space="preserve"> 33 Protective service occupations</v>
      </c>
      <c r="M52" s="22">
        <f t="shared" si="70"/>
        <v>0.75530936095539303</v>
      </c>
      <c r="N52" s="22">
        <f t="shared" si="70"/>
        <v>0.70199644672886929</v>
      </c>
      <c r="O52" s="22">
        <f t="shared" si="70"/>
        <v>0.68479296931510525</v>
      </c>
      <c r="P52" s="22">
        <f t="shared" si="70"/>
        <v>0.6515058879377168</v>
      </c>
      <c r="Q52" s="22">
        <f t="shared" si="70"/>
        <v>0.66377894653181879</v>
      </c>
      <c r="S52" s="83">
        <f t="shared" si="82"/>
        <v>28.157228057117074</v>
      </c>
      <c r="T52" s="84">
        <f t="shared" si="83"/>
        <v>25.626526101212022</v>
      </c>
      <c r="U52" s="84">
        <f t="shared" si="84"/>
        <v>53.783754158329089</v>
      </c>
      <c r="W52" s="18" t="str">
        <f t="shared" si="85"/>
        <v xml:space="preserve"> 33 Protective service occupations</v>
      </c>
      <c r="X52" s="22">
        <f t="shared" si="71"/>
        <v>1.4180422911081856</v>
      </c>
      <c r="Y52" s="22">
        <f t="shared" si="71"/>
        <v>1.4041037804027019</v>
      </c>
      <c r="Z52" s="22">
        <f t="shared" si="71"/>
        <v>1.4377646448836217</v>
      </c>
      <c r="AA52" s="22">
        <f t="shared" si="71"/>
        <v>1.4469721497291799</v>
      </c>
      <c r="AB52" s="22">
        <f t="shared" si="71"/>
        <v>1.4823840648159352</v>
      </c>
      <c r="AD52" s="83">
        <f t="shared" si="86"/>
        <v>38.824435038464905</v>
      </c>
      <c r="AE52" s="84">
        <f t="shared" si="87"/>
        <v>34.865256943259013</v>
      </c>
      <c r="AF52" s="84">
        <f t="shared" si="88"/>
        <v>73.689691981723911</v>
      </c>
      <c r="AH52" s="18" t="str">
        <f t="shared" si="89"/>
        <v xml:space="preserve"> 33 Protective service occupations</v>
      </c>
      <c r="AI52" s="22">
        <f t="shared" si="72"/>
        <v>0.94056739297615177</v>
      </c>
      <c r="AJ52" s="22">
        <f t="shared" si="72"/>
        <v>1.1892233238847658</v>
      </c>
      <c r="AK52" s="22">
        <f t="shared" si="72"/>
        <v>1.3151899915057084</v>
      </c>
      <c r="AL52" s="22">
        <f t="shared" si="72"/>
        <v>1.3969782583940464</v>
      </c>
      <c r="AM52" s="22">
        <f t="shared" si="72"/>
        <v>1.4624706295981282</v>
      </c>
      <c r="AO52" s="83">
        <f t="shared" si="90"/>
        <v>29.444566695323886</v>
      </c>
      <c r="AP52" s="84">
        <f t="shared" si="91"/>
        <v>29.850453986548796</v>
      </c>
      <c r="AQ52" s="84">
        <f t="shared" si="92"/>
        <v>59.295020681872678</v>
      </c>
      <c r="AS52" s="18" t="str">
        <f t="shared" si="93"/>
        <v xml:space="preserve"> 33 Protective service occupations</v>
      </c>
      <c r="AT52" s="22">
        <f t="shared" si="73"/>
        <v>1.709396966722414</v>
      </c>
      <c r="AU52" s="22">
        <f t="shared" si="73"/>
        <v>1.4274733639868071</v>
      </c>
      <c r="AV52" s="22">
        <f t="shared" si="73"/>
        <v>1.1979450362015487</v>
      </c>
      <c r="AW52" s="22">
        <f t="shared" si="73"/>
        <v>0.9800965223809508</v>
      </c>
      <c r="AX52" s="22">
        <f t="shared" si="73"/>
        <v>0.88095224328821797</v>
      </c>
      <c r="AZ52" s="83">
        <f t="shared" si="94"/>
        <v>-4.3714617425895108</v>
      </c>
      <c r="BA52" s="84">
        <f t="shared" si="95"/>
        <v>24.060549267539887</v>
      </c>
      <c r="BB52" s="84">
        <f t="shared" si="96"/>
        <v>19.689087524950377</v>
      </c>
      <c r="BD52" s="18" t="str">
        <f t="shared" si="97"/>
        <v xml:space="preserve"> 33 Protective service occupations</v>
      </c>
      <c r="BE52" s="22">
        <f t="shared" si="74"/>
        <v>1.5976550854420095</v>
      </c>
      <c r="BF52" s="22">
        <f t="shared" si="74"/>
        <v>1.2950783505081263</v>
      </c>
      <c r="BG52" s="22">
        <f t="shared" si="74"/>
        <v>1.0943140851719111</v>
      </c>
      <c r="BH52" s="22">
        <f t="shared" si="74"/>
        <v>0.96066174531069004</v>
      </c>
      <c r="BI52" s="22">
        <f t="shared" si="74"/>
        <v>0.85075498058178978</v>
      </c>
      <c r="BK52" s="83">
        <f t="shared" si="98"/>
        <v>-27.321179113835363</v>
      </c>
      <c r="BL52" s="84">
        <f t="shared" si="99"/>
        <v>14.416126227106647</v>
      </c>
      <c r="BM52" s="84">
        <f t="shared" si="100"/>
        <v>-12.905052886728718</v>
      </c>
      <c r="BO52" s="18" t="str">
        <f t="shared" si="101"/>
        <v xml:space="preserve"> 33 Protective service occupations</v>
      </c>
      <c r="BP52" s="22">
        <f t="shared" si="75"/>
        <v>1.4546292165866872</v>
      </c>
      <c r="BQ52" s="22">
        <f t="shared" si="75"/>
        <v>1.3107945899115301</v>
      </c>
      <c r="BR52" s="22">
        <f t="shared" si="75"/>
        <v>1.2360537387476627</v>
      </c>
      <c r="BS52" s="22">
        <f t="shared" si="75"/>
        <v>1.1226118178231843</v>
      </c>
      <c r="BT52" s="22">
        <f t="shared" si="75"/>
        <v>1.0288091676839637</v>
      </c>
      <c r="BV52" s="83">
        <f t="shared" si="102"/>
        <v>-28.821120090277454</v>
      </c>
      <c r="BW52" s="84">
        <f t="shared" si="103"/>
        <v>16.671647727349644</v>
      </c>
      <c r="BX52" s="84">
        <f t="shared" si="104"/>
        <v>-12.149472362927806</v>
      </c>
      <c r="BZ52" s="18" t="str">
        <f t="shared" si="105"/>
        <v xml:space="preserve"> 33 Protective service occupations</v>
      </c>
      <c r="CA52" s="22">
        <f t="shared" si="76"/>
        <v>1.1482436883183571</v>
      </c>
      <c r="CB52" s="22">
        <f t="shared" si="76"/>
        <v>1.0526478606227634</v>
      </c>
      <c r="CC52" s="22">
        <f t="shared" si="76"/>
        <v>1.0130056048572542</v>
      </c>
      <c r="CD52" s="22">
        <f t="shared" si="76"/>
        <v>0.99402813416061864</v>
      </c>
      <c r="CE52" s="22">
        <f t="shared" si="76"/>
        <v>1.0174689902403009</v>
      </c>
      <c r="CF52" s="286"/>
      <c r="CG52" s="83">
        <f t="shared" si="106"/>
        <v>-34.175759489583562</v>
      </c>
      <c r="CH52" s="84">
        <f t="shared" si="107"/>
        <v>17.631671646990434</v>
      </c>
      <c r="CI52" s="84">
        <f t="shared" si="108"/>
        <v>-16.544087842593125</v>
      </c>
      <c r="CK52" s="18" t="str">
        <f t="shared" si="109"/>
        <v xml:space="preserve"> 33 Protective service occupations</v>
      </c>
      <c r="CL52" s="22">
        <f t="shared" si="77"/>
        <v>0.4198558938007626</v>
      </c>
      <c r="CM52" s="22">
        <f t="shared" si="77"/>
        <v>0.44461708397727379</v>
      </c>
      <c r="CN52" s="22">
        <f t="shared" si="77"/>
        <v>0.42096642184592586</v>
      </c>
      <c r="CO52" s="22">
        <f t="shared" si="77"/>
        <v>0.41093337565428978</v>
      </c>
      <c r="CP52" s="22">
        <f t="shared" si="77"/>
        <v>0.36743827803008755</v>
      </c>
      <c r="CR52" s="83">
        <f t="shared" si="110"/>
        <v>-52.882354581475134</v>
      </c>
      <c r="CS52" s="84">
        <f t="shared" si="111"/>
        <v>10.065499404553641</v>
      </c>
      <c r="CT52" s="84">
        <f t="shared" si="112"/>
        <v>-42.816855176921486</v>
      </c>
    </row>
    <row r="53" spans="1:98" x14ac:dyDescent="0.25">
      <c r="A53" s="18" t="str">
        <f t="shared" si="68"/>
        <v xml:space="preserve"> 34 Culture, media and sports occupations</v>
      </c>
      <c r="B53" s="22">
        <f t="shared" si="69"/>
        <v>1.7150578571266661</v>
      </c>
      <c r="C53" s="22">
        <f t="shared" si="69"/>
        <v>1.7107778793165038</v>
      </c>
      <c r="D53" s="22">
        <f t="shared" si="69"/>
        <v>1.8411577424303109</v>
      </c>
      <c r="E53" s="22">
        <f t="shared" si="69"/>
        <v>1.8931237284227891</v>
      </c>
      <c r="F53" s="22">
        <f t="shared" si="69"/>
        <v>1.8381472904529166</v>
      </c>
      <c r="H53" s="83">
        <f t="shared" si="78"/>
        <v>33.135333850410085</v>
      </c>
      <c r="I53" s="84">
        <f t="shared" si="79"/>
        <v>43.664585261491212</v>
      </c>
      <c r="J53" s="84">
        <f t="shared" si="80"/>
        <v>76.799919111901289</v>
      </c>
      <c r="L53" s="18" t="str">
        <f t="shared" si="81"/>
        <v xml:space="preserve"> 34 Culture, media and sports occupations</v>
      </c>
      <c r="M53" s="22">
        <f t="shared" si="70"/>
        <v>4.0525818178513875</v>
      </c>
      <c r="N53" s="22">
        <f t="shared" si="70"/>
        <v>4.2998151214996412</v>
      </c>
      <c r="O53" s="22">
        <f t="shared" si="70"/>
        <v>4.2582577267924453</v>
      </c>
      <c r="P53" s="22">
        <f t="shared" si="70"/>
        <v>4.121333892854711</v>
      </c>
      <c r="Q53" s="22">
        <f t="shared" si="70"/>
        <v>3.8479088140955997</v>
      </c>
      <c r="S53" s="83">
        <f t="shared" si="82"/>
        <v>19.473545868729296</v>
      </c>
      <c r="T53" s="84">
        <f t="shared" si="83"/>
        <v>38.681175799398808</v>
      </c>
      <c r="U53" s="84">
        <f t="shared" si="84"/>
        <v>58.154721668128104</v>
      </c>
      <c r="W53" s="18" t="str">
        <f t="shared" si="85"/>
        <v xml:space="preserve"> 34 Culture, media and sports occupations</v>
      </c>
      <c r="X53" s="22">
        <f t="shared" si="71"/>
        <v>5.1187653364499663</v>
      </c>
      <c r="Y53" s="22">
        <f t="shared" si="71"/>
        <v>4.9872845757360809</v>
      </c>
      <c r="Z53" s="22">
        <f t="shared" si="71"/>
        <v>4.7214043074786671</v>
      </c>
      <c r="AA53" s="22">
        <f t="shared" si="71"/>
        <v>4.4596411282281689</v>
      </c>
      <c r="AB53" s="22">
        <f t="shared" si="71"/>
        <v>4.1655427840021231</v>
      </c>
      <c r="AD53" s="83">
        <f t="shared" si="86"/>
        <v>18.79369320392782</v>
      </c>
      <c r="AE53" s="84">
        <f t="shared" si="87"/>
        <v>38.038861270732291</v>
      </c>
      <c r="AF53" s="84">
        <f t="shared" si="88"/>
        <v>56.8325544746601</v>
      </c>
      <c r="AH53" s="18" t="str">
        <f t="shared" si="89"/>
        <v xml:space="preserve"> 34 Culture, media and sports occupations</v>
      </c>
      <c r="AI53" s="22">
        <f t="shared" si="72"/>
        <v>1.757373754104895</v>
      </c>
      <c r="AJ53" s="22">
        <f t="shared" si="72"/>
        <v>2.1948846988737039</v>
      </c>
      <c r="AK53" s="22">
        <f t="shared" si="72"/>
        <v>2.3558596852464317</v>
      </c>
      <c r="AL53" s="22">
        <f t="shared" si="72"/>
        <v>2.637105695457461</v>
      </c>
      <c r="AM53" s="22">
        <f t="shared" si="72"/>
        <v>2.7601565777100805</v>
      </c>
      <c r="AO53" s="83">
        <f t="shared" si="90"/>
        <v>36.385897926086827</v>
      </c>
      <c r="AP53" s="84">
        <f t="shared" si="91"/>
        <v>40.940360122170958</v>
      </c>
      <c r="AQ53" s="84">
        <f t="shared" si="92"/>
        <v>77.326258048257785</v>
      </c>
      <c r="AS53" s="18" t="str">
        <f t="shared" si="93"/>
        <v xml:space="preserve"> 34 Culture, media and sports occupations</v>
      </c>
      <c r="AT53" s="22">
        <f t="shared" si="73"/>
        <v>3.8098980636274766</v>
      </c>
      <c r="AU53" s="22">
        <f t="shared" si="73"/>
        <v>2.8493988807946962</v>
      </c>
      <c r="AV53" s="22">
        <f t="shared" si="73"/>
        <v>2.6519463213182841</v>
      </c>
      <c r="AW53" s="22">
        <f t="shared" si="73"/>
        <v>2.3933992841201466</v>
      </c>
      <c r="AX53" s="22">
        <f t="shared" si="73"/>
        <v>2.1910691663339295</v>
      </c>
      <c r="AZ53" s="83">
        <f t="shared" si="94"/>
        <v>7.4393573775362469</v>
      </c>
      <c r="BA53" s="84">
        <f t="shared" si="95"/>
        <v>33.949870560876271</v>
      </c>
      <c r="BB53" s="84">
        <f t="shared" si="96"/>
        <v>41.389227938412517</v>
      </c>
      <c r="BD53" s="18" t="str">
        <f t="shared" si="97"/>
        <v xml:space="preserve"> 34 Culture, media and sports occupations</v>
      </c>
      <c r="BE53" s="22">
        <f t="shared" si="74"/>
        <v>1.7649597464157987</v>
      </c>
      <c r="BF53" s="22">
        <f t="shared" si="74"/>
        <v>1.678323277824505</v>
      </c>
      <c r="BG53" s="22">
        <f t="shared" si="74"/>
        <v>1.7386392448229024</v>
      </c>
      <c r="BH53" s="22">
        <f t="shared" si="74"/>
        <v>1.6846603126045079</v>
      </c>
      <c r="BI53" s="22">
        <f t="shared" si="74"/>
        <v>1.6155196523491688</v>
      </c>
      <c r="BK53" s="83">
        <f t="shared" si="98"/>
        <v>-13.134338977599292</v>
      </c>
      <c r="BL53" s="84">
        <f t="shared" si="99"/>
        <v>23.835630600307624</v>
      </c>
      <c r="BM53" s="84">
        <f t="shared" si="100"/>
        <v>10.701291622708332</v>
      </c>
      <c r="BO53" s="18" t="str">
        <f t="shared" si="101"/>
        <v xml:space="preserve"> 34 Culture, media and sports occupations</v>
      </c>
      <c r="BP53" s="22">
        <f t="shared" si="75"/>
        <v>1.4150420570804083</v>
      </c>
      <c r="BQ53" s="22">
        <f t="shared" si="75"/>
        <v>0.98920767356070749</v>
      </c>
      <c r="BR53" s="22">
        <f t="shared" si="75"/>
        <v>0.86165152268616318</v>
      </c>
      <c r="BS53" s="22">
        <f t="shared" si="75"/>
        <v>0.72109801061745604</v>
      </c>
      <c r="BT53" s="22">
        <f t="shared" si="75"/>
        <v>0.57353207938657369</v>
      </c>
      <c r="BV53" s="83">
        <f t="shared" si="102"/>
        <v>-43.07805503839365</v>
      </c>
      <c r="BW53" s="84">
        <f t="shared" si="103"/>
        <v>19.230917298644471</v>
      </c>
      <c r="BX53" s="84">
        <f t="shared" si="104"/>
        <v>-23.847137739749186</v>
      </c>
      <c r="BZ53" s="18" t="str">
        <f t="shared" si="105"/>
        <v xml:space="preserve"> 34 Culture, media and sports occupations</v>
      </c>
      <c r="CA53" s="22">
        <f t="shared" si="76"/>
        <v>1.1444566359065191</v>
      </c>
      <c r="CB53" s="22">
        <f t="shared" si="76"/>
        <v>1.0295827938526287</v>
      </c>
      <c r="CC53" s="22">
        <f t="shared" si="76"/>
        <v>1.117351753949914</v>
      </c>
      <c r="CD53" s="22">
        <f t="shared" si="76"/>
        <v>1.0189119495290937</v>
      </c>
      <c r="CE53" s="22">
        <f t="shared" si="76"/>
        <v>0.95916999861393082</v>
      </c>
      <c r="CF53" s="286"/>
      <c r="CG53" s="83">
        <f t="shared" si="106"/>
        <v>-43.742271301929968</v>
      </c>
      <c r="CH53" s="84">
        <f t="shared" si="107"/>
        <v>17.496766720678796</v>
      </c>
      <c r="CI53" s="84">
        <f t="shared" si="108"/>
        <v>-26.245504581251179</v>
      </c>
      <c r="CK53" s="18" t="str">
        <f t="shared" si="109"/>
        <v xml:space="preserve"> 34 Culture, media and sports occupations</v>
      </c>
      <c r="CL53" s="22">
        <f t="shared" si="77"/>
        <v>0.55917832850623139</v>
      </c>
      <c r="CM53" s="22">
        <f t="shared" si="77"/>
        <v>0.72808909980842373</v>
      </c>
      <c r="CN53" s="22">
        <f t="shared" si="77"/>
        <v>1.1037691348172851</v>
      </c>
      <c r="CO53" s="22">
        <f t="shared" si="77"/>
        <v>1.3208575675814853</v>
      </c>
      <c r="CP53" s="22">
        <f t="shared" si="77"/>
        <v>1.8616420409990291</v>
      </c>
      <c r="CR53" s="83">
        <f t="shared" si="110"/>
        <v>-8.9532242172477154</v>
      </c>
      <c r="CS53" s="84">
        <f t="shared" si="111"/>
        <v>19.09959893643029</v>
      </c>
      <c r="CT53" s="84">
        <f t="shared" si="112"/>
        <v>10.146374719182573</v>
      </c>
    </row>
    <row r="54" spans="1:98" x14ac:dyDescent="0.25">
      <c r="A54" s="18" t="str">
        <f t="shared" si="68"/>
        <v xml:space="preserve"> 35 Business and public service associate professionals</v>
      </c>
      <c r="B54" s="22">
        <f t="shared" ref="B54:F63" si="113">B18/B$34*100</f>
        <v>6.609952593280088</v>
      </c>
      <c r="C54" s="22">
        <f t="shared" si="113"/>
        <v>6.0759972530429529</v>
      </c>
      <c r="D54" s="22">
        <f t="shared" si="113"/>
        <v>6.7070929913299704</v>
      </c>
      <c r="E54" s="22">
        <f t="shared" si="113"/>
        <v>7.1691299070136774</v>
      </c>
      <c r="F54" s="22">
        <f t="shared" si="113"/>
        <v>7.6090365435277887</v>
      </c>
      <c r="H54" s="83">
        <f t="shared" si="78"/>
        <v>51.28621726563415</v>
      </c>
      <c r="I54" s="84">
        <f t="shared" si="79"/>
        <v>40.551838464517132</v>
      </c>
      <c r="J54" s="84">
        <f t="shared" si="80"/>
        <v>91.838055730151297</v>
      </c>
      <c r="L54" s="18" t="str">
        <f t="shared" si="81"/>
        <v xml:space="preserve"> 35 Business and public service associate professionals</v>
      </c>
      <c r="M54" s="22">
        <f t="shared" ref="M54:Q63" si="114">M18/M$34*100</f>
        <v>8.9076506529821735</v>
      </c>
      <c r="N54" s="22">
        <f t="shared" si="114"/>
        <v>9.2951821094832265</v>
      </c>
      <c r="O54" s="22">
        <f t="shared" si="114"/>
        <v>9.7860479416263431</v>
      </c>
      <c r="P54" s="22">
        <f t="shared" si="114"/>
        <v>10.068738506216512</v>
      </c>
      <c r="Q54" s="22">
        <f t="shared" si="114"/>
        <v>10.300685582495808</v>
      </c>
      <c r="S54" s="83">
        <f t="shared" si="82"/>
        <v>39.167465078077626</v>
      </c>
      <c r="T54" s="84">
        <f t="shared" si="83"/>
        <v>40.317127491911883</v>
      </c>
      <c r="U54" s="84">
        <f t="shared" si="84"/>
        <v>79.484592569989516</v>
      </c>
      <c r="W54" s="18" t="str">
        <f t="shared" si="85"/>
        <v xml:space="preserve"> 35 Business and public service associate professionals</v>
      </c>
      <c r="X54" s="22">
        <f t="shared" ref="X54:AB63" si="115">X18/X$34*100</f>
        <v>11.015310573905836</v>
      </c>
      <c r="Y54" s="22">
        <f t="shared" si="115"/>
        <v>10.038769310222159</v>
      </c>
      <c r="Z54" s="22">
        <f t="shared" si="115"/>
        <v>10.016088719204264</v>
      </c>
      <c r="AA54" s="22">
        <f t="shared" si="115"/>
        <v>9.9893946108190228</v>
      </c>
      <c r="AB54" s="22">
        <f t="shared" si="115"/>
        <v>9.8833524819309559</v>
      </c>
      <c r="AD54" s="83">
        <f t="shared" si="86"/>
        <v>32.861483874422142</v>
      </c>
      <c r="AE54" s="84">
        <f t="shared" si="87"/>
        <v>41.615566840475374</v>
      </c>
      <c r="AF54" s="84">
        <f t="shared" si="88"/>
        <v>74.477050714897516</v>
      </c>
      <c r="AH54" s="18" t="str">
        <f t="shared" si="89"/>
        <v xml:space="preserve"> 35 Business and public service associate professionals</v>
      </c>
      <c r="AI54" s="22">
        <f t="shared" ref="AI54:AM63" si="116">AI18/AI$34*100</f>
        <v>7.2829909098872294</v>
      </c>
      <c r="AJ54" s="22">
        <f t="shared" si="116"/>
        <v>7.932836796476411</v>
      </c>
      <c r="AK54" s="22">
        <f t="shared" si="116"/>
        <v>8.8421061662670173</v>
      </c>
      <c r="AL54" s="22">
        <f t="shared" si="116"/>
        <v>9.7533900760955081</v>
      </c>
      <c r="AM54" s="22">
        <f t="shared" si="116"/>
        <v>10.264161876959594</v>
      </c>
      <c r="AO54" s="83">
        <f t="shared" si="90"/>
        <v>35.13036066487161</v>
      </c>
      <c r="AP54" s="84">
        <f t="shared" si="91"/>
        <v>40.532314065350086</v>
      </c>
      <c r="AQ54" s="84">
        <f t="shared" si="92"/>
        <v>75.662674730221696</v>
      </c>
      <c r="AS54" s="18" t="str">
        <f t="shared" si="93"/>
        <v xml:space="preserve"> 35 Business and public service associate professionals</v>
      </c>
      <c r="AT54" s="22">
        <f t="shared" ref="AT54:AX63" si="117">AT18/AT$34*100</f>
        <v>9.5454330221808537</v>
      </c>
      <c r="AU54" s="22">
        <f t="shared" si="117"/>
        <v>8.4725204138285157</v>
      </c>
      <c r="AV54" s="22">
        <f t="shared" si="117"/>
        <v>8.5117440905350215</v>
      </c>
      <c r="AW54" s="22">
        <f t="shared" si="117"/>
        <v>8.4727367838183838</v>
      </c>
      <c r="AX54" s="22">
        <f t="shared" si="117"/>
        <v>8.4767645373163418</v>
      </c>
      <c r="AZ54" s="83">
        <f t="shared" si="94"/>
        <v>29.504126144949549</v>
      </c>
      <c r="BA54" s="84">
        <f t="shared" si="95"/>
        <v>38.259021967230602</v>
      </c>
      <c r="BB54" s="84">
        <f t="shared" si="96"/>
        <v>67.763148112180147</v>
      </c>
      <c r="BD54" s="18" t="str">
        <f t="shared" si="97"/>
        <v xml:space="preserve"> 35 Business and public service associate professionals</v>
      </c>
      <c r="BE54" s="22">
        <f t="shared" ref="BE54:BI63" si="118">BE18/BE$34*100</f>
        <v>6.2106852697990433</v>
      </c>
      <c r="BF54" s="22">
        <f t="shared" si="118"/>
        <v>5.9763638332705327</v>
      </c>
      <c r="BG54" s="22">
        <f t="shared" si="118"/>
        <v>6.1634660494133229</v>
      </c>
      <c r="BH54" s="22">
        <f t="shared" si="118"/>
        <v>6.0074676117385808</v>
      </c>
      <c r="BI54" s="22">
        <f t="shared" si="118"/>
        <v>5.8507413686977792</v>
      </c>
      <c r="BK54" s="83">
        <f t="shared" si="98"/>
        <v>-11.257582746226641</v>
      </c>
      <c r="BL54" s="84">
        <f t="shared" si="99"/>
        <v>26.476764231893394</v>
      </c>
      <c r="BM54" s="84">
        <f t="shared" si="100"/>
        <v>15.219181485666757</v>
      </c>
      <c r="BO54" s="18" t="str">
        <f t="shared" si="101"/>
        <v xml:space="preserve"> 35 Business and public service associate professionals</v>
      </c>
      <c r="BP54" s="22">
        <f t="shared" ref="BP54:BT63" si="119">BP18/BP$34*100</f>
        <v>5.2290562675650225</v>
      </c>
      <c r="BQ54" s="22">
        <f t="shared" si="119"/>
        <v>4.9140408732361314</v>
      </c>
      <c r="BR54" s="22">
        <f t="shared" si="119"/>
        <v>5.0830259910846474</v>
      </c>
      <c r="BS54" s="22">
        <f t="shared" si="119"/>
        <v>4.8393389747837512</v>
      </c>
      <c r="BT54" s="22">
        <f t="shared" si="119"/>
        <v>4.6308121664799424</v>
      </c>
      <c r="BV54" s="83">
        <f t="shared" si="102"/>
        <v>-22.090841814667687</v>
      </c>
      <c r="BW54" s="84">
        <f t="shared" si="103"/>
        <v>23.556135325496935</v>
      </c>
      <c r="BX54" s="84">
        <f t="shared" si="104"/>
        <v>1.4652935108292493</v>
      </c>
      <c r="BZ54" s="18" t="str">
        <f t="shared" si="105"/>
        <v xml:space="preserve"> 35 Business and public service associate professionals</v>
      </c>
      <c r="CA54" s="22">
        <f t="shared" ref="CA54:CE63" si="120">CA18/CA$34*100</f>
        <v>4.6767532511407222</v>
      </c>
      <c r="CB54" s="22">
        <f t="shared" si="120"/>
        <v>4.2882607014384728</v>
      </c>
      <c r="CC54" s="22">
        <f t="shared" si="120"/>
        <v>4.74435646306737</v>
      </c>
      <c r="CD54" s="22">
        <f t="shared" si="120"/>
        <v>4.6030127143213724</v>
      </c>
      <c r="CE54" s="22">
        <f t="shared" si="120"/>
        <v>4.6484469324329032</v>
      </c>
      <c r="CF54" s="286"/>
      <c r="CG54" s="83">
        <f t="shared" si="106"/>
        <v>-35.789346700059745</v>
      </c>
      <c r="CH54" s="84">
        <f t="shared" si="107"/>
        <v>18.6562715365706</v>
      </c>
      <c r="CI54" s="84">
        <f t="shared" si="108"/>
        <v>-17.133075163489142</v>
      </c>
      <c r="CK54" s="18" t="str">
        <f t="shared" si="109"/>
        <v xml:space="preserve"> 35 Business and public service associate professionals</v>
      </c>
      <c r="CL54" s="22">
        <f t="shared" ref="CL54:CP63" si="121">CL18/CL$34*100</f>
        <v>1.9136034952852703</v>
      </c>
      <c r="CM54" s="22">
        <f t="shared" si="121"/>
        <v>2.0821111081808343</v>
      </c>
      <c r="CN54" s="22">
        <f t="shared" si="121"/>
        <v>2.6164146527854388</v>
      </c>
      <c r="CO54" s="22">
        <f t="shared" si="121"/>
        <v>2.8885804319565866</v>
      </c>
      <c r="CP54" s="22">
        <f t="shared" si="121"/>
        <v>3.8864618890851257</v>
      </c>
      <c r="CR54" s="83">
        <f t="shared" si="110"/>
        <v>-19.814751565506025</v>
      </c>
      <c r="CS54" s="84">
        <f t="shared" si="111"/>
        <v>17.433575804972222</v>
      </c>
      <c r="CT54" s="84">
        <f t="shared" si="112"/>
        <v>-2.3811757605338024</v>
      </c>
    </row>
    <row r="55" spans="1:98" x14ac:dyDescent="0.25">
      <c r="A55" s="18" t="str">
        <f t="shared" si="68"/>
        <v xml:space="preserve"> 41 Administrative occupations</v>
      </c>
      <c r="B55" s="22">
        <f t="shared" si="113"/>
        <v>4.0486416669927445</v>
      </c>
      <c r="C55" s="22">
        <f t="shared" si="113"/>
        <v>3.1281199121786347</v>
      </c>
      <c r="D55" s="22">
        <f t="shared" si="113"/>
        <v>3.036909218026739</v>
      </c>
      <c r="E55" s="22">
        <f t="shared" si="113"/>
        <v>3.1028897268609366</v>
      </c>
      <c r="F55" s="22">
        <f t="shared" si="113"/>
        <v>3.1204349357668728</v>
      </c>
      <c r="H55" s="83">
        <f t="shared" si="78"/>
        <v>37.021066515826128</v>
      </c>
      <c r="I55" s="84">
        <f t="shared" si="79"/>
        <v>42.978259315567662</v>
      </c>
      <c r="J55" s="84">
        <f t="shared" si="80"/>
        <v>79.999325831393804</v>
      </c>
      <c r="L55" s="18" t="str">
        <f t="shared" si="81"/>
        <v xml:space="preserve"> 41 Administrative occupations</v>
      </c>
      <c r="M55" s="22">
        <f t="shared" si="114"/>
        <v>5.1504709688693815</v>
      </c>
      <c r="N55" s="22">
        <f t="shared" si="114"/>
        <v>5.2589578110549535</v>
      </c>
      <c r="O55" s="22">
        <f t="shared" si="114"/>
        <v>5.0104305062498504</v>
      </c>
      <c r="P55" s="22">
        <f t="shared" si="114"/>
        <v>4.9328367181746904</v>
      </c>
      <c r="Q55" s="22">
        <f t="shared" si="114"/>
        <v>4.8804902319881833</v>
      </c>
      <c r="S55" s="83">
        <f t="shared" si="82"/>
        <v>28.785607127359221</v>
      </c>
      <c r="T55" s="84">
        <f t="shared" si="83"/>
        <v>42.171556802065311</v>
      </c>
      <c r="U55" s="84">
        <f t="shared" si="84"/>
        <v>70.957163929424539</v>
      </c>
      <c r="W55" s="18" t="str">
        <f t="shared" si="85"/>
        <v xml:space="preserve"> 41 Administrative occupations</v>
      </c>
      <c r="X55" s="22">
        <f t="shared" si="115"/>
        <v>9.0939411894788371</v>
      </c>
      <c r="Y55" s="22">
        <f t="shared" si="115"/>
        <v>8.6473731456404739</v>
      </c>
      <c r="Z55" s="22">
        <f t="shared" si="115"/>
        <v>8.5330572987714479</v>
      </c>
      <c r="AA55" s="22">
        <f t="shared" si="115"/>
        <v>8.4015334971011715</v>
      </c>
      <c r="AB55" s="22">
        <f t="shared" si="115"/>
        <v>8.4000081720515674</v>
      </c>
      <c r="AD55" s="83">
        <f t="shared" si="86"/>
        <v>32.546426525904977</v>
      </c>
      <c r="AE55" s="84">
        <f t="shared" si="87"/>
        <v>45.81114478944108</v>
      </c>
      <c r="AF55" s="84">
        <f t="shared" si="88"/>
        <v>78.357571315346064</v>
      </c>
      <c r="AH55" s="18" t="str">
        <f t="shared" si="89"/>
        <v xml:space="preserve"> 41 Administrative occupations</v>
      </c>
      <c r="AI55" s="22">
        <f t="shared" si="116"/>
        <v>7.9149162634085988</v>
      </c>
      <c r="AJ55" s="22">
        <f t="shared" si="116"/>
        <v>9.378416740885692</v>
      </c>
      <c r="AK55" s="22">
        <f t="shared" si="116"/>
        <v>10.408434798632427</v>
      </c>
      <c r="AL55" s="22">
        <f t="shared" si="116"/>
        <v>10.942474122822928</v>
      </c>
      <c r="AM55" s="22">
        <f t="shared" si="116"/>
        <v>11.344214670249993</v>
      </c>
      <c r="AO55" s="83">
        <f t="shared" si="90"/>
        <v>26.874451730360825</v>
      </c>
      <c r="AP55" s="84">
        <f t="shared" si="91"/>
        <v>47.207799373004192</v>
      </c>
      <c r="AQ55" s="84">
        <f t="shared" si="92"/>
        <v>74.08225110336501</v>
      </c>
      <c r="AS55" s="18" t="str">
        <f t="shared" si="93"/>
        <v xml:space="preserve"> 41 Administrative occupations</v>
      </c>
      <c r="AT55" s="22">
        <f t="shared" si="117"/>
        <v>10.785750207078614</v>
      </c>
      <c r="AU55" s="22">
        <f t="shared" si="117"/>
        <v>10.415061845304482</v>
      </c>
      <c r="AV55" s="22">
        <f t="shared" si="117"/>
        <v>10.283092110117204</v>
      </c>
      <c r="AW55" s="22">
        <f t="shared" si="117"/>
        <v>9.938984070031319</v>
      </c>
      <c r="AX55" s="22">
        <f t="shared" si="117"/>
        <v>9.8924324569438671</v>
      </c>
      <c r="AZ55" s="83">
        <f t="shared" si="94"/>
        <v>25.098301043398241</v>
      </c>
      <c r="BA55" s="84">
        <f t="shared" si="95"/>
        <v>44.288030152138674</v>
      </c>
      <c r="BB55" s="84">
        <f t="shared" si="96"/>
        <v>69.386331195536911</v>
      </c>
      <c r="BD55" s="18" t="str">
        <f t="shared" si="97"/>
        <v xml:space="preserve"> 41 Administrative occupations</v>
      </c>
      <c r="BE55" s="22">
        <f t="shared" si="118"/>
        <v>10.291582149000593</v>
      </c>
      <c r="BF55" s="22">
        <f t="shared" si="118"/>
        <v>9.484691263558755</v>
      </c>
      <c r="BG55" s="22">
        <f t="shared" si="118"/>
        <v>8.8469318432154633</v>
      </c>
      <c r="BH55" s="22">
        <f t="shared" si="118"/>
        <v>8.2452908406880319</v>
      </c>
      <c r="BI55" s="22">
        <f t="shared" si="118"/>
        <v>7.5685507243339165</v>
      </c>
      <c r="BK55" s="83">
        <f t="shared" si="98"/>
        <v>-20.022945340935404</v>
      </c>
      <c r="BL55" s="84">
        <f t="shared" si="99"/>
        <v>29.058944386485276</v>
      </c>
      <c r="BM55" s="84">
        <f t="shared" si="100"/>
        <v>9.0359990455498718</v>
      </c>
      <c r="BO55" s="18" t="str">
        <f t="shared" si="101"/>
        <v xml:space="preserve"> 41 Administrative occupations</v>
      </c>
      <c r="BP55" s="22">
        <f t="shared" si="119"/>
        <v>11.611200466457525</v>
      </c>
      <c r="BQ55" s="22">
        <f t="shared" si="119"/>
        <v>10.698662138442385</v>
      </c>
      <c r="BR55" s="22">
        <f t="shared" si="119"/>
        <v>10.132097849987563</v>
      </c>
      <c r="BS55" s="22">
        <f t="shared" si="119"/>
        <v>9.2554088870541928</v>
      </c>
      <c r="BT55" s="22">
        <f t="shared" si="119"/>
        <v>8.1466865383068221</v>
      </c>
      <c r="BV55" s="83">
        <f t="shared" si="102"/>
        <v>-31.240088754784612</v>
      </c>
      <c r="BW55" s="84">
        <f t="shared" si="103"/>
        <v>25.24700945511163</v>
      </c>
      <c r="BX55" s="84">
        <f t="shared" si="104"/>
        <v>-5.9930792996729796</v>
      </c>
      <c r="BZ55" s="18" t="str">
        <f t="shared" si="105"/>
        <v xml:space="preserve"> 41 Administrative occupations</v>
      </c>
      <c r="CA55" s="22">
        <f t="shared" si="120"/>
        <v>10.609836600998225</v>
      </c>
      <c r="CB55" s="22">
        <f t="shared" si="120"/>
        <v>8.9333380353581049</v>
      </c>
      <c r="CC55" s="22">
        <f t="shared" si="120"/>
        <v>7.9796006676364675</v>
      </c>
      <c r="CD55" s="22">
        <f t="shared" si="120"/>
        <v>6.4484615902768052</v>
      </c>
      <c r="CE55" s="22">
        <f t="shared" si="120"/>
        <v>4.5158067439495513</v>
      </c>
      <c r="CF55" s="286"/>
      <c r="CG55" s="83">
        <f t="shared" si="106"/>
        <v>-62.912230684501878</v>
      </c>
      <c r="CH55" s="84">
        <f t="shared" si="107"/>
        <v>16.250861283500413</v>
      </c>
      <c r="CI55" s="84">
        <f t="shared" si="108"/>
        <v>-46.661369401001465</v>
      </c>
      <c r="CK55" s="18" t="str">
        <f t="shared" si="109"/>
        <v xml:space="preserve"> 41 Administrative occupations</v>
      </c>
      <c r="CL55" s="22">
        <f t="shared" si="121"/>
        <v>5.5581297443634501</v>
      </c>
      <c r="CM55" s="22">
        <f t="shared" si="121"/>
        <v>4.9493276071186676</v>
      </c>
      <c r="CN55" s="22">
        <f t="shared" si="121"/>
        <v>5.3425292874451404</v>
      </c>
      <c r="CO55" s="22">
        <f t="shared" si="121"/>
        <v>5.2884447818518936</v>
      </c>
      <c r="CP55" s="22">
        <f t="shared" si="121"/>
        <v>5.4993032270941118</v>
      </c>
      <c r="CR55" s="83">
        <f t="shared" si="110"/>
        <v>-44.434222727519312</v>
      </c>
      <c r="CS55" s="84">
        <f t="shared" si="111"/>
        <v>15.272622672839564</v>
      </c>
      <c r="CT55" s="84">
        <f t="shared" si="112"/>
        <v>-29.161600054679749</v>
      </c>
    </row>
    <row r="56" spans="1:98" x14ac:dyDescent="0.25">
      <c r="A56" s="18" t="str">
        <f t="shared" si="68"/>
        <v xml:space="preserve"> 42 Secretarial and related occupations</v>
      </c>
      <c r="B56" s="22">
        <f t="shared" si="113"/>
        <v>0.20952611632567122</v>
      </c>
      <c r="C56" s="22">
        <f t="shared" si="113"/>
        <v>0.30216391739560139</v>
      </c>
      <c r="D56" s="22">
        <f t="shared" si="113"/>
        <v>0.31938618275137232</v>
      </c>
      <c r="E56" s="22">
        <f t="shared" si="113"/>
        <v>0.29539458538794239</v>
      </c>
      <c r="F56" s="22">
        <f t="shared" si="113"/>
        <v>0.29523118014112476</v>
      </c>
      <c r="H56" s="83">
        <f t="shared" si="78"/>
        <v>23.267934969378409</v>
      </c>
      <c r="I56" s="84">
        <f t="shared" si="79"/>
        <v>46.157256049422493</v>
      </c>
      <c r="J56" s="84">
        <f t="shared" si="80"/>
        <v>69.425191018800902</v>
      </c>
      <c r="L56" s="18" t="str">
        <f t="shared" si="81"/>
        <v xml:space="preserve"> 42 Secretarial and related occupations</v>
      </c>
      <c r="M56" s="22">
        <f t="shared" si="114"/>
        <v>0.83982625494143026</v>
      </c>
      <c r="N56" s="22">
        <f t="shared" si="114"/>
        <v>1.0625167426192066</v>
      </c>
      <c r="O56" s="22">
        <f t="shared" si="114"/>
        <v>0.89080105534913301</v>
      </c>
      <c r="P56" s="22">
        <f t="shared" si="114"/>
        <v>0.72677528497732791</v>
      </c>
      <c r="Q56" s="22">
        <f t="shared" si="114"/>
        <v>0.61669857701613018</v>
      </c>
      <c r="S56" s="83">
        <f t="shared" si="82"/>
        <v>-8.4683801608631217</v>
      </c>
      <c r="T56" s="84">
        <f t="shared" si="83"/>
        <v>36.496455879061692</v>
      </c>
      <c r="U56" s="84">
        <f t="shared" si="84"/>
        <v>28.028075718198568</v>
      </c>
      <c r="W56" s="18" t="str">
        <f t="shared" si="85"/>
        <v xml:space="preserve"> 42 Secretarial and related occupations</v>
      </c>
      <c r="X56" s="22">
        <f t="shared" si="115"/>
        <v>1.9717640664481253</v>
      </c>
      <c r="Y56" s="22">
        <f t="shared" si="115"/>
        <v>1.8862867529257108</v>
      </c>
      <c r="Z56" s="22">
        <f t="shared" si="115"/>
        <v>1.6285241653779856</v>
      </c>
      <c r="AA56" s="22">
        <f t="shared" si="115"/>
        <v>1.3612296281027945</v>
      </c>
      <c r="AB56" s="22">
        <f t="shared" si="115"/>
        <v>1.2385189152262199</v>
      </c>
      <c r="AD56" s="83">
        <f t="shared" si="86"/>
        <v>2.4003434462006181</v>
      </c>
      <c r="AE56" s="84">
        <f t="shared" si="87"/>
        <v>42.415482162957694</v>
      </c>
      <c r="AF56" s="84">
        <f t="shared" si="88"/>
        <v>44.81582560915831</v>
      </c>
      <c r="AH56" s="18" t="str">
        <f t="shared" si="89"/>
        <v xml:space="preserve"> 42 Secretarial and related occupations</v>
      </c>
      <c r="AI56" s="22">
        <f t="shared" si="116"/>
        <v>2.7556336123331042</v>
      </c>
      <c r="AJ56" s="22">
        <f t="shared" si="116"/>
        <v>2.7746807207123498</v>
      </c>
      <c r="AK56" s="22">
        <f t="shared" si="116"/>
        <v>2.5389203951810568</v>
      </c>
      <c r="AL56" s="22">
        <f t="shared" si="116"/>
        <v>2.2086998441408059</v>
      </c>
      <c r="AM56" s="22">
        <f t="shared" si="116"/>
        <v>1.996145181616191</v>
      </c>
      <c r="AO56" s="83">
        <f t="shared" si="90"/>
        <v>-8.4774295875381842</v>
      </c>
      <c r="AP56" s="84">
        <f t="shared" si="91"/>
        <v>39.061253080688644</v>
      </c>
      <c r="AQ56" s="84">
        <f t="shared" si="92"/>
        <v>30.583823493150465</v>
      </c>
      <c r="AS56" s="18" t="str">
        <f t="shared" si="93"/>
        <v xml:space="preserve"> 42 Secretarial and related occupations</v>
      </c>
      <c r="AT56" s="22">
        <f t="shared" si="117"/>
        <v>2.9115627817688563</v>
      </c>
      <c r="AU56" s="22">
        <f t="shared" si="117"/>
        <v>2.5370962744151031</v>
      </c>
      <c r="AV56" s="22">
        <f t="shared" si="117"/>
        <v>2.0531123706142784</v>
      </c>
      <c r="AW56" s="22">
        <f t="shared" si="117"/>
        <v>1.5459749430265615</v>
      </c>
      <c r="AX56" s="22">
        <f t="shared" si="117"/>
        <v>1.2365686755361818</v>
      </c>
      <c r="AZ56" s="83">
        <f t="shared" si="94"/>
        <v>-21.679118827030422</v>
      </c>
      <c r="BA56" s="84">
        <f t="shared" si="95"/>
        <v>34.141671600396883</v>
      </c>
      <c r="BB56" s="84">
        <f t="shared" si="96"/>
        <v>12.462552773366461</v>
      </c>
      <c r="BD56" s="18" t="str">
        <f t="shared" si="97"/>
        <v xml:space="preserve"> 42 Secretarial and related occupations</v>
      </c>
      <c r="BE56" s="22">
        <f t="shared" si="118"/>
        <v>2.7907211891939334</v>
      </c>
      <c r="BF56" s="22">
        <f t="shared" si="118"/>
        <v>2.6896166718642815</v>
      </c>
      <c r="BG56" s="22">
        <f t="shared" si="118"/>
        <v>2.0578742020313574</v>
      </c>
      <c r="BH56" s="22">
        <f t="shared" si="118"/>
        <v>1.5801094051592284</v>
      </c>
      <c r="BI56" s="22">
        <f t="shared" si="118"/>
        <v>1.0213154484399016</v>
      </c>
      <c r="BK56" s="83">
        <f t="shared" si="98"/>
        <v>-53.603369661224853</v>
      </c>
      <c r="BL56" s="84">
        <f t="shared" si="99"/>
        <v>23.865808360492089</v>
      </c>
      <c r="BM56" s="84">
        <f t="shared" si="100"/>
        <v>-29.737561300732768</v>
      </c>
      <c r="BO56" s="18" t="str">
        <f t="shared" si="101"/>
        <v xml:space="preserve"> 42 Secretarial and related occupations</v>
      </c>
      <c r="BP56" s="22">
        <f t="shared" si="119"/>
        <v>4.2033507678679829</v>
      </c>
      <c r="BQ56" s="22">
        <f t="shared" si="119"/>
        <v>3.4415945021646395</v>
      </c>
      <c r="BR56" s="22">
        <f t="shared" si="119"/>
        <v>2.533994976711873</v>
      </c>
      <c r="BS56" s="22">
        <f t="shared" si="119"/>
        <v>1.7917728021977202</v>
      </c>
      <c r="BT56" s="22">
        <f t="shared" si="119"/>
        <v>0.91005196908018338</v>
      </c>
      <c r="BV56" s="83">
        <f t="shared" si="102"/>
        <v>-69.287574175034706</v>
      </c>
      <c r="BW56" s="84">
        <f t="shared" si="103"/>
        <v>19.515585607428644</v>
      </c>
      <c r="BX56" s="84">
        <f t="shared" si="104"/>
        <v>-49.771988567606058</v>
      </c>
      <c r="BZ56" s="18" t="str">
        <f t="shared" si="105"/>
        <v xml:space="preserve"> 42 Secretarial and related occupations</v>
      </c>
      <c r="CA56" s="22">
        <f t="shared" si="120"/>
        <v>4.9125435830429964</v>
      </c>
      <c r="CB56" s="22">
        <f t="shared" si="120"/>
        <v>4.2456608587956817</v>
      </c>
      <c r="CC56" s="22">
        <f t="shared" si="120"/>
        <v>3.6007308930766668</v>
      </c>
      <c r="CD56" s="22">
        <f t="shared" si="120"/>
        <v>2.4414584447116763</v>
      </c>
      <c r="CE56" s="22">
        <f t="shared" si="120"/>
        <v>0.93252083546336084</v>
      </c>
      <c r="CF56" s="286"/>
      <c r="CG56" s="83">
        <f t="shared" si="106"/>
        <v>-83.02755529494948</v>
      </c>
      <c r="CH56" s="84">
        <f t="shared" si="107"/>
        <v>14.733143140698596</v>
      </c>
      <c r="CI56" s="84">
        <f t="shared" si="108"/>
        <v>-68.294412154250878</v>
      </c>
      <c r="CK56" s="18" t="str">
        <f t="shared" si="109"/>
        <v xml:space="preserve"> 42 Secretarial and related occupations</v>
      </c>
      <c r="CL56" s="22">
        <f t="shared" si="121"/>
        <v>1.981770057711882</v>
      </c>
      <c r="CM56" s="22">
        <f t="shared" si="121"/>
        <v>2.0429098720408034</v>
      </c>
      <c r="CN56" s="22">
        <f t="shared" si="121"/>
        <v>2.3707747788800213</v>
      </c>
      <c r="CO56" s="22">
        <f t="shared" si="121"/>
        <v>2.3222879210629417</v>
      </c>
      <c r="CP56" s="22">
        <f t="shared" si="121"/>
        <v>2.2110070192976581</v>
      </c>
      <c r="CR56" s="83">
        <f t="shared" si="110"/>
        <v>-49.656145759518715</v>
      </c>
      <c r="CS56" s="84">
        <f t="shared" si="111"/>
        <v>18.872791288776476</v>
      </c>
      <c r="CT56" s="84">
        <f t="shared" si="112"/>
        <v>-30.783354470742243</v>
      </c>
    </row>
    <row r="57" spans="1:98" x14ac:dyDescent="0.25">
      <c r="A57" s="18" t="str">
        <f t="shared" si="68"/>
        <v xml:space="preserve"> 51 Skilled agricultural and related trades</v>
      </c>
      <c r="B57" s="22">
        <f t="shared" si="113"/>
        <v>1.5392527480052928E-2</v>
      </c>
      <c r="C57" s="22">
        <f t="shared" si="113"/>
        <v>0.17763510795765508</v>
      </c>
      <c r="D57" s="22">
        <f t="shared" si="113"/>
        <v>0.16195107901285025</v>
      </c>
      <c r="E57" s="22">
        <f t="shared" si="113"/>
        <v>0.17504164680934139</v>
      </c>
      <c r="F57" s="22">
        <f t="shared" si="113"/>
        <v>0.17971932766830731</v>
      </c>
      <c r="H57" s="83">
        <f t="shared" si="78"/>
        <v>47.984067834404826</v>
      </c>
      <c r="I57" s="84">
        <f t="shared" si="79"/>
        <v>58.704466649111744</v>
      </c>
      <c r="J57" s="84">
        <f t="shared" si="80"/>
        <v>106.68853448351656</v>
      </c>
      <c r="L57" s="18" t="str">
        <f t="shared" si="81"/>
        <v xml:space="preserve"> 51 Skilled agricultural and related trades</v>
      </c>
      <c r="M57" s="22">
        <f t="shared" si="114"/>
        <v>0.18335036445032787</v>
      </c>
      <c r="N57" s="22">
        <f t="shared" si="114"/>
        <v>0.17693943976426049</v>
      </c>
      <c r="O57" s="22">
        <f t="shared" si="114"/>
        <v>0.1238525988992778</v>
      </c>
      <c r="P57" s="22">
        <f t="shared" si="114"/>
        <v>0.10355496007078568</v>
      </c>
      <c r="Q57" s="22">
        <f t="shared" si="114"/>
        <v>9.7967209870752955E-2</v>
      </c>
      <c r="S57" s="83">
        <f t="shared" si="82"/>
        <v>4.5814213485313182</v>
      </c>
      <c r="T57" s="84">
        <f t="shared" si="83"/>
        <v>34.993970871708036</v>
      </c>
      <c r="U57" s="84">
        <f t="shared" si="84"/>
        <v>39.575392220239358</v>
      </c>
      <c r="W57" s="18" t="str">
        <f t="shared" si="85"/>
        <v xml:space="preserve"> 51 Skilled agricultural and related trades</v>
      </c>
      <c r="X57" s="22">
        <f t="shared" si="115"/>
        <v>0.51663862828544338</v>
      </c>
      <c r="Y57" s="22">
        <f t="shared" si="115"/>
        <v>0.63902639252183213</v>
      </c>
      <c r="Z57" s="22">
        <f t="shared" si="115"/>
        <v>0.62931345769881453</v>
      </c>
      <c r="AA57" s="22">
        <f t="shared" si="115"/>
        <v>0.66783044777835265</v>
      </c>
      <c r="AB57" s="22">
        <f t="shared" si="115"/>
        <v>0.7044968306166226</v>
      </c>
      <c r="AD57" s="83">
        <f t="shared" si="86"/>
        <v>50.731840267044745</v>
      </c>
      <c r="AE57" s="84">
        <f t="shared" si="87"/>
        <v>56.950610374702173</v>
      </c>
      <c r="AF57" s="84">
        <f t="shared" si="88"/>
        <v>107.68245064174691</v>
      </c>
      <c r="AH57" s="18" t="str">
        <f t="shared" si="89"/>
        <v xml:space="preserve"> 51 Skilled agricultural and related trades</v>
      </c>
      <c r="AI57" s="22">
        <f t="shared" si="116"/>
        <v>0.90669673459478439</v>
      </c>
      <c r="AJ57" s="22">
        <f t="shared" si="116"/>
        <v>0.95359715583383775</v>
      </c>
      <c r="AK57" s="22">
        <f t="shared" si="116"/>
        <v>1.0851480362876795</v>
      </c>
      <c r="AL57" s="22">
        <f t="shared" si="116"/>
        <v>1.3034686606748624</v>
      </c>
      <c r="AM57" s="22">
        <f t="shared" si="116"/>
        <v>1.4769800942978437</v>
      </c>
      <c r="AO57" s="83">
        <f t="shared" si="90"/>
        <v>58.442184561617935</v>
      </c>
      <c r="AP57" s="84">
        <f t="shared" si="91"/>
        <v>63.699138413344691</v>
      </c>
      <c r="AQ57" s="84">
        <f t="shared" si="92"/>
        <v>122.14132297496261</v>
      </c>
      <c r="AS57" s="18" t="str">
        <f t="shared" si="93"/>
        <v xml:space="preserve"> 51 Skilled agricultural and related trades</v>
      </c>
      <c r="AT57" s="22">
        <f t="shared" si="117"/>
        <v>1.2671216468246627</v>
      </c>
      <c r="AU57" s="22">
        <f t="shared" si="117"/>
        <v>1.7521126400004448</v>
      </c>
      <c r="AV57" s="22">
        <f t="shared" si="117"/>
        <v>1.7412980137428782</v>
      </c>
      <c r="AW57" s="22">
        <f t="shared" si="117"/>
        <v>1.8309616270636737</v>
      </c>
      <c r="AX57" s="22">
        <f t="shared" si="117"/>
        <v>1.9828659245960285</v>
      </c>
      <c r="AZ57" s="83">
        <f t="shared" si="94"/>
        <v>48.0785962547819</v>
      </c>
      <c r="BA57" s="84">
        <f t="shared" si="95"/>
        <v>53.842611172409129</v>
      </c>
      <c r="BB57" s="84">
        <f t="shared" si="96"/>
        <v>101.92120742719102</v>
      </c>
      <c r="BD57" s="18" t="str">
        <f t="shared" si="97"/>
        <v xml:space="preserve"> 51 Skilled agricultural and related trades</v>
      </c>
      <c r="BE57" s="22">
        <f t="shared" si="118"/>
        <v>0.92827604367679928</v>
      </c>
      <c r="BF57" s="22">
        <f t="shared" si="118"/>
        <v>0.88399817361327526</v>
      </c>
      <c r="BG57" s="22">
        <f t="shared" si="118"/>
        <v>0.76640745418212597</v>
      </c>
      <c r="BH57" s="22">
        <f t="shared" si="118"/>
        <v>0.72224760928620613</v>
      </c>
      <c r="BI57" s="22">
        <f t="shared" si="118"/>
        <v>0.72376102730314407</v>
      </c>
      <c r="BK57" s="83">
        <f t="shared" si="98"/>
        <v>-11.71623716516107</v>
      </c>
      <c r="BL57" s="84">
        <f t="shared" si="99"/>
        <v>30.781108503788783</v>
      </c>
      <c r="BM57" s="84">
        <f t="shared" si="100"/>
        <v>19.064871338627714</v>
      </c>
      <c r="BO57" s="18" t="str">
        <f t="shared" si="101"/>
        <v xml:space="preserve"> 51 Skilled agricultural and related trades</v>
      </c>
      <c r="BP57" s="22">
        <f t="shared" si="119"/>
        <v>1.0704847277299385</v>
      </c>
      <c r="BQ57" s="22">
        <f t="shared" si="119"/>
        <v>1.3100892896870453</v>
      </c>
      <c r="BR57" s="22">
        <f t="shared" si="119"/>
        <v>1.2321444528164756</v>
      </c>
      <c r="BS57" s="22">
        <f t="shared" si="119"/>
        <v>1.2529487829967394</v>
      </c>
      <c r="BT57" s="22">
        <f t="shared" si="119"/>
        <v>1.3650243518706253</v>
      </c>
      <c r="BV57" s="83">
        <f t="shared" si="102"/>
        <v>-5.2602030515829474</v>
      </c>
      <c r="BW57" s="84">
        <f t="shared" si="103"/>
        <v>34.074338132426632</v>
      </c>
      <c r="BX57" s="84">
        <f t="shared" si="104"/>
        <v>28.814135080843684</v>
      </c>
      <c r="BZ57" s="18" t="str">
        <f t="shared" si="105"/>
        <v xml:space="preserve"> 51 Skilled agricultural and related trades</v>
      </c>
      <c r="CA57" s="22">
        <f t="shared" si="120"/>
        <v>1.2355244485849943</v>
      </c>
      <c r="CB57" s="22">
        <f t="shared" si="120"/>
        <v>1.5453131787310666</v>
      </c>
      <c r="CC57" s="22">
        <f t="shared" si="120"/>
        <v>1.4577349128543498</v>
      </c>
      <c r="CD57" s="22">
        <f t="shared" si="120"/>
        <v>1.5652359068714303</v>
      </c>
      <c r="CE57" s="22">
        <f t="shared" si="120"/>
        <v>1.7705721548163456</v>
      </c>
      <c r="CF57" s="286"/>
      <c r="CG57" s="83">
        <f t="shared" si="106"/>
        <v>-20.400269414389367</v>
      </c>
      <c r="CH57" s="84">
        <f t="shared" si="107"/>
        <v>27.499379337714963</v>
      </c>
      <c r="CI57" s="84">
        <f t="shared" si="108"/>
        <v>7.0991099233255959</v>
      </c>
      <c r="CK57" s="18" t="str">
        <f t="shared" si="109"/>
        <v xml:space="preserve"> 51 Skilled agricultural and related trades</v>
      </c>
      <c r="CL57" s="22">
        <f t="shared" si="121"/>
        <v>2.3151295599874739</v>
      </c>
      <c r="CM57" s="22">
        <f t="shared" si="121"/>
        <v>3.1087682321339485</v>
      </c>
      <c r="CN57" s="22">
        <f t="shared" si="121"/>
        <v>3.1420602078080275</v>
      </c>
      <c r="CO57" s="22">
        <f t="shared" si="121"/>
        <v>3.4168761997082004</v>
      </c>
      <c r="CP57" s="22">
        <f t="shared" si="121"/>
        <v>3.3481428036103948</v>
      </c>
      <c r="CR57" s="83">
        <f t="shared" si="110"/>
        <v>-42.477717744420502</v>
      </c>
      <c r="CS57" s="84">
        <f t="shared" si="111"/>
        <v>18.285717093091741</v>
      </c>
      <c r="CT57" s="84">
        <f>IF(CN21&gt;0,(CT21/CN21)*100,0)</f>
        <v>-24.192000651328762</v>
      </c>
    </row>
    <row r="58" spans="1:98" x14ac:dyDescent="0.25">
      <c r="A58" s="18" t="str">
        <f t="shared" si="68"/>
        <v xml:space="preserve"> 52 Skilled metal, electrical and electronic trades</v>
      </c>
      <c r="B58" s="22">
        <f t="shared" si="113"/>
        <v>0.25877444436892383</v>
      </c>
      <c r="C58" s="22">
        <f t="shared" si="113"/>
        <v>0.30172694297979552</v>
      </c>
      <c r="D58" s="22">
        <f t="shared" si="113"/>
        <v>0.25676397129615897</v>
      </c>
      <c r="E58" s="22">
        <f t="shared" si="113"/>
        <v>0.27295473434754414</v>
      </c>
      <c r="F58" s="22">
        <f t="shared" si="113"/>
        <v>0.29940036715666929</v>
      </c>
      <c r="H58" s="83">
        <f t="shared" si="78"/>
        <v>55.497090096425126</v>
      </c>
      <c r="I58" s="84">
        <f t="shared" si="79"/>
        <v>38.867157885997294</v>
      </c>
      <c r="J58" s="84">
        <f t="shared" si="80"/>
        <v>94.364247982422427</v>
      </c>
      <c r="L58" s="18" t="str">
        <f t="shared" si="81"/>
        <v xml:space="preserve"> 52 Skilled metal, electrical and electronic trades</v>
      </c>
      <c r="M58" s="22">
        <f t="shared" si="114"/>
        <v>0.46431198153984471</v>
      </c>
      <c r="N58" s="22">
        <f t="shared" si="114"/>
        <v>0.79334959273384631</v>
      </c>
      <c r="O58" s="22">
        <f t="shared" si="114"/>
        <v>0.71413201545290605</v>
      </c>
      <c r="P58" s="22">
        <f t="shared" si="114"/>
        <v>0.70432880777580231</v>
      </c>
      <c r="Q58" s="22">
        <f t="shared" si="114"/>
        <v>0.70485202598623853</v>
      </c>
      <c r="S58" s="83">
        <f t="shared" si="82"/>
        <v>30.496352717279635</v>
      </c>
      <c r="T58" s="84">
        <f t="shared" si="83"/>
        <v>36.376059429511876</v>
      </c>
      <c r="U58" s="84">
        <f t="shared" si="84"/>
        <v>66.872412146791504</v>
      </c>
      <c r="W58" s="18" t="str">
        <f t="shared" si="85"/>
        <v xml:space="preserve"> 52 Skilled metal, electrical and electronic trades</v>
      </c>
      <c r="X58" s="22">
        <f t="shared" si="115"/>
        <v>1.0545148548259122</v>
      </c>
      <c r="Y58" s="22">
        <f t="shared" si="115"/>
        <v>1.0906522607931695</v>
      </c>
      <c r="Z58" s="22">
        <f t="shared" si="115"/>
        <v>1.0518116732310172</v>
      </c>
      <c r="AA58" s="22">
        <f t="shared" si="115"/>
        <v>1.0812813678296143</v>
      </c>
      <c r="AB58" s="22">
        <f t="shared" si="115"/>
        <v>1.0983167808254848</v>
      </c>
      <c r="AD58" s="83">
        <f t="shared" si="86"/>
        <v>40.599122305840758</v>
      </c>
      <c r="AE58" s="84">
        <f t="shared" si="87"/>
        <v>41.499624230968173</v>
      </c>
      <c r="AF58" s="84">
        <f t="shared" si="88"/>
        <v>82.098746536808932</v>
      </c>
      <c r="AH58" s="18" t="str">
        <f t="shared" si="89"/>
        <v xml:space="preserve"> 52 Skilled metal, electrical and electronic trades</v>
      </c>
      <c r="AI58" s="22">
        <f t="shared" si="116"/>
        <v>0.78313114658871641</v>
      </c>
      <c r="AJ58" s="22">
        <f t="shared" si="116"/>
        <v>1.1607874450208864</v>
      </c>
      <c r="AK58" s="22">
        <f t="shared" si="116"/>
        <v>1.2412460615327576</v>
      </c>
      <c r="AL58" s="22">
        <f t="shared" si="116"/>
        <v>1.3656727014133003</v>
      </c>
      <c r="AM58" s="22">
        <f t="shared" si="116"/>
        <v>1.4272450316259739</v>
      </c>
      <c r="AO58" s="83">
        <f t="shared" si="90"/>
        <v>33.852295860503595</v>
      </c>
      <c r="AP58" s="84">
        <f t="shared" si="91"/>
        <v>37.961720163142026</v>
      </c>
      <c r="AQ58" s="84">
        <f t="shared" si="92"/>
        <v>71.814016023645621</v>
      </c>
      <c r="AS58" s="18" t="str">
        <f t="shared" si="93"/>
        <v xml:space="preserve"> 52 Skilled metal, electrical and electronic trades</v>
      </c>
      <c r="AT58" s="22">
        <f t="shared" si="117"/>
        <v>5.7803076738624535</v>
      </c>
      <c r="AU58" s="22">
        <f t="shared" si="117"/>
        <v>5.5936736288286726</v>
      </c>
      <c r="AV58" s="22">
        <f t="shared" si="117"/>
        <v>5.3826221485319552</v>
      </c>
      <c r="AW58" s="22">
        <f t="shared" si="117"/>
        <v>5.3485144493616028</v>
      </c>
      <c r="AX58" s="22">
        <f t="shared" si="117"/>
        <v>5.332159929390837</v>
      </c>
      <c r="AZ58" s="83">
        <f t="shared" si="94"/>
        <v>28.819413242776776</v>
      </c>
      <c r="BA58" s="84">
        <f t="shared" si="95"/>
        <v>36.312712749111469</v>
      </c>
      <c r="BB58" s="84">
        <f t="shared" si="96"/>
        <v>65.132125991888245</v>
      </c>
      <c r="BD58" s="18" t="str">
        <f t="shared" si="97"/>
        <v xml:space="preserve"> 52 Skilled metal, electrical and electronic trades</v>
      </c>
      <c r="BE58" s="22">
        <f t="shared" si="118"/>
        <v>8.4304638329182673</v>
      </c>
      <c r="BF58" s="22">
        <f t="shared" si="118"/>
        <v>7.6787720018560766</v>
      </c>
      <c r="BG58" s="22">
        <f t="shared" si="118"/>
        <v>7.3605678360361333</v>
      </c>
      <c r="BH58" s="22">
        <f t="shared" si="118"/>
        <v>6.7676224140036716</v>
      </c>
      <c r="BI58" s="22">
        <f t="shared" si="118"/>
        <v>6.3241725906028545</v>
      </c>
      <c r="BK58" s="83">
        <f t="shared" si="98"/>
        <v>-19.67740039565324</v>
      </c>
      <c r="BL58" s="84">
        <f t="shared" si="99"/>
        <v>20.770656518082365</v>
      </c>
      <c r="BM58" s="84">
        <f t="shared" si="100"/>
        <v>1.0932561224291222</v>
      </c>
      <c r="BO58" s="18" t="str">
        <f t="shared" si="101"/>
        <v xml:space="preserve"> 52 Skilled metal, electrical and electronic trades</v>
      </c>
      <c r="BP58" s="22">
        <f t="shared" si="119"/>
        <v>4.4537800754829746</v>
      </c>
      <c r="BQ58" s="22">
        <f t="shared" si="119"/>
        <v>4.6061087298148529</v>
      </c>
      <c r="BR58" s="22">
        <f t="shared" si="119"/>
        <v>4.3461054572549385</v>
      </c>
      <c r="BS58" s="22">
        <f t="shared" si="119"/>
        <v>4.0282350807825331</v>
      </c>
      <c r="BT58" s="22">
        <f t="shared" si="119"/>
        <v>3.7711641142670871</v>
      </c>
      <c r="BV58" s="83">
        <f t="shared" si="102"/>
        <v>-25.795738214326175</v>
      </c>
      <c r="BW58" s="84">
        <f t="shared" si="103"/>
        <v>21.383511344897574</v>
      </c>
      <c r="BX58" s="84">
        <f t="shared" si="104"/>
        <v>-4.4122268694286033</v>
      </c>
      <c r="BZ58" s="18" t="str">
        <f t="shared" si="105"/>
        <v xml:space="preserve"> 52 Skilled metal, electrical and electronic trades</v>
      </c>
      <c r="CA58" s="22">
        <f t="shared" si="120"/>
        <v>3.571058508271765</v>
      </c>
      <c r="CB58" s="22">
        <f t="shared" si="120"/>
        <v>3.3686991070708814</v>
      </c>
      <c r="CC58" s="22">
        <f t="shared" si="120"/>
        <v>3.2248324289813226</v>
      </c>
      <c r="CD58" s="22">
        <f t="shared" si="120"/>
        <v>3.2233742181910379</v>
      </c>
      <c r="CE58" s="22">
        <f t="shared" si="120"/>
        <v>3.0487432888849946</v>
      </c>
      <c r="CF58" s="286"/>
      <c r="CG58" s="83">
        <f t="shared" si="106"/>
        <v>-38.043021785254695</v>
      </c>
      <c r="CH58" s="84">
        <f t="shared" si="107"/>
        <v>18.798823861267085</v>
      </c>
      <c r="CI58" s="84">
        <f t="shared" si="108"/>
        <v>-19.244197923987606</v>
      </c>
      <c r="CK58" s="18" t="str">
        <f t="shared" si="109"/>
        <v xml:space="preserve"> 52 Skilled metal, electrical and electronic trades</v>
      </c>
      <c r="CL58" s="22">
        <f t="shared" si="121"/>
        <v>3.3183338803324842</v>
      </c>
      <c r="CM58" s="22">
        <f t="shared" si="121"/>
        <v>3.4277067154351775</v>
      </c>
      <c r="CN58" s="22">
        <f t="shared" si="121"/>
        <v>3.3639163176004705</v>
      </c>
      <c r="CO58" s="22">
        <f t="shared" si="121"/>
        <v>3.3407148183979496</v>
      </c>
      <c r="CP58" s="22">
        <f t="shared" si="121"/>
        <v>2.8406687069957628</v>
      </c>
      <c r="CR58" s="83">
        <f t="shared" si="110"/>
        <v>-54.414991307103669</v>
      </c>
      <c r="CS58" s="84">
        <f t="shared" si="111"/>
        <v>14.222199785998383</v>
      </c>
      <c r="CT58" s="84">
        <f t="shared" si="112"/>
        <v>-40.192791521105285</v>
      </c>
    </row>
    <row r="59" spans="1:98" x14ac:dyDescent="0.25">
      <c r="A59" s="18" t="str">
        <f t="shared" si="68"/>
        <v xml:space="preserve"> 53 Skilled construction and building trades</v>
      </c>
      <c r="B59" s="22">
        <f t="shared" si="113"/>
        <v>6.777616359264084E-2</v>
      </c>
      <c r="C59" s="22">
        <f t="shared" si="113"/>
        <v>0.10365636319987252</v>
      </c>
      <c r="D59" s="22">
        <f t="shared" si="113"/>
        <v>9.0574032806757493E-2</v>
      </c>
      <c r="E59" s="22">
        <f t="shared" si="113"/>
        <v>9.3160111603864684E-2</v>
      </c>
      <c r="F59" s="22">
        <f t="shared" si="113"/>
        <v>9.2603407298504012E-2</v>
      </c>
      <c r="H59" s="83">
        <f t="shared" si="78"/>
        <v>36.341253760084669</v>
      </c>
      <c r="I59" s="84">
        <f t="shared" si="79"/>
        <v>36.518496843819172</v>
      </c>
      <c r="J59" s="84">
        <f t="shared" si="80"/>
        <v>72.859750603903848</v>
      </c>
      <c r="L59" s="18" t="str">
        <f t="shared" si="81"/>
        <v xml:space="preserve"> 53 Skilled construction and building trades</v>
      </c>
      <c r="M59" s="22">
        <f t="shared" si="114"/>
        <v>0.61352377432582228</v>
      </c>
      <c r="N59" s="22">
        <f t="shared" si="114"/>
        <v>0.34082627894217993</v>
      </c>
      <c r="O59" s="22">
        <f t="shared" si="114"/>
        <v>0.35550058416856961</v>
      </c>
      <c r="P59" s="22">
        <f t="shared" si="114"/>
        <v>0.42817480505453676</v>
      </c>
      <c r="Q59" s="22">
        <f t="shared" si="114"/>
        <v>0.46709868690007217</v>
      </c>
      <c r="S59" s="83">
        <f t="shared" si="82"/>
        <v>73.718972677190621</v>
      </c>
      <c r="T59" s="84">
        <f t="shared" si="83"/>
        <v>48.217940270528302</v>
      </c>
      <c r="U59" s="84">
        <f t="shared" si="84"/>
        <v>121.93691294771894</v>
      </c>
      <c r="W59" s="18" t="str">
        <f t="shared" si="85"/>
        <v xml:space="preserve"> 53 Skilled construction and building trades</v>
      </c>
      <c r="X59" s="22">
        <f t="shared" si="115"/>
        <v>0.673353888530282</v>
      </c>
      <c r="Y59" s="22">
        <f t="shared" si="115"/>
        <v>0.60097468793190101</v>
      </c>
      <c r="Z59" s="22">
        <f t="shared" si="115"/>
        <v>0.5868390451018064</v>
      </c>
      <c r="AA59" s="22">
        <f t="shared" si="115"/>
        <v>0.68858843072950038</v>
      </c>
      <c r="AB59" s="22">
        <f t="shared" si="115"/>
        <v>0.72194812632428818</v>
      </c>
      <c r="AD59" s="83">
        <f t="shared" si="86"/>
        <v>65.645624578206224</v>
      </c>
      <c r="AE59" s="84">
        <f t="shared" si="87"/>
        <v>50.45661689191099</v>
      </c>
      <c r="AF59" s="84">
        <f t="shared" si="88"/>
        <v>116.10224147011721</v>
      </c>
      <c r="AH59" s="18" t="str">
        <f t="shared" si="89"/>
        <v xml:space="preserve"> 53 Skilled construction and building trades</v>
      </c>
      <c r="AI59" s="22">
        <f t="shared" si="116"/>
        <v>0.89131811949474737</v>
      </c>
      <c r="AJ59" s="22">
        <f t="shared" si="116"/>
        <v>1.0282623551895822</v>
      </c>
      <c r="AK59" s="22">
        <f t="shared" si="116"/>
        <v>1.2866868282079118</v>
      </c>
      <c r="AL59" s="22">
        <f t="shared" si="116"/>
        <v>1.7590257838520251</v>
      </c>
      <c r="AM59" s="22">
        <f t="shared" si="116"/>
        <v>1.948316768099994</v>
      </c>
      <c r="AO59" s="83">
        <f t="shared" si="90"/>
        <v>76.267352474868957</v>
      </c>
      <c r="AP59" s="84">
        <f t="shared" si="91"/>
        <v>56.918768826369323</v>
      </c>
      <c r="AQ59" s="84">
        <f t="shared" si="92"/>
        <v>133.18612130123827</v>
      </c>
      <c r="AS59" s="18" t="str">
        <f t="shared" si="93"/>
        <v xml:space="preserve"> 53 Skilled construction and building trades</v>
      </c>
      <c r="AT59" s="22">
        <f t="shared" si="117"/>
        <v>2.1281187985045991</v>
      </c>
      <c r="AU59" s="22">
        <f t="shared" si="117"/>
        <v>1.9042374194509888</v>
      </c>
      <c r="AV59" s="22">
        <f t="shared" si="117"/>
        <v>1.9990998759119336</v>
      </c>
      <c r="AW59" s="22">
        <f t="shared" si="117"/>
        <v>2.4041211895935293</v>
      </c>
      <c r="AX59" s="22">
        <f t="shared" si="117"/>
        <v>2.5026849264612046</v>
      </c>
      <c r="AZ59" s="83">
        <f t="shared" si="94"/>
        <v>62.795999915012956</v>
      </c>
      <c r="BA59" s="84">
        <f t="shared" si="95"/>
        <v>52.10696667749739</v>
      </c>
      <c r="BB59" s="84">
        <f t="shared" si="96"/>
        <v>114.90296659251034</v>
      </c>
      <c r="BD59" s="18" t="str">
        <f t="shared" si="97"/>
        <v xml:space="preserve"> 53 Skilled construction and building trades</v>
      </c>
      <c r="BE59" s="22">
        <f t="shared" si="118"/>
        <v>6.6143605263405121</v>
      </c>
      <c r="BF59" s="22">
        <f t="shared" si="118"/>
        <v>5.6300057802719943</v>
      </c>
      <c r="BG59" s="22">
        <f t="shared" si="118"/>
        <v>5.4118399649345594</v>
      </c>
      <c r="BH59" s="22">
        <f t="shared" si="118"/>
        <v>5.3995792667148814</v>
      </c>
      <c r="BI59" s="22">
        <f t="shared" si="118"/>
        <v>5.2202126528818074</v>
      </c>
      <c r="BK59" s="83">
        <f t="shared" si="98"/>
        <v>-9.8244891585092162</v>
      </c>
      <c r="BL59" s="84">
        <f t="shared" si="99"/>
        <v>24.219784368018633</v>
      </c>
      <c r="BM59" s="84">
        <f t="shared" si="100"/>
        <v>14.395295209509412</v>
      </c>
      <c r="BO59" s="18" t="str">
        <f t="shared" si="101"/>
        <v xml:space="preserve"> 53 Skilled construction and building trades</v>
      </c>
      <c r="BP59" s="22">
        <f t="shared" si="119"/>
        <v>4.504944648506517</v>
      </c>
      <c r="BQ59" s="22">
        <f t="shared" si="119"/>
        <v>4.528327053388792</v>
      </c>
      <c r="BR59" s="22">
        <f t="shared" si="119"/>
        <v>4.918947521247742</v>
      </c>
      <c r="BS59" s="22">
        <f t="shared" si="119"/>
        <v>5.6146115775802468</v>
      </c>
      <c r="BT59" s="22">
        <f t="shared" si="119"/>
        <v>6.1755382723800762</v>
      </c>
      <c r="BV59" s="83">
        <f t="shared" si="102"/>
        <v>7.3634119979794646</v>
      </c>
      <c r="BW59" s="84">
        <f t="shared" si="103"/>
        <v>31.248226590200545</v>
      </c>
      <c r="BX59" s="84">
        <f t="shared" si="104"/>
        <v>38.611638588180007</v>
      </c>
      <c r="BZ59" s="18" t="str">
        <f t="shared" si="105"/>
        <v xml:space="preserve"> 53 Skilled construction and building trades</v>
      </c>
      <c r="CA59" s="22">
        <f t="shared" si="120"/>
        <v>3.1703054642683264</v>
      </c>
      <c r="CB59" s="22">
        <f t="shared" si="120"/>
        <v>3.4238735261612954</v>
      </c>
      <c r="CC59" s="22">
        <f t="shared" si="120"/>
        <v>3.6272321452093603</v>
      </c>
      <c r="CD59" s="22">
        <f t="shared" si="120"/>
        <v>4.2970933195109318</v>
      </c>
      <c r="CE59" s="22">
        <f t="shared" si="120"/>
        <v>4.8308883319898177</v>
      </c>
      <c r="CF59" s="286"/>
      <c r="CG59" s="83">
        <f t="shared" si="106"/>
        <v>-12.717300393524331</v>
      </c>
      <c r="CH59" s="84">
        <f t="shared" si="107"/>
        <v>25.092990890753715</v>
      </c>
      <c r="CI59" s="84">
        <f t="shared" si="108"/>
        <v>12.37569049722938</v>
      </c>
      <c r="CK59" s="18" t="str">
        <f t="shared" si="109"/>
        <v xml:space="preserve"> 53 Skilled construction and building trades</v>
      </c>
      <c r="CL59" s="22">
        <f t="shared" si="121"/>
        <v>5.3800192352538465</v>
      </c>
      <c r="CM59" s="22">
        <f t="shared" si="121"/>
        <v>5.0290243753629715</v>
      </c>
      <c r="CN59" s="22">
        <f t="shared" si="121"/>
        <v>5.1538465664649191</v>
      </c>
      <c r="CO59" s="22">
        <f t="shared" si="121"/>
        <v>5.3859940384188736</v>
      </c>
      <c r="CP59" s="22">
        <f t="shared" si="121"/>
        <v>3.560845833963433</v>
      </c>
      <c r="CR59" s="83">
        <f t="shared" si="110"/>
        <v>-62.703478852790084</v>
      </c>
      <c r="CS59" s="84">
        <f t="shared" si="111"/>
        <v>13.967306174283772</v>
      </c>
      <c r="CT59" s="84">
        <f t="shared" si="112"/>
        <v>-48.736172678506314</v>
      </c>
    </row>
    <row r="60" spans="1:98" x14ac:dyDescent="0.25">
      <c r="A60" s="18" t="str">
        <f t="shared" si="68"/>
        <v xml:space="preserve"> 54 Textiles, printing and other skilled trades</v>
      </c>
      <c r="B60" s="22">
        <f t="shared" si="113"/>
        <v>9.8133315613038105E-2</v>
      </c>
      <c r="C60" s="22">
        <f t="shared" si="113"/>
        <v>0.565013462413399</v>
      </c>
      <c r="D60" s="22">
        <f t="shared" si="113"/>
        <v>0.50252803921898348</v>
      </c>
      <c r="E60" s="22">
        <f t="shared" si="113"/>
        <v>0.52758239525888562</v>
      </c>
      <c r="F60" s="22">
        <f t="shared" si="113"/>
        <v>0.53851399352162865</v>
      </c>
      <c r="H60" s="83">
        <f t="shared" si="78"/>
        <v>42.90279269988708</v>
      </c>
      <c r="I60" s="84">
        <f t="shared" si="79"/>
        <v>41.770605124291151</v>
      </c>
      <c r="J60" s="84">
        <f t="shared" si="80"/>
        <v>84.673397824178238</v>
      </c>
      <c r="L60" s="18" t="str">
        <f t="shared" si="81"/>
        <v xml:space="preserve"> 54 Textiles, printing and other skilled trades</v>
      </c>
      <c r="M60" s="22">
        <f t="shared" si="114"/>
        <v>0.6830462414216768</v>
      </c>
      <c r="N60" s="22">
        <f t="shared" si="114"/>
        <v>0.71869602659299137</v>
      </c>
      <c r="O60" s="22">
        <f t="shared" si="114"/>
        <v>0.66721000115355089</v>
      </c>
      <c r="P60" s="22">
        <f t="shared" si="114"/>
        <v>0.70129864544564235</v>
      </c>
      <c r="Q60" s="22">
        <f t="shared" si="114"/>
        <v>0.70748138323989607</v>
      </c>
      <c r="S60" s="83">
        <f t="shared" si="82"/>
        <v>40.194634730092986</v>
      </c>
      <c r="T60" s="84">
        <f t="shared" si="83"/>
        <v>44.364749093809458</v>
      </c>
      <c r="U60" s="84">
        <f t="shared" si="84"/>
        <v>84.559383823902451</v>
      </c>
      <c r="W60" s="18" t="str">
        <f t="shared" si="85"/>
        <v xml:space="preserve"> 54 Textiles, printing and other skilled trades</v>
      </c>
      <c r="X60" s="22">
        <f t="shared" si="115"/>
        <v>0.99274546252175122</v>
      </c>
      <c r="Y60" s="22">
        <f t="shared" si="115"/>
        <v>1.0485021477084486</v>
      </c>
      <c r="Z60" s="22">
        <f t="shared" si="115"/>
        <v>0.97123361970844424</v>
      </c>
      <c r="AA60" s="22">
        <f t="shared" si="115"/>
        <v>1.032911166588111</v>
      </c>
      <c r="AB60" s="22">
        <f t="shared" si="115"/>
        <v>1.0551964813203278</v>
      </c>
      <c r="AD60" s="83">
        <f t="shared" si="86"/>
        <v>46.285945794841041</v>
      </c>
      <c r="AE60" s="84">
        <f t="shared" si="87"/>
        <v>46.955659977209315</v>
      </c>
      <c r="AF60" s="84">
        <f t="shared" si="88"/>
        <v>93.241605772050349</v>
      </c>
      <c r="AH60" s="18" t="str">
        <f t="shared" si="89"/>
        <v xml:space="preserve"> 54 Textiles, printing and other skilled trades</v>
      </c>
      <c r="AI60" s="22">
        <f t="shared" si="116"/>
        <v>1.2927681866403387</v>
      </c>
      <c r="AJ60" s="22">
        <f t="shared" si="116"/>
        <v>1.2117814267440119</v>
      </c>
      <c r="AK60" s="22">
        <f t="shared" si="116"/>
        <v>1.2012516532002546</v>
      </c>
      <c r="AL60" s="22">
        <f t="shared" si="116"/>
        <v>1.2700605875151918</v>
      </c>
      <c r="AM60" s="22">
        <f t="shared" si="116"/>
        <v>1.2870567323222579</v>
      </c>
      <c r="AO60" s="83">
        <f t="shared" si="90"/>
        <v>24.723663995289439</v>
      </c>
      <c r="AP60" s="84">
        <f t="shared" si="91"/>
        <v>42.887357400481889</v>
      </c>
      <c r="AQ60" s="84">
        <f t="shared" si="92"/>
        <v>67.611021395771331</v>
      </c>
      <c r="AS60" s="18" t="str">
        <f t="shared" si="93"/>
        <v xml:space="preserve"> 54 Textiles, printing and other skilled trades</v>
      </c>
      <c r="AT60" s="22">
        <f t="shared" si="117"/>
        <v>1.6274238980723714</v>
      </c>
      <c r="AU60" s="22">
        <f t="shared" si="117"/>
        <v>1.6678825329563809</v>
      </c>
      <c r="AV60" s="22">
        <f t="shared" si="117"/>
        <v>1.5513116987740463</v>
      </c>
      <c r="AW60" s="22">
        <f t="shared" si="117"/>
        <v>1.5694938710848423</v>
      </c>
      <c r="AX60" s="22">
        <f t="shared" si="117"/>
        <v>1.5623972881563293</v>
      </c>
      <c r="AZ60" s="83">
        <f t="shared" si="94"/>
        <v>30.967776014471703</v>
      </c>
      <c r="BA60" s="84">
        <f t="shared" si="95"/>
        <v>41.919340808164982</v>
      </c>
      <c r="BB60" s="84">
        <f t="shared" si="96"/>
        <v>72.887116822636685</v>
      </c>
      <c r="BD60" s="18" t="str">
        <f t="shared" si="97"/>
        <v xml:space="preserve"> 54 Textiles, printing and other skilled trades</v>
      </c>
      <c r="BE60" s="22">
        <f t="shared" si="118"/>
        <v>3.237612914814064</v>
      </c>
      <c r="BF60" s="22">
        <f t="shared" si="118"/>
        <v>3.0095781378429627</v>
      </c>
      <c r="BG60" s="22">
        <f t="shared" si="118"/>
        <v>2.7885474438748159</v>
      </c>
      <c r="BH60" s="22">
        <f t="shared" si="118"/>
        <v>2.7878407388890465</v>
      </c>
      <c r="BI60" s="22">
        <f t="shared" si="118"/>
        <v>2.7435563224147397</v>
      </c>
      <c r="BK60" s="83">
        <f t="shared" si="98"/>
        <v>-8.0225840642083739</v>
      </c>
      <c r="BL60" s="84">
        <f t="shared" si="99"/>
        <v>25.810885712662074</v>
      </c>
      <c r="BM60" s="84">
        <f t="shared" si="100"/>
        <v>17.788301648453704</v>
      </c>
      <c r="BO60" s="18" t="str">
        <f t="shared" si="101"/>
        <v xml:space="preserve"> 54 Textiles, printing and other skilled trades</v>
      </c>
      <c r="BP60" s="22">
        <f t="shared" si="119"/>
        <v>3.1853920075258388</v>
      </c>
      <c r="BQ60" s="22">
        <f t="shared" si="119"/>
        <v>3.2961368209958977</v>
      </c>
      <c r="BR60" s="22">
        <f t="shared" si="119"/>
        <v>2.9170532362519999</v>
      </c>
      <c r="BS60" s="22">
        <f t="shared" si="119"/>
        <v>2.6013372080075396</v>
      </c>
      <c r="BT60" s="22">
        <f t="shared" si="119"/>
        <v>2.1877030129522876</v>
      </c>
      <c r="BV60" s="83">
        <f t="shared" si="102"/>
        <v>-35.864617913491351</v>
      </c>
      <c r="BW60" s="84">
        <f t="shared" si="103"/>
        <v>21.350984249339806</v>
      </c>
      <c r="BX60" s="84">
        <f t="shared" si="104"/>
        <v>-14.513633664151552</v>
      </c>
      <c r="BZ60" s="18" t="str">
        <f t="shared" si="105"/>
        <v xml:space="preserve"> 54 Textiles, printing and other skilled trades</v>
      </c>
      <c r="CA60" s="22">
        <f t="shared" si="120"/>
        <v>3.5326042217218712</v>
      </c>
      <c r="CB60" s="22">
        <f t="shared" si="120"/>
        <v>3.7937743460193198</v>
      </c>
      <c r="CC60" s="22">
        <f t="shared" si="120"/>
        <v>3.7997587706535905</v>
      </c>
      <c r="CD60" s="22">
        <f t="shared" si="120"/>
        <v>3.8862557472308086</v>
      </c>
      <c r="CE60" s="22">
        <f t="shared" si="120"/>
        <v>3.9998530982082161</v>
      </c>
      <c r="CF60" s="286"/>
      <c r="CG60" s="83">
        <f t="shared" si="106"/>
        <v>-31.01343222463391</v>
      </c>
      <c r="CH60" s="84">
        <f t="shared" si="107"/>
        <v>19.754284097986027</v>
      </c>
      <c r="CI60" s="84">
        <f t="shared" si="108"/>
        <v>-11.259148126647881</v>
      </c>
      <c r="CK60" s="18" t="str">
        <f t="shared" si="109"/>
        <v xml:space="preserve"> 54 Textiles, printing and other skilled trades</v>
      </c>
      <c r="CL60" s="22">
        <f t="shared" si="121"/>
        <v>4.3945868022329471</v>
      </c>
      <c r="CM60" s="22">
        <f t="shared" si="121"/>
        <v>4.492561424515471</v>
      </c>
      <c r="CN60" s="22">
        <f t="shared" si="121"/>
        <v>4.5383495129194964</v>
      </c>
      <c r="CO60" s="22">
        <f t="shared" si="121"/>
        <v>4.7108650197962492</v>
      </c>
      <c r="CP60" s="22">
        <f t="shared" si="121"/>
        <v>3.6820438323403035</v>
      </c>
      <c r="CR60" s="83">
        <f t="shared" si="110"/>
        <v>-56.203676666879907</v>
      </c>
      <c r="CS60" s="84">
        <f t="shared" si="111"/>
        <v>13.683186216555951</v>
      </c>
      <c r="CT60" s="84">
        <f t="shared" si="112"/>
        <v>-42.520490450323969</v>
      </c>
    </row>
    <row r="61" spans="1:98" x14ac:dyDescent="0.25">
      <c r="A61" s="18" t="str">
        <f t="shared" si="68"/>
        <v xml:space="preserve"> 61 Caring personal service occupations</v>
      </c>
      <c r="B61" s="22">
        <f t="shared" si="113"/>
        <v>0.61317711786418094</v>
      </c>
      <c r="C61" s="22">
        <f t="shared" si="113"/>
        <v>0.36696532980958602</v>
      </c>
      <c r="D61" s="22">
        <f t="shared" si="113"/>
        <v>0.3955298302006266</v>
      </c>
      <c r="E61" s="22">
        <f t="shared" si="113"/>
        <v>0.4464629362614484</v>
      </c>
      <c r="F61" s="22">
        <f t="shared" si="113"/>
        <v>0.48210046366998494</v>
      </c>
      <c r="H61" s="83">
        <f t="shared" si="78"/>
        <v>62.540775756377855</v>
      </c>
      <c r="I61" s="84">
        <f t="shared" si="79"/>
        <v>51.119243759627054</v>
      </c>
      <c r="J61" s="84">
        <f t="shared" si="80"/>
        <v>113.66001951600491</v>
      </c>
      <c r="L61" s="18" t="str">
        <f t="shared" si="81"/>
        <v xml:space="preserve"> 61 Caring personal service occupations</v>
      </c>
      <c r="M61" s="22">
        <f t="shared" si="114"/>
        <v>2.0923200443751422</v>
      </c>
      <c r="N61" s="22">
        <f t="shared" si="114"/>
        <v>2.3312143732598463</v>
      </c>
      <c r="O61" s="22">
        <f t="shared" si="114"/>
        <v>2.6877203611742786</v>
      </c>
      <c r="P61" s="22">
        <f t="shared" si="114"/>
        <v>3.099985328171444</v>
      </c>
      <c r="Q61" s="22">
        <f t="shared" si="114"/>
        <v>3.3994726927009533</v>
      </c>
      <c r="S61" s="83">
        <f t="shared" si="82"/>
        <v>67.227000588616079</v>
      </c>
      <c r="T61" s="84">
        <f t="shared" si="83"/>
        <v>54.991377355960701</v>
      </c>
      <c r="U61" s="84">
        <f t="shared" si="84"/>
        <v>122.21837794457677</v>
      </c>
      <c r="W61" s="18" t="str">
        <f t="shared" si="85"/>
        <v xml:space="preserve"> 61 Caring personal service occupations</v>
      </c>
      <c r="X61" s="22">
        <f t="shared" si="115"/>
        <v>3.2852156188908443</v>
      </c>
      <c r="Y61" s="22">
        <f t="shared" si="115"/>
        <v>3.7716623259516928</v>
      </c>
      <c r="Z61" s="22">
        <f t="shared" si="115"/>
        <v>4.4572884216206239</v>
      </c>
      <c r="AA61" s="22">
        <f t="shared" si="115"/>
        <v>5.0166502032574503</v>
      </c>
      <c r="AB61" s="22">
        <f t="shared" si="115"/>
        <v>5.3235960771803592</v>
      </c>
      <c r="AD61" s="83">
        <f t="shared" si="86"/>
        <v>60.815289172570019</v>
      </c>
      <c r="AE61" s="84">
        <f t="shared" si="87"/>
        <v>60.961460475417454</v>
      </c>
      <c r="AF61" s="84">
        <f t="shared" si="88"/>
        <v>121.77674964798749</v>
      </c>
      <c r="AH61" s="18" t="str">
        <f t="shared" si="89"/>
        <v xml:space="preserve"> 61 Caring personal service occupations</v>
      </c>
      <c r="AI61" s="22">
        <f t="shared" si="116"/>
        <v>9.1131098335052965</v>
      </c>
      <c r="AJ61" s="22">
        <f t="shared" si="116"/>
        <v>11.331749586441209</v>
      </c>
      <c r="AK61" s="22">
        <f t="shared" si="116"/>
        <v>13.420008593403123</v>
      </c>
      <c r="AL61" s="22">
        <f t="shared" si="116"/>
        <v>14.360201700725378</v>
      </c>
      <c r="AM61" s="22">
        <f t="shared" si="116"/>
        <v>14.958891834876958</v>
      </c>
      <c r="AO61" s="83">
        <f t="shared" si="90"/>
        <v>29.757298848029151</v>
      </c>
      <c r="AP61" s="84">
        <f t="shared" si="91"/>
        <v>48.065532062664445</v>
      </c>
      <c r="AQ61" s="84">
        <f t="shared" si="92"/>
        <v>77.822830910693597</v>
      </c>
      <c r="AS61" s="18" t="str">
        <f t="shared" si="93"/>
        <v xml:space="preserve"> 61 Caring personal service occupations</v>
      </c>
      <c r="AT61" s="22">
        <f t="shared" si="117"/>
        <v>5.2549770175894741</v>
      </c>
      <c r="AU61" s="22">
        <f t="shared" si="117"/>
        <v>6.7873140135592109</v>
      </c>
      <c r="AV61" s="22">
        <f t="shared" si="117"/>
        <v>7.7479378906903307</v>
      </c>
      <c r="AW61" s="22">
        <f t="shared" si="117"/>
        <v>8.2556552399534056</v>
      </c>
      <c r="AX61" s="22">
        <f t="shared" si="117"/>
        <v>8.5228137001463864</v>
      </c>
      <c r="AZ61" s="83">
        <f t="shared" si="94"/>
        <v>43.043757111663489</v>
      </c>
      <c r="BA61" s="84">
        <f t="shared" si="95"/>
        <v>52.364047669138735</v>
      </c>
      <c r="BB61" s="84">
        <f t="shared" si="96"/>
        <v>95.407804780802223</v>
      </c>
      <c r="BD61" s="18" t="str">
        <f t="shared" si="97"/>
        <v xml:space="preserve"> 61 Caring personal service occupations</v>
      </c>
      <c r="BE61" s="22">
        <f t="shared" si="118"/>
        <v>8.0319897574727595</v>
      </c>
      <c r="BF61" s="22">
        <f t="shared" si="118"/>
        <v>10.759520957401666</v>
      </c>
      <c r="BG61" s="22">
        <f t="shared" si="118"/>
        <v>12.953899836852337</v>
      </c>
      <c r="BH61" s="22">
        <f t="shared" si="118"/>
        <v>14.93723196420059</v>
      </c>
      <c r="BI61" s="22">
        <f t="shared" si="118"/>
        <v>17.027984296127638</v>
      </c>
      <c r="BK61" s="83">
        <f t="shared" si="98"/>
        <v>22.88760157777843</v>
      </c>
      <c r="BL61" s="84">
        <f t="shared" si="99"/>
        <v>42.749804630579213</v>
      </c>
      <c r="BM61" s="84">
        <f t="shared" si="100"/>
        <v>65.637406208357646</v>
      </c>
      <c r="BO61" s="18" t="str">
        <f t="shared" si="101"/>
        <v xml:space="preserve"> 61 Caring personal service occupations</v>
      </c>
      <c r="BP61" s="22">
        <f t="shared" si="119"/>
        <v>8.0859652274291118</v>
      </c>
      <c r="BQ61" s="22">
        <f t="shared" si="119"/>
        <v>9.0784623031484593</v>
      </c>
      <c r="BR61" s="22">
        <f t="shared" si="119"/>
        <v>10.045711390418903</v>
      </c>
      <c r="BS61" s="22">
        <f t="shared" si="119"/>
        <v>10.444298408555188</v>
      </c>
      <c r="BT61" s="22">
        <f t="shared" si="119"/>
        <v>11.120878049712921</v>
      </c>
      <c r="BV61" s="83">
        <f t="shared" si="102"/>
        <v>-5.3300695609273481</v>
      </c>
      <c r="BW61" s="84">
        <f t="shared" si="103"/>
        <v>32.474879384663559</v>
      </c>
      <c r="BX61" s="84">
        <f t="shared" si="104"/>
        <v>27.14480982373621</v>
      </c>
      <c r="BZ61" s="18" t="str">
        <f t="shared" si="105"/>
        <v xml:space="preserve"> 61 Caring personal service occupations</v>
      </c>
      <c r="CA61" s="22">
        <f t="shared" si="120"/>
        <v>6.0703414042379409</v>
      </c>
      <c r="CB61" s="22">
        <f t="shared" si="120"/>
        <v>5.066288414107845</v>
      </c>
      <c r="CC61" s="22">
        <f t="shared" si="120"/>
        <v>3.4753959980570772</v>
      </c>
      <c r="CD61" s="22">
        <f t="shared" si="120"/>
        <v>2.3327617591690286</v>
      </c>
      <c r="CE61" s="22">
        <f t="shared" si="120"/>
        <v>2.3038376071635542</v>
      </c>
      <c r="CF61" s="286"/>
      <c r="CG61" s="83">
        <f t="shared" si="106"/>
        <v>-56.556571712004619</v>
      </c>
      <c r="CH61" s="84">
        <f t="shared" si="107"/>
        <v>12.426090442632358</v>
      </c>
      <c r="CI61" s="84">
        <f t="shared" si="108"/>
        <v>-44.130481269372261</v>
      </c>
      <c r="CK61" s="18" t="str">
        <f t="shared" si="109"/>
        <v xml:space="preserve"> 61 Caring personal service occupations</v>
      </c>
      <c r="CL61" s="22">
        <f t="shared" si="121"/>
        <v>4.4380771661361997</v>
      </c>
      <c r="CM61" s="22">
        <f t="shared" si="121"/>
        <v>3.0754667265712996</v>
      </c>
      <c r="CN61" s="22">
        <f t="shared" si="121"/>
        <v>1.7119711667017097</v>
      </c>
      <c r="CO61" s="22">
        <f t="shared" si="121"/>
        <v>1.9923582211020208</v>
      </c>
      <c r="CP61" s="22">
        <f t="shared" si="121"/>
        <v>3.0741005908922157</v>
      </c>
      <c r="CR61" s="83">
        <f t="shared" si="110"/>
        <v>-3.0677559949258719</v>
      </c>
      <c r="CS61" s="84">
        <f t="shared" si="111"/>
        <v>16.349423419607508</v>
      </c>
      <c r="CT61" s="84">
        <f t="shared" si="112"/>
        <v>13.281667424681634</v>
      </c>
    </row>
    <row r="62" spans="1:98" x14ac:dyDescent="0.25">
      <c r="A62" s="18" t="str">
        <f t="shared" si="68"/>
        <v xml:space="preserve"> 62 Leisure, travel and related personal service occupations</v>
      </c>
      <c r="B62" s="22">
        <f t="shared" si="113"/>
        <v>8.8943527595333777E-2</v>
      </c>
      <c r="C62" s="22">
        <f t="shared" si="113"/>
        <v>0.18889805030517173</v>
      </c>
      <c r="D62" s="22">
        <f t="shared" si="113"/>
        <v>0.1755689108811328</v>
      </c>
      <c r="E62" s="22">
        <f t="shared" si="113"/>
        <v>0.18190554986575894</v>
      </c>
      <c r="F62" s="22">
        <f t="shared" si="113"/>
        <v>0.17693433705292633</v>
      </c>
      <c r="H62" s="83">
        <f t="shared" si="78"/>
        <v>34.390487686083013</v>
      </c>
      <c r="I62" s="84">
        <f t="shared" si="79"/>
        <v>45.25714876045609</v>
      </c>
      <c r="J62" s="84">
        <f t="shared" si="80"/>
        <v>79.647636446539096</v>
      </c>
      <c r="L62" s="18" t="str">
        <f t="shared" si="81"/>
        <v xml:space="preserve"> 62 Leisure, travel and related personal service occupations</v>
      </c>
      <c r="M62" s="22">
        <f t="shared" si="114"/>
        <v>0.36934843526621131</v>
      </c>
      <c r="N62" s="22">
        <f t="shared" si="114"/>
        <v>0.51749161313323644</v>
      </c>
      <c r="O62" s="22">
        <f t="shared" si="114"/>
        <v>0.47850588296958219</v>
      </c>
      <c r="P62" s="22">
        <f t="shared" si="114"/>
        <v>0.49242496767414057</v>
      </c>
      <c r="Q62" s="22">
        <f t="shared" si="114"/>
        <v>0.4896911376350615</v>
      </c>
      <c r="S62" s="83">
        <f t="shared" si="82"/>
        <v>35.305013029110142</v>
      </c>
      <c r="T62" s="84">
        <f t="shared" si="83"/>
        <v>46.006113601204028</v>
      </c>
      <c r="U62" s="84">
        <f t="shared" si="84"/>
        <v>81.311126630314178</v>
      </c>
      <c r="W62" s="18" t="str">
        <f t="shared" si="85"/>
        <v xml:space="preserve"> 62 Leisure, travel and related personal service occupations</v>
      </c>
      <c r="X62" s="22">
        <f t="shared" si="115"/>
        <v>0.87701654984391819</v>
      </c>
      <c r="Y62" s="22">
        <f t="shared" si="115"/>
        <v>1.0609593631658687</v>
      </c>
      <c r="Z62" s="22">
        <f t="shared" si="115"/>
        <v>1.1221137622394612</v>
      </c>
      <c r="AA62" s="22">
        <f t="shared" si="115"/>
        <v>1.2042640679497705</v>
      </c>
      <c r="AB62" s="22">
        <f t="shared" si="115"/>
        <v>1.2466007625644735</v>
      </c>
      <c r="AD62" s="83">
        <f t="shared" si="86"/>
        <v>49.583426127929442</v>
      </c>
      <c r="AE62" s="84">
        <f t="shared" si="87"/>
        <v>53.883443765926053</v>
      </c>
      <c r="AF62" s="84">
        <f t="shared" si="88"/>
        <v>103.46686989385549</v>
      </c>
      <c r="AH62" s="18" t="str">
        <f t="shared" si="89"/>
        <v xml:space="preserve"> 62 Leisure, travel and related personal service occupations</v>
      </c>
      <c r="AI62" s="22">
        <f t="shared" si="116"/>
        <v>1.4642738621043341</v>
      </c>
      <c r="AJ62" s="22">
        <f t="shared" si="116"/>
        <v>1.9204909554640766</v>
      </c>
      <c r="AK62" s="22">
        <f t="shared" si="116"/>
        <v>2.4033703752439695</v>
      </c>
      <c r="AL62" s="22">
        <f t="shared" si="116"/>
        <v>2.8507009150158704</v>
      </c>
      <c r="AM62" s="22">
        <f t="shared" si="116"/>
        <v>3.0956324081484574</v>
      </c>
      <c r="AO62" s="83">
        <f t="shared" si="90"/>
        <v>49.938737371481189</v>
      </c>
      <c r="AP62" s="84">
        <f t="shared" si="91"/>
        <v>55.725313185324154</v>
      </c>
      <c r="AQ62" s="84">
        <f t="shared" si="92"/>
        <v>105.66405055680535</v>
      </c>
      <c r="AS62" s="18" t="str">
        <f t="shared" si="93"/>
        <v xml:space="preserve"> 62 Leisure, travel and related personal service occupations</v>
      </c>
      <c r="AT62" s="22">
        <f t="shared" si="117"/>
        <v>1.9889307776165159</v>
      </c>
      <c r="AU62" s="22">
        <f t="shared" si="117"/>
        <v>2.6030738524106263</v>
      </c>
      <c r="AV62" s="22">
        <f t="shared" si="117"/>
        <v>3.1548106306410055</v>
      </c>
      <c r="AW62" s="22">
        <f t="shared" si="117"/>
        <v>3.6535082866109585</v>
      </c>
      <c r="AX62" s="22">
        <f t="shared" si="117"/>
        <v>3.9106216403772023</v>
      </c>
      <c r="AZ62" s="83">
        <f t="shared" si="94"/>
        <v>61.192394787774859</v>
      </c>
      <c r="BA62" s="84">
        <f t="shared" si="95"/>
        <v>58.386400766773939</v>
      </c>
      <c r="BB62" s="84">
        <f t="shared" si="96"/>
        <v>119.5787955545488</v>
      </c>
      <c r="BD62" s="18" t="str">
        <f t="shared" si="97"/>
        <v xml:space="preserve"> 62 Leisure, travel and related personal service occupations</v>
      </c>
      <c r="BE62" s="22">
        <f t="shared" si="118"/>
        <v>2.6110780806602634</v>
      </c>
      <c r="BF62" s="22">
        <f t="shared" si="118"/>
        <v>2.9169027453595406</v>
      </c>
      <c r="BG62" s="22">
        <f t="shared" si="118"/>
        <v>2.8704502392860509</v>
      </c>
      <c r="BH62" s="22">
        <f t="shared" si="118"/>
        <v>2.8201858404073494</v>
      </c>
      <c r="BI62" s="22">
        <f t="shared" si="118"/>
        <v>2.7047582422406213</v>
      </c>
      <c r="BK62" s="83">
        <f t="shared" si="98"/>
        <v>-11.910571562834656</v>
      </c>
      <c r="BL62" s="84">
        <f t="shared" si="99"/>
        <v>29.118541134316278</v>
      </c>
      <c r="BM62" s="84">
        <f t="shared" si="100"/>
        <v>17.207969571481623</v>
      </c>
      <c r="BO62" s="18" t="str">
        <f t="shared" si="101"/>
        <v xml:space="preserve"> 62 Leisure, travel and related personal service occupations</v>
      </c>
      <c r="BP62" s="22">
        <f t="shared" si="119"/>
        <v>3.3630303858954775</v>
      </c>
      <c r="BQ62" s="22">
        <f t="shared" si="119"/>
        <v>2.9028809235245951</v>
      </c>
      <c r="BR62" s="22">
        <f t="shared" si="119"/>
        <v>2.8654701094994848</v>
      </c>
      <c r="BS62" s="22">
        <f t="shared" si="119"/>
        <v>2.7836995947544199</v>
      </c>
      <c r="BT62" s="22">
        <f t="shared" si="119"/>
        <v>2.6303105500105306</v>
      </c>
      <c r="BV62" s="83">
        <f t="shared" si="102"/>
        <v>-21.500874095907744</v>
      </c>
      <c r="BW62" s="84">
        <f t="shared" si="103"/>
        <v>28.061724755456517</v>
      </c>
      <c r="BX62" s="84">
        <f t="shared" si="104"/>
        <v>6.5608506595487768</v>
      </c>
      <c r="BZ62" s="18" t="str">
        <f t="shared" si="105"/>
        <v xml:space="preserve"> 62 Leisure, travel and related personal service occupations</v>
      </c>
      <c r="CA62" s="22">
        <f t="shared" si="120"/>
        <v>2.1317597313039855</v>
      </c>
      <c r="CB62" s="22">
        <f t="shared" si="120"/>
        <v>2.5977617560734574</v>
      </c>
      <c r="CC62" s="22">
        <f t="shared" si="120"/>
        <v>2.8324532366077531</v>
      </c>
      <c r="CD62" s="22">
        <f t="shared" si="120"/>
        <v>2.983236486679758</v>
      </c>
      <c r="CE62" s="22">
        <f t="shared" si="120"/>
        <v>3.2228922328176166</v>
      </c>
      <c r="CF62" s="286"/>
      <c r="CG62" s="83">
        <f t="shared" si="106"/>
        <v>-25.430787183774218</v>
      </c>
      <c r="CH62" s="84">
        <f t="shared" si="107"/>
        <v>23.814470720624847</v>
      </c>
      <c r="CI62" s="84">
        <f t="shared" si="108"/>
        <v>-1.6163164631493723</v>
      </c>
      <c r="CK62" s="18" t="str">
        <f t="shared" si="109"/>
        <v xml:space="preserve"> 62 Leisure, travel and related personal service occupations</v>
      </c>
      <c r="CL62" s="22">
        <f t="shared" si="121"/>
        <v>2.5027706821851763</v>
      </c>
      <c r="CM62" s="22">
        <f t="shared" si="121"/>
        <v>2.6685430701056259</v>
      </c>
      <c r="CN62" s="22">
        <f t="shared" si="121"/>
        <v>2.7812203678771708</v>
      </c>
      <c r="CO62" s="22">
        <f t="shared" si="121"/>
        <v>2.8193235661579643</v>
      </c>
      <c r="CP62" s="22">
        <f t="shared" si="121"/>
        <v>2.8616010575905246</v>
      </c>
      <c r="CR62" s="83">
        <f t="shared" si="110"/>
        <v>-44.458152095642859</v>
      </c>
      <c r="CS62" s="84">
        <f t="shared" si="111"/>
        <v>15.652057488354895</v>
      </c>
      <c r="CT62" s="84">
        <f t="shared" si="112"/>
        <v>-28.806094607287967</v>
      </c>
    </row>
    <row r="63" spans="1:98" x14ac:dyDescent="0.25">
      <c r="A63" s="18" t="str">
        <f t="shared" si="68"/>
        <v xml:space="preserve"> 71 Sales occupations</v>
      </c>
      <c r="B63" s="22">
        <f t="shared" si="113"/>
        <v>0.47430913469009772</v>
      </c>
      <c r="C63" s="22">
        <f t="shared" si="113"/>
        <v>0.84230447776823714</v>
      </c>
      <c r="D63" s="22">
        <f t="shared" si="113"/>
        <v>0.83852758986733189</v>
      </c>
      <c r="E63" s="22">
        <f t="shared" si="113"/>
        <v>0.86063844307644644</v>
      </c>
      <c r="F63" s="22">
        <f t="shared" si="113"/>
        <v>0.84835797277856595</v>
      </c>
      <c r="H63" s="83">
        <f t="shared" si="78"/>
        <v>34.916731319538755</v>
      </c>
      <c r="I63" s="84">
        <f t="shared" si="79"/>
        <v>41.367619548274078</v>
      </c>
      <c r="J63" s="84">
        <f t="shared" si="80"/>
        <v>76.284350867812819</v>
      </c>
      <c r="L63" s="18" t="str">
        <f t="shared" si="81"/>
        <v xml:space="preserve"> 71 Sales occupations</v>
      </c>
      <c r="M63" s="22">
        <f t="shared" si="114"/>
        <v>1.9140744838000199</v>
      </c>
      <c r="N63" s="22">
        <f t="shared" si="114"/>
        <v>1.8489107882163944</v>
      </c>
      <c r="O63" s="22">
        <f t="shared" si="114"/>
        <v>1.819989416766957</v>
      </c>
      <c r="P63" s="22">
        <f t="shared" si="114"/>
        <v>1.962488450126834</v>
      </c>
      <c r="Q63" s="22">
        <f t="shared" si="114"/>
        <v>2.0895809723299226</v>
      </c>
      <c r="S63" s="83">
        <f t="shared" si="82"/>
        <v>51.799124605314731</v>
      </c>
      <c r="T63" s="84">
        <f t="shared" si="83"/>
        <v>42.276876375164449</v>
      </c>
      <c r="U63" s="84">
        <f t="shared" si="84"/>
        <v>94.076000980479151</v>
      </c>
      <c r="W63" s="18" t="str">
        <f t="shared" si="85"/>
        <v xml:space="preserve"> 71 Sales occupations</v>
      </c>
      <c r="X63" s="22">
        <f t="shared" si="115"/>
        <v>3.027860501502897</v>
      </c>
      <c r="Y63" s="22">
        <f t="shared" si="115"/>
        <v>3.9290411779100114</v>
      </c>
      <c r="Z63" s="22">
        <f t="shared" si="115"/>
        <v>3.950072052162954</v>
      </c>
      <c r="AA63" s="22">
        <f t="shared" si="115"/>
        <v>4.3283358824506335</v>
      </c>
      <c r="AB63" s="22">
        <f t="shared" si="115"/>
        <v>4.6019142211181228</v>
      </c>
      <c r="AD63" s="83">
        <f t="shared" si="86"/>
        <v>56.865153419809843</v>
      </c>
      <c r="AE63" s="84">
        <f t="shared" si="87"/>
        <v>49.95522759228313</v>
      </c>
      <c r="AF63" s="84">
        <f t="shared" si="88"/>
        <v>106.82038101209297</v>
      </c>
      <c r="AH63" s="18" t="str">
        <f t="shared" si="89"/>
        <v xml:space="preserve"> 71 Sales occupations</v>
      </c>
      <c r="AI63" s="22">
        <f t="shared" si="116"/>
        <v>3.2813973452894349</v>
      </c>
      <c r="AJ63" s="22">
        <f t="shared" si="116"/>
        <v>4.1521152037228832</v>
      </c>
      <c r="AK63" s="22">
        <f t="shared" si="116"/>
        <v>4.5084430319964826</v>
      </c>
      <c r="AL63" s="22">
        <f t="shared" si="116"/>
        <v>5.0928401272694916</v>
      </c>
      <c r="AM63" s="22">
        <f t="shared" si="116"/>
        <v>5.5289297308956273</v>
      </c>
      <c r="AO63" s="83">
        <f t="shared" si="90"/>
        <v>42.757736157795549</v>
      </c>
      <c r="AP63" s="84">
        <f t="shared" si="91"/>
        <v>47.765073138414692</v>
      </c>
      <c r="AQ63" s="84">
        <f t="shared" si="92"/>
        <v>90.522809296210255</v>
      </c>
      <c r="AS63" s="18" t="str">
        <f t="shared" si="93"/>
        <v xml:space="preserve"> 71 Sales occupations</v>
      </c>
      <c r="AT63" s="22">
        <f t="shared" si="117"/>
        <v>4.0770276701533072</v>
      </c>
      <c r="AU63" s="22">
        <f t="shared" si="117"/>
        <v>4.1259120919947607</v>
      </c>
      <c r="AV63" s="22">
        <f t="shared" si="117"/>
        <v>3.7513701174523471</v>
      </c>
      <c r="AW63" s="22">
        <f t="shared" si="117"/>
        <v>3.6789565084838589</v>
      </c>
      <c r="AX63" s="22">
        <f t="shared" si="117"/>
        <v>3.724607521874272</v>
      </c>
      <c r="AZ63" s="83">
        <f t="shared" si="94"/>
        <v>29.110821748317267</v>
      </c>
      <c r="BA63" s="84">
        <f t="shared" si="95"/>
        <v>39.074670625334775</v>
      </c>
      <c r="BB63" s="84">
        <f t="shared" si="96"/>
        <v>68.185492373652039</v>
      </c>
      <c r="BD63" s="18" t="str">
        <f t="shared" si="97"/>
        <v xml:space="preserve"> 71 Sales occupations</v>
      </c>
      <c r="BE63" s="22">
        <f t="shared" si="118"/>
        <v>8.2822809152178465</v>
      </c>
      <c r="BF63" s="22">
        <f t="shared" si="118"/>
        <v>8.686879007812589</v>
      </c>
      <c r="BG63" s="22">
        <f t="shared" si="118"/>
        <v>8.3040918752804789</v>
      </c>
      <c r="BH63" s="22">
        <f t="shared" si="118"/>
        <v>8.6359426477622492</v>
      </c>
      <c r="BI63" s="22">
        <f t="shared" si="118"/>
        <v>8.7547370520149403</v>
      </c>
      <c r="BK63" s="83">
        <f t="shared" si="98"/>
        <v>-1.4409921793436373</v>
      </c>
      <c r="BL63" s="84">
        <f t="shared" si="99"/>
        <v>31.037851344745071</v>
      </c>
      <c r="BM63" s="84">
        <f t="shared" si="100"/>
        <v>29.596859165401433</v>
      </c>
      <c r="BO63" s="18" t="str">
        <f t="shared" si="101"/>
        <v xml:space="preserve"> 71 Sales occupations</v>
      </c>
      <c r="BP63" s="22">
        <f t="shared" si="119"/>
        <v>10.075577925475036</v>
      </c>
      <c r="BQ63" s="22">
        <f t="shared" si="119"/>
        <v>9.4945202666230148</v>
      </c>
      <c r="BR63" s="22">
        <f t="shared" si="119"/>
        <v>8.6607694787187217</v>
      </c>
      <c r="BS63" s="22">
        <f t="shared" si="119"/>
        <v>8.3707526407309825</v>
      </c>
      <c r="BT63" s="22">
        <f t="shared" si="119"/>
        <v>7.9325794667009895</v>
      </c>
      <c r="BV63" s="83">
        <f t="shared" si="102"/>
        <v>-21.672975512672199</v>
      </c>
      <c r="BW63" s="84">
        <f t="shared" si="103"/>
        <v>27.657703480710065</v>
      </c>
      <c r="BX63" s="84">
        <f t="shared" si="104"/>
        <v>5.984727968037868</v>
      </c>
      <c r="BZ63" s="18" t="str">
        <f t="shared" si="105"/>
        <v xml:space="preserve"> 71 Sales occupations</v>
      </c>
      <c r="CA63" s="22">
        <f t="shared" si="120"/>
        <v>8.7608126904845118</v>
      </c>
      <c r="CB63" s="22">
        <f t="shared" si="120"/>
        <v>9.304398197217969</v>
      </c>
      <c r="CC63" s="22">
        <f t="shared" si="120"/>
        <v>8.9616150733418181</v>
      </c>
      <c r="CD63" s="22">
        <f t="shared" si="120"/>
        <v>8.6072149567217391</v>
      </c>
      <c r="CE63" s="22">
        <f t="shared" si="120"/>
        <v>7.6401238601167947</v>
      </c>
      <c r="CF63" s="286"/>
      <c r="CG63" s="83">
        <f t="shared" si="106"/>
        <v>-44.128460692913357</v>
      </c>
      <c r="CH63" s="84">
        <f t="shared" si="107"/>
        <v>19.270814868246195</v>
      </c>
      <c r="CI63" s="84">
        <f t="shared" si="108"/>
        <v>-24.857645824667163</v>
      </c>
      <c r="CK63" s="18" t="str">
        <f t="shared" si="109"/>
        <v xml:space="preserve"> 71 Sales occupations</v>
      </c>
      <c r="CL63" s="22">
        <f t="shared" si="121"/>
        <v>10.00177193878357</v>
      </c>
      <c r="CM63" s="22">
        <f t="shared" si="121"/>
        <v>10.577722174035934</v>
      </c>
      <c r="CN63" s="22">
        <f t="shared" si="121"/>
        <v>10.39865757274457</v>
      </c>
      <c r="CO63" s="22">
        <f t="shared" si="121"/>
        <v>8.708426812638578</v>
      </c>
      <c r="CP63" s="22">
        <f t="shared" si="121"/>
        <v>8.6097824852037359</v>
      </c>
      <c r="CR63" s="83">
        <f t="shared" si="110"/>
        <v>-55.304732487455787</v>
      </c>
      <c r="CS63" s="84">
        <f t="shared" si="111"/>
        <v>11.609368258451992</v>
      </c>
      <c r="CT63" s="84">
        <f t="shared" si="112"/>
        <v>-43.6953642290038</v>
      </c>
    </row>
    <row r="64" spans="1:98" x14ac:dyDescent="0.25">
      <c r="A64" s="18" t="str">
        <f t="shared" si="68"/>
        <v xml:space="preserve"> 72 Customer service occupations</v>
      </c>
      <c r="B64" s="22">
        <f t="shared" ref="B64:F68" si="122">B28/B$34*100</f>
        <v>0.4076798578968443</v>
      </c>
      <c r="C64" s="22">
        <f t="shared" si="122"/>
        <v>0.48328201735541299</v>
      </c>
      <c r="D64" s="22">
        <f t="shared" si="122"/>
        <v>0.50597554525202248</v>
      </c>
      <c r="E64" s="22">
        <f t="shared" si="122"/>
        <v>0.55242575615227962</v>
      </c>
      <c r="F64" s="22">
        <f t="shared" si="122"/>
        <v>0.5734739381287729</v>
      </c>
      <c r="H64" s="83">
        <f t="shared" si="78"/>
        <v>51.143049590311151</v>
      </c>
      <c r="I64" s="84">
        <f t="shared" si="79"/>
        <v>39.729759298364044</v>
      </c>
      <c r="J64" s="84">
        <f t="shared" si="80"/>
        <v>90.872808888675209</v>
      </c>
      <c r="L64" s="18" t="str">
        <f t="shared" si="81"/>
        <v xml:space="preserve"> 72 Customer service occupations</v>
      </c>
      <c r="M64" s="22">
        <f t="shared" ref="M64:Q68" si="123">M28/M$34*100</f>
        <v>0.83684576445453118</v>
      </c>
      <c r="N64" s="22">
        <f t="shared" si="123"/>
        <v>0.80931517754382154</v>
      </c>
      <c r="O64" s="22">
        <f t="shared" si="123"/>
        <v>0.85841881329512038</v>
      </c>
      <c r="P64" s="22">
        <f t="shared" si="123"/>
        <v>0.94564067344758973</v>
      </c>
      <c r="Q64" s="22">
        <f t="shared" si="123"/>
        <v>0.9883853625997826</v>
      </c>
      <c r="S64" s="83">
        <f t="shared" si="82"/>
        <v>52.232017379545084</v>
      </c>
      <c r="T64" s="84">
        <f t="shared" si="83"/>
        <v>43.24615590727511</v>
      </c>
      <c r="U64" s="84">
        <f t="shared" si="84"/>
        <v>95.478173286820194</v>
      </c>
      <c r="W64" s="18" t="str">
        <f t="shared" si="85"/>
        <v xml:space="preserve"> 72 Customer service occupations</v>
      </c>
      <c r="X64" s="22">
        <f t="shared" ref="X64:AB68" si="124">X28/X$34*100</f>
        <v>1.5817768591093917</v>
      </c>
      <c r="Y64" s="22">
        <f t="shared" si="124"/>
        <v>1.5423780856814735</v>
      </c>
      <c r="Z64" s="22">
        <f t="shared" si="124"/>
        <v>1.717106206160117</v>
      </c>
      <c r="AA64" s="22">
        <f t="shared" si="124"/>
        <v>1.8559196624820518</v>
      </c>
      <c r="AB64" s="22">
        <f t="shared" si="124"/>
        <v>1.9297471178956755</v>
      </c>
      <c r="AD64" s="83">
        <f t="shared" si="86"/>
        <v>51.319960751164608</v>
      </c>
      <c r="AE64" s="84">
        <f t="shared" si="87"/>
        <v>45.654538501567671</v>
      </c>
      <c r="AF64" s="84">
        <f t="shared" si="88"/>
        <v>96.974499252732286</v>
      </c>
      <c r="AH64" s="18" t="str">
        <f t="shared" si="89"/>
        <v xml:space="preserve"> 72 Customer service occupations</v>
      </c>
      <c r="AI64" s="22">
        <f t="shared" ref="AI64:AM68" si="125">AI28/AI$34*100</f>
        <v>1.1394613374415212</v>
      </c>
      <c r="AJ64" s="22">
        <f t="shared" si="125"/>
        <v>1.3672414458634117</v>
      </c>
      <c r="AK64" s="22">
        <f t="shared" si="125"/>
        <v>1.7427036037227912</v>
      </c>
      <c r="AL64" s="22">
        <f t="shared" si="125"/>
        <v>2.1824593240955368</v>
      </c>
      <c r="AM64" s="22">
        <f t="shared" si="125"/>
        <v>2.4349531873113457</v>
      </c>
      <c r="AO64" s="83">
        <f t="shared" si="90"/>
        <v>62.649321238351988</v>
      </c>
      <c r="AP64" s="84">
        <f t="shared" si="91"/>
        <v>50.929315741862034</v>
      </c>
      <c r="AQ64" s="84">
        <f t="shared" si="92"/>
        <v>113.57863698021401</v>
      </c>
      <c r="AS64" s="18" t="str">
        <f t="shared" si="93"/>
        <v xml:space="preserve"> 72 Customer service occupations</v>
      </c>
      <c r="AT64" s="22">
        <f t="shared" ref="AT64:AX68" si="126">AT28/AT$34*100</f>
        <v>1.9952049808543684</v>
      </c>
      <c r="AU64" s="22">
        <f t="shared" si="126"/>
        <v>2.2987874600273708</v>
      </c>
      <c r="AV64" s="22">
        <f t="shared" si="126"/>
        <v>2.5376206894836701</v>
      </c>
      <c r="AW64" s="22">
        <f t="shared" si="126"/>
        <v>2.6706269402159202</v>
      </c>
      <c r="AX64" s="22">
        <f t="shared" si="126"/>
        <v>2.7084979409592069</v>
      </c>
      <c r="AZ64" s="83">
        <f t="shared" si="94"/>
        <v>38.795008286034367</v>
      </c>
      <c r="BA64" s="84">
        <f t="shared" si="95"/>
        <v>40.514898684160578</v>
      </c>
      <c r="BB64" s="84">
        <f t="shared" si="96"/>
        <v>79.309906970194945</v>
      </c>
      <c r="BD64" s="18" t="str">
        <f t="shared" si="97"/>
        <v xml:space="preserve"> 72 Customer service occupations</v>
      </c>
      <c r="BE64" s="22">
        <f t="shared" ref="BE64:BI68" si="127">BE28/BE$34*100</f>
        <v>2.0054856117749353</v>
      </c>
      <c r="BF64" s="22">
        <f t="shared" si="127"/>
        <v>2.2742849934581151</v>
      </c>
      <c r="BG64" s="22">
        <f t="shared" si="127"/>
        <v>2.4153802137021341</v>
      </c>
      <c r="BH64" s="22">
        <f t="shared" si="127"/>
        <v>2.5178986176449452</v>
      </c>
      <c r="BI64" s="22">
        <f t="shared" si="127"/>
        <v>2.5741142168481108</v>
      </c>
      <c r="BK64" s="83">
        <f t="shared" si="98"/>
        <v>-0.37056426342745963</v>
      </c>
      <c r="BL64" s="84">
        <f t="shared" si="99"/>
        <v>29.448010269915653</v>
      </c>
      <c r="BM64" s="84">
        <f t="shared" si="100"/>
        <v>29.077446006488195</v>
      </c>
      <c r="BO64" s="18" t="str">
        <f t="shared" si="101"/>
        <v xml:space="preserve"> 72 Customer service occupations</v>
      </c>
      <c r="BP64" s="22">
        <f t="shared" ref="BP64:BT68" si="128">BP28/BP$34*100</f>
        <v>1.9264506377951445</v>
      </c>
      <c r="BQ64" s="22">
        <f t="shared" si="128"/>
        <v>2.3392965630186189</v>
      </c>
      <c r="BR64" s="22">
        <f t="shared" si="128"/>
        <v>2.6252849088960413</v>
      </c>
      <c r="BS64" s="22">
        <f t="shared" si="128"/>
        <v>2.8832694547643567</v>
      </c>
      <c r="BT64" s="22">
        <f t="shared" si="128"/>
        <v>3.1825373993493757</v>
      </c>
      <c r="BV64" s="83">
        <f t="shared" si="102"/>
        <v>3.6694394784927411</v>
      </c>
      <c r="BW64" s="84">
        <f t="shared" si="103"/>
        <v>31.612784402924245</v>
      </c>
      <c r="BX64" s="84">
        <f t="shared" si="104"/>
        <v>35.282223881416982</v>
      </c>
      <c r="BZ64" s="18" t="str">
        <f t="shared" si="105"/>
        <v xml:space="preserve"> 72 Customer service occupations</v>
      </c>
      <c r="CA64" s="22">
        <f t="shared" ref="CA64:CE68" si="129">CA28/CA$34*100</f>
        <v>1.7178045142964666</v>
      </c>
      <c r="CB64" s="22">
        <f t="shared" si="129"/>
        <v>1.8798191093668024</v>
      </c>
      <c r="CC64" s="22">
        <f t="shared" si="129"/>
        <v>1.9987039633814634</v>
      </c>
      <c r="CD64" s="22">
        <f t="shared" si="129"/>
        <v>1.9738839906366052</v>
      </c>
      <c r="CE64" s="22">
        <f t="shared" si="129"/>
        <v>2.0931359070966375</v>
      </c>
      <c r="CF64" s="286"/>
      <c r="CG64" s="83">
        <f t="shared" si="106"/>
        <v>-31.368186058470759</v>
      </c>
      <c r="CH64" s="84">
        <f t="shared" si="107"/>
        <v>18.270066351038839</v>
      </c>
      <c r="CI64" s="84">
        <f t="shared" si="108"/>
        <v>-13.098119707431922</v>
      </c>
      <c r="CK64" s="18" t="str">
        <f t="shared" si="109"/>
        <v xml:space="preserve"> 72 Customer service occupations</v>
      </c>
      <c r="CL64" s="22">
        <f t="shared" ref="CL64:CP68" si="130">CL28/CL$34*100</f>
        <v>1.0931864234247346</v>
      </c>
      <c r="CM64" s="22">
        <f t="shared" si="130"/>
        <v>1.2270395212030141</v>
      </c>
      <c r="CN64" s="22">
        <f t="shared" si="130"/>
        <v>1.7124039621320613</v>
      </c>
      <c r="CO64" s="22">
        <f t="shared" si="130"/>
        <v>2.3247497710052936</v>
      </c>
      <c r="CP64" s="22">
        <f t="shared" si="130"/>
        <v>3.7395674184655845</v>
      </c>
      <c r="CR64" s="83">
        <f t="shared" si="110"/>
        <v>17.885877795027415</v>
      </c>
      <c r="CS64" s="84">
        <f t="shared" si="111"/>
        <v>22.693594080441432</v>
      </c>
      <c r="CT64" s="84">
        <f t="shared" si="112"/>
        <v>40.579471875468847</v>
      </c>
    </row>
    <row r="65" spans="1:98" x14ac:dyDescent="0.25">
      <c r="A65" s="18" t="str">
        <f t="shared" si="68"/>
        <v xml:space="preserve"> 81 Process, plant and machine operatives</v>
      </c>
      <c r="B65" s="22">
        <f t="shared" si="122"/>
        <v>1.5516903140885522E-2</v>
      </c>
      <c r="C65" s="22">
        <f t="shared" si="122"/>
        <v>0.34476137916512467</v>
      </c>
      <c r="D65" s="22">
        <f t="shared" si="122"/>
        <v>0.33328643191897001</v>
      </c>
      <c r="E65" s="22">
        <f t="shared" si="122"/>
        <v>0.35160000822412774</v>
      </c>
      <c r="F65" s="22">
        <f t="shared" si="122"/>
        <v>0.37911170318028559</v>
      </c>
      <c r="H65" s="83">
        <f t="shared" si="78"/>
        <v>51.688822200946362</v>
      </c>
      <c r="I65" s="84">
        <f t="shared" si="79"/>
        <v>43.53535791951434</v>
      </c>
      <c r="J65" s="84">
        <f t="shared" si="80"/>
        <v>95.224180120460716</v>
      </c>
      <c r="L65" s="18" t="str">
        <f t="shared" si="81"/>
        <v xml:space="preserve"> 81 Process, plant and machine operatives</v>
      </c>
      <c r="M65" s="22">
        <f t="shared" si="123"/>
        <v>0.4209660870993075</v>
      </c>
      <c r="N65" s="22">
        <f t="shared" si="123"/>
        <v>0.37949557042556215</v>
      </c>
      <c r="O65" s="22">
        <f t="shared" si="123"/>
        <v>0.34395646380735895</v>
      </c>
      <c r="P65" s="22">
        <f t="shared" si="123"/>
        <v>0.34413430881366341</v>
      </c>
      <c r="Q65" s="22">
        <f t="shared" si="123"/>
        <v>0.35849540467785257</v>
      </c>
      <c r="S65" s="83">
        <f t="shared" si="82"/>
        <v>37.803117435485809</v>
      </c>
      <c r="T65" s="84">
        <f t="shared" si="83"/>
        <v>39.23368706412306</v>
      </c>
      <c r="U65" s="84">
        <f t="shared" si="84"/>
        <v>77.036804499608863</v>
      </c>
      <c r="W65" s="18" t="str">
        <f t="shared" si="85"/>
        <v xml:space="preserve"> 81 Process, plant and machine operatives</v>
      </c>
      <c r="X65" s="22">
        <f t="shared" si="124"/>
        <v>0.45616472251255219</v>
      </c>
      <c r="Y65" s="22">
        <f t="shared" si="124"/>
        <v>0.51646264316786383</v>
      </c>
      <c r="Z65" s="22">
        <f t="shared" si="124"/>
        <v>0.47075457309140822</v>
      </c>
      <c r="AA65" s="22">
        <f t="shared" si="124"/>
        <v>0.45962915881678529</v>
      </c>
      <c r="AB65" s="22">
        <f t="shared" si="124"/>
        <v>0.46432321525797804</v>
      </c>
      <c r="AD65" s="83">
        <f t="shared" si="86"/>
        <v>32.806345870839742</v>
      </c>
      <c r="AE65" s="84">
        <f t="shared" si="87"/>
        <v>40.579639105536813</v>
      </c>
      <c r="AF65" s="84">
        <f t="shared" si="88"/>
        <v>73.385984976376562</v>
      </c>
      <c r="AH65" s="18" t="str">
        <f t="shared" si="89"/>
        <v xml:space="preserve"> 81 Process, plant and machine operatives</v>
      </c>
      <c r="AI65" s="22">
        <f t="shared" si="125"/>
        <v>0.62686810865223852</v>
      </c>
      <c r="AJ65" s="22">
        <f t="shared" si="125"/>
        <v>0.71190553243860089</v>
      </c>
      <c r="AK65" s="22">
        <f t="shared" si="125"/>
        <v>0.74662437601778242</v>
      </c>
      <c r="AL65" s="22">
        <f t="shared" si="125"/>
        <v>0.80804058296626502</v>
      </c>
      <c r="AM65" s="22">
        <f t="shared" si="125"/>
        <v>0.87070803989306755</v>
      </c>
      <c r="AO65" s="83">
        <f t="shared" si="90"/>
        <v>35.754913751597961</v>
      </c>
      <c r="AP65" s="84">
        <f t="shared" si="91"/>
        <v>39.236665836443294</v>
      </c>
      <c r="AQ65" s="84">
        <f t="shared" si="92"/>
        <v>74.991579588041262</v>
      </c>
      <c r="AS65" s="18" t="str">
        <f t="shared" si="93"/>
        <v xml:space="preserve"> 81 Process, plant and machine operatives</v>
      </c>
      <c r="AT65" s="22">
        <f t="shared" si="126"/>
        <v>1.7206161373007061</v>
      </c>
      <c r="AU65" s="22">
        <f t="shared" si="126"/>
        <v>1.8581797425435662</v>
      </c>
      <c r="AV65" s="22">
        <f t="shared" si="126"/>
        <v>1.8632019702171001</v>
      </c>
      <c r="AW65" s="22">
        <f t="shared" si="126"/>
        <v>1.9431546132350108</v>
      </c>
      <c r="AX65" s="22">
        <f t="shared" si="126"/>
        <v>2.0293497739308295</v>
      </c>
      <c r="AZ65" s="83">
        <f t="shared" si="94"/>
        <v>41.634487879286795</v>
      </c>
      <c r="BA65" s="84">
        <f t="shared" si="95"/>
        <v>40.007094779863486</v>
      </c>
      <c r="BB65" s="84">
        <f t="shared" si="96"/>
        <v>81.641582659150274</v>
      </c>
      <c r="BD65" s="18" t="str">
        <f t="shared" si="97"/>
        <v xml:space="preserve"> 81 Process, plant and machine operatives</v>
      </c>
      <c r="BE65" s="22">
        <f t="shared" si="127"/>
        <v>3.2914013983428942</v>
      </c>
      <c r="BF65" s="22">
        <f t="shared" si="127"/>
        <v>3.1963144286786198</v>
      </c>
      <c r="BG65" s="22">
        <f t="shared" si="127"/>
        <v>3.1384539462231</v>
      </c>
      <c r="BH65" s="22">
        <f t="shared" si="127"/>
        <v>3.0502832711382033</v>
      </c>
      <c r="BI65" s="22">
        <f t="shared" si="127"/>
        <v>3.0348240719283202</v>
      </c>
      <c r="BK65" s="83">
        <f t="shared" si="98"/>
        <v>-9.6011050213619011</v>
      </c>
      <c r="BL65" s="84">
        <f t="shared" si="99"/>
        <v>23.32696882229779</v>
      </c>
      <c r="BM65" s="84">
        <f t="shared" si="100"/>
        <v>13.725863800935887</v>
      </c>
      <c r="BO65" s="18" t="str">
        <f t="shared" si="101"/>
        <v xml:space="preserve"> 81 Process, plant and machine operatives</v>
      </c>
      <c r="BP65" s="22">
        <f t="shared" si="128"/>
        <v>3.8282555402401588</v>
      </c>
      <c r="BQ65" s="22">
        <f t="shared" si="128"/>
        <v>4.1946017102663564</v>
      </c>
      <c r="BR65" s="22">
        <f t="shared" si="128"/>
        <v>4.0843875088354524</v>
      </c>
      <c r="BS65" s="22">
        <f t="shared" si="128"/>
        <v>4.0612622810054333</v>
      </c>
      <c r="BT65" s="22">
        <f t="shared" si="128"/>
        <v>4.137708965012302</v>
      </c>
      <c r="BV65" s="83">
        <f t="shared" si="102"/>
        <v>-13.366336972333889</v>
      </c>
      <c r="BW65" s="84">
        <f t="shared" si="103"/>
        <v>24.797165895632087</v>
      </c>
      <c r="BX65" s="84">
        <f t="shared" si="104"/>
        <v>11.430828923298199</v>
      </c>
      <c r="BZ65" s="18" t="str">
        <f t="shared" si="105"/>
        <v xml:space="preserve"> 81 Process, plant and machine operatives</v>
      </c>
      <c r="CA65" s="22">
        <f t="shared" si="129"/>
        <v>5.4930515687012527</v>
      </c>
      <c r="CB65" s="22">
        <f t="shared" si="129"/>
        <v>5.4090097916152917</v>
      </c>
      <c r="CC65" s="22">
        <f t="shared" si="129"/>
        <v>4.9249248828211165</v>
      </c>
      <c r="CD65" s="22">
        <f t="shared" si="129"/>
        <v>4.6493268860673069</v>
      </c>
      <c r="CE65" s="22">
        <f t="shared" si="129"/>
        <v>4.0236837933536869</v>
      </c>
      <c r="CF65" s="286"/>
      <c r="CG65" s="83">
        <f t="shared" si="106"/>
        <v>-46.457239771290517</v>
      </c>
      <c r="CH65" s="84">
        <f t="shared" si="107"/>
        <v>17.855588698905674</v>
      </c>
      <c r="CI65" s="84">
        <f t="shared" si="108"/>
        <v>-28.601651072384843</v>
      </c>
      <c r="CK65" s="18" t="str">
        <f t="shared" si="109"/>
        <v xml:space="preserve"> 81 Process, plant and machine operatives</v>
      </c>
      <c r="CL65" s="22">
        <f t="shared" si="130"/>
        <v>8.2756999072835722</v>
      </c>
      <c r="CM65" s="22">
        <f t="shared" si="130"/>
        <v>7.521114063655709</v>
      </c>
      <c r="CN65" s="22">
        <f t="shared" si="130"/>
        <v>6.2128938037380204</v>
      </c>
      <c r="CO65" s="22">
        <f t="shared" si="130"/>
        <v>4.8643129054358045</v>
      </c>
      <c r="CP65" s="22">
        <f t="shared" si="130"/>
        <v>2.5499238121615111</v>
      </c>
      <c r="CR65" s="83">
        <f t="shared" si="110"/>
        <v>-77.844583811102964</v>
      </c>
      <c r="CS65" s="84">
        <f t="shared" si="111"/>
        <v>9.2940868809463542</v>
      </c>
      <c r="CT65" s="84">
        <f t="shared" si="112"/>
        <v>-68.550496930156598</v>
      </c>
    </row>
    <row r="66" spans="1:98" x14ac:dyDescent="0.25">
      <c r="A66" s="18" t="str">
        <f t="shared" si="68"/>
        <v xml:space="preserve"> 82 Transport and mobile machine drivers and operatives</v>
      </c>
      <c r="B66" s="22">
        <f t="shared" si="122"/>
        <v>0.51726727549988327</v>
      </c>
      <c r="C66" s="22">
        <f t="shared" si="122"/>
        <v>0.64893775618915817</v>
      </c>
      <c r="D66" s="22">
        <f t="shared" si="122"/>
        <v>0.67819048679996041</v>
      </c>
      <c r="E66" s="22">
        <f t="shared" si="122"/>
        <v>0.81749847759064287</v>
      </c>
      <c r="F66" s="22">
        <f t="shared" si="122"/>
        <v>0.91164261594868723</v>
      </c>
      <c r="H66" s="83">
        <f t="shared" si="78"/>
        <v>79.257339735344573</v>
      </c>
      <c r="I66" s="84">
        <f t="shared" si="79"/>
        <v>62.749588185003589</v>
      </c>
      <c r="J66" s="84">
        <f t="shared" si="80"/>
        <v>142.00692792034815</v>
      </c>
      <c r="L66" s="18" t="str">
        <f t="shared" si="81"/>
        <v xml:space="preserve"> 82 Transport and mobile machine drivers and operatives</v>
      </c>
      <c r="M66" s="22">
        <f t="shared" si="123"/>
        <v>0.56160914974692588</v>
      </c>
      <c r="N66" s="22">
        <f t="shared" si="123"/>
        <v>0.60867336842536079</v>
      </c>
      <c r="O66" s="22">
        <f t="shared" si="123"/>
        <v>0.60255372801403906</v>
      </c>
      <c r="P66" s="22">
        <f t="shared" si="123"/>
        <v>0.693133783138141</v>
      </c>
      <c r="Q66" s="22">
        <f t="shared" si="123"/>
        <v>0.7526379754819047</v>
      </c>
      <c r="S66" s="83">
        <f t="shared" si="82"/>
        <v>65.146462146269428</v>
      </c>
      <c r="T66" s="84">
        <f t="shared" si="83"/>
        <v>58.766862691727781</v>
      </c>
      <c r="U66" s="84">
        <f t="shared" si="84"/>
        <v>123.91332483799722</v>
      </c>
      <c r="W66" s="18" t="str">
        <f t="shared" si="85"/>
        <v xml:space="preserve"> 82 Transport and mobile machine drivers and operatives</v>
      </c>
      <c r="X66" s="22">
        <f t="shared" si="124"/>
        <v>0.78186442041202375</v>
      </c>
      <c r="Y66" s="22">
        <f t="shared" si="124"/>
        <v>0.90134603239616151</v>
      </c>
      <c r="Z66" s="22">
        <f t="shared" si="124"/>
        <v>0.89715554750138937</v>
      </c>
      <c r="AA66" s="22">
        <f t="shared" si="124"/>
        <v>1.0486405190269661</v>
      </c>
      <c r="AB66" s="22">
        <f t="shared" si="124"/>
        <v>1.1185672128972743</v>
      </c>
      <c r="AD66" s="83">
        <f t="shared" si="86"/>
        <v>67.875498484940195</v>
      </c>
      <c r="AE66" s="84">
        <f t="shared" si="87"/>
        <v>65.172340443912177</v>
      </c>
      <c r="AF66" s="84">
        <f t="shared" si="88"/>
        <v>133.04783892885237</v>
      </c>
      <c r="AH66" s="18" t="str">
        <f t="shared" si="89"/>
        <v xml:space="preserve"> 82 Transport and mobile machine drivers and operatives</v>
      </c>
      <c r="AI66" s="22">
        <f t="shared" si="125"/>
        <v>0.77752577262130207</v>
      </c>
      <c r="AJ66" s="22">
        <f t="shared" si="125"/>
        <v>1.3780376263264673</v>
      </c>
      <c r="AK66" s="22">
        <f t="shared" si="125"/>
        <v>1.5022941446174416</v>
      </c>
      <c r="AL66" s="22">
        <f t="shared" si="125"/>
        <v>1.8778694397889821</v>
      </c>
      <c r="AM66" s="22">
        <f t="shared" si="125"/>
        <v>2.0690689620497227</v>
      </c>
      <c r="AO66" s="83">
        <f t="shared" si="90"/>
        <v>60.326443849933433</v>
      </c>
      <c r="AP66" s="84">
        <f t="shared" si="91"/>
        <v>61.650943498834962</v>
      </c>
      <c r="AQ66" s="84">
        <f t="shared" si="92"/>
        <v>121.97738734876839</v>
      </c>
      <c r="AS66" s="18" t="str">
        <f t="shared" si="93"/>
        <v xml:space="preserve"> 82 Transport and mobile machine drivers and operatives</v>
      </c>
      <c r="AT66" s="22">
        <f t="shared" si="126"/>
        <v>1.8841739326362537</v>
      </c>
      <c r="AU66" s="22">
        <f t="shared" si="126"/>
        <v>2.4516738459557561</v>
      </c>
      <c r="AV66" s="22">
        <f t="shared" si="126"/>
        <v>2.5467278205994721</v>
      </c>
      <c r="AW66" s="22">
        <f t="shared" si="126"/>
        <v>3.0468106688513132</v>
      </c>
      <c r="AX66" s="22">
        <f t="shared" si="126"/>
        <v>3.2985696322414002</v>
      </c>
      <c r="AZ66" s="83">
        <f t="shared" si="94"/>
        <v>68.428339749682877</v>
      </c>
      <c r="BA66" s="84">
        <f t="shared" si="95"/>
        <v>64.590401976107785</v>
      </c>
      <c r="BB66" s="84">
        <f t="shared" si="96"/>
        <v>133.01874172579068</v>
      </c>
      <c r="BD66" s="18" t="str">
        <f t="shared" si="97"/>
        <v xml:space="preserve"> 82 Transport and mobile machine drivers and operatives</v>
      </c>
      <c r="BE66" s="22">
        <f t="shared" si="127"/>
        <v>3.3188147100082444</v>
      </c>
      <c r="BF66" s="22">
        <f t="shared" si="127"/>
        <v>3.6107432709262399</v>
      </c>
      <c r="BG66" s="22">
        <f t="shared" si="127"/>
        <v>3.6799996256323326</v>
      </c>
      <c r="BH66" s="22">
        <f t="shared" si="127"/>
        <v>3.9730558655820589</v>
      </c>
      <c r="BI66" s="22">
        <f t="shared" si="127"/>
        <v>4.3441141172076394</v>
      </c>
      <c r="BK66" s="83">
        <f t="shared" si="98"/>
        <v>10.35672728218716</v>
      </c>
      <c r="BL66" s="84">
        <f t="shared" si="99"/>
        <v>35.565247107945488</v>
      </c>
      <c r="BM66" s="84">
        <f t="shared" si="100"/>
        <v>45.921974390132647</v>
      </c>
      <c r="BO66" s="18" t="str">
        <f t="shared" si="101"/>
        <v xml:space="preserve"> 82 Transport and mobile machine drivers and operatives</v>
      </c>
      <c r="BP66" s="22">
        <f t="shared" si="128"/>
        <v>4.9489388885191916</v>
      </c>
      <c r="BQ66" s="22">
        <f t="shared" si="128"/>
        <v>5.3540918421380344</v>
      </c>
      <c r="BR66" s="22">
        <f t="shared" si="128"/>
        <v>5.6429873775481054</v>
      </c>
      <c r="BS66" s="22">
        <f t="shared" si="128"/>
        <v>6.1528334705707994</v>
      </c>
      <c r="BT66" s="22">
        <f t="shared" si="128"/>
        <v>6.7838840238676177</v>
      </c>
      <c r="BV66" s="83">
        <f t="shared" si="102"/>
        <v>2.8070772115101783</v>
      </c>
      <c r="BW66" s="84">
        <f t="shared" si="103"/>
        <v>36.579726702614288</v>
      </c>
      <c r="BX66" s="84">
        <f t="shared" si="104"/>
        <v>39.386803914124464</v>
      </c>
      <c r="BZ66" s="18" t="str">
        <f t="shared" si="105"/>
        <v xml:space="preserve"> 82 Transport and mobile machine drivers and operatives</v>
      </c>
      <c r="CA66" s="22">
        <f t="shared" si="129"/>
        <v>7.5866736923258404</v>
      </c>
      <c r="CB66" s="22">
        <f t="shared" si="129"/>
        <v>7.5070811779265734</v>
      </c>
      <c r="CC66" s="22">
        <f t="shared" si="129"/>
        <v>7.296719880673141</v>
      </c>
      <c r="CD66" s="22">
        <f t="shared" si="129"/>
        <v>7.7524455805099297</v>
      </c>
      <c r="CE66" s="22">
        <f t="shared" si="129"/>
        <v>8.1814148546157703</v>
      </c>
      <c r="CF66" s="286"/>
      <c r="CG66" s="83">
        <f t="shared" si="106"/>
        <v>-26.518626741489104</v>
      </c>
      <c r="CH66" s="84">
        <f t="shared" si="107"/>
        <v>26.554679568769174</v>
      </c>
      <c r="CI66" s="84">
        <f t="shared" si="108"/>
        <v>3.6052827280067666E-2</v>
      </c>
      <c r="CK66" s="18" t="str">
        <f t="shared" si="109"/>
        <v xml:space="preserve"> 82 Transport and mobile machine drivers and operatives</v>
      </c>
      <c r="CL66" s="22">
        <f t="shared" si="130"/>
        <v>7.1345324491654853</v>
      </c>
      <c r="CM66" s="22">
        <f t="shared" si="130"/>
        <v>8.201226014048455</v>
      </c>
      <c r="CN66" s="22">
        <f t="shared" si="130"/>
        <v>8.7978660887804239</v>
      </c>
      <c r="CO66" s="22">
        <f t="shared" si="130"/>
        <v>9.8698291827085676</v>
      </c>
      <c r="CP66" s="22">
        <f t="shared" si="130"/>
        <v>8.7618705677767039</v>
      </c>
      <c r="CR66" s="83">
        <f t="shared" si="110"/>
        <v>-46.239150267504748</v>
      </c>
      <c r="CS66" s="84">
        <f t="shared" si="111"/>
        <v>20.424712238648581</v>
      </c>
      <c r="CT66" s="84">
        <f t="shared" si="112"/>
        <v>-25.814438028856163</v>
      </c>
    </row>
    <row r="67" spans="1:98" x14ac:dyDescent="0.25">
      <c r="A67" s="18" t="str">
        <f t="shared" si="68"/>
        <v xml:space="preserve"> 91 Elementary trades and related occupations</v>
      </c>
      <c r="B67" s="22">
        <f t="shared" si="122"/>
        <v>5.17914912973747E-3</v>
      </c>
      <c r="C67" s="22">
        <f t="shared" si="122"/>
        <v>5.5213740930722737E-3</v>
      </c>
      <c r="D67" s="22">
        <f t="shared" si="122"/>
        <v>7.3077664915607646E-3</v>
      </c>
      <c r="E67" s="22">
        <f t="shared" si="122"/>
        <v>9.7499326062658077E-3</v>
      </c>
      <c r="F67" s="22">
        <f t="shared" si="122"/>
        <v>1.0706173047676478E-2</v>
      </c>
      <c r="H67" s="83">
        <f t="shared" si="78"/>
        <v>95.36808470275021</v>
      </c>
      <c r="I67" s="84">
        <f t="shared" si="79"/>
        <v>57.521827927729888</v>
      </c>
      <c r="J67" s="84">
        <f t="shared" si="80"/>
        <v>152.8899126304801</v>
      </c>
      <c r="L67" s="18" t="str">
        <f t="shared" si="81"/>
        <v xml:space="preserve"> 91 Elementary trades and related occupations</v>
      </c>
      <c r="M67" s="22">
        <f t="shared" si="123"/>
        <v>6.7658217776231919E-2</v>
      </c>
      <c r="N67" s="22">
        <f t="shared" si="123"/>
        <v>0.18220446918717265</v>
      </c>
      <c r="O67" s="22">
        <f t="shared" si="123"/>
        <v>0.19923561566320497</v>
      </c>
      <c r="P67" s="22">
        <f t="shared" si="123"/>
        <v>0.23298933285983123</v>
      </c>
      <c r="Q67" s="22">
        <f t="shared" si="123"/>
        <v>0.25244958841565379</v>
      </c>
      <c r="S67" s="83">
        <f t="shared" si="82"/>
        <v>67.527695925854914</v>
      </c>
      <c r="T67" s="84">
        <f t="shared" si="83"/>
        <v>46.416828134572739</v>
      </c>
      <c r="U67" s="84">
        <f t="shared" si="84"/>
        <v>113.94452406042765</v>
      </c>
      <c r="W67" s="18" t="str">
        <f t="shared" si="85"/>
        <v xml:space="preserve"> 91 Elementary trades and related occupations</v>
      </c>
      <c r="X67" s="22">
        <f t="shared" si="124"/>
        <v>0.26825271502649561</v>
      </c>
      <c r="Y67" s="22">
        <f t="shared" si="124"/>
        <v>0.31267671201934322</v>
      </c>
      <c r="Z67" s="22">
        <f t="shared" si="124"/>
        <v>0.34635559042568853</v>
      </c>
      <c r="AA67" s="22">
        <f t="shared" si="124"/>
        <v>0.4111118720815275</v>
      </c>
      <c r="AB67" s="22">
        <f t="shared" si="124"/>
        <v>0.43426973834669857</v>
      </c>
      <c r="AD67" s="83">
        <f t="shared" si="86"/>
        <v>68.822505782066003</v>
      </c>
      <c r="AE67" s="84">
        <f t="shared" si="87"/>
        <v>56.326834667236383</v>
      </c>
      <c r="AF67" s="84">
        <f t="shared" si="88"/>
        <v>125.1493404493024</v>
      </c>
      <c r="AH67" s="18" t="str">
        <f t="shared" si="89"/>
        <v xml:space="preserve"> 91 Elementary trades and related occupations</v>
      </c>
      <c r="AI67" s="22">
        <f t="shared" si="125"/>
        <v>0.40164973290697142</v>
      </c>
      <c r="AJ67" s="22">
        <f t="shared" si="125"/>
        <v>0.63736762727169993</v>
      </c>
      <c r="AK67" s="22">
        <f t="shared" si="125"/>
        <v>0.75828604460406923</v>
      </c>
      <c r="AL67" s="22">
        <f t="shared" si="125"/>
        <v>0.97685676972596536</v>
      </c>
      <c r="AM67" s="22">
        <f t="shared" si="125"/>
        <v>1.0763053156147737</v>
      </c>
      <c r="AO67" s="83">
        <f t="shared" si="90"/>
        <v>65.229500558750118</v>
      </c>
      <c r="AP67" s="84">
        <f t="shared" si="91"/>
        <v>56.581137844817341</v>
      </c>
      <c r="AQ67" s="84">
        <f t="shared" si="92"/>
        <v>121.81063840356747</v>
      </c>
      <c r="AS67" s="18" t="str">
        <f t="shared" si="93"/>
        <v xml:space="preserve"> 91 Elementary trades and related occupations</v>
      </c>
      <c r="AT67" s="22">
        <f t="shared" si="126"/>
        <v>0.77368563751552488</v>
      </c>
      <c r="AU67" s="22">
        <f t="shared" si="126"/>
        <v>0.91341343010748755</v>
      </c>
      <c r="AV67" s="22">
        <f t="shared" si="126"/>
        <v>1.0181639545593293</v>
      </c>
      <c r="AW67" s="22">
        <f t="shared" si="126"/>
        <v>1.149732497565465</v>
      </c>
      <c r="AX67" s="22">
        <f t="shared" si="126"/>
        <v>1.2067327649102824</v>
      </c>
      <c r="AZ67" s="83">
        <f t="shared" si="94"/>
        <v>54.122281995376596</v>
      </c>
      <c r="BA67" s="84">
        <f t="shared" si="95"/>
        <v>44.483218476995276</v>
      </c>
      <c r="BB67" s="84">
        <f t="shared" si="96"/>
        <v>98.605500472371872</v>
      </c>
      <c r="BD67" s="18" t="str">
        <f t="shared" si="97"/>
        <v xml:space="preserve"> 91 Elementary trades and related occupations</v>
      </c>
      <c r="BE67" s="22">
        <f t="shared" si="127"/>
        <v>1.2661610028316732</v>
      </c>
      <c r="BF67" s="22">
        <f t="shared" si="127"/>
        <v>1.3266551776096556</v>
      </c>
      <c r="BG67" s="22">
        <f t="shared" si="127"/>
        <v>1.32724337736517</v>
      </c>
      <c r="BH67" s="22">
        <f t="shared" si="127"/>
        <v>1.346397579627957</v>
      </c>
      <c r="BI67" s="22">
        <f t="shared" si="127"/>
        <v>1.3699685208836982</v>
      </c>
      <c r="BK67" s="83">
        <f t="shared" si="98"/>
        <v>-3.504872826196006</v>
      </c>
      <c r="BL67" s="84">
        <f t="shared" si="99"/>
        <v>24.006308086729291</v>
      </c>
      <c r="BM67" s="84">
        <f t="shared" si="100"/>
        <v>20.501435260533285</v>
      </c>
      <c r="BO67" s="18" t="str">
        <f t="shared" si="101"/>
        <v xml:space="preserve"> 91 Elementary trades and related occupations</v>
      </c>
      <c r="BP67" s="22">
        <f t="shared" si="128"/>
        <v>1.9810090042794664</v>
      </c>
      <c r="BQ67" s="22">
        <f t="shared" si="128"/>
        <v>2.1193051508442884</v>
      </c>
      <c r="BR67" s="22">
        <f t="shared" si="128"/>
        <v>2.1375395570692715</v>
      </c>
      <c r="BS67" s="22">
        <f t="shared" si="128"/>
        <v>2.2640791259908135</v>
      </c>
      <c r="BT67" s="22">
        <f t="shared" si="128"/>
        <v>2.3661920587639971</v>
      </c>
      <c r="BV67" s="83">
        <f t="shared" si="102"/>
        <v>-5.3349848921966219</v>
      </c>
      <c r="BW67" s="84">
        <f t="shared" si="103"/>
        <v>25.423602267145178</v>
      </c>
      <c r="BX67" s="84">
        <f t="shared" si="104"/>
        <v>20.088617374948555</v>
      </c>
      <c r="BZ67" s="18" t="str">
        <f t="shared" si="105"/>
        <v xml:space="preserve"> 91 Elementary trades and related occupations</v>
      </c>
      <c r="CA67" s="22">
        <f t="shared" si="129"/>
        <v>3.1885300850648597</v>
      </c>
      <c r="CB67" s="22">
        <f t="shared" si="129"/>
        <v>3.6356763160835062</v>
      </c>
      <c r="CC67" s="22">
        <f t="shared" si="129"/>
        <v>3.8225836823461186</v>
      </c>
      <c r="CD67" s="22">
        <f t="shared" si="129"/>
        <v>4.3816191944786018</v>
      </c>
      <c r="CE67" s="22">
        <f t="shared" si="129"/>
        <v>4.9796713896795266</v>
      </c>
      <c r="CF67" s="286"/>
      <c r="CG67" s="83">
        <f t="shared" si="106"/>
        <v>-14.627066189160951</v>
      </c>
      <c r="CH67" s="84">
        <f t="shared" si="107"/>
        <v>24.407775948823662</v>
      </c>
      <c r="CI67" s="84">
        <f t="shared" si="108"/>
        <v>9.7807097596627113</v>
      </c>
      <c r="CK67" s="18" t="str">
        <f t="shared" si="109"/>
        <v xml:space="preserve"> 91 Elementary trades and related occupations</v>
      </c>
      <c r="CL67" s="22">
        <f t="shared" si="130"/>
        <v>4.768247945147742</v>
      </c>
      <c r="CM67" s="22">
        <f t="shared" si="130"/>
        <v>5.0150722171886546</v>
      </c>
      <c r="CN67" s="22">
        <f t="shared" si="130"/>
        <v>5.1218973701621202</v>
      </c>
      <c r="CO67" s="22">
        <f t="shared" si="130"/>
        <v>5.6736060640478776</v>
      </c>
      <c r="CP67" s="22">
        <f t="shared" si="130"/>
        <v>6.0423297754005514</v>
      </c>
      <c r="CR67" s="83">
        <f t="shared" si="110"/>
        <v>-36.317487332813734</v>
      </c>
      <c r="CS67" s="84">
        <f t="shared" si="111"/>
        <v>15.857681840040467</v>
      </c>
      <c r="CT67" s="84">
        <f t="shared" si="112"/>
        <v>-20.459805492773274</v>
      </c>
    </row>
    <row r="68" spans="1:98" x14ac:dyDescent="0.25">
      <c r="A68" s="18" t="str">
        <f t="shared" si="68"/>
        <v xml:space="preserve"> 92 Elementary administration and service occupations</v>
      </c>
      <c r="B68" s="22">
        <f t="shared" si="122"/>
        <v>0.33558726861638155</v>
      </c>
      <c r="C68" s="22">
        <f t="shared" si="122"/>
        <v>0.43587159263985448</v>
      </c>
      <c r="D68" s="22">
        <f t="shared" si="122"/>
        <v>0.50015530456500135</v>
      </c>
      <c r="E68" s="22">
        <f t="shared" si="122"/>
        <v>0.65209656950177231</v>
      </c>
      <c r="F68" s="22">
        <f t="shared" si="122"/>
        <v>0.71535440408785833</v>
      </c>
      <c r="H68" s="83">
        <f t="shared" si="78"/>
        <v>90.73061004299511</v>
      </c>
      <c r="I68" s="84">
        <f t="shared" si="79"/>
        <v>56.47762506997276</v>
      </c>
      <c r="J68" s="84">
        <f t="shared" si="80"/>
        <v>147.20823511296786</v>
      </c>
      <c r="L68" s="18" t="str">
        <f t="shared" si="81"/>
        <v xml:space="preserve"> 92 Elementary administration and service occupations</v>
      </c>
      <c r="M68" s="22">
        <f t="shared" si="123"/>
        <v>1.3224725561170829</v>
      </c>
      <c r="N68" s="22">
        <f t="shared" si="123"/>
        <v>1.791299962451002</v>
      </c>
      <c r="O68" s="22">
        <f t="shared" si="123"/>
        <v>2.0355198529329939</v>
      </c>
      <c r="P68" s="22">
        <f t="shared" si="123"/>
        <v>2.5150409871919424</v>
      </c>
      <c r="Q68" s="22">
        <f t="shared" si="123"/>
        <v>2.8608889531161692</v>
      </c>
      <c r="S68" s="83">
        <f t="shared" si="82"/>
        <v>85.825188901916675</v>
      </c>
      <c r="T68" s="84">
        <f t="shared" si="83"/>
        <v>55.723194431124689</v>
      </c>
      <c r="U68" s="84">
        <f t="shared" si="84"/>
        <v>141.54838333304139</v>
      </c>
      <c r="W68" s="18" t="str">
        <f t="shared" si="85"/>
        <v xml:space="preserve"> 92 Elementary administration and service occupations</v>
      </c>
      <c r="X68" s="22">
        <f t="shared" si="124"/>
        <v>2.4689194745700664</v>
      </c>
      <c r="Y68" s="22">
        <f t="shared" si="124"/>
        <v>3.2325669432287505</v>
      </c>
      <c r="Z68" s="22">
        <f t="shared" si="124"/>
        <v>3.6332312225190622</v>
      </c>
      <c r="AA68" s="22">
        <f t="shared" si="124"/>
        <v>4.5027396832483237</v>
      </c>
      <c r="AB68" s="22">
        <f t="shared" si="124"/>
        <v>5.0656350668380892</v>
      </c>
      <c r="AD68" s="83">
        <f t="shared" si="86"/>
        <v>87.730068581729512</v>
      </c>
      <c r="AE68" s="84">
        <f t="shared" si="87"/>
        <v>64.340034062079255</v>
      </c>
      <c r="AF68" s="84">
        <f t="shared" si="88"/>
        <v>152.07010264380875</v>
      </c>
      <c r="AH68" s="18" t="str">
        <f t="shared" si="89"/>
        <v xml:space="preserve"> 92 Elementary administration and service occupations</v>
      </c>
      <c r="AI68" s="22">
        <f t="shared" si="125"/>
        <v>3.1840652217814376</v>
      </c>
      <c r="AJ68" s="22">
        <f t="shared" si="125"/>
        <v>4.9458096636151261</v>
      </c>
      <c r="AK68" s="22">
        <f t="shared" si="125"/>
        <v>6.0458945717424282</v>
      </c>
      <c r="AL68" s="22">
        <f t="shared" si="125"/>
        <v>8.0102233199226429</v>
      </c>
      <c r="AM68" s="22">
        <f t="shared" si="125"/>
        <v>9.147467757025824</v>
      </c>
      <c r="AO68" s="83">
        <f t="shared" si="90"/>
        <v>76.126816792148659</v>
      </c>
      <c r="AP68" s="84">
        <f t="shared" si="91"/>
        <v>60.605247567955224</v>
      </c>
      <c r="AQ68" s="84">
        <f t="shared" si="92"/>
        <v>136.73206436010389</v>
      </c>
      <c r="AS68" s="18" t="str">
        <f t="shared" si="93"/>
        <v xml:space="preserve"> 92 Elementary administration and service occupations</v>
      </c>
      <c r="AT68" s="22">
        <f t="shared" si="126"/>
        <v>4.5407129919403086</v>
      </c>
      <c r="AU68" s="22">
        <f t="shared" si="126"/>
        <v>5.2387410475780687</v>
      </c>
      <c r="AV68" s="22">
        <f t="shared" si="126"/>
        <v>5.7184066683318058</v>
      </c>
      <c r="AW68" s="22">
        <f t="shared" si="126"/>
        <v>6.7414707222479091</v>
      </c>
      <c r="AX68" s="22">
        <f t="shared" si="126"/>
        <v>7.4530300209708535</v>
      </c>
      <c r="AZ68" s="83">
        <f t="shared" si="94"/>
        <v>69.484457354409187</v>
      </c>
      <c r="BA68" s="84">
        <f t="shared" si="95"/>
        <v>56.58433815548026</v>
      </c>
      <c r="BB68" s="84">
        <f t="shared" si="96"/>
        <v>126.06879550988943</v>
      </c>
      <c r="BD68" s="18" t="str">
        <f t="shared" si="97"/>
        <v xml:space="preserve"> 92 Elementary administration and service occupations</v>
      </c>
      <c r="BE68" s="22">
        <f t="shared" si="127"/>
        <v>9.335601553801391</v>
      </c>
      <c r="BF68" s="22">
        <f t="shared" si="127"/>
        <v>9.2060814838743532</v>
      </c>
      <c r="BG68" s="22">
        <f t="shared" si="127"/>
        <v>8.709970383738046</v>
      </c>
      <c r="BH68" s="22">
        <f t="shared" si="127"/>
        <v>9.0075703986559379</v>
      </c>
      <c r="BI68" s="22">
        <f t="shared" si="127"/>
        <v>9.0596619404793657</v>
      </c>
      <c r="BK68" s="83">
        <f t="shared" si="98"/>
        <v>-2.7609570343632162</v>
      </c>
      <c r="BL68" s="84">
        <f t="shared" si="99"/>
        <v>32.219464915885652</v>
      </c>
      <c r="BM68" s="84">
        <f t="shared" si="100"/>
        <v>29.45850788152244</v>
      </c>
      <c r="BO68" s="18" t="str">
        <f t="shared" si="101"/>
        <v xml:space="preserve"> 92 Elementary administration and service occupations</v>
      </c>
      <c r="BP68" s="22">
        <f t="shared" si="128"/>
        <v>13.077852034604442</v>
      </c>
      <c r="BQ68" s="22">
        <f t="shared" si="128"/>
        <v>13.793466874778304</v>
      </c>
      <c r="BR68" s="22">
        <f t="shared" si="128"/>
        <v>14.235904583911092</v>
      </c>
      <c r="BS68" s="22">
        <f t="shared" si="128"/>
        <v>15.681781683469845</v>
      </c>
      <c r="BT68" s="22">
        <f t="shared" si="128"/>
        <v>16.655127563796963</v>
      </c>
      <c r="BV68" s="83">
        <f t="shared" si="102"/>
        <v>4.9879846850992962E-2</v>
      </c>
      <c r="BW68" s="84">
        <f t="shared" si="103"/>
        <v>32.407096439284835</v>
      </c>
      <c r="BX68" s="84">
        <f t="shared" si="104"/>
        <v>32.456976286135827</v>
      </c>
      <c r="BZ68" s="18" t="str">
        <f t="shared" si="105"/>
        <v xml:space="preserve"> 92 Elementary administration and service occupations</v>
      </c>
      <c r="CA68" s="22">
        <f t="shared" si="129"/>
        <v>17.382505029289238</v>
      </c>
      <c r="CB68" s="22">
        <f t="shared" si="129"/>
        <v>18.477670101724929</v>
      </c>
      <c r="CC68" s="22">
        <f t="shared" si="129"/>
        <v>19.764247124865516</v>
      </c>
      <c r="CD68" s="22">
        <f t="shared" si="129"/>
        <v>22.035040635523</v>
      </c>
      <c r="CE68" s="22">
        <f t="shared" si="129"/>
        <v>23.568874638134133</v>
      </c>
      <c r="CF68" s="286"/>
      <c r="CG68" s="83">
        <f t="shared" si="106"/>
        <v>-21.848900205574623</v>
      </c>
      <c r="CH68" s="84">
        <f t="shared" si="107"/>
        <v>24.570667728178929</v>
      </c>
      <c r="CI68" s="84">
        <f t="shared" si="108"/>
        <v>2.7217675226043045</v>
      </c>
      <c r="CK68" s="18" t="str">
        <f t="shared" si="109"/>
        <v xml:space="preserve"> 92 Elementary administration and service occupations</v>
      </c>
      <c r="CL68" s="22">
        <f t="shared" si="130"/>
        <v>28.584356656939015</v>
      </c>
      <c r="CM68" s="22">
        <f t="shared" si="130"/>
        <v>26.529062983900946</v>
      </c>
      <c r="CN68" s="22">
        <f t="shared" si="130"/>
        <v>24.619614616861213</v>
      </c>
      <c r="CO68" s="22">
        <f t="shared" si="130"/>
        <v>22.246168392599362</v>
      </c>
      <c r="CP68" s="22">
        <f t="shared" si="130"/>
        <v>19.209672718889255</v>
      </c>
      <c r="CR68" s="83">
        <f t="shared" si="110"/>
        <v>-57.880291807225234</v>
      </c>
      <c r="CS68" s="84">
        <f t="shared" si="111"/>
        <v>12.328858486558417</v>
      </c>
      <c r="CT68" s="84">
        <f t="shared" si="112"/>
        <v>-45.551433320666824</v>
      </c>
    </row>
    <row r="69" spans="1:98" x14ac:dyDescent="0.25">
      <c r="A69" s="18"/>
      <c r="B69" s="22"/>
      <c r="C69" s="22"/>
      <c r="D69" s="22"/>
      <c r="E69" s="22"/>
      <c r="F69" s="22"/>
      <c r="H69" s="83"/>
      <c r="I69" s="84"/>
      <c r="J69" s="84"/>
      <c r="L69" s="18"/>
      <c r="M69" s="22"/>
      <c r="N69" s="22"/>
      <c r="O69" s="22"/>
      <c r="P69" s="22"/>
      <c r="Q69" s="22"/>
      <c r="S69" s="83"/>
      <c r="T69" s="84"/>
      <c r="U69" s="84"/>
      <c r="W69" s="18"/>
      <c r="X69" s="22"/>
      <c r="Y69" s="22"/>
      <c r="Z69" s="22"/>
      <c r="AA69" s="22"/>
      <c r="AB69" s="22"/>
      <c r="AD69" s="83"/>
      <c r="AE69" s="84"/>
      <c r="AF69" s="84"/>
      <c r="AH69" s="18"/>
      <c r="AI69" s="22"/>
      <c r="AJ69" s="22"/>
      <c r="AK69" s="22"/>
      <c r="AL69" s="22"/>
      <c r="AM69" s="22"/>
      <c r="AO69" s="83"/>
      <c r="AP69" s="84"/>
      <c r="AQ69" s="84"/>
      <c r="AS69" s="18"/>
      <c r="AT69" s="22"/>
      <c r="AU69" s="22"/>
      <c r="AV69" s="22"/>
      <c r="AW69" s="22"/>
      <c r="AX69" s="22"/>
      <c r="AZ69" s="83"/>
      <c r="BA69" s="84"/>
      <c r="BB69" s="84"/>
      <c r="BD69" s="18"/>
      <c r="BE69" s="22"/>
      <c r="BF69" s="22"/>
      <c r="BG69" s="22"/>
      <c r="BH69" s="22"/>
      <c r="BI69" s="22"/>
      <c r="BK69" s="83"/>
      <c r="BL69" s="84"/>
      <c r="BM69" s="84"/>
      <c r="BO69" s="18"/>
      <c r="BP69" s="22"/>
      <c r="BQ69" s="22"/>
      <c r="BR69" s="22"/>
      <c r="BS69" s="22"/>
      <c r="BT69" s="22"/>
      <c r="BV69" s="83"/>
      <c r="BW69" s="84"/>
      <c r="BX69" s="84"/>
      <c r="BZ69" s="18"/>
      <c r="CA69" s="22"/>
      <c r="CB69" s="22"/>
      <c r="CC69" s="22"/>
      <c r="CD69" s="22"/>
      <c r="CE69" s="22"/>
      <c r="CF69" s="286"/>
      <c r="CG69" s="83"/>
      <c r="CH69" s="84"/>
      <c r="CI69" s="84"/>
      <c r="CK69" s="18"/>
      <c r="CL69" s="22"/>
      <c r="CM69" s="22"/>
      <c r="CN69" s="22"/>
      <c r="CO69" s="22"/>
      <c r="CP69" s="22"/>
      <c r="CR69" s="83"/>
      <c r="CS69" s="84"/>
      <c r="CT69" s="84"/>
    </row>
    <row r="70" spans="1:98" x14ac:dyDescent="0.25">
      <c r="A70" s="28" t="str">
        <f>A34</f>
        <v>All occupations</v>
      </c>
      <c r="B70" s="30">
        <f>B34/B$34*100</f>
        <v>100</v>
      </c>
      <c r="C70" s="30">
        <f>C34/C$34*100</f>
        <v>100</v>
      </c>
      <c r="D70" s="30">
        <f>D34/D$34*100</f>
        <v>100</v>
      </c>
      <c r="E70" s="30">
        <f>E34/E$34*100</f>
        <v>100</v>
      </c>
      <c r="F70" s="30">
        <f>F34/F$34*100</f>
        <v>100</v>
      </c>
      <c r="H70" s="85">
        <f t="shared" si="78"/>
        <v>33.353378144865012</v>
      </c>
      <c r="I70" s="82">
        <f t="shared" si="79"/>
        <v>38.673984996567526</v>
      </c>
      <c r="J70" s="82">
        <f t="shared" si="80"/>
        <v>72.027363141432531</v>
      </c>
      <c r="L70" s="28" t="str">
        <f>L34</f>
        <v>All occupations</v>
      </c>
      <c r="M70" s="30">
        <f>M34/M$34*100</f>
        <v>100</v>
      </c>
      <c r="N70" s="30">
        <f>N34/N$34*100</f>
        <v>100</v>
      </c>
      <c r="O70" s="30">
        <f>O34/O$34*100</f>
        <v>100</v>
      </c>
      <c r="P70" s="30">
        <f>P34/P$34*100</f>
        <v>100</v>
      </c>
      <c r="Q70" s="30">
        <f>Q34/Q$34*100</f>
        <v>100</v>
      </c>
      <c r="S70" s="85">
        <f t="shared" ref="S70" si="131">IF(O34&gt;0,(S34/O34)*100,0)</f>
        <v>32.214450607344475</v>
      </c>
      <c r="T70" s="82">
        <f t="shared" ref="T70" si="132">IF(O34&gt;0,T34/O34*100,0)</f>
        <v>40.550442460863557</v>
      </c>
      <c r="U70" s="82">
        <f t="shared" ref="U70" si="133">IF(O34&gt;0,(U34/O34)*100,0)</f>
        <v>72.764893068208039</v>
      </c>
      <c r="W70" s="28" t="str">
        <f>W34</f>
        <v>All occupations</v>
      </c>
      <c r="X70" s="30">
        <f>X34/X$34*100</f>
        <v>100</v>
      </c>
      <c r="Y70" s="30">
        <f>Y34/Y$34*100</f>
        <v>100</v>
      </c>
      <c r="Z70" s="30">
        <f>Z34/Z$34*100</f>
        <v>100</v>
      </c>
      <c r="AA70" s="30">
        <f>AA34/AA$34*100</f>
        <v>100</v>
      </c>
      <c r="AB70" s="30">
        <f>AB34/AB$34*100</f>
        <v>100</v>
      </c>
      <c r="AD70" s="85">
        <f t="shared" ref="AD70" si="134">IF(Z34&gt;0,(AD34/Z34)*100,0)</f>
        <v>34.645851423822108</v>
      </c>
      <c r="AE70" s="82">
        <f t="shared" ref="AE70" si="135">IF(Z34&gt;0,AE34/Z34*100,0)</f>
        <v>44.91658834340523</v>
      </c>
      <c r="AF70" s="82">
        <f t="shared" ref="AF70" si="136">IF(Z34&gt;0,(AF34/Z34)*100,0)</f>
        <v>79.562439767227332</v>
      </c>
      <c r="AH70" s="28" t="str">
        <f>AH34</f>
        <v>All occupations</v>
      </c>
      <c r="AI70" s="30">
        <f>AI34/AI$34*100</f>
        <v>100</v>
      </c>
      <c r="AJ70" s="30">
        <f>AJ34/AJ$34*100</f>
        <v>100</v>
      </c>
      <c r="AK70" s="30">
        <f>AK34/AK$34*100</f>
        <v>100</v>
      </c>
      <c r="AL70" s="30">
        <f>AL34/AL$34*100</f>
        <v>100</v>
      </c>
      <c r="AM70" s="30">
        <f>AM34/AM$34*100</f>
        <v>100</v>
      </c>
      <c r="AO70" s="85">
        <f t="shared" ref="AO70" si="137">IF(AK34&gt;0,(AO34/AK34)*100,0)</f>
        <v>16.408627378222604</v>
      </c>
      <c r="AP70" s="82">
        <f t="shared" ref="AP70" si="138">IF(AK34&gt;0,AP34/AK34*100,0)</f>
        <v>40.488818075780273</v>
      </c>
      <c r="AQ70" s="82">
        <f t="shared" ref="AQ70" si="139">IF(AK34&gt;0,(AQ34/AK34)*100,0)</f>
        <v>56.897445454002892</v>
      </c>
      <c r="AS70" s="28" t="str">
        <f>AS34</f>
        <v>All occupations</v>
      </c>
      <c r="AT70" s="30">
        <f>AT34/AT$34*100</f>
        <v>100</v>
      </c>
      <c r="AU70" s="30">
        <f>AU34/AU$34*100</f>
        <v>100</v>
      </c>
      <c r="AV70" s="30">
        <f>AV34/AV$34*100</f>
        <v>100</v>
      </c>
      <c r="AW70" s="30">
        <f>AW34/AW$34*100</f>
        <v>100</v>
      </c>
      <c r="AX70" s="30">
        <f>AX34/AX$34*100</f>
        <v>100</v>
      </c>
      <c r="AZ70" s="85">
        <f t="shared" ref="AZ70" si="140">IF(AV34&gt;0,(AZ34/AV34)*100,0)</f>
        <v>30.038527737984701</v>
      </c>
      <c r="BA70" s="82">
        <f t="shared" ref="BA70" si="141">IF(AV34&gt;0,BA34/AV34*100,0)</f>
        <v>42.222973328883214</v>
      </c>
      <c r="BB70" s="82">
        <f t="shared" ref="BB70" si="142">IF(AV34&gt;0,(BB34/AV34)*100,0)</f>
        <v>72.261501066867908</v>
      </c>
      <c r="BD70" s="28" t="str">
        <f>BD34</f>
        <v>All occupations</v>
      </c>
      <c r="BE70" s="30">
        <f>BE34/BE$34*100</f>
        <v>100</v>
      </c>
      <c r="BF70" s="30">
        <f>BF34/BF$34*100</f>
        <v>100</v>
      </c>
      <c r="BG70" s="30">
        <f>BG34/BG$34*100</f>
        <v>100</v>
      </c>
      <c r="BH70" s="30">
        <f>BH34/BH$34*100</f>
        <v>100</v>
      </c>
      <c r="BI70" s="30">
        <f>BI34/BI$34*100</f>
        <v>100</v>
      </c>
      <c r="BK70" s="85">
        <f t="shared" ref="BK70" si="143">IF(BG34&gt;0,(BK34/BG34)*100,0)</f>
        <v>-6.5142617971776327</v>
      </c>
      <c r="BL70" s="82">
        <f t="shared" ref="BL70" si="144">IF(BG34&gt;0,BL34/BG34*100,0)</f>
        <v>29.460146463197056</v>
      </c>
      <c r="BM70" s="82">
        <f t="shared" ref="BM70" si="145">IF(BG34&gt;0,(BM34/BG34)*100,0)</f>
        <v>22.945884666019424</v>
      </c>
      <c r="BO70" s="28" t="str">
        <f>BO34</f>
        <v>All occupations</v>
      </c>
      <c r="BP70" s="30">
        <f>BP34/BP$34*100</f>
        <v>100</v>
      </c>
      <c r="BQ70" s="30">
        <f>BQ34/BQ$34*100</f>
        <v>100</v>
      </c>
      <c r="BR70" s="30">
        <f>BR34/BR$34*100</f>
        <v>100</v>
      </c>
      <c r="BS70" s="30">
        <f>BS34/BS$34*100</f>
        <v>100</v>
      </c>
      <c r="BT70" s="30">
        <f>BT34/BT$34*100</f>
        <v>100</v>
      </c>
      <c r="BV70" s="85">
        <f t="shared" ref="BV70" si="146">IF(BR34&gt;0,(BV34/BR34)*100,0)</f>
        <v>-14.482759878253724</v>
      </c>
      <c r="BW70" s="82">
        <f t="shared" ref="BW70" si="147">IF(BR34&gt;0,BW34/BR34*100,0)</f>
        <v>28.245187814537097</v>
      </c>
      <c r="BX70" s="82">
        <f t="shared" ref="BX70" si="148">IF(BR34&gt;0,(BX34/BR34)*100,0)</f>
        <v>13.762427936283375</v>
      </c>
      <c r="BZ70" s="28" t="str">
        <f>BZ34</f>
        <v>All occupations</v>
      </c>
      <c r="CA70" s="30">
        <f>CA34/CA$34*100</f>
        <v>100</v>
      </c>
      <c r="CB70" s="30">
        <f>CB34/CB$34*100</f>
        <v>100</v>
      </c>
      <c r="CC70" s="30">
        <f>CC34/CC$34*100</f>
        <v>100</v>
      </c>
      <c r="CD70" s="30">
        <f>CD34/CD$34*100</f>
        <v>100</v>
      </c>
      <c r="CE70" s="30">
        <f>CE34/CE$34*100</f>
        <v>100</v>
      </c>
      <c r="CF70" s="286"/>
      <c r="CG70" s="85">
        <f t="shared" ref="CG70" si="149">IF(CC34&gt;0,(CG34/CC34)*100,0)</f>
        <v>-34.464514189493336</v>
      </c>
      <c r="CH70" s="82">
        <f t="shared" ref="CH70" si="150">IF(CC34&gt;0,CH34/CC34*100,0)</f>
        <v>21.299179527576555</v>
      </c>
      <c r="CI70" s="82">
        <f t="shared" ref="CI70" si="151">IF(CC34&gt;0,(CI34/CC34)*100,0)</f>
        <v>-13.165334661916781</v>
      </c>
      <c r="CK70" s="28" t="str">
        <f>CK34</f>
        <v>All occupations</v>
      </c>
      <c r="CL70" s="30">
        <f>CL34/CL$34*100</f>
        <v>100</v>
      </c>
      <c r="CM70" s="30">
        <f>CM34/CM$34*100</f>
        <v>100</v>
      </c>
      <c r="CN70" s="30">
        <f>CN34/CN$34*100</f>
        <v>100</v>
      </c>
      <c r="CO70" s="30">
        <f>CO34/CO$34*100</f>
        <v>100</v>
      </c>
      <c r="CP70" s="30">
        <f>CP34/CP$34*100</f>
        <v>100</v>
      </c>
      <c r="CR70" s="85">
        <f t="shared" ref="CR70" si="152">IF(CN34&gt;0,(CR34/CN34)*100,0)</f>
        <v>-46.018289918021765</v>
      </c>
      <c r="CS70" s="82">
        <f t="shared" ref="CS70" si="153">IF(CN34&gt;0,CS34/CN34*100,0)</f>
        <v>15.062592821692778</v>
      </c>
      <c r="CT70" s="82">
        <f t="shared" ref="CT70" si="154">IF(CN34&gt;0,(CT34/CN34)*100,0)</f>
        <v>-30.955697096328986</v>
      </c>
    </row>
    <row r="71" spans="1:98" x14ac:dyDescent="0.25">
      <c r="BZ71" s="286"/>
      <c r="CA71" s="286"/>
      <c r="CB71" s="286"/>
      <c r="CC71" s="286"/>
      <c r="CD71" s="286"/>
      <c r="CE71" s="286"/>
      <c r="CF71" s="286"/>
    </row>
    <row r="72" spans="1:98" x14ac:dyDescent="0.25">
      <c r="BZ72" s="286"/>
      <c r="CA72" s="286"/>
      <c r="CB72" s="286"/>
      <c r="CC72" s="286"/>
      <c r="CD72" s="286"/>
      <c r="CE72" s="286"/>
      <c r="CF72" s="286"/>
    </row>
    <row r="73" spans="1:98" ht="51" customHeight="1" x14ac:dyDescent="0.25">
      <c r="A73" s="526" t="str">
        <f>CONCATENATE(A$1," (Continued)")</f>
        <v>Basic Table 2  Employment Change by Occupation and Replacement Demand, RQF8 Doctorate, 2007-2027, United Kingdom (Continued)</v>
      </c>
      <c r="B73" s="526"/>
      <c r="C73" s="526"/>
      <c r="D73" s="526"/>
      <c r="E73" s="526"/>
      <c r="F73" s="526"/>
      <c r="G73" s="526"/>
      <c r="H73" s="526"/>
      <c r="I73" s="526"/>
      <c r="J73" s="526"/>
      <c r="L73" s="526" t="str">
        <f>CONCATENATE(L$1," (Continued)")</f>
        <v>Basic Table 2.1  Employment Change by Occupation and Replacement Demand, RQF7 Other higher degree, 2007-2027, United Kingdom (Continued)</v>
      </c>
      <c r="M73" s="526"/>
      <c r="N73" s="526"/>
      <c r="O73" s="526"/>
      <c r="P73" s="526"/>
      <c r="Q73" s="526"/>
      <c r="R73" s="526"/>
      <c r="S73" s="526"/>
      <c r="T73" s="526"/>
      <c r="U73" s="526"/>
      <c r="W73" s="526" t="str">
        <f>CONCATENATE(W$1," (Continued)")</f>
        <v>Basic Table 2.2  Employment Change by Occupation and Replacement Demand, RQF6 First degree, 2007-2027, United Kingdom (Continued)</v>
      </c>
      <c r="X73" s="526"/>
      <c r="Y73" s="526"/>
      <c r="Z73" s="526"/>
      <c r="AA73" s="526"/>
      <c r="AB73" s="526"/>
      <c r="AC73" s="526"/>
      <c r="AD73" s="526"/>
      <c r="AE73" s="526"/>
      <c r="AF73" s="526"/>
      <c r="AH73" s="526" t="str">
        <f>CONCATENATE(AH$1," (Continued)")</f>
        <v>Basic Table 2.3  Employment Change by Occupation and Replacement Demand, RQF5 Foundation degree;Nursing;Teaching, 2007-2027, United Kingdom (Continued)</v>
      </c>
      <c r="AI73" s="526"/>
      <c r="AJ73" s="526"/>
      <c r="AK73" s="526"/>
      <c r="AL73" s="526"/>
      <c r="AM73" s="526"/>
      <c r="AN73" s="526"/>
      <c r="AO73" s="526"/>
      <c r="AP73" s="526"/>
      <c r="AQ73" s="526"/>
      <c r="AS73" s="526" t="str">
        <f>CONCATENATE(AS$1," (Continued)")</f>
        <v>Basic Table 2.4  Employment Change by Occupation and Replacement Demand, RQF4 HE below degree level, 2007-2027, United Kingdom (Continued)</v>
      </c>
      <c r="AT73" s="526"/>
      <c r="AU73" s="526"/>
      <c r="AV73" s="526"/>
      <c r="AW73" s="526"/>
      <c r="AX73" s="526"/>
      <c r="AY73" s="526"/>
      <c r="AZ73" s="526"/>
      <c r="BA73" s="526"/>
      <c r="BB73" s="526"/>
      <c r="BD73" s="526" t="str">
        <f>CONCATENATE(BD$1," (Continued)")</f>
        <v>Basic Table 2.5  Employment Change by Occupation and Replacement Demand, RQF3 A level &amp; equivalent, 2007-2027, United Kingdom (Continued)</v>
      </c>
      <c r="BE73" s="526"/>
      <c r="BF73" s="526"/>
      <c r="BG73" s="526"/>
      <c r="BH73" s="526"/>
      <c r="BI73" s="526"/>
      <c r="BJ73" s="526"/>
      <c r="BK73" s="526"/>
      <c r="BL73" s="526"/>
      <c r="BM73" s="526"/>
      <c r="BO73" s="526" t="str">
        <f>CONCATENATE(BO$1," (Continued)")</f>
        <v>Basic Table 2.6  Employment Change by Occupation and Replacement Demand, RQF2 GCSE(A-C) &amp; equivalent, 2007-2027, United Kingdom (Continued)</v>
      </c>
      <c r="BP73" s="526"/>
      <c r="BQ73" s="526"/>
      <c r="BR73" s="526"/>
      <c r="BS73" s="526"/>
      <c r="BT73" s="526"/>
      <c r="BU73" s="526"/>
      <c r="BV73" s="526"/>
      <c r="BW73" s="526"/>
      <c r="BX73" s="526"/>
      <c r="BZ73" s="526" t="str">
        <f>CONCATENATE(BZ$1," (Continued)")</f>
        <v>Basic Table 2.7  Employment Change by Occupation and Replacement Demand, RQF1 GCSE(below grade C) &amp; equivalent, 2007-2027, United Kingdom (Continued)</v>
      </c>
      <c r="CA73" s="526"/>
      <c r="CB73" s="526"/>
      <c r="CC73" s="526"/>
      <c r="CD73" s="526"/>
      <c r="CE73" s="526"/>
      <c r="CF73" s="526"/>
      <c r="CG73" s="526"/>
      <c r="CH73" s="526"/>
      <c r="CI73" s="526"/>
      <c r="CK73" s="526" t="str">
        <f>CONCATENATE(CK$1," (Continued)")</f>
        <v>Basic Table 2.8  Employment Change by Occupation and Replacement Demand, No Qualification, 2007-2027, United Kingdom (Continued)</v>
      </c>
      <c r="CL73" s="526"/>
      <c r="CM73" s="526"/>
      <c r="CN73" s="526"/>
      <c r="CO73" s="526"/>
      <c r="CP73" s="526"/>
      <c r="CQ73" s="526"/>
      <c r="CR73" s="526"/>
      <c r="CS73" s="526"/>
      <c r="CT73" s="526"/>
    </row>
    <row r="74" spans="1:98" x14ac:dyDescent="0.25">
      <c r="BZ74" s="286"/>
      <c r="CA74" s="286"/>
      <c r="CB74" s="286"/>
      <c r="CC74" s="286"/>
      <c r="CD74" s="286"/>
      <c r="CE74" s="286"/>
      <c r="CF74" s="286"/>
    </row>
    <row r="75" spans="1:98" x14ac:dyDescent="0.25">
      <c r="F75" s="19" t="s">
        <v>36</v>
      </c>
      <c r="J75" s="19" t="s">
        <v>36</v>
      </c>
      <c r="Q75" s="19" t="s">
        <v>36</v>
      </c>
      <c r="U75" s="19" t="s">
        <v>36</v>
      </c>
      <c r="AB75" s="19" t="s">
        <v>36</v>
      </c>
      <c r="AF75" s="19" t="s">
        <v>36</v>
      </c>
      <c r="AM75" s="19" t="s">
        <v>36</v>
      </c>
      <c r="AQ75" s="19" t="s">
        <v>36</v>
      </c>
      <c r="AX75" s="19" t="s">
        <v>36</v>
      </c>
      <c r="BB75" s="19" t="s">
        <v>36</v>
      </c>
      <c r="BI75" s="19" t="s">
        <v>36</v>
      </c>
      <c r="BM75" s="19" t="s">
        <v>36</v>
      </c>
      <c r="BT75" s="19" t="s">
        <v>36</v>
      </c>
      <c r="BX75" s="19" t="s">
        <v>36</v>
      </c>
      <c r="BZ75" s="286"/>
      <c r="CA75" s="286"/>
      <c r="CB75" s="286"/>
      <c r="CC75" s="286"/>
      <c r="CD75" s="286"/>
      <c r="CE75" s="19" t="s">
        <v>36</v>
      </c>
      <c r="CF75" s="286"/>
      <c r="CI75" s="19" t="s">
        <v>36</v>
      </c>
      <c r="CP75" s="19" t="s">
        <v>36</v>
      </c>
      <c r="CT75" s="19" t="s">
        <v>36</v>
      </c>
    </row>
    <row r="76" spans="1:98" x14ac:dyDescent="0.25">
      <c r="A76" s="41"/>
      <c r="B76" s="41"/>
      <c r="C76" s="41"/>
      <c r="D76" s="41"/>
      <c r="E76" s="41"/>
      <c r="F76" s="41"/>
      <c r="H76" s="32" t="str">
        <f>$H$4</f>
        <v>2017-2027</v>
      </c>
      <c r="I76" s="41"/>
      <c r="J76" s="41"/>
      <c r="L76" s="41"/>
      <c r="M76" s="41"/>
      <c r="N76" s="41"/>
      <c r="O76" s="41"/>
      <c r="P76" s="41"/>
      <c r="Q76" s="41"/>
      <c r="S76" s="32" t="str">
        <f>$H$4</f>
        <v>2017-2027</v>
      </c>
      <c r="T76" s="41"/>
      <c r="U76" s="41"/>
      <c r="W76" s="41"/>
      <c r="X76" s="41"/>
      <c r="Y76" s="41"/>
      <c r="Z76" s="41"/>
      <c r="AA76" s="41"/>
      <c r="AB76" s="41"/>
      <c r="AD76" s="32" t="str">
        <f>$H$4</f>
        <v>2017-2027</v>
      </c>
      <c r="AE76" s="41"/>
      <c r="AF76" s="41"/>
      <c r="AH76" s="41"/>
      <c r="AI76" s="41"/>
      <c r="AJ76" s="41"/>
      <c r="AK76" s="41"/>
      <c r="AL76" s="41"/>
      <c r="AM76" s="41"/>
      <c r="AO76" s="32" t="str">
        <f>$H$4</f>
        <v>2017-2027</v>
      </c>
      <c r="AP76" s="41"/>
      <c r="AQ76" s="41"/>
      <c r="AS76" s="41"/>
      <c r="AT76" s="41"/>
      <c r="AU76" s="41"/>
      <c r="AV76" s="41"/>
      <c r="AW76" s="41"/>
      <c r="AX76" s="41"/>
      <c r="AZ76" s="32" t="str">
        <f>$H$4</f>
        <v>2017-2027</v>
      </c>
      <c r="BA76" s="41"/>
      <c r="BB76" s="41"/>
      <c r="BD76" s="41"/>
      <c r="BE76" s="41"/>
      <c r="BF76" s="41"/>
      <c r="BG76" s="41"/>
      <c r="BH76" s="41"/>
      <c r="BI76" s="41"/>
      <c r="BK76" s="32" t="str">
        <f>$H$4</f>
        <v>2017-2027</v>
      </c>
      <c r="BL76" s="41"/>
      <c r="BM76" s="41"/>
      <c r="BO76" s="41"/>
      <c r="BP76" s="41"/>
      <c r="BQ76" s="41"/>
      <c r="BR76" s="41"/>
      <c r="BS76" s="41"/>
      <c r="BT76" s="41"/>
      <c r="BV76" s="32" t="str">
        <f>$H$4</f>
        <v>2017-2027</v>
      </c>
      <c r="BW76" s="41"/>
      <c r="BX76" s="41"/>
      <c r="BZ76" s="41"/>
      <c r="CA76" s="41"/>
      <c r="CB76" s="41"/>
      <c r="CC76" s="41"/>
      <c r="CD76" s="41"/>
      <c r="CE76" s="41"/>
      <c r="CF76" s="286"/>
      <c r="CG76" s="32" t="str">
        <f>$H$4</f>
        <v>2017-2027</v>
      </c>
      <c r="CH76" s="41"/>
      <c r="CI76" s="41"/>
      <c r="CK76" s="41"/>
      <c r="CL76" s="41"/>
      <c r="CM76" s="41"/>
      <c r="CN76" s="41"/>
      <c r="CO76" s="41"/>
      <c r="CP76" s="41"/>
      <c r="CR76" s="32" t="str">
        <f>$H$4</f>
        <v>2017-2027</v>
      </c>
      <c r="CS76" s="41"/>
      <c r="CT76" s="41"/>
    </row>
    <row r="77" spans="1:98" x14ac:dyDescent="0.25">
      <c r="A77" s="2"/>
      <c r="B77" s="2"/>
      <c r="C77" s="2"/>
      <c r="D77" s="2"/>
      <c r="E77" s="2"/>
      <c r="F77" s="2"/>
      <c r="H77" s="19" t="str">
        <f t="shared" ref="H77:J78" si="155">H41</f>
        <v>Net</v>
      </c>
      <c r="I77" s="19" t="str">
        <f t="shared" si="155"/>
        <v>Replacement</v>
      </c>
      <c r="J77" s="19" t="str">
        <f t="shared" si="155"/>
        <v>Total</v>
      </c>
      <c r="L77" s="2"/>
      <c r="M77" s="2"/>
      <c r="N77" s="2"/>
      <c r="O77" s="2"/>
      <c r="P77" s="2"/>
      <c r="Q77" s="2"/>
      <c r="S77" s="19" t="str">
        <f t="shared" ref="S77:U78" si="156">S41</f>
        <v>Net</v>
      </c>
      <c r="T77" s="19" t="str">
        <f t="shared" si="156"/>
        <v>Replacement</v>
      </c>
      <c r="U77" s="19" t="str">
        <f t="shared" si="156"/>
        <v>Total</v>
      </c>
      <c r="W77" s="2"/>
      <c r="X77" s="2"/>
      <c r="Y77" s="2"/>
      <c r="Z77" s="2"/>
      <c r="AA77" s="2"/>
      <c r="AB77" s="2"/>
      <c r="AD77" s="19" t="str">
        <f t="shared" ref="AD77:AF78" si="157">AD41</f>
        <v>Net</v>
      </c>
      <c r="AE77" s="19" t="str">
        <f t="shared" si="157"/>
        <v>Replacement</v>
      </c>
      <c r="AF77" s="19" t="str">
        <f t="shared" si="157"/>
        <v>Total</v>
      </c>
      <c r="AH77" s="2"/>
      <c r="AI77" s="2"/>
      <c r="AJ77" s="2"/>
      <c r="AK77" s="2"/>
      <c r="AL77" s="2"/>
      <c r="AM77" s="2"/>
      <c r="AO77" s="19" t="str">
        <f t="shared" ref="AO77:AQ78" si="158">AO41</f>
        <v>Net</v>
      </c>
      <c r="AP77" s="19" t="str">
        <f t="shared" si="158"/>
        <v>Replacement</v>
      </c>
      <c r="AQ77" s="19" t="str">
        <f t="shared" si="158"/>
        <v>Total</v>
      </c>
      <c r="AS77" s="2"/>
      <c r="AT77" s="2"/>
      <c r="AU77" s="2"/>
      <c r="AV77" s="2"/>
      <c r="AW77" s="2"/>
      <c r="AX77" s="2"/>
      <c r="AZ77" s="19" t="str">
        <f t="shared" ref="AZ77:BB78" si="159">AZ41</f>
        <v>Net</v>
      </c>
      <c r="BA77" s="19" t="str">
        <f t="shared" si="159"/>
        <v>Replacement</v>
      </c>
      <c r="BB77" s="19" t="str">
        <f t="shared" si="159"/>
        <v>Total</v>
      </c>
      <c r="BD77" s="2"/>
      <c r="BE77" s="2"/>
      <c r="BF77" s="2"/>
      <c r="BG77" s="2"/>
      <c r="BH77" s="2"/>
      <c r="BI77" s="2"/>
      <c r="BK77" s="19" t="str">
        <f t="shared" ref="BK77:BM78" si="160">BK41</f>
        <v>Net</v>
      </c>
      <c r="BL77" s="19" t="str">
        <f t="shared" si="160"/>
        <v>Replacement</v>
      </c>
      <c r="BM77" s="19" t="str">
        <f t="shared" si="160"/>
        <v>Total</v>
      </c>
      <c r="BO77" s="2"/>
      <c r="BP77" s="2"/>
      <c r="BQ77" s="2"/>
      <c r="BR77" s="2"/>
      <c r="BS77" s="2"/>
      <c r="BT77" s="2"/>
      <c r="BV77" s="19" t="str">
        <f t="shared" ref="BV77:BX78" si="161">BV41</f>
        <v>Net</v>
      </c>
      <c r="BW77" s="19" t="str">
        <f t="shared" si="161"/>
        <v>Replacement</v>
      </c>
      <c r="BX77" s="19" t="str">
        <f t="shared" si="161"/>
        <v>Total</v>
      </c>
      <c r="BZ77" s="2"/>
      <c r="CA77" s="2"/>
      <c r="CB77" s="2"/>
      <c r="CC77" s="2"/>
      <c r="CD77" s="2"/>
      <c r="CE77" s="2"/>
      <c r="CF77" s="286"/>
      <c r="CG77" s="19" t="str">
        <f t="shared" ref="CG77:CI78" si="162">CG41</f>
        <v>Net</v>
      </c>
      <c r="CH77" s="19" t="str">
        <f t="shared" si="162"/>
        <v>Replacement</v>
      </c>
      <c r="CI77" s="19" t="str">
        <f t="shared" si="162"/>
        <v>Total</v>
      </c>
      <c r="CK77" s="2"/>
      <c r="CL77" s="2"/>
      <c r="CM77" s="2"/>
      <c r="CN77" s="2"/>
      <c r="CO77" s="2"/>
      <c r="CP77" s="2"/>
      <c r="CR77" s="19" t="str">
        <f t="shared" ref="CR77:CT78" si="163">CR41</f>
        <v>Net</v>
      </c>
      <c r="CS77" s="19" t="str">
        <f t="shared" si="163"/>
        <v>Replacement</v>
      </c>
      <c r="CT77" s="19" t="str">
        <f t="shared" si="163"/>
        <v>Total</v>
      </c>
    </row>
    <row r="78" spans="1:98" x14ac:dyDescent="0.25">
      <c r="A78" s="50" t="s">
        <v>14</v>
      </c>
      <c r="B78" s="76" t="str">
        <f>CONCATENATE(B$6,"-",C$6)</f>
        <v>2007-2012</v>
      </c>
      <c r="C78" s="76" t="str">
        <f>CONCATENATE(C$6,"-",D$6)</f>
        <v>2012-2017</v>
      </c>
      <c r="D78" s="76" t="str">
        <f>CONCATENATE(D$6,"-",E$6)</f>
        <v>2017-2022</v>
      </c>
      <c r="E78" s="76" t="str">
        <f>CONCATENATE(E$6,"-",F$6)</f>
        <v>2022-2027</v>
      </c>
      <c r="F78" s="76" t="str">
        <f>CONCATENATE(C$6,"-",F$6)</f>
        <v>2012-2027</v>
      </c>
      <c r="H78" s="75" t="str">
        <f t="shared" si="155"/>
        <v>Change</v>
      </c>
      <c r="I78" s="75" t="str">
        <f t="shared" si="155"/>
        <v>Demand</v>
      </c>
      <c r="J78" s="75" t="str">
        <f t="shared" si="155"/>
        <v>Requirement</v>
      </c>
      <c r="L78" s="50" t="s">
        <v>14</v>
      </c>
      <c r="M78" s="76" t="str">
        <f>CONCATENATE(M$6,"-",N$6)</f>
        <v>2007-2012</v>
      </c>
      <c r="N78" s="76" t="str">
        <f>CONCATENATE(N$6,"-",O$6)</f>
        <v>2012-2017</v>
      </c>
      <c r="O78" s="76" t="str">
        <f>CONCATENATE(O$6,"-",P$6)</f>
        <v>2017-2022</v>
      </c>
      <c r="P78" s="76" t="str">
        <f>CONCATENATE(P$6,"-",Q$6)</f>
        <v>2022-2027</v>
      </c>
      <c r="Q78" s="76" t="str">
        <f>CONCATENATE(N$6,"-",Q$6)</f>
        <v>2012-2027</v>
      </c>
      <c r="S78" s="75" t="str">
        <f t="shared" si="156"/>
        <v>Change</v>
      </c>
      <c r="T78" s="75" t="str">
        <f t="shared" si="156"/>
        <v>Demand</v>
      </c>
      <c r="U78" s="75" t="str">
        <f t="shared" si="156"/>
        <v>Requirement</v>
      </c>
      <c r="W78" s="50" t="s">
        <v>14</v>
      </c>
      <c r="X78" s="76" t="str">
        <f>CONCATENATE(X$6,"-",Y$6)</f>
        <v>2007-2012</v>
      </c>
      <c r="Y78" s="76" t="str">
        <f>CONCATENATE(Y$6,"-",Z$6)</f>
        <v>2012-2017</v>
      </c>
      <c r="Z78" s="76" t="str">
        <f>CONCATENATE(Z$6,"-",AA$6)</f>
        <v>2017-2022</v>
      </c>
      <c r="AA78" s="76" t="str">
        <f>CONCATENATE(AA$6,"-",AB$6)</f>
        <v>2022-2027</v>
      </c>
      <c r="AB78" s="76" t="str">
        <f>CONCATENATE(Y$6,"-",AB$6)</f>
        <v>2012-2027</v>
      </c>
      <c r="AD78" s="75" t="str">
        <f t="shared" si="157"/>
        <v>Change</v>
      </c>
      <c r="AE78" s="75" t="str">
        <f t="shared" si="157"/>
        <v>Demand</v>
      </c>
      <c r="AF78" s="75" t="str">
        <f t="shared" si="157"/>
        <v>Requirement</v>
      </c>
      <c r="AH78" s="50" t="s">
        <v>14</v>
      </c>
      <c r="AI78" s="76" t="str">
        <f>CONCATENATE(AI$6,"-",AJ$6)</f>
        <v>2007-2012</v>
      </c>
      <c r="AJ78" s="76" t="str">
        <f>CONCATENATE(AJ$6,"-",AK$6)</f>
        <v>2012-2017</v>
      </c>
      <c r="AK78" s="76" t="str">
        <f>CONCATENATE(AK$6,"-",AL$6)</f>
        <v>2017-2022</v>
      </c>
      <c r="AL78" s="76" t="str">
        <f>CONCATENATE(AL$6,"-",AM$6)</f>
        <v>2022-2027</v>
      </c>
      <c r="AM78" s="76" t="str">
        <f>CONCATENATE(AJ$6,"-",AM$6)</f>
        <v>2012-2027</v>
      </c>
      <c r="AO78" s="75" t="str">
        <f t="shared" si="158"/>
        <v>Change</v>
      </c>
      <c r="AP78" s="75" t="str">
        <f t="shared" si="158"/>
        <v>Demand</v>
      </c>
      <c r="AQ78" s="75" t="str">
        <f t="shared" si="158"/>
        <v>Requirement</v>
      </c>
      <c r="AS78" s="50" t="s">
        <v>14</v>
      </c>
      <c r="AT78" s="76" t="str">
        <f>CONCATENATE(AT$6,"-",AU$6)</f>
        <v>2007-2012</v>
      </c>
      <c r="AU78" s="76" t="str">
        <f>CONCATENATE(AU$6,"-",AV$6)</f>
        <v>2012-2017</v>
      </c>
      <c r="AV78" s="76" t="str">
        <f>CONCATENATE(AV$6,"-",AW$6)</f>
        <v>2017-2022</v>
      </c>
      <c r="AW78" s="76" t="str">
        <f>CONCATENATE(AW$6,"-",AX$6)</f>
        <v>2022-2027</v>
      </c>
      <c r="AX78" s="76" t="str">
        <f>CONCATENATE(AU$6,"-",AX$6)</f>
        <v>2012-2027</v>
      </c>
      <c r="AZ78" s="75" t="str">
        <f t="shared" si="159"/>
        <v>Change</v>
      </c>
      <c r="BA78" s="75" t="str">
        <f t="shared" si="159"/>
        <v>Demand</v>
      </c>
      <c r="BB78" s="75" t="str">
        <f t="shared" si="159"/>
        <v>Requirement</v>
      </c>
      <c r="BD78" s="50" t="s">
        <v>14</v>
      </c>
      <c r="BE78" s="76" t="str">
        <f>CONCATENATE(BE$6,"-",BF$6)</f>
        <v>2007-2012</v>
      </c>
      <c r="BF78" s="76" t="str">
        <f>CONCATENATE(BF$6,"-",BG$6)</f>
        <v>2012-2017</v>
      </c>
      <c r="BG78" s="76" t="str">
        <f>CONCATENATE(BG$6,"-",BH$6)</f>
        <v>2017-2022</v>
      </c>
      <c r="BH78" s="76" t="str">
        <f>CONCATENATE(BH$6,"-",BI$6)</f>
        <v>2022-2027</v>
      </c>
      <c r="BI78" s="76" t="str">
        <f>CONCATENATE(BF$6,"-",BI$6)</f>
        <v>2012-2027</v>
      </c>
      <c r="BK78" s="75" t="str">
        <f t="shared" si="160"/>
        <v>Change</v>
      </c>
      <c r="BL78" s="75" t="str">
        <f t="shared" si="160"/>
        <v>Demand</v>
      </c>
      <c r="BM78" s="75" t="str">
        <f t="shared" si="160"/>
        <v>Requirement</v>
      </c>
      <c r="BO78" s="50" t="s">
        <v>14</v>
      </c>
      <c r="BP78" s="76" t="str">
        <f>CONCATENATE(BP$6,"-",BQ$6)</f>
        <v>2007-2012</v>
      </c>
      <c r="BQ78" s="76" t="str">
        <f>CONCATENATE(BQ$6,"-",BR$6)</f>
        <v>2012-2017</v>
      </c>
      <c r="BR78" s="76" t="str">
        <f>CONCATENATE(BR$6,"-",BS$6)</f>
        <v>2017-2022</v>
      </c>
      <c r="BS78" s="76" t="str">
        <f>CONCATENATE(BS$6,"-",BT$6)</f>
        <v>2022-2027</v>
      </c>
      <c r="BT78" s="76" t="str">
        <f>CONCATENATE(BQ$6,"-",BT$6)</f>
        <v>2012-2027</v>
      </c>
      <c r="BV78" s="75" t="str">
        <f t="shared" si="161"/>
        <v>Change</v>
      </c>
      <c r="BW78" s="75" t="str">
        <f t="shared" si="161"/>
        <v>Demand</v>
      </c>
      <c r="BX78" s="75" t="str">
        <f t="shared" si="161"/>
        <v>Requirement</v>
      </c>
      <c r="BZ78" s="50" t="s">
        <v>14</v>
      </c>
      <c r="CA78" s="76" t="str">
        <f>CONCATENATE(CA$6,"-",CB$6)</f>
        <v>2007-2012</v>
      </c>
      <c r="CB78" s="76" t="str">
        <f>CONCATENATE(CB$6,"-",CC$6)</f>
        <v>2012-2017</v>
      </c>
      <c r="CC78" s="76" t="str">
        <f>CONCATENATE(CC$6,"-",CD$6)</f>
        <v>2017-2022</v>
      </c>
      <c r="CD78" s="76" t="str">
        <f>CONCATENATE(CD$6,"-",CE$6)</f>
        <v>2022-2027</v>
      </c>
      <c r="CE78" s="76" t="str">
        <f>CONCATENATE(CB$6,"-",CE$6)</f>
        <v>2012-2027</v>
      </c>
      <c r="CF78" s="286"/>
      <c r="CG78" s="75" t="str">
        <f t="shared" si="162"/>
        <v>Change</v>
      </c>
      <c r="CH78" s="75" t="str">
        <f t="shared" si="162"/>
        <v>Demand</v>
      </c>
      <c r="CI78" s="75" t="str">
        <f t="shared" si="162"/>
        <v>Requirement</v>
      </c>
      <c r="CK78" s="50" t="s">
        <v>14</v>
      </c>
      <c r="CL78" s="76" t="str">
        <f>CONCATENATE(CL$6,"-",CM$6)</f>
        <v>2007-2012</v>
      </c>
      <c r="CM78" s="76" t="str">
        <f>CONCATENATE(CM$6,"-",CN$6)</f>
        <v>2012-2017</v>
      </c>
      <c r="CN78" s="76" t="str">
        <f>CONCATENATE(CN$6,"-",CO$6)</f>
        <v>2017-2022</v>
      </c>
      <c r="CO78" s="76" t="str">
        <f>CONCATENATE(CO$6,"-",CP$6)</f>
        <v>2022-2027</v>
      </c>
      <c r="CP78" s="76" t="str">
        <f>CONCATENATE(CM$6,"-",CP$6)</f>
        <v>2012-2027</v>
      </c>
      <c r="CR78" s="75" t="str">
        <f t="shared" si="163"/>
        <v>Change</v>
      </c>
      <c r="CS78" s="75" t="str">
        <f t="shared" si="163"/>
        <v>Demand</v>
      </c>
      <c r="CT78" s="75" t="str">
        <f t="shared" si="163"/>
        <v>Requirement</v>
      </c>
    </row>
    <row r="79" spans="1:98" x14ac:dyDescent="0.25">
      <c r="N79" s="286"/>
      <c r="Q79" s="286"/>
      <c r="Y79" s="286"/>
      <c r="AB79" s="286"/>
      <c r="BZ79" s="286"/>
      <c r="CA79" s="286"/>
      <c r="CB79" s="286"/>
      <c r="CC79" s="286"/>
      <c r="CD79" s="286"/>
      <c r="CE79" s="286"/>
      <c r="CF79" s="286"/>
    </row>
    <row r="80" spans="1:98" x14ac:dyDescent="0.25">
      <c r="A80" s="18" t="str">
        <f t="shared" ref="A80:A104" si="164">A8</f>
        <v xml:space="preserve"> 11 Corporate managers and directors</v>
      </c>
      <c r="B80" s="22">
        <f t="shared" ref="B80:E104" si="165">IF(AND(C$6-B$6 &lt;&gt; 0,B8&lt;&gt;0,C8&lt;&gt;0),(EXP(LN(C8/B8)/(C$6-B$6))-1)*100,0)</f>
        <v>1.9527891711452305</v>
      </c>
      <c r="C80" s="22">
        <f t="shared" si="165"/>
        <v>9.7881629225159408</v>
      </c>
      <c r="D80" s="22">
        <f t="shared" si="165"/>
        <v>3.7168672633939082</v>
      </c>
      <c r="E80" s="22">
        <f t="shared" si="165"/>
        <v>3.4272473360981603</v>
      </c>
      <c r="F80" s="22">
        <f t="shared" ref="F80:F104" si="166">IF(AND(F$6-C$6 &lt;&gt; 0,C8&lt;&gt;0,F8&lt;&gt;0),(EXP(LN(F8/C8)/(F$6-C$6))-1)*100,0)</f>
        <v>5.6039002784928682</v>
      </c>
      <c r="H80" s="22">
        <f>IF($F$6-$D$6 &lt;&gt; 0,(EXP(LN(1+(H44/100))/($F$6-$D$6))-1)*100,0)</f>
        <v>3.5719560661876537</v>
      </c>
      <c r="I80" s="22">
        <f>IF(D8&gt;0,((1+(I8/D8))^(1/($F$6-$D$6))-1)*100,0)</f>
        <v>3.6967179177744836</v>
      </c>
      <c r="J80" s="22">
        <f>IF($F$6-$D$6 &lt;&gt; 0,(EXP(LN(1+(J44/100))/($F$6-$D$6))-1)*100,0)</f>
        <v>6.3913581661293462</v>
      </c>
      <c r="L80" s="18" t="str">
        <f>A80</f>
        <v xml:space="preserve"> 11 Corporate managers and directors</v>
      </c>
      <c r="M80" s="22">
        <f t="shared" ref="M80:P104" si="167">IF(AND(N$6-M$6 &lt;&gt; 0,M8&lt;&gt;0,N8&lt;&gt;0),(EXP(LN(N8/M8)/(N$6-M$6))-1)*100,0)</f>
        <v>3.7797178973894452</v>
      </c>
      <c r="N80" s="22">
        <f t="shared" si="167"/>
        <v>8.9196244437583125</v>
      </c>
      <c r="O80" s="22">
        <f t="shared" si="167"/>
        <v>3.3518215638761006</v>
      </c>
      <c r="P80" s="22">
        <f t="shared" si="167"/>
        <v>3.1619351498928916</v>
      </c>
      <c r="Q80" s="22">
        <f t="shared" ref="Q80:Q104" si="168">IF(AND(Q$6-N$6 &lt;&gt; 0,N8&lt;&gt;0,Q8&lt;&gt;0),(EXP(LN(Q8/N8)/(Q$6-N$6))-1)*100,0)</f>
        <v>5.1109392678833965</v>
      </c>
      <c r="S80" s="22">
        <f>IF($F$6-$D$6 &lt;&gt; 0,(EXP(LN(1+(S44/100))/($F$6-$D$6))-1)*100,0)</f>
        <v>3.2568347074220849</v>
      </c>
      <c r="T80" s="22">
        <f>IF(O8&gt;0,((1+(T8/O8))^(1/($F$6-$D$6))-1)*100,0)</f>
        <v>3.6706704706536364</v>
      </c>
      <c r="U80" s="22">
        <f>IF($F$6-$D$6 &lt;&gt; 0,(EXP(LN(1+(U44/100))/($F$6-$D$6))-1)*100,0)</f>
        <v>6.1235953782160513</v>
      </c>
      <c r="W80" s="18" t="str">
        <f>A80</f>
        <v xml:space="preserve"> 11 Corporate managers and directors</v>
      </c>
      <c r="X80" s="22">
        <f t="shared" ref="X80:AA104" si="169">IF(AND(Y$6-X$6 &lt;&gt; 0,X8&lt;&gt;0,Y8&lt;&gt;0),(EXP(LN(Y8/X8)/(Y$6-X$6))-1)*100,0)</f>
        <v>5.9707655500787826</v>
      </c>
      <c r="Y80" s="22">
        <f t="shared" si="169"/>
        <v>4.0248563866145171</v>
      </c>
      <c r="Z80" s="22">
        <f t="shared" si="169"/>
        <v>4.6048055774360108</v>
      </c>
      <c r="AA80" s="22">
        <f t="shared" si="169"/>
        <v>2.3730834655438793</v>
      </c>
      <c r="AB80" s="22">
        <f t="shared" ref="AB80:AB104" si="170">IF(AND(AB$6-Y$6 &lt;&gt; 0,Y8&lt;&gt;0,AB8&lt;&gt;0),(EXP(LN(AB8/Y8)/(AB$6-Y$6))-1)*100,0)</f>
        <v>3.6632567127208082</v>
      </c>
      <c r="AD80" s="22">
        <f>IF($F$6-$D$6 &lt;&gt; 0,(EXP(LN(1+(AD44/100))/($F$6-$D$6))-1)*100,0)</f>
        <v>3.4829285064732041</v>
      </c>
      <c r="AE80" s="22">
        <f>IF(Z8&gt;0,((1+(AE8/Z8))^(1/($F$6-$D$6))-1)*100,0)</f>
        <v>4.0735346014202811</v>
      </c>
      <c r="AF80" s="22">
        <f>IF($F$6-$D$6 &lt;&gt; 0,(EXP(LN(1+(AF44/100))/($F$6-$D$6))-1)*100,0)</f>
        <v>6.6234920325848323</v>
      </c>
      <c r="AH80" s="18" t="str">
        <f>L80</f>
        <v xml:space="preserve"> 11 Corporate managers and directors</v>
      </c>
      <c r="AI80" s="22">
        <f t="shared" ref="AI80:AL104" si="171">IF(AND(AJ$6-AI$6 &lt;&gt; 0,AI8&lt;&gt;0,AJ8&lt;&gt;0),(EXP(LN(AJ8/AI8)/(AJ$6-AI$6))-1)*100,0)</f>
        <v>1.0152902989048584</v>
      </c>
      <c r="AJ80" s="22">
        <f t="shared" si="171"/>
        <v>1.0339300657978834</v>
      </c>
      <c r="AK80" s="22">
        <f t="shared" si="171"/>
        <v>2.4758070402697729</v>
      </c>
      <c r="AL80" s="22">
        <f t="shared" si="171"/>
        <v>1.4622742955821666</v>
      </c>
      <c r="AM80" s="22">
        <f t="shared" ref="AM80:AM104" si="172">IF(AND(AM$6-AJ$6 &lt;&gt; 0,AJ8&lt;&gt;0,AM8&lt;&gt;0),(EXP(LN(AM8/AJ8)/(AM$6-AJ$6))-1)*100,0)</f>
        <v>1.6555424772745297</v>
      </c>
      <c r="AO80" s="22">
        <f>IF($F$6-$D$6 &lt;&gt; 0,(EXP(LN(1+(AO44/100))/($F$6-$D$6))-1)*100,0)</f>
        <v>1.9677813948160816</v>
      </c>
      <c r="AP80" s="22">
        <f>IF(AK8&gt;0,((1+(AP8/AK8))^(1/($F$6-$D$6))-1)*100,0)</f>
        <v>3.5028296825714067</v>
      </c>
      <c r="AQ80" s="22">
        <f>IF($F$6-$D$6 &lt;&gt; 0,(EXP(LN(1+(AQ44/100))/($F$6-$D$6))-1)*100,0)</f>
        <v>4.9821907259317788</v>
      </c>
      <c r="AS80" s="18" t="str">
        <f>W80</f>
        <v xml:space="preserve"> 11 Corporate managers and directors</v>
      </c>
      <c r="AT80" s="22">
        <f t="shared" ref="AT80:AW104" si="173">IF(AND(AU$6-AT$6 &lt;&gt; 0,AT8&lt;&gt;0,AU8&lt;&gt;0),(EXP(LN(AU8/AT8)/(AU$6-AT$6))-1)*100,0)</f>
        <v>2.0236789354101559</v>
      </c>
      <c r="AU80" s="22">
        <f t="shared" si="173"/>
        <v>2.1099093875479813</v>
      </c>
      <c r="AV80" s="22">
        <f t="shared" si="173"/>
        <v>3.2284862250196111</v>
      </c>
      <c r="AW80" s="22">
        <f t="shared" si="173"/>
        <v>1.5778629629388918</v>
      </c>
      <c r="AX80" s="22">
        <f t="shared" ref="AX80:AX104" si="174">IF(AND(AX$6-AU$6 &lt;&gt; 0,AU8&lt;&gt;0,AX8&lt;&gt;0),(EXP(LN(AX8/AU8)/(AX$6-AU$6))-1)*100,0)</f>
        <v>2.3031109475276645</v>
      </c>
      <c r="AZ80" s="22">
        <f>IF($F$6-$D$6 &lt;&gt; 0,(EXP(LN(1+(AZ44/100))/($F$6-$D$6))-1)*100,0)</f>
        <v>2.399848767645496</v>
      </c>
      <c r="BA80" s="22">
        <f>IF(AV8&gt;0,((1+(BA8/AV8))^(1/($F$6-$D$6))-1)*100,0)</f>
        <v>3.6184164341810598</v>
      </c>
      <c r="BB80" s="22">
        <f>IF($F$6-$D$6 &lt;&gt; 0,(EXP(LN(1+(BB44/100))/($F$6-$D$6))-1)*100,0)</f>
        <v>5.4151305421013873</v>
      </c>
      <c r="BD80" s="18" t="str">
        <f>AH80</f>
        <v xml:space="preserve"> 11 Corporate managers and directors</v>
      </c>
      <c r="BE80" s="22">
        <f t="shared" ref="BE80:BH104" si="175">IF(AND(BF$6-BE$6 &lt;&gt; 0,BE8&lt;&gt;0,BF8&lt;&gt;0),(EXP(LN(BF8/BE8)/(BF$6-BE$6))-1)*100,0)</f>
        <v>0.13134571806818762</v>
      </c>
      <c r="BF80" s="22">
        <f t="shared" si="175"/>
        <v>3.3426552983322644</v>
      </c>
      <c r="BG80" s="22">
        <f t="shared" si="175"/>
        <v>-1.8513461519992336</v>
      </c>
      <c r="BH80" s="22">
        <f t="shared" si="175"/>
        <v>-0.77470151897383044</v>
      </c>
      <c r="BI80" s="22">
        <f t="shared" ref="BI80:BI104" si="176">IF(AND(BI$6-BF$6 &lt;&gt; 0,BF8&lt;&gt;0,BI8&lt;&gt;0),(EXP(LN(BI8/BF8)/(BI$6-BF$6))-1)*100,0)</f>
        <v>0.21409123225633042</v>
      </c>
      <c r="BK80" s="22">
        <f>IF($F$6-$D$6 &lt;&gt; 0,(EXP(LN(1+(BK44/100))/($F$6-$D$6))-1)*100,0)</f>
        <v>-1.3144920792379278</v>
      </c>
      <c r="BL80" s="22">
        <f>IF(BG8&gt;0,((1+(BL8/BG8))^(1/($F$6-$D$6))-1)*100,0)</f>
        <v>2.4837076844919093</v>
      </c>
      <c r="BM80" s="22">
        <f>IF($F$6-$D$6 &lt;&gt; 0,(EXP(LN(1+(BM44/100))/($F$6-$D$6))-1)*100,0)</f>
        <v>1.4436265109412316</v>
      </c>
      <c r="BO80" s="18" t="str">
        <f>AS80</f>
        <v xml:space="preserve"> 11 Corporate managers and directors</v>
      </c>
      <c r="BP80" s="22">
        <f t="shared" ref="BP80:BS104" si="177">IF(AND(BQ$6-BP$6 &lt;&gt; 0,BP8&lt;&gt;0,BQ8&lt;&gt;0),(EXP(LN(BQ8/BP8)/(BQ$6-BP$6))-1)*100,0)</f>
        <v>-1.0593263505614514</v>
      </c>
      <c r="BQ80" s="22">
        <f t="shared" si="177"/>
        <v>1.4004113041524713</v>
      </c>
      <c r="BR80" s="22">
        <f t="shared" si="177"/>
        <v>-2.371868184569581</v>
      </c>
      <c r="BS80" s="22">
        <f t="shared" si="177"/>
        <v>-1.6123009692145862</v>
      </c>
      <c r="BT80" s="22">
        <f t="shared" ref="BT80:BT104" si="178">IF(AND(BT$6-BQ$6 &lt;&gt; 0,BQ8&lt;&gt;0,BT8&lt;&gt;0),(EXP(LN(BT8/BQ8)/(BT$6-BQ$6))-1)*100,0)</f>
        <v>-0.87455123920061606</v>
      </c>
      <c r="BV80" s="22">
        <f>IF($F$6-$D$6 &lt;&gt; 0,(EXP(LN(1+(BV44/100))/($F$6-$D$6))-1)*100,0)</f>
        <v>-1.9928204160816865</v>
      </c>
      <c r="BW80" s="22">
        <f>IF(BR8&gt;0,((1+(BW8/BR8))^(1/($F$6-$D$6))-1)*100,0)</f>
        <v>2.4718200871145957</v>
      </c>
      <c r="BX80" s="22">
        <f>IF($F$6-$D$6 &lt;&gt; 0,(EXP(LN(1+(BX44/100))/($F$6-$D$6))-1)*100,0)</f>
        <v>0.9046793546132692</v>
      </c>
      <c r="BZ80" s="18" t="str">
        <f>BD80</f>
        <v xml:space="preserve"> 11 Corporate managers and directors</v>
      </c>
      <c r="CA80" s="22">
        <f t="shared" ref="CA80:CD104" si="179">IF(AND(CB$6-CA$6 &lt;&gt; 0,CA8&lt;&gt;0,CB8&lt;&gt;0),(EXP(LN(CB8/CA8)/(CB$6-CA$6))-1)*100,0)</f>
        <v>-2.4909419323673632</v>
      </c>
      <c r="CB80" s="22">
        <f t="shared" si="179"/>
        <v>2.7359376492632315</v>
      </c>
      <c r="CC80" s="22">
        <f t="shared" si="179"/>
        <v>-3.2049441552359448</v>
      </c>
      <c r="CD80" s="22">
        <f t="shared" si="179"/>
        <v>-1.6825390870001899</v>
      </c>
      <c r="CE80" s="22">
        <f t="shared" ref="CE80:CE104" si="180">IF(AND(CE$6-CB$6 &lt;&gt; 0,CB8&lt;&gt;0,CE8&lt;&gt;0),(EXP(LN(CE8/CB8)/(CE$6-CB$6))-1)*100,0)</f>
        <v>-0.74888235135763814</v>
      </c>
      <c r="CF80" s="286"/>
      <c r="CG80" s="22">
        <f>IF($F$6-$D$6 &lt;&gt; 0,(EXP(LN(1+(CG44/100))/($F$6-$D$6))-1)*100,0)</f>
        <v>-2.4467113850628608</v>
      </c>
      <c r="CH80" s="22">
        <f>IF(CC8&gt;0,((1+(CH8/CC8))^(1/($F$6-$D$6))-1)*100,0)</f>
        <v>2.261708871765955</v>
      </c>
      <c r="CI80" s="22">
        <f>IF($F$6-$D$6 &lt;&gt; 0,(EXP(LN(1+(CI44/100))/($F$6-$D$6))-1)*100,0)</f>
        <v>0.30787686855775487</v>
      </c>
      <c r="CK80" s="18" t="str">
        <f>BO80</f>
        <v xml:space="preserve"> 11 Corporate managers and directors</v>
      </c>
      <c r="CL80" s="22">
        <f t="shared" ref="CL80:CO104" si="181">IF(AND(CM$6-CL$6 &lt;&gt; 0,CL8&lt;&gt;0,CM8&lt;&gt;0),(EXP(LN(CM8/CL8)/(CM$6-CL$6))-1)*100,0)</f>
        <v>-5.1963430034285825</v>
      </c>
      <c r="CM80" s="22">
        <f t="shared" si="181"/>
        <v>-1.4512606404540662</v>
      </c>
      <c r="CN80" s="22">
        <f t="shared" si="181"/>
        <v>-5.5272371162276013</v>
      </c>
      <c r="CO80" s="22">
        <f t="shared" si="181"/>
        <v>0.57760014787311409</v>
      </c>
      <c r="CP80" s="22">
        <f t="shared" ref="CP80:CP104" si="182">IF(AND(CP$6-CM$6 &lt;&gt; 0,CM8&lt;&gt;0,CP8&lt;&gt;0),(EXP(LN(CP8/CM8)/(CP$6-CM$6))-1)*100,0)</f>
        <v>-2.1667863604675097</v>
      </c>
      <c r="CR80" s="22">
        <f>IF($F$6-$D$6 &lt;&gt; 0,(EXP(LN(1+(CR44/100))/($F$6-$D$6))-1)*100,0)</f>
        <v>-2.5225986692870017</v>
      </c>
      <c r="CS80" s="22">
        <f>IF(CN8&gt;0,((1+(CS8/CN8))^(1/($F$6-$D$6))-1)*100,0)</f>
        <v>1.6608645806627909</v>
      </c>
      <c r="CT80" s="22">
        <f>IF($F$6-$D$6 &lt;&gt; 0,(EXP(LN(1+(CT44/100))/($F$6-$D$6))-1)*100,0)</f>
        <v>-0.47400629938552097</v>
      </c>
    </row>
    <row r="81" spans="1:98" x14ac:dyDescent="0.25">
      <c r="A81" s="18" t="str">
        <f t="shared" si="164"/>
        <v xml:space="preserve"> 12 Other managers and proprietors</v>
      </c>
      <c r="B81" s="22">
        <f t="shared" si="165"/>
        <v>30.745381824297024</v>
      </c>
      <c r="C81" s="22">
        <f t="shared" si="165"/>
        <v>8.7141267301658267</v>
      </c>
      <c r="D81" s="22">
        <f t="shared" si="165"/>
        <v>4.6945208021940577</v>
      </c>
      <c r="E81" s="22">
        <f t="shared" si="165"/>
        <v>3.5721589216827221</v>
      </c>
      <c r="F81" s="22">
        <f t="shared" si="166"/>
        <v>5.6373881078424226</v>
      </c>
      <c r="H81" s="22">
        <f t="shared" ref="H81:H106" si="183">IF($F$6-$D$6 &lt;&gt; 0,(EXP(LN(1+(H45/100))/($F$6-$D$6))-1)*100,0)</f>
        <v>4.1318277317471397</v>
      </c>
      <c r="I81" s="22">
        <f t="shared" ref="I81:I106" si="184">IF(D9&gt;0,((1+(I9/D9))^(1/($F$6-$D$6))-1)*100,0)</f>
        <v>4.3332020491581691</v>
      </c>
      <c r="J81" s="22">
        <f t="shared" ref="J81:J106" si="185">IF($F$6-$D$6 &lt;&gt; 0,(EXP(LN(1+(J45/100))/($F$6-$D$6))-1)*100,0)</f>
        <v>7.3236725267523894</v>
      </c>
      <c r="L81" s="18" t="str">
        <f t="shared" ref="L81:L104" si="186">A81</f>
        <v xml:space="preserve"> 12 Other managers and proprietors</v>
      </c>
      <c r="M81" s="22">
        <f t="shared" si="167"/>
        <v>7.6607286572045963</v>
      </c>
      <c r="N81" s="22">
        <f t="shared" si="167"/>
        <v>8.0805698635955778</v>
      </c>
      <c r="O81" s="22">
        <f t="shared" si="167"/>
        <v>4.1390755976212334</v>
      </c>
      <c r="P81" s="22">
        <f t="shared" si="167"/>
        <v>2.9780879968449137</v>
      </c>
      <c r="Q81" s="22">
        <f t="shared" si="168"/>
        <v>5.0433884744224278</v>
      </c>
      <c r="S81" s="22">
        <f t="shared" ref="S81:S106" si="187">IF($F$6-$D$6 &lt;&gt; 0,(EXP(LN(1+(S45/100))/($F$6-$D$6))-1)*100,0)</f>
        <v>3.5569548161876074</v>
      </c>
      <c r="T81" s="22">
        <f t="shared" ref="T81:T104" si="188">IF(O9&gt;0,((1+(T9/O9))^(1/($F$6-$D$6))-1)*100,0)</f>
        <v>4.1979624384458791</v>
      </c>
      <c r="U81" s="22">
        <f t="shared" ref="U81:U106" si="189">IF($F$6-$D$6 &lt;&gt; 0,(EXP(LN(1+(U45/100))/($F$6-$D$6))-1)*100,0)</f>
        <v>6.7798117521888912</v>
      </c>
      <c r="W81" s="18" t="str">
        <f t="shared" ref="W81:W104" si="190">A81</f>
        <v xml:space="preserve"> 12 Other managers and proprietors</v>
      </c>
      <c r="X81" s="22">
        <f t="shared" si="169"/>
        <v>9.1335552434260059</v>
      </c>
      <c r="Y81" s="22">
        <f t="shared" si="169"/>
        <v>3.170857003739469</v>
      </c>
      <c r="Z81" s="22">
        <f t="shared" si="169"/>
        <v>4.9084084980065112</v>
      </c>
      <c r="AA81" s="22">
        <f t="shared" si="169"/>
        <v>2.3146458310899343</v>
      </c>
      <c r="AB81" s="22">
        <f t="shared" si="170"/>
        <v>3.4590248507935906</v>
      </c>
      <c r="AD81" s="22">
        <f t="shared" ref="AD81:AD106" si="191">IF($F$6-$D$6 &lt;&gt; 0,(EXP(LN(1+(AD45/100))/($F$6-$D$6))-1)*100,0)</f>
        <v>3.6034104659534938</v>
      </c>
      <c r="AE81" s="22">
        <f t="shared" ref="AE81:AE104" si="192">IF(Z9&gt;0,((1+(AE9/Z9))^(1/($F$6-$D$6))-1)*100,0)</f>
        <v>4.5419660244747639</v>
      </c>
      <c r="AF81" s="22">
        <f t="shared" ref="AF81:AF106" si="193">IF($F$6-$D$6 &lt;&gt; 0,(EXP(LN(1+(AF45/100))/($F$6-$D$6))-1)*100,0)</f>
        <v>7.0911502099064938</v>
      </c>
      <c r="AH81" s="18" t="str">
        <f t="shared" ref="AH81:AH104" si="194">L81</f>
        <v xml:space="preserve"> 12 Other managers and proprietors</v>
      </c>
      <c r="AI81" s="22">
        <f t="shared" si="171"/>
        <v>2.7831832520215816</v>
      </c>
      <c r="AJ81" s="22">
        <f t="shared" si="171"/>
        <v>2.4649955410889213</v>
      </c>
      <c r="AK81" s="22">
        <f t="shared" si="171"/>
        <v>4.5634209464539666</v>
      </c>
      <c r="AL81" s="22">
        <f t="shared" si="171"/>
        <v>2.1984885015600142</v>
      </c>
      <c r="AM81" s="22">
        <f t="shared" si="172"/>
        <v>3.0702336449057954</v>
      </c>
      <c r="AO81" s="22">
        <f t="shared" ref="AO81:AO106" si="195">IF($F$6-$D$6 &lt;&gt; 0,(EXP(LN(1+(AO45/100))/($F$6-$D$6))-1)*100,0)</f>
        <v>3.3741920078699028</v>
      </c>
      <c r="AP81" s="22">
        <f t="shared" ref="AP81:AP104" si="196">IF(AK9&gt;0,((1+(AP9/AK9))^(1/($F$6-$D$6))-1)*100,0)</f>
        <v>4.4971227626829924</v>
      </c>
      <c r="AQ81" s="22">
        <f t="shared" ref="AQ81:AQ106" si="197">IF($F$6-$D$6 &lt;&gt; 0,(EXP(LN(1+(AQ45/100))/($F$6-$D$6))-1)*100,0)</f>
        <v>6.8848723639215459</v>
      </c>
      <c r="AS81" s="18" t="str">
        <f t="shared" ref="AS81:AS104" si="198">W81</f>
        <v xml:space="preserve"> 12 Other managers and proprietors</v>
      </c>
      <c r="AT81" s="22">
        <f t="shared" si="173"/>
        <v>4.7907987448575495</v>
      </c>
      <c r="AU81" s="22">
        <f t="shared" si="173"/>
        <v>2.3744515431481261</v>
      </c>
      <c r="AV81" s="22">
        <f t="shared" si="173"/>
        <v>4.2698285488679266</v>
      </c>
      <c r="AW81" s="22">
        <f t="shared" si="173"/>
        <v>1.6541616075273824</v>
      </c>
      <c r="AX81" s="22">
        <f t="shared" si="174"/>
        <v>2.7602463637914409</v>
      </c>
      <c r="AZ81" s="22">
        <f t="shared" ref="AZ81:AZ106" si="199">IF($F$6-$D$6 &lt;&gt; 0,(EXP(LN(1+(AZ45/100))/($F$6-$D$6))-1)*100,0)</f>
        <v>2.9536886279252883</v>
      </c>
      <c r="BA81" s="22">
        <f t="shared" ref="BA81:BA104" si="200">IF(AV9&gt;0,((1+(BA9/AV9))^(1/($F$6-$D$6))-1)*100,0)</f>
        <v>4.2127490333053519</v>
      </c>
      <c r="BB81" s="22">
        <f t="shared" ref="BB81:BB106" si="201">IF($F$6-$D$6 &lt;&gt; 0,(EXP(LN(1+(BB45/100))/($F$6-$D$6))-1)*100,0)</f>
        <v>6.3374990255134378</v>
      </c>
      <c r="BD81" s="18" t="str">
        <f t="shared" ref="BD81:BD104" si="202">AH81</f>
        <v xml:space="preserve"> 12 Other managers and proprietors</v>
      </c>
      <c r="BE81" s="22">
        <f t="shared" si="175"/>
        <v>0.21846370156513029</v>
      </c>
      <c r="BF81" s="22">
        <f t="shared" si="175"/>
        <v>1.2046898722726684</v>
      </c>
      <c r="BG81" s="22">
        <f t="shared" si="175"/>
        <v>-2.3713529476967476</v>
      </c>
      <c r="BH81" s="22">
        <f t="shared" si="175"/>
        <v>-1.7622202858708524</v>
      </c>
      <c r="BI81" s="22">
        <f t="shared" si="176"/>
        <v>-0.98853590409780923</v>
      </c>
      <c r="BK81" s="22">
        <f t="shared" ref="BK81:BK106" si="203">IF($F$6-$D$6 &lt;&gt; 0,(EXP(LN(1+(BK45/100))/($F$6-$D$6))-1)*100,0)</f>
        <v>-2.0672602093016468</v>
      </c>
      <c r="BL81" s="22">
        <f t="shared" ref="BL81:BL104" si="204">IF(BG9&gt;0,((1+(BL9/BG9))^(1/($F$6-$D$6))-1)*100,0)</f>
        <v>2.6451655547391262</v>
      </c>
      <c r="BM81" s="22">
        <f t="shared" ref="BM81:BM106" si="205">IF($F$6-$D$6 &lt;&gt; 0,(EXP(LN(1+(BM45/100))/($F$6-$D$6))-1)*100,0)</f>
        <v>1.0473530570999534</v>
      </c>
      <c r="BO81" s="18" t="str">
        <f t="shared" ref="BO81:BO104" si="206">AS81</f>
        <v xml:space="preserve"> 12 Other managers and proprietors</v>
      </c>
      <c r="BP81" s="22">
        <f t="shared" si="177"/>
        <v>1.3166479231427664</v>
      </c>
      <c r="BQ81" s="22">
        <f t="shared" si="177"/>
        <v>1.09927167020476</v>
      </c>
      <c r="BR81" s="22">
        <f t="shared" si="177"/>
        <v>-1.1117800381435172</v>
      </c>
      <c r="BS81" s="22">
        <f t="shared" si="177"/>
        <v>-0.64812069973245734</v>
      </c>
      <c r="BT81" s="22">
        <f t="shared" si="178"/>
        <v>-0.22473476927975522</v>
      </c>
      <c r="BV81" s="22">
        <f t="shared" ref="BV81:BV106" si="207">IF($F$6-$D$6 &lt;&gt; 0,(EXP(LN(1+(BV45/100))/($F$6-$D$6))-1)*100,0)</f>
        <v>-0.88022147992524724</v>
      </c>
      <c r="BW81" s="22">
        <f t="shared" ref="BW81:BW104" si="208">IF(BR9&gt;0,((1+(BW9/BR9))^(1/($F$6-$D$6))-1)*100,0)</f>
        <v>3.1029923478252064</v>
      </c>
      <c r="BX81" s="22">
        <f t="shared" ref="BX81:BX106" si="209">IF($F$6-$D$6 &lt;&gt; 0,(EXP(LN(1+(BX45/100))/($F$6-$D$6))-1)*100,0)</f>
        <v>2.4415125394336323</v>
      </c>
      <c r="BZ81" s="18" t="str">
        <f t="shared" ref="BZ81:BZ104" si="210">BD81</f>
        <v xml:space="preserve"> 12 Other managers and proprietors</v>
      </c>
      <c r="CA81" s="22">
        <f t="shared" si="179"/>
        <v>-1.6124683250013705</v>
      </c>
      <c r="CB81" s="22">
        <f t="shared" si="179"/>
        <v>1.5710291559122291</v>
      </c>
      <c r="CC81" s="22">
        <f t="shared" si="179"/>
        <v>-4.2597067712333292</v>
      </c>
      <c r="CD81" s="22">
        <f t="shared" si="179"/>
        <v>-3.1569387352811007</v>
      </c>
      <c r="CE81" s="22">
        <f t="shared" si="180"/>
        <v>-1.9808259849487087</v>
      </c>
      <c r="CF81" s="286"/>
      <c r="CG81" s="22">
        <f t="shared" ref="CG81:CG106" si="211">IF($F$6-$D$6 &lt;&gt; 0,(EXP(LN(1+(CG45/100))/($F$6-$D$6))-1)*100,0)</f>
        <v>-3.7099014298167643</v>
      </c>
      <c r="CH81" s="22">
        <f t="shared" ref="CH81:CH104" si="212">IF(CC9&gt;0,((1+(CH9/CC9))^(1/($F$6-$D$6))-1)*100,0)</f>
        <v>2.2839985690515929</v>
      </c>
      <c r="CI81" s="22">
        <f t="shared" ref="CI81:CI106" si="213">IF($F$6-$D$6 &lt;&gt; 0,(EXP(LN(1+(CI45/100))/($F$6-$D$6))-1)*100,0)</f>
        <v>-0.63206128637618431</v>
      </c>
      <c r="CK81" s="18" t="str">
        <f t="shared" ref="CK81:CK104" si="214">BO81</f>
        <v xml:space="preserve"> 12 Other managers and proprietors</v>
      </c>
      <c r="CL81" s="22">
        <f t="shared" si="181"/>
        <v>-2.8266986065895949</v>
      </c>
      <c r="CM81" s="22">
        <f t="shared" si="181"/>
        <v>-1.1310865608312182</v>
      </c>
      <c r="CN81" s="22">
        <f t="shared" si="181"/>
        <v>-5.7661442469364665</v>
      </c>
      <c r="CO81" s="22">
        <f t="shared" si="181"/>
        <v>8.2297770932093783E-2</v>
      </c>
      <c r="CP81" s="22">
        <f t="shared" si="182"/>
        <v>-2.3044767049530512</v>
      </c>
      <c r="CR81" s="22">
        <f t="shared" ref="CR81:CR106" si="215">IF($F$6-$D$6 &lt;&gt; 0,(EXP(LN(1+(CR45/100))/($F$6-$D$6))-1)*100,0)</f>
        <v>-2.8859391664566081</v>
      </c>
      <c r="CS81" s="22">
        <f t="shared" ref="CS81:CS104" si="216">IF(CN9&gt;0,((1+(CS9/CN9))^(1/($F$6-$D$6))-1)*100,0)</f>
        <v>1.7956880821968779</v>
      </c>
      <c r="CT81" s="22">
        <f t="shared" ref="CT81:CT106" si="217">IF($F$6-$D$6 &lt;&gt; 0,(EXP(LN(1+(CT45/100))/($F$6-$D$6))-1)*100,0)</f>
        <v>-0.6069353368505559</v>
      </c>
    </row>
    <row r="82" spans="1:98" x14ac:dyDescent="0.25">
      <c r="A82" s="18" t="str">
        <f t="shared" si="164"/>
        <v xml:space="preserve"> 21 Science, research, engineering and technology professionals</v>
      </c>
      <c r="B82" s="22">
        <f t="shared" si="165"/>
        <v>5.6777001798816285</v>
      </c>
      <c r="C82" s="22">
        <f t="shared" si="165"/>
        <v>8.2110059500531065</v>
      </c>
      <c r="D82" s="22">
        <f t="shared" si="165"/>
        <v>2.2821662978729673</v>
      </c>
      <c r="E82" s="22">
        <f t="shared" si="165"/>
        <v>2.1027544866950132</v>
      </c>
      <c r="F82" s="22">
        <f t="shared" si="166"/>
        <v>4.1604714235491169</v>
      </c>
      <c r="H82" s="22">
        <f t="shared" si="183"/>
        <v>2.1924210197558303</v>
      </c>
      <c r="I82" s="22">
        <f t="shared" si="184"/>
        <v>2.5616053012231133</v>
      </c>
      <c r="J82" s="22">
        <f t="shared" si="185"/>
        <v>4.344302152765489</v>
      </c>
      <c r="L82" s="18" t="str">
        <f t="shared" si="186"/>
        <v xml:space="preserve"> 21 Science, research, engineering and technology professionals</v>
      </c>
      <c r="M82" s="22">
        <f t="shared" si="167"/>
        <v>3.6556795837918266</v>
      </c>
      <c r="N82" s="22">
        <f t="shared" si="167"/>
        <v>9.78337951956021</v>
      </c>
      <c r="O82" s="22">
        <f t="shared" si="167"/>
        <v>2.8841992156803498</v>
      </c>
      <c r="P82" s="22">
        <f t="shared" si="167"/>
        <v>2.8437307885379903</v>
      </c>
      <c r="Q82" s="22">
        <f t="shared" si="168"/>
        <v>5.120568299464856</v>
      </c>
      <c r="S82" s="22">
        <f t="shared" si="187"/>
        <v>2.863963011988524</v>
      </c>
      <c r="T82" s="22">
        <f t="shared" si="188"/>
        <v>2.7479827185788785</v>
      </c>
      <c r="U82" s="22">
        <f t="shared" si="189"/>
        <v>5.0564000224386563</v>
      </c>
      <c r="W82" s="18" t="str">
        <f t="shared" si="190"/>
        <v xml:space="preserve"> 21 Science, research, engineering and technology professionals</v>
      </c>
      <c r="X82" s="22">
        <f t="shared" si="169"/>
        <v>4.9319223265140488</v>
      </c>
      <c r="Y82" s="22">
        <f t="shared" si="169"/>
        <v>2.4389292936727092</v>
      </c>
      <c r="Z82" s="22">
        <f t="shared" si="169"/>
        <v>2.6100890193299087</v>
      </c>
      <c r="AA82" s="22">
        <f t="shared" si="169"/>
        <v>1.0938903507763609</v>
      </c>
      <c r="AB82" s="22">
        <f t="shared" si="170"/>
        <v>2.0453770817659089</v>
      </c>
      <c r="AD82" s="22">
        <f t="shared" si="191"/>
        <v>1.8491683235731582</v>
      </c>
      <c r="AE82" s="22">
        <f t="shared" si="192"/>
        <v>2.6743797125738489</v>
      </c>
      <c r="AF82" s="22">
        <f t="shared" si="193"/>
        <v>4.159599457174612</v>
      </c>
      <c r="AH82" s="18" t="str">
        <f t="shared" si="194"/>
        <v xml:space="preserve"> 21 Science, research, engineering and technology professionals</v>
      </c>
      <c r="AI82" s="22">
        <f t="shared" si="171"/>
        <v>-4.7441207888321291E-2</v>
      </c>
      <c r="AJ82" s="22">
        <f t="shared" si="171"/>
        <v>-0.13759152566278354</v>
      </c>
      <c r="AK82" s="22">
        <f t="shared" si="171"/>
        <v>2.163125610343708</v>
      </c>
      <c r="AL82" s="22">
        <f t="shared" si="171"/>
        <v>1.2548786555389491</v>
      </c>
      <c r="AM82" s="22">
        <f t="shared" si="172"/>
        <v>1.0890359892436585</v>
      </c>
      <c r="AO82" s="22">
        <f t="shared" si="195"/>
        <v>1.7079883133372054</v>
      </c>
      <c r="AP82" s="22">
        <f t="shared" si="196"/>
        <v>2.5779261540489262</v>
      </c>
      <c r="AQ82" s="22">
        <f t="shared" si="197"/>
        <v>3.958811455794975</v>
      </c>
      <c r="AS82" s="18" t="str">
        <f t="shared" si="198"/>
        <v xml:space="preserve"> 21 Science, research, engineering and technology professionals</v>
      </c>
      <c r="AT82" s="22">
        <f t="shared" si="173"/>
        <v>2.2939091351301899</v>
      </c>
      <c r="AU82" s="22">
        <f t="shared" si="173"/>
        <v>0.45862466718959993</v>
      </c>
      <c r="AV82" s="22">
        <f t="shared" si="173"/>
        <v>0.87209821433646972</v>
      </c>
      <c r="AW82" s="22">
        <f t="shared" si="173"/>
        <v>-0.41987426280704065</v>
      </c>
      <c r="AX82" s="22">
        <f t="shared" si="174"/>
        <v>0.30216740223925065</v>
      </c>
      <c r="AZ82" s="22">
        <f t="shared" si="199"/>
        <v>0.22403017020471427</v>
      </c>
      <c r="BA82" s="22">
        <f t="shared" si="200"/>
        <v>2.2800010607601617</v>
      </c>
      <c r="BB82" s="22">
        <f t="shared" si="201"/>
        <v>2.4632612273161492</v>
      </c>
      <c r="BD82" s="18" t="str">
        <f t="shared" si="202"/>
        <v xml:space="preserve"> 21 Science, research, engineering and technology professionals</v>
      </c>
      <c r="BE82" s="22">
        <f t="shared" si="175"/>
        <v>-0.27012194080711094</v>
      </c>
      <c r="BF82" s="22">
        <f t="shared" si="175"/>
        <v>1.8672905729181677</v>
      </c>
      <c r="BG82" s="22">
        <f t="shared" si="175"/>
        <v>-3.9994329130348283</v>
      </c>
      <c r="BH82" s="22">
        <f t="shared" si="175"/>
        <v>-2.6931408524925038</v>
      </c>
      <c r="BI82" s="22">
        <f t="shared" si="176"/>
        <v>-1.6402681471944569</v>
      </c>
      <c r="BK82" s="22">
        <f t="shared" si="203"/>
        <v>-3.3484937540435245</v>
      </c>
      <c r="BL82" s="22">
        <f t="shared" si="204"/>
        <v>1.5282740186572719</v>
      </c>
      <c r="BM82" s="22">
        <f t="shared" si="205"/>
        <v>-1.3249440314996308</v>
      </c>
      <c r="BO82" s="18" t="str">
        <f t="shared" si="206"/>
        <v xml:space="preserve"> 21 Science, research, engineering and technology professionals</v>
      </c>
      <c r="BP82" s="22">
        <f t="shared" si="177"/>
        <v>0.1990951097392335</v>
      </c>
      <c r="BQ82" s="22">
        <f t="shared" si="177"/>
        <v>1.1603700736375178</v>
      </c>
      <c r="BR82" s="22">
        <f t="shared" si="177"/>
        <v>-3.1888007912344474</v>
      </c>
      <c r="BS82" s="22">
        <f t="shared" si="177"/>
        <v>-1.2446622336378943</v>
      </c>
      <c r="BT82" s="22">
        <f t="shared" si="178"/>
        <v>-1.1070051106882084</v>
      </c>
      <c r="BV82" s="22">
        <f t="shared" si="207"/>
        <v>-2.2215633310277871</v>
      </c>
      <c r="BW82" s="22">
        <f t="shared" si="208"/>
        <v>1.8008394227303492</v>
      </c>
      <c r="BX82" s="22">
        <f t="shared" si="209"/>
        <v>-5.8274997472052004E-2</v>
      </c>
      <c r="BZ82" s="18" t="str">
        <f t="shared" si="210"/>
        <v xml:space="preserve"> 21 Science, research, engineering and technology professionals</v>
      </c>
      <c r="CA82" s="22">
        <f t="shared" si="179"/>
        <v>-3.3996469191534318</v>
      </c>
      <c r="CB82" s="22">
        <f t="shared" si="179"/>
        <v>2.2686355755739074</v>
      </c>
      <c r="CC82" s="22">
        <f t="shared" si="179"/>
        <v>-4.1562877891577426</v>
      </c>
      <c r="CD82" s="22">
        <f t="shared" si="179"/>
        <v>-3.9603008390533989</v>
      </c>
      <c r="CE82" s="22">
        <f t="shared" si="180"/>
        <v>-1.994083781226641</v>
      </c>
      <c r="CF82" s="286"/>
      <c r="CG82" s="22">
        <f t="shared" si="211"/>
        <v>-4.0583443586799772</v>
      </c>
      <c r="CH82" s="22">
        <f t="shared" si="212"/>
        <v>1.5211601661752949</v>
      </c>
      <c r="CI82" s="22">
        <f t="shared" si="213"/>
        <v>-1.9200201546328066</v>
      </c>
      <c r="CK82" s="18" t="str">
        <f t="shared" si="214"/>
        <v xml:space="preserve"> 21 Science, research, engineering and technology professionals</v>
      </c>
      <c r="CL82" s="22">
        <f t="shared" si="181"/>
        <v>-4.8849347990524317</v>
      </c>
      <c r="CM82" s="22">
        <f t="shared" si="181"/>
        <v>3.5852228523837626</v>
      </c>
      <c r="CN82" s="22">
        <f t="shared" si="181"/>
        <v>-2.9909780176274881</v>
      </c>
      <c r="CO82" s="22">
        <f t="shared" si="181"/>
        <v>3.8555226767276407</v>
      </c>
      <c r="CP82" s="22">
        <f t="shared" si="182"/>
        <v>1.4331335424278224</v>
      </c>
      <c r="CR82" s="22">
        <f t="shared" si="215"/>
        <v>0.37391435197422496</v>
      </c>
      <c r="CS82" s="22">
        <f t="shared" si="216"/>
        <v>1.6365846136484397</v>
      </c>
      <c r="CT82" s="22">
        <f t="shared" si="217"/>
        <v>1.9604795311272349</v>
      </c>
    </row>
    <row r="83" spans="1:98" x14ac:dyDescent="0.25">
      <c r="A83" s="18" t="str">
        <f t="shared" si="164"/>
        <v xml:space="preserve"> 22 Health professionals</v>
      </c>
      <c r="B83" s="22">
        <f t="shared" si="165"/>
        <v>5.8856979185340386</v>
      </c>
      <c r="C83" s="22">
        <f t="shared" si="165"/>
        <v>8.9307522669659143</v>
      </c>
      <c r="D83" s="22">
        <f t="shared" si="165"/>
        <v>3.3029555336723027</v>
      </c>
      <c r="E83" s="22">
        <f t="shared" si="165"/>
        <v>3.0125053852494421</v>
      </c>
      <c r="F83" s="22">
        <f t="shared" si="166"/>
        <v>5.0471804053540348</v>
      </c>
      <c r="H83" s="22">
        <f t="shared" si="183"/>
        <v>3.1576282357470786</v>
      </c>
      <c r="I83" s="22">
        <f t="shared" si="184"/>
        <v>3.4300044572752375</v>
      </c>
      <c r="J83" s="22">
        <f t="shared" si="185"/>
        <v>5.8502834980670881</v>
      </c>
      <c r="L83" s="18" t="str">
        <f t="shared" si="186"/>
        <v xml:space="preserve"> 22 Health professionals</v>
      </c>
      <c r="M83" s="22">
        <f t="shared" si="167"/>
        <v>2.7362299886303232</v>
      </c>
      <c r="N83" s="22">
        <f t="shared" si="167"/>
        <v>8.2105638449514231</v>
      </c>
      <c r="O83" s="22">
        <f t="shared" si="167"/>
        <v>2.9477853408406807</v>
      </c>
      <c r="P83" s="22">
        <f t="shared" si="167"/>
        <v>2.536147393904753</v>
      </c>
      <c r="Q83" s="22">
        <f t="shared" si="168"/>
        <v>4.5332744450438778</v>
      </c>
      <c r="S83" s="22">
        <f t="shared" si="187"/>
        <v>2.7417602126054152</v>
      </c>
      <c r="T83" s="22">
        <f t="shared" si="188"/>
        <v>3.5780154380825158</v>
      </c>
      <c r="U83" s="22">
        <f t="shared" si="189"/>
        <v>5.6456106876017875</v>
      </c>
      <c r="W83" s="18" t="str">
        <f t="shared" si="190"/>
        <v xml:space="preserve"> 22 Health professionals</v>
      </c>
      <c r="X83" s="22">
        <f t="shared" si="169"/>
        <v>4.908831760568666</v>
      </c>
      <c r="Y83" s="22">
        <f t="shared" si="169"/>
        <v>4.2134652120667138</v>
      </c>
      <c r="Z83" s="22">
        <f t="shared" si="169"/>
        <v>4.3049210468816046</v>
      </c>
      <c r="AA83" s="22">
        <f t="shared" si="169"/>
        <v>2.6210138865588206</v>
      </c>
      <c r="AB83" s="22">
        <f t="shared" si="170"/>
        <v>3.7102415019831803</v>
      </c>
      <c r="AD83" s="22">
        <f t="shared" si="191"/>
        <v>3.459541615012296</v>
      </c>
      <c r="AE83" s="22">
        <f t="shared" si="192"/>
        <v>4.0613607302780297</v>
      </c>
      <c r="AF83" s="22">
        <f t="shared" si="193"/>
        <v>6.5958227244401257</v>
      </c>
      <c r="AH83" s="18" t="str">
        <f t="shared" si="194"/>
        <v xml:space="preserve"> 22 Health professionals</v>
      </c>
      <c r="AI83" s="22">
        <f t="shared" si="171"/>
        <v>-3.4555491940057581</v>
      </c>
      <c r="AJ83" s="22">
        <f t="shared" si="171"/>
        <v>-4.3999812914690795</v>
      </c>
      <c r="AK83" s="22">
        <f t="shared" si="171"/>
        <v>-7.115939027104579</v>
      </c>
      <c r="AL83" s="22">
        <f t="shared" si="171"/>
        <v>-10.025323002268449</v>
      </c>
      <c r="AM83" s="22">
        <f t="shared" si="172"/>
        <v>-7.208864462098818</v>
      </c>
      <c r="AO83" s="22">
        <f t="shared" si="195"/>
        <v>-8.5822042254689368</v>
      </c>
      <c r="AP83" s="22">
        <f t="shared" si="196"/>
        <v>1.7679675096826886</v>
      </c>
      <c r="AQ83" s="22">
        <f t="shared" si="197"/>
        <v>-4.9924123719937707</v>
      </c>
      <c r="AS83" s="18" t="str">
        <f t="shared" si="198"/>
        <v xml:space="preserve"> 22 Health professionals</v>
      </c>
      <c r="AT83" s="22">
        <f t="shared" si="173"/>
        <v>0.90332517588702643</v>
      </c>
      <c r="AU83" s="22">
        <f t="shared" si="173"/>
        <v>1.8647748075292458</v>
      </c>
      <c r="AV83" s="22">
        <f t="shared" si="173"/>
        <v>2.710509453818899</v>
      </c>
      <c r="AW83" s="22">
        <f t="shared" si="173"/>
        <v>2.6679742557377706</v>
      </c>
      <c r="AX83" s="22">
        <f t="shared" si="174"/>
        <v>2.4136792491175951</v>
      </c>
      <c r="AZ83" s="22">
        <f t="shared" si="199"/>
        <v>2.6892396524504036</v>
      </c>
      <c r="BA83" s="22">
        <f t="shared" si="200"/>
        <v>3.5325715633293564</v>
      </c>
      <c r="BB83" s="22">
        <f t="shared" si="201"/>
        <v>5.5666074555253076</v>
      </c>
      <c r="BD83" s="18" t="str">
        <f t="shared" si="202"/>
        <v xml:space="preserve"> 22 Health professionals</v>
      </c>
      <c r="BE83" s="22">
        <f t="shared" si="175"/>
        <v>0.81849380576848318</v>
      </c>
      <c r="BF83" s="22">
        <f t="shared" si="175"/>
        <v>5.5334027301539246</v>
      </c>
      <c r="BG83" s="22">
        <f t="shared" si="175"/>
        <v>1.5087034287237788</v>
      </c>
      <c r="BH83" s="22">
        <f t="shared" si="175"/>
        <v>2.328539693836662</v>
      </c>
      <c r="BI83" s="22">
        <f t="shared" si="176"/>
        <v>3.1090216654152236</v>
      </c>
      <c r="BK83" s="22">
        <f t="shared" si="203"/>
        <v>1.9177972096927398</v>
      </c>
      <c r="BL83" s="22">
        <f t="shared" si="204"/>
        <v>3.5577716283877958</v>
      </c>
      <c r="BM83" s="22">
        <f t="shared" si="205"/>
        <v>4.9922853308804527</v>
      </c>
      <c r="BO83" s="18" t="str">
        <f t="shared" si="206"/>
        <v xml:space="preserve"> 22 Health professionals</v>
      </c>
      <c r="BP83" s="22">
        <f t="shared" si="177"/>
        <v>1.6578068744697694</v>
      </c>
      <c r="BQ83" s="22">
        <f t="shared" si="177"/>
        <v>2.6122517801733913</v>
      </c>
      <c r="BR83" s="22">
        <f t="shared" si="177"/>
        <v>-0.82831420333534522</v>
      </c>
      <c r="BS83" s="22">
        <f t="shared" si="177"/>
        <v>-0.21585271022375174</v>
      </c>
      <c r="BT83" s="22">
        <f t="shared" si="178"/>
        <v>0.51159268002347602</v>
      </c>
      <c r="BV83" s="22">
        <f t="shared" si="207"/>
        <v>-0.52255480507252816</v>
      </c>
      <c r="BW83" s="22">
        <f t="shared" si="208"/>
        <v>2.8484800658739928</v>
      </c>
      <c r="BX83" s="22">
        <f t="shared" si="209"/>
        <v>2.4450064685485495</v>
      </c>
      <c r="BZ83" s="18" t="str">
        <f t="shared" si="210"/>
        <v xml:space="preserve"> 22 Health professionals</v>
      </c>
      <c r="CA83" s="22">
        <f t="shared" si="179"/>
        <v>-4.4177959862333633</v>
      </c>
      <c r="CB83" s="22">
        <f t="shared" si="179"/>
        <v>3.8073559980616567</v>
      </c>
      <c r="CC83" s="22">
        <f t="shared" si="179"/>
        <v>-4.8963553949449734</v>
      </c>
      <c r="CD83" s="22">
        <f t="shared" si="179"/>
        <v>-0.6236783598373874</v>
      </c>
      <c r="CE83" s="22">
        <f t="shared" si="180"/>
        <v>-0.63439773157712986</v>
      </c>
      <c r="CF83" s="286"/>
      <c r="CG83" s="22">
        <f t="shared" si="211"/>
        <v>-2.7834871257785498</v>
      </c>
      <c r="CH83" s="22">
        <f t="shared" si="212"/>
        <v>2.1185620770364011</v>
      </c>
      <c r="CI83" s="22">
        <f t="shared" si="213"/>
        <v>-0.1278484569094851</v>
      </c>
      <c r="CK83" s="18" t="str">
        <f t="shared" si="214"/>
        <v xml:space="preserve"> 22 Health professionals</v>
      </c>
      <c r="CL83" s="22">
        <f t="shared" si="181"/>
        <v>-1.5641643402216743</v>
      </c>
      <c r="CM83" s="22">
        <f t="shared" si="181"/>
        <v>4.6892577501270072</v>
      </c>
      <c r="CN83" s="22">
        <f t="shared" si="181"/>
        <v>-0.68565958747924816</v>
      </c>
      <c r="CO83" s="22">
        <f t="shared" si="181"/>
        <v>9.2576765336223055</v>
      </c>
      <c r="CP83" s="22">
        <f t="shared" si="182"/>
        <v>4.3410848794168677</v>
      </c>
      <c r="CR83" s="22">
        <f t="shared" si="215"/>
        <v>4.1674329142330491</v>
      </c>
      <c r="CS83" s="22">
        <f t="shared" si="216"/>
        <v>2.6626576889714038</v>
      </c>
      <c r="CT83" s="22">
        <f t="shared" si="217"/>
        <v>6.0822515024261614</v>
      </c>
    </row>
    <row r="84" spans="1:98" x14ac:dyDescent="0.25">
      <c r="A84" s="18" t="str">
        <f t="shared" si="164"/>
        <v xml:space="preserve"> 23 Teaching and educational professionals</v>
      </c>
      <c r="B84" s="22">
        <f t="shared" si="165"/>
        <v>4.0936087567112533</v>
      </c>
      <c r="C84" s="22">
        <f t="shared" si="165"/>
        <v>6.5778237073770729</v>
      </c>
      <c r="D84" s="22">
        <f t="shared" si="165"/>
        <v>2.1322025445762005</v>
      </c>
      <c r="E84" s="22">
        <f t="shared" si="165"/>
        <v>2.3288944362899411</v>
      </c>
      <c r="F84" s="22">
        <f t="shared" si="166"/>
        <v>3.6595396684262926</v>
      </c>
      <c r="H84" s="22">
        <f t="shared" si="183"/>
        <v>2.2305011859460766</v>
      </c>
      <c r="I84" s="22">
        <f t="shared" si="184"/>
        <v>3.3066566800324937</v>
      </c>
      <c r="J84" s="22">
        <f t="shared" si="185"/>
        <v>5.0154417286175201</v>
      </c>
      <c r="L84" s="18" t="str">
        <f t="shared" si="186"/>
        <v xml:space="preserve"> 23 Teaching and educational professionals</v>
      </c>
      <c r="M84" s="22">
        <f t="shared" si="167"/>
        <v>2.4586747928655672</v>
      </c>
      <c r="N84" s="22">
        <f t="shared" si="167"/>
        <v>6.800794415545397</v>
      </c>
      <c r="O84" s="22">
        <f t="shared" si="167"/>
        <v>2.0977208229516986</v>
      </c>
      <c r="P84" s="22">
        <f t="shared" si="167"/>
        <v>2.0890878440350757</v>
      </c>
      <c r="Q84" s="22">
        <f t="shared" si="168"/>
        <v>3.6390168762226782</v>
      </c>
      <c r="S84" s="22">
        <f t="shared" si="187"/>
        <v>2.0934042422432242</v>
      </c>
      <c r="T84" s="22">
        <f t="shared" si="188"/>
        <v>3.4198211397931555</v>
      </c>
      <c r="U84" s="22">
        <f t="shared" si="189"/>
        <v>5.0065589625117868</v>
      </c>
      <c r="W84" s="18" t="str">
        <f t="shared" si="190"/>
        <v xml:space="preserve"> 23 Teaching and educational professionals</v>
      </c>
      <c r="X84" s="22">
        <f t="shared" si="169"/>
        <v>2.0614726439172504</v>
      </c>
      <c r="Y84" s="22">
        <f t="shared" si="169"/>
        <v>-0.52431719022445478</v>
      </c>
      <c r="Z84" s="22">
        <f t="shared" si="169"/>
        <v>-0.1626505974614223</v>
      </c>
      <c r="AA84" s="22">
        <f t="shared" si="169"/>
        <v>-5.8758251724588817E-2</v>
      </c>
      <c r="AB84" s="22">
        <f t="shared" si="170"/>
        <v>-0.24877507221703343</v>
      </c>
      <c r="AD84" s="22">
        <f t="shared" si="191"/>
        <v>-0.11071793157112486</v>
      </c>
      <c r="AE84" s="22">
        <f t="shared" si="192"/>
        <v>3.0919055983806398</v>
      </c>
      <c r="AF84" s="22">
        <f t="shared" si="193"/>
        <v>3.0078382788466751</v>
      </c>
      <c r="AH84" s="18" t="str">
        <f t="shared" si="194"/>
        <v xml:space="preserve"> 23 Teaching and educational professionals</v>
      </c>
      <c r="AI84" s="22">
        <f t="shared" si="171"/>
        <v>-6.789852366505345</v>
      </c>
      <c r="AJ84" s="22">
        <f t="shared" si="171"/>
        <v>-13.610275479212063</v>
      </c>
      <c r="AK84" s="22">
        <f t="shared" si="171"/>
        <v>-12.237194560543818</v>
      </c>
      <c r="AL84" s="22">
        <f t="shared" si="171"/>
        <v>0.19620422606081434</v>
      </c>
      <c r="AM84" s="22">
        <f t="shared" si="172"/>
        <v>-8.755236055122273</v>
      </c>
      <c r="AO84" s="22">
        <f t="shared" si="195"/>
        <v>-6.2263364410678808</v>
      </c>
      <c r="AP84" s="22">
        <f t="shared" si="196"/>
        <v>1.3230697326954699</v>
      </c>
      <c r="AQ84" s="22">
        <f t="shared" si="197"/>
        <v>-3.9794880369107943</v>
      </c>
      <c r="AS84" s="18" t="str">
        <f t="shared" si="198"/>
        <v xml:space="preserve"> 23 Teaching and educational professionals</v>
      </c>
      <c r="AT84" s="22">
        <f t="shared" si="173"/>
        <v>-3.9036284240245855E-2</v>
      </c>
      <c r="AU84" s="22">
        <f t="shared" si="173"/>
        <v>-3.2399729075576533</v>
      </c>
      <c r="AV84" s="22">
        <f t="shared" si="173"/>
        <v>2.1252975419128184</v>
      </c>
      <c r="AW84" s="22">
        <f t="shared" si="173"/>
        <v>1.9443414393284231</v>
      </c>
      <c r="AX84" s="22">
        <f t="shared" si="174"/>
        <v>0.24532932926684126</v>
      </c>
      <c r="AZ84" s="22">
        <f t="shared" si="199"/>
        <v>2.0347793754941668</v>
      </c>
      <c r="BA84" s="22">
        <f t="shared" si="200"/>
        <v>3.3972529455033484</v>
      </c>
      <c r="BB84" s="22">
        <f t="shared" si="201"/>
        <v>4.941324871524877</v>
      </c>
      <c r="BD84" s="18" t="str">
        <f t="shared" si="202"/>
        <v xml:space="preserve"> 23 Teaching and educational professionals</v>
      </c>
      <c r="BE84" s="22">
        <f t="shared" si="175"/>
        <v>1.7550930592442171</v>
      </c>
      <c r="BF84" s="22">
        <f t="shared" si="175"/>
        <v>2.8851414721920987</v>
      </c>
      <c r="BG84" s="22">
        <f t="shared" si="175"/>
        <v>-1.0489275242454577</v>
      </c>
      <c r="BH84" s="22">
        <f t="shared" si="175"/>
        <v>2.6842505895622759</v>
      </c>
      <c r="BI84" s="22">
        <f t="shared" si="176"/>
        <v>1.4905643690755532</v>
      </c>
      <c r="BK84" s="22">
        <f t="shared" si="203"/>
        <v>0.8003805657812002</v>
      </c>
      <c r="BL84" s="22">
        <f t="shared" si="204"/>
        <v>2.5994789507396199</v>
      </c>
      <c r="BM84" s="22">
        <f t="shared" si="205"/>
        <v>3.2398826536126135</v>
      </c>
      <c r="BO84" s="18" t="str">
        <f t="shared" si="206"/>
        <v xml:space="preserve"> 23 Teaching and educational professionals</v>
      </c>
      <c r="BP84" s="22">
        <f t="shared" si="177"/>
        <v>-3.5416096437548616</v>
      </c>
      <c r="BQ84" s="22">
        <f t="shared" si="177"/>
        <v>2.5436607816745171</v>
      </c>
      <c r="BR84" s="22">
        <f t="shared" si="177"/>
        <v>-0.59090247413966512</v>
      </c>
      <c r="BS84" s="22">
        <f t="shared" si="177"/>
        <v>2.1942752792908804</v>
      </c>
      <c r="BT84" s="22">
        <f t="shared" si="178"/>
        <v>1.3725813775731899</v>
      </c>
      <c r="BV84" s="22">
        <f t="shared" si="207"/>
        <v>0.79206654208279215</v>
      </c>
      <c r="BW84" s="22">
        <f t="shared" si="208"/>
        <v>2.864327855887816</v>
      </c>
      <c r="BX84" s="22">
        <f t="shared" si="209"/>
        <v>3.4839224256682844</v>
      </c>
      <c r="BZ84" s="18" t="str">
        <f t="shared" si="210"/>
        <v xml:space="preserve"> 23 Teaching and educational professionals</v>
      </c>
      <c r="CA84" s="22">
        <f t="shared" si="179"/>
        <v>-4.1426334092071304</v>
      </c>
      <c r="CB84" s="22">
        <f t="shared" si="179"/>
        <v>3.2838831335925356</v>
      </c>
      <c r="CC84" s="22">
        <f t="shared" si="179"/>
        <v>-3.7918684385095491</v>
      </c>
      <c r="CD84" s="22">
        <f t="shared" si="179"/>
        <v>1.490943423013058</v>
      </c>
      <c r="CE84" s="22">
        <f t="shared" si="180"/>
        <v>0.28220528125910693</v>
      </c>
      <c r="CF84" s="286"/>
      <c r="CG84" s="22">
        <f t="shared" si="211"/>
        <v>-1.1857599475610825</v>
      </c>
      <c r="CH84" s="22">
        <f t="shared" si="212"/>
        <v>2.2908712082554183</v>
      </c>
      <c r="CI84" s="22">
        <f t="shared" si="213"/>
        <v>1.3345434958831559</v>
      </c>
      <c r="CK84" s="18" t="str">
        <f t="shared" si="214"/>
        <v xml:space="preserve"> 23 Teaching and educational professionals</v>
      </c>
      <c r="CL84" s="22">
        <f t="shared" si="181"/>
        <v>-1.4601174075039247</v>
      </c>
      <c r="CM84" s="22">
        <f t="shared" si="181"/>
        <v>6.9843922137005743</v>
      </c>
      <c r="CN84" s="22">
        <f t="shared" si="181"/>
        <v>-1.5703983314847347</v>
      </c>
      <c r="CO84" s="22">
        <f t="shared" si="181"/>
        <v>5.5859261889516176</v>
      </c>
      <c r="CP84" s="22">
        <f t="shared" si="182"/>
        <v>3.5978466491177752</v>
      </c>
      <c r="CR84" s="22">
        <f t="shared" si="215"/>
        <v>1.944988383832591</v>
      </c>
      <c r="CS84" s="22">
        <f t="shared" si="216"/>
        <v>2.404832632150522</v>
      </c>
      <c r="CT84" s="22">
        <f t="shared" si="217"/>
        <v>4.0030955261640022</v>
      </c>
    </row>
    <row r="85" spans="1:98" x14ac:dyDescent="0.25">
      <c r="A85" s="18" t="str">
        <f t="shared" si="164"/>
        <v xml:space="preserve"> 24 Business, media and public service professionals</v>
      </c>
      <c r="B85" s="22">
        <f t="shared" si="165"/>
        <v>0.9441518057752285</v>
      </c>
      <c r="C85" s="22">
        <f t="shared" si="165"/>
        <v>9.665519648632138</v>
      </c>
      <c r="D85" s="22">
        <f t="shared" si="165"/>
        <v>3.0411799321006239</v>
      </c>
      <c r="E85" s="22">
        <f t="shared" si="165"/>
        <v>2.6342820450606874</v>
      </c>
      <c r="F85" s="22">
        <f t="shared" si="166"/>
        <v>5.0649337246332138</v>
      </c>
      <c r="H85" s="22">
        <f t="shared" si="183"/>
        <v>2.8375297418557377</v>
      </c>
      <c r="I85" s="22">
        <f t="shared" si="184"/>
        <v>3.3743385455861086</v>
      </c>
      <c r="J85" s="22">
        <f t="shared" si="185"/>
        <v>5.5510822482797595</v>
      </c>
      <c r="L85" s="18" t="str">
        <f t="shared" si="186"/>
        <v xml:space="preserve"> 24 Business, media and public service professionals</v>
      </c>
      <c r="M85" s="22">
        <f t="shared" si="167"/>
        <v>2.9280963926970216</v>
      </c>
      <c r="N85" s="22">
        <f t="shared" si="167"/>
        <v>8.8494398214465484</v>
      </c>
      <c r="O85" s="22">
        <f t="shared" si="167"/>
        <v>2.3493431186792924</v>
      </c>
      <c r="P85" s="22">
        <f t="shared" si="167"/>
        <v>1.7523325680439905</v>
      </c>
      <c r="Q85" s="22">
        <f t="shared" si="168"/>
        <v>4.2682002314227585</v>
      </c>
      <c r="S85" s="22">
        <f t="shared" si="187"/>
        <v>2.0504012688470574</v>
      </c>
      <c r="T85" s="22">
        <f t="shared" si="188"/>
        <v>3.2801647010478163</v>
      </c>
      <c r="U85" s="22">
        <f t="shared" si="189"/>
        <v>4.8511735881825446</v>
      </c>
      <c r="W85" s="18" t="str">
        <f t="shared" si="190"/>
        <v xml:space="preserve"> 24 Business, media and public service professionals</v>
      </c>
      <c r="X85" s="22">
        <f t="shared" si="169"/>
        <v>4.2806959516347165</v>
      </c>
      <c r="Y85" s="22">
        <f t="shared" si="169"/>
        <v>2.4431639712109821</v>
      </c>
      <c r="Z85" s="22">
        <f t="shared" si="169"/>
        <v>2.8384514074611511</v>
      </c>
      <c r="AA85" s="22">
        <f t="shared" si="169"/>
        <v>1.0429046332426584</v>
      </c>
      <c r="AB85" s="22">
        <f t="shared" si="170"/>
        <v>2.1052589809646971</v>
      </c>
      <c r="AD85" s="22">
        <f t="shared" si="191"/>
        <v>1.9367246785693792</v>
      </c>
      <c r="AE85" s="22">
        <f t="shared" si="192"/>
        <v>3.4650792136117659</v>
      </c>
      <c r="AF85" s="22">
        <f t="shared" si="193"/>
        <v>4.9250204463634484</v>
      </c>
      <c r="AH85" s="18" t="str">
        <f t="shared" si="194"/>
        <v xml:space="preserve"> 24 Business, media and public service professionals</v>
      </c>
      <c r="AI85" s="22">
        <f t="shared" si="171"/>
        <v>-7.8461582083009578</v>
      </c>
      <c r="AJ85" s="22">
        <f t="shared" si="171"/>
        <v>-8.4949143647591985</v>
      </c>
      <c r="AK85" s="22">
        <f t="shared" si="171"/>
        <v>-2.4294807276243557</v>
      </c>
      <c r="AL85" s="22">
        <f t="shared" si="171"/>
        <v>-1.194821478845487</v>
      </c>
      <c r="AM85" s="22">
        <f t="shared" si="172"/>
        <v>-4.0935420524181643</v>
      </c>
      <c r="AO85" s="22">
        <f t="shared" si="195"/>
        <v>-1.8140917691911174</v>
      </c>
      <c r="AP85" s="22">
        <f t="shared" si="196"/>
        <v>2.2126084139716617</v>
      </c>
      <c r="AQ85" s="22">
        <f t="shared" si="197"/>
        <v>0.74781252340181403</v>
      </c>
      <c r="AS85" s="18" t="str">
        <f t="shared" si="198"/>
        <v xml:space="preserve"> 24 Business, media and public service professionals</v>
      </c>
      <c r="AT85" s="22">
        <f t="shared" si="173"/>
        <v>1.7146617667810338</v>
      </c>
      <c r="AU85" s="22">
        <f t="shared" si="173"/>
        <v>1.0616825968186472</v>
      </c>
      <c r="AV85" s="22">
        <f t="shared" si="173"/>
        <v>2.7827639932585857</v>
      </c>
      <c r="AW85" s="22">
        <f t="shared" si="173"/>
        <v>1.1847557103374706</v>
      </c>
      <c r="AX85" s="22">
        <f t="shared" si="174"/>
        <v>1.6733893991035087</v>
      </c>
      <c r="AZ85" s="22">
        <f t="shared" si="199"/>
        <v>1.9806298563170399</v>
      </c>
      <c r="BA85" s="22">
        <f t="shared" si="200"/>
        <v>3.293237163166518</v>
      </c>
      <c r="BB85" s="22">
        <f t="shared" si="201"/>
        <v>4.8079970490672919</v>
      </c>
      <c r="BD85" s="18" t="str">
        <f t="shared" si="202"/>
        <v xml:space="preserve"> 24 Business, media and public service professionals</v>
      </c>
      <c r="BE85" s="22">
        <f t="shared" si="175"/>
        <v>-9.7770480305126028E-4</v>
      </c>
      <c r="BF85" s="22">
        <f t="shared" si="175"/>
        <v>3.2664813542099047</v>
      </c>
      <c r="BG85" s="22">
        <f t="shared" si="175"/>
        <v>-1.566421390654904</v>
      </c>
      <c r="BH85" s="22">
        <f t="shared" si="175"/>
        <v>-0.53180638118277557</v>
      </c>
      <c r="BI85" s="22">
        <f t="shared" si="176"/>
        <v>0.36808275552504544</v>
      </c>
      <c r="BK85" s="22">
        <f t="shared" si="203"/>
        <v>-1.0504661167754503</v>
      </c>
      <c r="BL85" s="22">
        <f t="shared" si="204"/>
        <v>2.3375492889992078</v>
      </c>
      <c r="BM85" s="22">
        <f t="shared" si="205"/>
        <v>1.4928470963596396</v>
      </c>
      <c r="BO85" s="18" t="str">
        <f t="shared" si="206"/>
        <v xml:space="preserve"> 24 Business, media and public service professionals</v>
      </c>
      <c r="BP85" s="22">
        <f t="shared" si="177"/>
        <v>-2.5160289122723611</v>
      </c>
      <c r="BQ85" s="22">
        <f t="shared" si="177"/>
        <v>0.32082759090354962</v>
      </c>
      <c r="BR85" s="22">
        <f t="shared" si="177"/>
        <v>-3.3095186185758463</v>
      </c>
      <c r="BS85" s="22">
        <f t="shared" si="177"/>
        <v>-1.9837930241934698</v>
      </c>
      <c r="BT85" s="22">
        <f t="shared" si="178"/>
        <v>-1.6688978660971854</v>
      </c>
      <c r="BV85" s="22">
        <f t="shared" si="207"/>
        <v>-2.6489125090426224</v>
      </c>
      <c r="BW85" s="22">
        <f t="shared" si="208"/>
        <v>2.1291107430760459</v>
      </c>
      <c r="BX85" s="22">
        <f t="shared" si="209"/>
        <v>-9.3401785504987345E-3</v>
      </c>
      <c r="BZ85" s="18" t="str">
        <f t="shared" si="210"/>
        <v xml:space="preserve"> 24 Business, media and public service professionals</v>
      </c>
      <c r="CA85" s="22">
        <f t="shared" si="179"/>
        <v>-3.9435611120879677</v>
      </c>
      <c r="CB85" s="22">
        <f t="shared" si="179"/>
        <v>1.8280286355952136</v>
      </c>
      <c r="CC85" s="22">
        <f t="shared" si="179"/>
        <v>-4.7985105760981028</v>
      </c>
      <c r="CD85" s="22">
        <f t="shared" si="179"/>
        <v>-3.8562917307281008</v>
      </c>
      <c r="CE85" s="22">
        <f t="shared" si="180"/>
        <v>-2.3188757819765482</v>
      </c>
      <c r="CF85" s="286"/>
      <c r="CG85" s="22">
        <f t="shared" si="211"/>
        <v>-4.3285610750428916</v>
      </c>
      <c r="CH85" s="22">
        <f t="shared" si="212"/>
        <v>1.8595049782317963</v>
      </c>
      <c r="CI85" s="22">
        <f t="shared" si="213"/>
        <v>-1.6731840465348702</v>
      </c>
      <c r="CK85" s="18" t="str">
        <f t="shared" si="214"/>
        <v xml:space="preserve"> 24 Business, media and public service professionals</v>
      </c>
      <c r="CL85" s="22">
        <f t="shared" si="181"/>
        <v>-4.9087846639988779</v>
      </c>
      <c r="CM85" s="22">
        <f t="shared" si="181"/>
        <v>4.7926286861185385</v>
      </c>
      <c r="CN85" s="22">
        <f t="shared" si="181"/>
        <v>-3.5266365074161588</v>
      </c>
      <c r="CO85" s="22">
        <f t="shared" si="181"/>
        <v>3.3033049477548371</v>
      </c>
      <c r="CP85" s="22">
        <f t="shared" si="182"/>
        <v>1.4574922641904964</v>
      </c>
      <c r="CR85" s="22">
        <f t="shared" si="215"/>
        <v>-0.17005815783529554</v>
      </c>
      <c r="CS85" s="22">
        <f t="shared" si="216"/>
        <v>1.933412715364069</v>
      </c>
      <c r="CT85" s="22">
        <f t="shared" si="217"/>
        <v>1.7904686065866926</v>
      </c>
    </row>
    <row r="86" spans="1:98" x14ac:dyDescent="0.25">
      <c r="A86" s="18" t="str">
        <f t="shared" si="164"/>
        <v xml:space="preserve"> 31 Science, engineering and technology associate professionals</v>
      </c>
      <c r="B86" s="22">
        <f t="shared" si="165"/>
        <v>0.17464141268517253</v>
      </c>
      <c r="C86" s="22">
        <f t="shared" si="165"/>
        <v>10.269774783370767</v>
      </c>
      <c r="D86" s="22">
        <f t="shared" si="165"/>
        <v>2.9993621039974716</v>
      </c>
      <c r="E86" s="22">
        <f t="shared" si="165"/>
        <v>3.1723511044086772</v>
      </c>
      <c r="F86" s="22">
        <f t="shared" si="166"/>
        <v>5.4269032547749729</v>
      </c>
      <c r="H86" s="22">
        <f t="shared" si="183"/>
        <v>3.085820317460497</v>
      </c>
      <c r="I86" s="22">
        <f t="shared" si="184"/>
        <v>3.169146419604818</v>
      </c>
      <c r="J86" s="22">
        <f t="shared" si="185"/>
        <v>5.5810091802885653</v>
      </c>
      <c r="L86" s="18" t="str">
        <f t="shared" si="186"/>
        <v xml:space="preserve"> 31 Science, engineering and technology associate professionals</v>
      </c>
      <c r="M86" s="22">
        <f t="shared" si="167"/>
        <v>1.2427404747744397</v>
      </c>
      <c r="N86" s="22">
        <f t="shared" si="167"/>
        <v>8.9781031682972348</v>
      </c>
      <c r="O86" s="22">
        <f t="shared" si="167"/>
        <v>2.3927452823957918</v>
      </c>
      <c r="P86" s="22">
        <f t="shared" si="167"/>
        <v>2.5606423099300502</v>
      </c>
      <c r="Q86" s="22">
        <f t="shared" si="168"/>
        <v>4.5995271379682068</v>
      </c>
      <c r="S86" s="22">
        <f t="shared" si="187"/>
        <v>2.4766594110072093</v>
      </c>
      <c r="T86" s="22">
        <f t="shared" si="188"/>
        <v>2.9184409741010331</v>
      </c>
      <c r="U86" s="22">
        <f t="shared" si="189"/>
        <v>4.8807234727673121</v>
      </c>
      <c r="W86" s="18" t="str">
        <f t="shared" si="190"/>
        <v xml:space="preserve"> 31 Science, engineering and technology associate professionals</v>
      </c>
      <c r="X86" s="22">
        <f t="shared" si="169"/>
        <v>4.4651208597367376</v>
      </c>
      <c r="Y86" s="22">
        <f t="shared" si="169"/>
        <v>3.5542688777207676</v>
      </c>
      <c r="Z86" s="22">
        <f t="shared" si="169"/>
        <v>2.8975585148081073</v>
      </c>
      <c r="AA86" s="22">
        <f t="shared" si="169"/>
        <v>1.6173934164727788</v>
      </c>
      <c r="AB86" s="22">
        <f t="shared" si="170"/>
        <v>2.686584586040186</v>
      </c>
      <c r="AD86" s="22">
        <f t="shared" si="191"/>
        <v>2.2554726417798321</v>
      </c>
      <c r="AE86" s="22">
        <f t="shared" si="192"/>
        <v>3.0500320218386889</v>
      </c>
      <c r="AF86" s="22">
        <f t="shared" si="193"/>
        <v>4.8144063906585099</v>
      </c>
      <c r="AH86" s="18" t="str">
        <f t="shared" si="194"/>
        <v xml:space="preserve"> 31 Science, engineering and technology associate professionals</v>
      </c>
      <c r="AI86" s="22">
        <f t="shared" si="171"/>
        <v>4.0232292441239936</v>
      </c>
      <c r="AJ86" s="22">
        <f t="shared" si="171"/>
        <v>1.7666526351046929</v>
      </c>
      <c r="AK86" s="22">
        <f t="shared" si="171"/>
        <v>3.8777853501268167</v>
      </c>
      <c r="AL86" s="22">
        <f t="shared" si="171"/>
        <v>2.2774238365672161</v>
      </c>
      <c r="AM86" s="22">
        <f t="shared" si="172"/>
        <v>2.6366930702031777</v>
      </c>
      <c r="AO86" s="22">
        <f t="shared" si="195"/>
        <v>3.0744986864300605</v>
      </c>
      <c r="AP86" s="22">
        <f t="shared" si="196"/>
        <v>3.2849939039717668</v>
      </c>
      <c r="AQ86" s="22">
        <f t="shared" si="197"/>
        <v>5.6661460986817458</v>
      </c>
      <c r="AS86" s="18" t="str">
        <f t="shared" si="198"/>
        <v xml:space="preserve"> 31 Science, engineering and technology associate professionals</v>
      </c>
      <c r="AT86" s="22">
        <f t="shared" si="173"/>
        <v>-1.0028926087052636</v>
      </c>
      <c r="AU86" s="22">
        <f t="shared" si="173"/>
        <v>-1.3542017743675139</v>
      </c>
      <c r="AV86" s="22">
        <f t="shared" si="173"/>
        <v>0.56445730512628689</v>
      </c>
      <c r="AW86" s="22">
        <f t="shared" si="173"/>
        <v>-0.24329709874955086</v>
      </c>
      <c r="AX86" s="22">
        <f t="shared" si="174"/>
        <v>-0.34745432557066191</v>
      </c>
      <c r="AZ86" s="22">
        <f t="shared" si="199"/>
        <v>0.15976582347307922</v>
      </c>
      <c r="BA86" s="22">
        <f t="shared" si="200"/>
        <v>2.3849778419727574</v>
      </c>
      <c r="BB86" s="22">
        <f t="shared" si="201"/>
        <v>2.5144005295331784</v>
      </c>
      <c r="BD86" s="18" t="str">
        <f t="shared" si="202"/>
        <v xml:space="preserve"> 31 Science, engineering and technology associate professionals</v>
      </c>
      <c r="BE86" s="22">
        <f t="shared" si="175"/>
        <v>-2.8337731531391408</v>
      </c>
      <c r="BF86" s="22">
        <f t="shared" si="175"/>
        <v>0.13291290849748449</v>
      </c>
      <c r="BG86" s="22">
        <f t="shared" si="175"/>
        <v>-4.1963008305578082</v>
      </c>
      <c r="BH86" s="22">
        <f t="shared" si="175"/>
        <v>-4.4939058833802008</v>
      </c>
      <c r="BI86" s="22">
        <f t="shared" si="176"/>
        <v>-2.8752148926857957</v>
      </c>
      <c r="BK86" s="22">
        <f t="shared" si="203"/>
        <v>-4.3452190970201698</v>
      </c>
      <c r="BL86" s="22">
        <f t="shared" si="204"/>
        <v>1.7033551560818205</v>
      </c>
      <c r="BM86" s="22">
        <f t="shared" si="205"/>
        <v>-1.9016335349001934</v>
      </c>
      <c r="BO86" s="18" t="str">
        <f t="shared" si="206"/>
        <v xml:space="preserve"> 31 Science, engineering and technology associate professionals</v>
      </c>
      <c r="BP86" s="22">
        <f t="shared" si="177"/>
        <v>-1.5666889706865583</v>
      </c>
      <c r="BQ86" s="22">
        <f t="shared" si="177"/>
        <v>-0.22365051282728921</v>
      </c>
      <c r="BR86" s="22">
        <f t="shared" si="177"/>
        <v>-2.7943888731486233</v>
      </c>
      <c r="BS86" s="22">
        <f t="shared" si="177"/>
        <v>-1.7662539296131596</v>
      </c>
      <c r="BT86" s="22">
        <f t="shared" si="178"/>
        <v>-1.6004262652336121</v>
      </c>
      <c r="BV86" s="22">
        <f t="shared" si="207"/>
        <v>-2.2816735711673752</v>
      </c>
      <c r="BW86" s="22">
        <f t="shared" si="208"/>
        <v>1.9953325451080195</v>
      </c>
      <c r="BX86" s="22">
        <f t="shared" si="209"/>
        <v>0.12258653101206995</v>
      </c>
      <c r="BZ86" s="18" t="str">
        <f t="shared" si="210"/>
        <v xml:space="preserve"> 31 Science, engineering and technology associate professionals</v>
      </c>
      <c r="CA86" s="22">
        <f t="shared" si="179"/>
        <v>-4.4068180795486578</v>
      </c>
      <c r="CB86" s="22">
        <f t="shared" si="179"/>
        <v>2.8425744914796436</v>
      </c>
      <c r="CC86" s="22">
        <f t="shared" si="179"/>
        <v>-3.1424706276719783</v>
      </c>
      <c r="CD86" s="22">
        <f t="shared" si="179"/>
        <v>-2.2293653319170326</v>
      </c>
      <c r="CE86" s="22">
        <f t="shared" si="180"/>
        <v>-0.87765061486394513</v>
      </c>
      <c r="CF86" s="286"/>
      <c r="CG86" s="22">
        <f t="shared" si="211"/>
        <v>-2.6869889525814816</v>
      </c>
      <c r="CH86" s="22">
        <f t="shared" si="212"/>
        <v>1.8698402511554413</v>
      </c>
      <c r="CI86" s="22">
        <f t="shared" si="213"/>
        <v>-0.35463755138874786</v>
      </c>
      <c r="CK86" s="18" t="str">
        <f t="shared" si="214"/>
        <v xml:space="preserve"> 31 Science, engineering and technology associate professionals</v>
      </c>
      <c r="CL86" s="22">
        <f t="shared" si="181"/>
        <v>-5.2722390431439781</v>
      </c>
      <c r="CM86" s="22">
        <f t="shared" si="181"/>
        <v>4.6290178756490663</v>
      </c>
      <c r="CN86" s="22">
        <f t="shared" si="181"/>
        <v>-2.1829849940319668</v>
      </c>
      <c r="CO86" s="22">
        <f t="shared" si="181"/>
        <v>4.4450746634801197</v>
      </c>
      <c r="CP86" s="22">
        <f t="shared" si="182"/>
        <v>2.2472194286226266</v>
      </c>
      <c r="CR86" s="22">
        <f t="shared" si="215"/>
        <v>1.0767304361250396</v>
      </c>
      <c r="CS86" s="22">
        <f t="shared" si="216"/>
        <v>2.1741832780453718</v>
      </c>
      <c r="CT86" s="22">
        <f t="shared" si="217"/>
        <v>3.0695172223202949</v>
      </c>
    </row>
    <row r="87" spans="1:98" x14ac:dyDescent="0.25">
      <c r="A87" s="18" t="str">
        <f t="shared" si="164"/>
        <v xml:space="preserve"> 32 Health and social care associate professionals</v>
      </c>
      <c r="B87" s="22">
        <f t="shared" si="165"/>
        <v>-4.3446462302688893</v>
      </c>
      <c r="C87" s="22">
        <f t="shared" si="165"/>
        <v>9.0369875054030722</v>
      </c>
      <c r="D87" s="22">
        <f t="shared" si="165"/>
        <v>4.2097535750700965</v>
      </c>
      <c r="E87" s="22">
        <f t="shared" si="165"/>
        <v>3.373022340680687</v>
      </c>
      <c r="F87" s="22">
        <f t="shared" si="166"/>
        <v>5.5106930503495466</v>
      </c>
      <c r="H87" s="22">
        <f t="shared" si="183"/>
        <v>3.7905447737536013</v>
      </c>
      <c r="I87" s="22">
        <f t="shared" si="184"/>
        <v>4.190175370312299</v>
      </c>
      <c r="J87" s="22">
        <f t="shared" si="185"/>
        <v>6.9514126872582072</v>
      </c>
      <c r="L87" s="18" t="str">
        <f t="shared" si="186"/>
        <v xml:space="preserve"> 32 Health and social care associate professionals</v>
      </c>
      <c r="M87" s="22">
        <f t="shared" si="167"/>
        <v>3.418502015839886</v>
      </c>
      <c r="N87" s="22">
        <f t="shared" si="167"/>
        <v>9.6239286460910058</v>
      </c>
      <c r="O87" s="22">
        <f t="shared" si="167"/>
        <v>3.4302679961538241</v>
      </c>
      <c r="P87" s="22">
        <f t="shared" si="167"/>
        <v>3.1394323481199748</v>
      </c>
      <c r="Q87" s="22">
        <f t="shared" si="168"/>
        <v>5.3559941772912234</v>
      </c>
      <c r="S87" s="22">
        <f t="shared" si="187"/>
        <v>3.2847478030383126</v>
      </c>
      <c r="T87" s="22">
        <f t="shared" si="188"/>
        <v>3.9621441041216565</v>
      </c>
      <c r="U87" s="22">
        <f t="shared" si="189"/>
        <v>6.3817572240120191</v>
      </c>
      <c r="W87" s="18" t="str">
        <f t="shared" si="190"/>
        <v xml:space="preserve"> 32 Health and social care associate professionals</v>
      </c>
      <c r="X87" s="22">
        <f t="shared" si="169"/>
        <v>5.3092239285547516</v>
      </c>
      <c r="Y87" s="22">
        <f t="shared" si="169"/>
        <v>5.5945644883260925</v>
      </c>
      <c r="Z87" s="22">
        <f t="shared" si="169"/>
        <v>5.0305148204395467</v>
      </c>
      <c r="AA87" s="22">
        <f t="shared" si="169"/>
        <v>3.0686818588840037</v>
      </c>
      <c r="AB87" s="22">
        <f t="shared" si="170"/>
        <v>4.5589611944799158</v>
      </c>
      <c r="AD87" s="22">
        <f t="shared" si="191"/>
        <v>4.0449744942190335</v>
      </c>
      <c r="AE87" s="22">
        <f t="shared" si="192"/>
        <v>4.4835203928676348</v>
      </c>
      <c r="AF87" s="22">
        <f t="shared" si="193"/>
        <v>7.3749423910016709</v>
      </c>
      <c r="AH87" s="18" t="str">
        <f t="shared" si="194"/>
        <v xml:space="preserve"> 32 Health and social care associate professionals</v>
      </c>
      <c r="AI87" s="22">
        <f t="shared" si="171"/>
        <v>-2.0302850422963092</v>
      </c>
      <c r="AJ87" s="22">
        <f t="shared" si="171"/>
        <v>-2.2996613017812639</v>
      </c>
      <c r="AK87" s="22">
        <f t="shared" si="171"/>
        <v>-4.072080429726654</v>
      </c>
      <c r="AL87" s="22">
        <f t="shared" si="171"/>
        <v>-5.0884620112349737</v>
      </c>
      <c r="AM87" s="22">
        <f t="shared" si="172"/>
        <v>-3.8269545702786623</v>
      </c>
      <c r="AO87" s="22">
        <f t="shared" si="195"/>
        <v>-4.5816245030487091</v>
      </c>
      <c r="AP87" s="22">
        <f t="shared" si="196"/>
        <v>2.2443686743326419</v>
      </c>
      <c r="AQ87" s="22">
        <f t="shared" si="197"/>
        <v>-1.336034767183103</v>
      </c>
      <c r="AS87" s="18" t="str">
        <f t="shared" si="198"/>
        <v xml:space="preserve"> 32 Health and social care associate professionals</v>
      </c>
      <c r="AT87" s="22">
        <f t="shared" si="173"/>
        <v>3.5984066943308024</v>
      </c>
      <c r="AU87" s="22">
        <f t="shared" si="173"/>
        <v>3.3856382501139759</v>
      </c>
      <c r="AV87" s="22">
        <f t="shared" si="173"/>
        <v>3.2696893703216379</v>
      </c>
      <c r="AW87" s="22">
        <f t="shared" si="173"/>
        <v>2.2240410664336574</v>
      </c>
      <c r="AX87" s="22">
        <f t="shared" si="174"/>
        <v>2.9584611997778509</v>
      </c>
      <c r="AZ87" s="22">
        <f t="shared" si="199"/>
        <v>2.7455350227425068</v>
      </c>
      <c r="BA87" s="22">
        <f t="shared" si="200"/>
        <v>3.8695110152978218</v>
      </c>
      <c r="BB87" s="22">
        <f t="shared" si="201"/>
        <v>5.8930307603190624</v>
      </c>
      <c r="BD87" s="18" t="str">
        <f t="shared" si="202"/>
        <v xml:space="preserve"> 32 Health and social care associate professionals</v>
      </c>
      <c r="BE87" s="22">
        <f t="shared" si="175"/>
        <v>-0.88182584382647811</v>
      </c>
      <c r="BF87" s="22">
        <f t="shared" si="175"/>
        <v>4.6232415050212472</v>
      </c>
      <c r="BG87" s="22">
        <f t="shared" si="175"/>
        <v>0.82170355245070326</v>
      </c>
      <c r="BH87" s="22">
        <f t="shared" si="175"/>
        <v>1.8784182653579284</v>
      </c>
      <c r="BI87" s="22">
        <f t="shared" si="176"/>
        <v>2.4286539328148393</v>
      </c>
      <c r="BK87" s="22">
        <f t="shared" si="203"/>
        <v>1.348683685297547</v>
      </c>
      <c r="BL87" s="22">
        <f t="shared" si="204"/>
        <v>3.4083548615347681</v>
      </c>
      <c r="BM87" s="22">
        <f t="shared" si="205"/>
        <v>4.4226534459252065</v>
      </c>
      <c r="BO87" s="18" t="str">
        <f t="shared" si="206"/>
        <v xml:space="preserve"> 32 Health and social care associate professionals</v>
      </c>
      <c r="BP87" s="22">
        <f t="shared" si="177"/>
        <v>2.6714493973254427</v>
      </c>
      <c r="BQ87" s="22">
        <f t="shared" si="177"/>
        <v>2.7596967159764452</v>
      </c>
      <c r="BR87" s="22">
        <f t="shared" si="177"/>
        <v>-1.0384607230528142</v>
      </c>
      <c r="BS87" s="22">
        <f t="shared" si="177"/>
        <v>-0.27840640451386456</v>
      </c>
      <c r="BT87" s="22">
        <f t="shared" si="178"/>
        <v>0.46762947719694026</v>
      </c>
      <c r="BV87" s="22">
        <f t="shared" si="207"/>
        <v>-0.6591604557346975</v>
      </c>
      <c r="BW87" s="22">
        <f t="shared" si="208"/>
        <v>2.906525794326198</v>
      </c>
      <c r="BX87" s="22">
        <f t="shared" si="209"/>
        <v>2.4010048385179061</v>
      </c>
      <c r="BZ87" s="18" t="str">
        <f t="shared" si="210"/>
        <v xml:space="preserve"> 32 Health and social care associate professionals</v>
      </c>
      <c r="CA87" s="22">
        <f t="shared" si="179"/>
        <v>-3.1144601282875772</v>
      </c>
      <c r="CB87" s="22">
        <f t="shared" si="179"/>
        <v>3.3520541611726795</v>
      </c>
      <c r="CC87" s="22">
        <f t="shared" si="179"/>
        <v>-5.3903090475058697</v>
      </c>
      <c r="CD87" s="22">
        <f t="shared" si="179"/>
        <v>-2.3079325549067442</v>
      </c>
      <c r="CE87" s="22">
        <f t="shared" si="180"/>
        <v>-1.5147150600088977</v>
      </c>
      <c r="CF87" s="286"/>
      <c r="CG87" s="22">
        <f t="shared" si="211"/>
        <v>-3.8614733340972984</v>
      </c>
      <c r="CH87" s="22">
        <f t="shared" si="212"/>
        <v>2.0578380524501672</v>
      </c>
      <c r="CI87" s="22">
        <f t="shared" si="213"/>
        <v>-1.0435356383888594</v>
      </c>
      <c r="CK87" s="18" t="str">
        <f t="shared" si="214"/>
        <v xml:space="preserve"> 32 Health and social care associate professionals</v>
      </c>
      <c r="CL87" s="22">
        <f t="shared" si="181"/>
        <v>-0.4841737867413709</v>
      </c>
      <c r="CM87" s="22">
        <f t="shared" si="181"/>
        <v>4.6581047317825419</v>
      </c>
      <c r="CN87" s="22">
        <f t="shared" si="181"/>
        <v>-1.9846485174666473</v>
      </c>
      <c r="CO87" s="22">
        <f t="shared" si="181"/>
        <v>7.1486996244281897</v>
      </c>
      <c r="CP87" s="22">
        <f t="shared" si="182"/>
        <v>3.201170735856218</v>
      </c>
      <c r="CR87" s="22">
        <f t="shared" si="215"/>
        <v>2.4803271588489828</v>
      </c>
      <c r="CS87" s="22">
        <f t="shared" si="216"/>
        <v>2.5233173929668062</v>
      </c>
      <c r="CT87" s="22">
        <f t="shared" si="217"/>
        <v>4.5514299233233579</v>
      </c>
    </row>
    <row r="88" spans="1:98" x14ac:dyDescent="0.25">
      <c r="A88" s="18" t="str">
        <f t="shared" si="164"/>
        <v xml:space="preserve"> 33 Protective service occupations</v>
      </c>
      <c r="B88" s="22">
        <f t="shared" si="165"/>
        <v>5.1721482501986049</v>
      </c>
      <c r="C88" s="22">
        <f t="shared" si="165"/>
        <v>9.0844624696237339</v>
      </c>
      <c r="D88" s="22">
        <f t="shared" si="165"/>
        <v>3.3208374154221509</v>
      </c>
      <c r="E88" s="22">
        <f t="shared" si="165"/>
        <v>3.4428544595051402</v>
      </c>
      <c r="F88" s="22">
        <f t="shared" si="166"/>
        <v>5.2487879541373017</v>
      </c>
      <c r="H88" s="22">
        <f t="shared" si="183"/>
        <v>3.3818279360435133</v>
      </c>
      <c r="I88" s="22">
        <f t="shared" si="184"/>
        <v>2.6391117998710634</v>
      </c>
      <c r="J88" s="22">
        <f t="shared" si="185"/>
        <v>5.4007313364293097</v>
      </c>
      <c r="L88" s="18" t="str">
        <f t="shared" si="186"/>
        <v xml:space="preserve"> 33 Protective service occupations</v>
      </c>
      <c r="M88" s="22">
        <f t="shared" si="167"/>
        <v>2.1207922734156393</v>
      </c>
      <c r="N88" s="22">
        <f t="shared" si="167"/>
        <v>7.8076515625468801</v>
      </c>
      <c r="O88" s="22">
        <f t="shared" si="167"/>
        <v>1.9940420143888193</v>
      </c>
      <c r="P88" s="22">
        <f t="shared" si="167"/>
        <v>3.0324003931503141</v>
      </c>
      <c r="Q88" s="22">
        <f t="shared" si="168"/>
        <v>4.247600846111621</v>
      </c>
      <c r="S88" s="22">
        <f t="shared" si="187"/>
        <v>2.5119065013538222</v>
      </c>
      <c r="T88" s="22">
        <f t="shared" si="188"/>
        <v>2.307656123095625</v>
      </c>
      <c r="U88" s="22">
        <f t="shared" si="189"/>
        <v>4.3977276672755305</v>
      </c>
      <c r="W88" s="18" t="str">
        <f t="shared" si="190"/>
        <v xml:space="preserve"> 33 Protective service occupations</v>
      </c>
      <c r="X88" s="22">
        <f t="shared" si="169"/>
        <v>4.8889893087237013</v>
      </c>
      <c r="Y88" s="22">
        <f t="shared" si="169"/>
        <v>3.5189670913076565</v>
      </c>
      <c r="Z88" s="22">
        <f t="shared" si="169"/>
        <v>4.0960895515216311</v>
      </c>
      <c r="AA88" s="22">
        <f t="shared" si="169"/>
        <v>2.5790724505492024</v>
      </c>
      <c r="AB88" s="22">
        <f t="shared" si="170"/>
        <v>3.3961507273742475</v>
      </c>
      <c r="AD88" s="22">
        <f t="shared" si="191"/>
        <v>3.3347971978674451</v>
      </c>
      <c r="AE88" s="22">
        <f t="shared" si="192"/>
        <v>3.0362415158106115</v>
      </c>
      <c r="AF88" s="22">
        <f t="shared" si="193"/>
        <v>5.6762526476915376</v>
      </c>
      <c r="AH88" s="18" t="str">
        <f t="shared" si="194"/>
        <v xml:space="preserve"> 33 Protective service occupations</v>
      </c>
      <c r="AI88" s="22">
        <f t="shared" si="171"/>
        <v>5.7736090751854041</v>
      </c>
      <c r="AJ88" s="22">
        <f t="shared" si="171"/>
        <v>1.8391717171348132</v>
      </c>
      <c r="AK88" s="22">
        <f t="shared" si="171"/>
        <v>3.2312202679483759</v>
      </c>
      <c r="AL88" s="22">
        <f t="shared" si="171"/>
        <v>2.0012993698786286</v>
      </c>
      <c r="AM88" s="22">
        <f t="shared" si="172"/>
        <v>2.3553484769529787</v>
      </c>
      <c r="AO88" s="22">
        <f t="shared" si="195"/>
        <v>2.6144171297039831</v>
      </c>
      <c r="AP88" s="22">
        <f t="shared" si="196"/>
        <v>2.6465476673995791</v>
      </c>
      <c r="AQ88" s="22">
        <f t="shared" si="197"/>
        <v>4.7659655859464634</v>
      </c>
      <c r="AS88" s="18" t="str">
        <f t="shared" si="198"/>
        <v xml:space="preserve"> 33 Protective service occupations</v>
      </c>
      <c r="AT88" s="22">
        <f t="shared" si="173"/>
        <v>-1.2323024149440753</v>
      </c>
      <c r="AU88" s="22">
        <f t="shared" si="173"/>
        <v>-1.9946308039903049</v>
      </c>
      <c r="AV88" s="22">
        <f t="shared" si="173"/>
        <v>-0.54747360053216676</v>
      </c>
      <c r="AW88" s="22">
        <f t="shared" si="173"/>
        <v>-0.34440569160296697</v>
      </c>
      <c r="AX88" s="22">
        <f t="shared" si="174"/>
        <v>-0.96490462250092834</v>
      </c>
      <c r="AZ88" s="22">
        <f t="shared" si="199"/>
        <v>-0.44599142269302616</v>
      </c>
      <c r="BA88" s="22">
        <f t="shared" si="200"/>
        <v>2.1794051285328964</v>
      </c>
      <c r="BB88" s="22">
        <f t="shared" si="201"/>
        <v>1.8135207107906837</v>
      </c>
      <c r="BD88" s="18" t="str">
        <f t="shared" si="202"/>
        <v xml:space="preserve"> 33 Protective service occupations</v>
      </c>
      <c r="BE88" s="22">
        <f t="shared" si="175"/>
        <v>-3.9763399368000885</v>
      </c>
      <c r="BF88" s="22">
        <f t="shared" si="175"/>
        <v>-1.3064161784385409</v>
      </c>
      <c r="BG88" s="22">
        <f t="shared" si="175"/>
        <v>-3.5857339856705583</v>
      </c>
      <c r="BH88" s="22">
        <f t="shared" si="175"/>
        <v>-2.6938532455747399</v>
      </c>
      <c r="BI88" s="22">
        <f t="shared" si="176"/>
        <v>-2.5331722332802564</v>
      </c>
      <c r="BK88" s="22">
        <f t="shared" si="203"/>
        <v>-3.140820166540037</v>
      </c>
      <c r="BL88" s="22">
        <f t="shared" si="204"/>
        <v>1.3558275639663719</v>
      </c>
      <c r="BM88" s="22">
        <f t="shared" si="205"/>
        <v>-1.3722113196523611</v>
      </c>
      <c r="BO88" s="18" t="str">
        <f t="shared" si="206"/>
        <v xml:space="preserve"> 33 Protective service occupations</v>
      </c>
      <c r="BP88" s="22">
        <f t="shared" si="177"/>
        <v>-2.5778835444525861</v>
      </c>
      <c r="BQ88" s="22">
        <f t="shared" si="177"/>
        <v>-0.92821375612304191</v>
      </c>
      <c r="BR88" s="22">
        <f t="shared" si="177"/>
        <v>-3.60781519427682</v>
      </c>
      <c r="BS88" s="22">
        <f t="shared" si="177"/>
        <v>-3.0766523479909491</v>
      </c>
      <c r="BT88" s="22">
        <f t="shared" si="178"/>
        <v>-2.5444131403153603</v>
      </c>
      <c r="BV88" s="22">
        <f t="shared" si="207"/>
        <v>-3.342598633825189</v>
      </c>
      <c r="BW88" s="22">
        <f t="shared" si="208"/>
        <v>1.5538828723854037</v>
      </c>
      <c r="BX88" s="22">
        <f t="shared" si="209"/>
        <v>-1.2869803130098889</v>
      </c>
      <c r="BZ88" s="18" t="str">
        <f t="shared" si="210"/>
        <v xml:space="preserve"> 33 Protective service occupations</v>
      </c>
      <c r="CA88" s="22">
        <f t="shared" si="179"/>
        <v>-5.777378950869128</v>
      </c>
      <c r="CB88" s="22">
        <f t="shared" si="179"/>
        <v>-0.78054793969024594</v>
      </c>
      <c r="CC88" s="22">
        <f t="shared" si="179"/>
        <v>-4.7976655999820377</v>
      </c>
      <c r="CD88" s="22">
        <f t="shared" si="179"/>
        <v>-3.3883334433398304</v>
      </c>
      <c r="CE88" s="22">
        <f t="shared" si="180"/>
        <v>-3.0030678314398651</v>
      </c>
      <c r="CF88" s="286"/>
      <c r="CG88" s="22">
        <f t="shared" si="211"/>
        <v>-4.0955882846352427</v>
      </c>
      <c r="CH88" s="22">
        <f t="shared" si="212"/>
        <v>1.6371379118134355</v>
      </c>
      <c r="CI88" s="22">
        <f t="shared" si="213"/>
        <v>-1.7922613918189501</v>
      </c>
      <c r="CK88" s="18" t="str">
        <f t="shared" si="214"/>
        <v xml:space="preserve"> 33 Protective service occupations</v>
      </c>
      <c r="CL88" s="22">
        <f t="shared" si="181"/>
        <v>-6.510984059384672</v>
      </c>
      <c r="CM88" s="22">
        <f t="shared" si="181"/>
        <v>-3.5886531930012788</v>
      </c>
      <c r="CN88" s="22">
        <f t="shared" si="181"/>
        <v>-7.7113434186874112</v>
      </c>
      <c r="CO88" s="22">
        <f t="shared" si="181"/>
        <v>-6.7844445495576888</v>
      </c>
      <c r="CP88" s="22">
        <f t="shared" si="182"/>
        <v>-6.0446268146456923</v>
      </c>
      <c r="CR88" s="22">
        <f t="shared" si="215"/>
        <v>-7.2490518377188113</v>
      </c>
      <c r="CS88" s="22">
        <f t="shared" si="216"/>
        <v>0.96366818249988828</v>
      </c>
      <c r="CT88" s="22">
        <f t="shared" si="217"/>
        <v>-5.4357889475374677</v>
      </c>
    </row>
    <row r="89" spans="1:98" x14ac:dyDescent="0.25">
      <c r="A89" s="18" t="str">
        <f t="shared" si="164"/>
        <v xml:space="preserve"> 34 Culture, media and sports occupations</v>
      </c>
      <c r="B89" s="22">
        <f t="shared" si="165"/>
        <v>4.5165745210669295</v>
      </c>
      <c r="C89" s="22">
        <f t="shared" si="165"/>
        <v>9.9191406390595649</v>
      </c>
      <c r="D89" s="22">
        <f t="shared" si="165"/>
        <v>3.6017733680095976</v>
      </c>
      <c r="E89" s="22">
        <f t="shared" si="165"/>
        <v>2.2095501779024529</v>
      </c>
      <c r="F89" s="22">
        <f t="shared" si="166"/>
        <v>5.1906963823398211</v>
      </c>
      <c r="H89" s="22">
        <f t="shared" si="183"/>
        <v>2.9033073014529176</v>
      </c>
      <c r="I89" s="22">
        <f t="shared" si="184"/>
        <v>3.6895458572783424</v>
      </c>
      <c r="J89" s="22">
        <f t="shared" si="185"/>
        <v>5.8639772591121408</v>
      </c>
      <c r="L89" s="18" t="str">
        <f t="shared" si="186"/>
        <v xml:space="preserve"> 34 Culture, media and sports occupations</v>
      </c>
      <c r="M89" s="22">
        <f t="shared" si="167"/>
        <v>4.8614272114767987</v>
      </c>
      <c r="N89" s="22">
        <f t="shared" si="167"/>
        <v>8.1337195437721341</v>
      </c>
      <c r="O89" s="22">
        <f t="shared" si="167"/>
        <v>2.3444188483778383</v>
      </c>
      <c r="P89" s="22">
        <f t="shared" si="167"/>
        <v>1.2488703506893906</v>
      </c>
      <c r="Q89" s="22">
        <f t="shared" si="168"/>
        <v>3.8656231113686434</v>
      </c>
      <c r="S89" s="22">
        <f t="shared" si="187"/>
        <v>1.7951707847482234</v>
      </c>
      <c r="T89" s="22">
        <f t="shared" si="188"/>
        <v>3.3241286557149863</v>
      </c>
      <c r="U89" s="22">
        <f t="shared" si="189"/>
        <v>4.6907271323401112</v>
      </c>
      <c r="W89" s="18" t="str">
        <f t="shared" si="190"/>
        <v xml:space="preserve"> 34 Culture, media and sports occupations</v>
      </c>
      <c r="X89" s="22">
        <f t="shared" si="169"/>
        <v>4.5508773232857624</v>
      </c>
      <c r="Y89" s="22">
        <f t="shared" si="169"/>
        <v>1.9069069287117157</v>
      </c>
      <c r="Z89" s="22">
        <f t="shared" si="169"/>
        <v>2.7840401998804554</v>
      </c>
      <c r="AA89" s="22">
        <f t="shared" si="169"/>
        <v>0.70081654553912909</v>
      </c>
      <c r="AB89" s="22">
        <f t="shared" si="170"/>
        <v>1.7936684202416453</v>
      </c>
      <c r="AD89" s="22">
        <f t="shared" si="191"/>
        <v>1.7370963610495282</v>
      </c>
      <c r="AE89" s="22">
        <f t="shared" si="192"/>
        <v>3.2761731072848965</v>
      </c>
      <c r="AF89" s="22">
        <f t="shared" si="193"/>
        <v>4.6028750936726537</v>
      </c>
      <c r="AH89" s="18" t="str">
        <f t="shared" si="194"/>
        <v xml:space="preserve"> 34 Culture, media and sports occupations</v>
      </c>
      <c r="AI89" s="22">
        <f t="shared" si="171"/>
        <v>5.5144982613967386</v>
      </c>
      <c r="AJ89" s="22">
        <f t="shared" si="171"/>
        <v>1.2318992597763812</v>
      </c>
      <c r="AK89" s="22">
        <f t="shared" si="171"/>
        <v>4.3197299037460946</v>
      </c>
      <c r="AL89" s="22">
        <f t="shared" si="171"/>
        <v>1.9970097014014865</v>
      </c>
      <c r="AM89" s="22">
        <f t="shared" si="172"/>
        <v>2.507842465340393</v>
      </c>
      <c r="AO89" s="22">
        <f t="shared" si="195"/>
        <v>3.1518322815449196</v>
      </c>
      <c r="AP89" s="22">
        <f t="shared" si="196"/>
        <v>3.491227400053476</v>
      </c>
      <c r="AQ89" s="22">
        <f t="shared" si="197"/>
        <v>5.8954511576142954</v>
      </c>
      <c r="AS89" s="18" t="str">
        <f t="shared" si="198"/>
        <v xml:space="preserve"> 34 Culture, media and sports occupations</v>
      </c>
      <c r="AT89" s="22">
        <f t="shared" si="173"/>
        <v>-3.3864830513396393</v>
      </c>
      <c r="AU89" s="22">
        <f t="shared" si="173"/>
        <v>5.4906206248039879E-2</v>
      </c>
      <c r="AV89" s="22">
        <f t="shared" si="173"/>
        <v>1.4237150692948397</v>
      </c>
      <c r="AW89" s="22">
        <f t="shared" si="173"/>
        <v>2.1454576191293206E-2</v>
      </c>
      <c r="AX89" s="22">
        <f t="shared" si="174"/>
        <v>0.49790841065291414</v>
      </c>
      <c r="AZ89" s="22">
        <f t="shared" si="199"/>
        <v>0.72014450819677389</v>
      </c>
      <c r="BA89" s="22">
        <f t="shared" si="200"/>
        <v>2.9660920215438757</v>
      </c>
      <c r="BB89" s="22">
        <f t="shared" si="201"/>
        <v>3.5241402145191225</v>
      </c>
      <c r="BD89" s="18" t="str">
        <f t="shared" si="202"/>
        <v xml:space="preserve"> 34 Culture, media and sports occupations</v>
      </c>
      <c r="BE89" s="22">
        <f t="shared" si="175"/>
        <v>-0.861164153252858</v>
      </c>
      <c r="BF89" s="22">
        <f t="shared" si="175"/>
        <v>2.7984348817271076</v>
      </c>
      <c r="BG89" s="22">
        <f t="shared" si="175"/>
        <v>-1.6631774879331096</v>
      </c>
      <c r="BH89" s="22">
        <f t="shared" si="175"/>
        <v>-1.1325222927454415</v>
      </c>
      <c r="BI89" s="22">
        <f t="shared" si="176"/>
        <v>-1.8716093310966464E-2</v>
      </c>
      <c r="BK89" s="22">
        <f t="shared" si="203"/>
        <v>-1.3982068747529275</v>
      </c>
      <c r="BL89" s="22">
        <f t="shared" si="204"/>
        <v>2.1608651277317925</v>
      </c>
      <c r="BM89" s="22">
        <f t="shared" si="205"/>
        <v>1.0218386910006538</v>
      </c>
      <c r="BO89" s="18" t="str">
        <f t="shared" si="206"/>
        <v xml:space="preserve"> 34 Culture, media and sports occupations</v>
      </c>
      <c r="BP89" s="22">
        <f t="shared" si="177"/>
        <v>-7.4013363484477619</v>
      </c>
      <c r="BQ89" s="22">
        <f t="shared" si="177"/>
        <v>-2.4879498328559735</v>
      </c>
      <c r="BR89" s="22">
        <f t="shared" si="177"/>
        <v>-5.1721508650020009</v>
      </c>
      <c r="BS89" s="22">
        <f t="shared" si="177"/>
        <v>-5.7850013771089781</v>
      </c>
      <c r="BT89" s="22">
        <f t="shared" si="178"/>
        <v>-4.4923678861049972</v>
      </c>
      <c r="BV89" s="22">
        <f t="shared" si="207"/>
        <v>-5.479072816304031</v>
      </c>
      <c r="BW89" s="22">
        <f t="shared" si="208"/>
        <v>1.7744791607780641</v>
      </c>
      <c r="BX89" s="22">
        <f t="shared" si="209"/>
        <v>-2.6875015208055686</v>
      </c>
      <c r="BZ89" s="18" t="str">
        <f t="shared" si="210"/>
        <v xml:space="preserve"> 34 Culture, media and sports occupations</v>
      </c>
      <c r="CA89" s="22">
        <f t="shared" si="179"/>
        <v>-6.1319580079982172</v>
      </c>
      <c r="CB89" s="22">
        <f t="shared" si="179"/>
        <v>1.6334819894909147</v>
      </c>
      <c r="CC89" s="22">
        <f t="shared" si="179"/>
        <v>-6.1834236788797963</v>
      </c>
      <c r="CD89" s="22">
        <f t="shared" si="179"/>
        <v>-4.9927256587018354</v>
      </c>
      <c r="CE89" s="22">
        <f t="shared" si="180"/>
        <v>-3.2410646220398909</v>
      </c>
      <c r="CF89" s="286"/>
      <c r="CG89" s="22">
        <f t="shared" si="211"/>
        <v>-5.589951783181446</v>
      </c>
      <c r="CH89" s="22">
        <f t="shared" si="212"/>
        <v>1.6254757194036129</v>
      </c>
      <c r="CI89" s="22">
        <f t="shared" si="213"/>
        <v>-2.9984107675793403</v>
      </c>
      <c r="CK89" s="18" t="str">
        <f t="shared" si="214"/>
        <v xml:space="preserve"> 34 Culture, media and sports occupations</v>
      </c>
      <c r="CL89" s="22">
        <f t="shared" si="181"/>
        <v>-2.5660633999743609</v>
      </c>
      <c r="CM89" s="22">
        <f t="shared" si="181"/>
        <v>5.9289411082069865</v>
      </c>
      <c r="CN89" s="22">
        <f t="shared" si="181"/>
        <v>-3.8743961899489809</v>
      </c>
      <c r="CO89" s="22">
        <f t="shared" si="181"/>
        <v>2.0972003646808179</v>
      </c>
      <c r="CP89" s="22">
        <f t="shared" si="182"/>
        <v>1.3030485760269661</v>
      </c>
      <c r="CR89" s="22">
        <f t="shared" si="215"/>
        <v>-0.93358272163717171</v>
      </c>
      <c r="CS89" s="22">
        <f t="shared" si="216"/>
        <v>1.7632643796285485</v>
      </c>
      <c r="CT89" s="22">
        <f>IF($F$6-$D$6 &lt;&gt; 0,(EXP(LN(1+(CT53/100))/($F$6-$D$6))-1)*100,0)</f>
        <v>0.97108446622522493</v>
      </c>
    </row>
    <row r="90" spans="1:98" x14ac:dyDescent="0.25">
      <c r="A90" s="18" t="str">
        <f t="shared" si="164"/>
        <v xml:space="preserve"> 35 Business and public service associate professionals</v>
      </c>
      <c r="B90" s="22">
        <f t="shared" si="165"/>
        <v>2.8219988355623782</v>
      </c>
      <c r="C90" s="22">
        <f t="shared" si="165"/>
        <v>10.478355656546977</v>
      </c>
      <c r="D90" s="22">
        <f t="shared" si="165"/>
        <v>4.4085378139486098</v>
      </c>
      <c r="E90" s="22">
        <f t="shared" si="165"/>
        <v>4.0456335559157175</v>
      </c>
      <c r="F90" s="22">
        <f t="shared" si="166"/>
        <v>6.2704104946490036</v>
      </c>
      <c r="H90" s="22">
        <f t="shared" si="183"/>
        <v>4.2269277370251546</v>
      </c>
      <c r="I90" s="22">
        <f t="shared" si="184"/>
        <v>3.4626631557980403</v>
      </c>
      <c r="J90" s="22">
        <f t="shared" si="185"/>
        <v>6.7317121871813601</v>
      </c>
      <c r="L90" s="18" t="str">
        <f t="shared" si="186"/>
        <v xml:space="preserve"> 35 Business and public service associate professionals</v>
      </c>
      <c r="M90" s="22">
        <f t="shared" si="167"/>
        <v>4.5131918743648081</v>
      </c>
      <c r="N90" s="22">
        <f t="shared" si="167"/>
        <v>9.4648275216400393</v>
      </c>
      <c r="O90" s="22">
        <f t="shared" si="167"/>
        <v>3.6040033713873987</v>
      </c>
      <c r="P90" s="22">
        <f t="shared" si="167"/>
        <v>3.1171748628198825</v>
      </c>
      <c r="Q90" s="22">
        <f t="shared" si="168"/>
        <v>5.3563492978760063</v>
      </c>
      <c r="S90" s="22">
        <f t="shared" si="187"/>
        <v>3.3603024963430261</v>
      </c>
      <c r="T90" s="22">
        <f t="shared" si="188"/>
        <v>3.445372673969449</v>
      </c>
      <c r="U90" s="22">
        <f t="shared" si="189"/>
        <v>6.0236417146419807</v>
      </c>
      <c r="W90" s="18" t="str">
        <f t="shared" si="190"/>
        <v xml:space="preserve"> 35 Business and public service associate professionals</v>
      </c>
      <c r="X90" s="22">
        <f t="shared" si="169"/>
        <v>3.1631610819499612</v>
      </c>
      <c r="Y90" s="22">
        <f t="shared" si="169"/>
        <v>2.9830498612444023</v>
      </c>
      <c r="Z90" s="22">
        <f t="shared" si="169"/>
        <v>3.907798164924392</v>
      </c>
      <c r="AA90" s="22">
        <f t="shared" si="169"/>
        <v>1.8665687238578199</v>
      </c>
      <c r="AB90" s="22">
        <f t="shared" si="170"/>
        <v>2.9157530920333796</v>
      </c>
      <c r="AD90" s="22">
        <f t="shared" si="191"/>
        <v>2.8821212004885632</v>
      </c>
      <c r="AE90" s="22">
        <f t="shared" si="192"/>
        <v>3.5407006543050512</v>
      </c>
      <c r="AF90" s="22">
        <f t="shared" si="193"/>
        <v>5.7240596730611326</v>
      </c>
      <c r="AH90" s="18" t="str">
        <f t="shared" si="194"/>
        <v xml:space="preserve"> 35 Business and public service associate professionals</v>
      </c>
      <c r="AI90" s="22">
        <f t="shared" si="171"/>
        <v>2.6659366026065445</v>
      </c>
      <c r="AJ90" s="22">
        <f t="shared" si="171"/>
        <v>1.9988520858757797</v>
      </c>
      <c r="AK90" s="22">
        <f t="shared" si="171"/>
        <v>4.0137620097815629</v>
      </c>
      <c r="AL90" s="22">
        <f t="shared" si="171"/>
        <v>2.1080030767866464</v>
      </c>
      <c r="AM90" s="22">
        <f t="shared" si="172"/>
        <v>2.7027227003686205</v>
      </c>
      <c r="AO90" s="22">
        <f t="shared" si="195"/>
        <v>3.0564773865424222</v>
      </c>
      <c r="AP90" s="22">
        <f t="shared" si="196"/>
        <v>3.4612258408245555</v>
      </c>
      <c r="AQ90" s="22">
        <f t="shared" si="197"/>
        <v>5.7956836043183468</v>
      </c>
      <c r="AS90" s="18" t="str">
        <f t="shared" si="198"/>
        <v xml:space="preserve"> 35 Business and public service associate professionals</v>
      </c>
      <c r="AT90" s="22">
        <f t="shared" si="173"/>
        <v>-1.9958919446172452E-2</v>
      </c>
      <c r="AU90" s="22">
        <f t="shared" si="173"/>
        <v>1.5961568807223658</v>
      </c>
      <c r="AV90" s="22">
        <f t="shared" si="173"/>
        <v>3.4309372727505894</v>
      </c>
      <c r="AW90" s="22">
        <f t="shared" si="173"/>
        <v>1.8137095106156798</v>
      </c>
      <c r="AX90" s="22">
        <f t="shared" si="174"/>
        <v>2.2770046210670802</v>
      </c>
      <c r="AZ90" s="22">
        <f t="shared" si="199"/>
        <v>2.6191376006373446</v>
      </c>
      <c r="BA90" s="22">
        <f t="shared" si="200"/>
        <v>3.2926330023893557</v>
      </c>
      <c r="BB90" s="22">
        <f t="shared" si="201"/>
        <v>5.3100106569122563</v>
      </c>
      <c r="BD90" s="18" t="str">
        <f t="shared" si="202"/>
        <v xml:space="preserve"> 35 Business and public service associate professionals</v>
      </c>
      <c r="BE90" s="22">
        <f t="shared" si="175"/>
        <v>-0.6254549035014767</v>
      </c>
      <c r="BF90" s="22">
        <f t="shared" si="175"/>
        <v>2.7063573012098718</v>
      </c>
      <c r="BG90" s="22">
        <f t="shared" si="175"/>
        <v>-1.5470159593871657</v>
      </c>
      <c r="BH90" s="22">
        <f t="shared" si="175"/>
        <v>-0.82610573556270994</v>
      </c>
      <c r="BI90" s="22">
        <f t="shared" si="176"/>
        <v>9.3957130827204693E-2</v>
      </c>
      <c r="BK90" s="22">
        <f t="shared" si="203"/>
        <v>-1.1872182900305672</v>
      </c>
      <c r="BL90" s="22">
        <f t="shared" si="204"/>
        <v>2.376687783469067</v>
      </c>
      <c r="BM90" s="22">
        <f t="shared" si="205"/>
        <v>1.4267427330042493</v>
      </c>
      <c r="BO90" s="18" t="str">
        <f t="shared" si="206"/>
        <v xml:space="preserve"> 35 Business and public service associate professionals</v>
      </c>
      <c r="BP90" s="22">
        <f t="shared" si="177"/>
        <v>-1.7564192114475463</v>
      </c>
      <c r="BQ90" s="22">
        <f t="shared" si="177"/>
        <v>0.92207332838751821</v>
      </c>
      <c r="BR90" s="22">
        <f t="shared" si="177"/>
        <v>-2.6947853036361269</v>
      </c>
      <c r="BS90" s="22">
        <f t="shared" si="177"/>
        <v>-2.2354091352014493</v>
      </c>
      <c r="BT90" s="22">
        <f t="shared" si="178"/>
        <v>-1.3490461460616054</v>
      </c>
      <c r="BV90" s="22">
        <f t="shared" si="207"/>
        <v>-2.4653676697277027</v>
      </c>
      <c r="BW90" s="22">
        <f t="shared" si="208"/>
        <v>2.137784112504737</v>
      </c>
      <c r="BX90" s="22">
        <f t="shared" si="209"/>
        <v>0.14557203503535732</v>
      </c>
      <c r="BZ90" s="18" t="str">
        <f t="shared" si="210"/>
        <v xml:space="preserve"> 35 Business and public service associate professionals</v>
      </c>
      <c r="CA90" s="22">
        <f t="shared" si="179"/>
        <v>-5.7735744288520685</v>
      </c>
      <c r="CB90" s="22">
        <f t="shared" si="179"/>
        <v>2.0258692150543434</v>
      </c>
      <c r="CC90" s="22">
        <f t="shared" si="179"/>
        <v>-5.0132114947565309</v>
      </c>
      <c r="CD90" s="22">
        <f t="shared" si="179"/>
        <v>-3.6485592107738496</v>
      </c>
      <c r="CE90" s="22">
        <f t="shared" si="180"/>
        <v>-2.258895943172412</v>
      </c>
      <c r="CF90" s="286"/>
      <c r="CG90" s="22">
        <f t="shared" si="211"/>
        <v>-4.3333186087145981</v>
      </c>
      <c r="CH90" s="22">
        <f t="shared" si="212"/>
        <v>1.7253211865259743</v>
      </c>
      <c r="CI90" s="22">
        <f t="shared" si="213"/>
        <v>-1.8617922834050282</v>
      </c>
      <c r="CK90" s="18" t="str">
        <f t="shared" si="214"/>
        <v xml:space="preserve"> 35 Business and public service associate professionals</v>
      </c>
      <c r="CL90" s="22">
        <f t="shared" si="181"/>
        <v>-6.0030419335945666</v>
      </c>
      <c r="CM90" s="22">
        <f t="shared" si="181"/>
        <v>2.0273066235976023</v>
      </c>
      <c r="CN90" s="22">
        <f t="shared" si="181"/>
        <v>-5.4113318113686919</v>
      </c>
      <c r="CO90" s="22">
        <f t="shared" si="181"/>
        <v>1.1532370051342333</v>
      </c>
      <c r="CP90" s="22">
        <f t="shared" si="182"/>
        <v>-0.79997705165038013</v>
      </c>
      <c r="CR90" s="22">
        <f t="shared" si="215"/>
        <v>-2.1841016435230842</v>
      </c>
      <c r="CS90" s="22">
        <f t="shared" si="216"/>
        <v>1.6200088782738042</v>
      </c>
      <c r="CT90" s="22">
        <f t="shared" si="217"/>
        <v>-0.24070823060940993</v>
      </c>
    </row>
    <row r="91" spans="1:98" x14ac:dyDescent="0.25">
      <c r="A91" s="18" t="str">
        <f t="shared" si="164"/>
        <v xml:space="preserve"> 41 Administrative occupations</v>
      </c>
      <c r="B91" s="22">
        <f t="shared" si="165"/>
        <v>-0.68907937981277367</v>
      </c>
      <c r="C91" s="22">
        <f t="shared" si="165"/>
        <v>7.6771453268350998</v>
      </c>
      <c r="D91" s="22">
        <f t="shared" si="165"/>
        <v>3.4704875862564988</v>
      </c>
      <c r="E91" s="22">
        <f t="shared" si="165"/>
        <v>2.9297630687073806</v>
      </c>
      <c r="F91" s="22">
        <f t="shared" si="166"/>
        <v>4.6711511967534536</v>
      </c>
      <c r="H91" s="22">
        <f t="shared" si="183"/>
        <v>3.1997711812240759</v>
      </c>
      <c r="I91" s="22">
        <f t="shared" si="184"/>
        <v>3.6399036448715671</v>
      </c>
      <c r="J91" s="22">
        <f t="shared" si="185"/>
        <v>6.0540084400516836</v>
      </c>
      <c r="L91" s="18" t="str">
        <f t="shared" si="186"/>
        <v xml:space="preserve"> 41 Administrative occupations</v>
      </c>
      <c r="M91" s="22">
        <f t="shared" si="167"/>
        <v>4.0597348104896236</v>
      </c>
      <c r="N91" s="22">
        <f t="shared" si="167"/>
        <v>7.3000146066770411</v>
      </c>
      <c r="O91" s="22">
        <f t="shared" si="167"/>
        <v>2.6945348637358757</v>
      </c>
      <c r="P91" s="22">
        <f t="shared" si="167"/>
        <v>2.4297549554624043</v>
      </c>
      <c r="Q91" s="22">
        <f t="shared" si="168"/>
        <v>4.117664006182209</v>
      </c>
      <c r="S91" s="22">
        <f t="shared" si="187"/>
        <v>2.562059463320332</v>
      </c>
      <c r="T91" s="22">
        <f t="shared" si="188"/>
        <v>3.5812796228810395</v>
      </c>
      <c r="U91" s="22">
        <f t="shared" si="189"/>
        <v>5.5088113746908363</v>
      </c>
      <c r="W91" s="18" t="str">
        <f t="shared" si="190"/>
        <v xml:space="preserve"> 41 Administrative occupations</v>
      </c>
      <c r="X91" s="22">
        <f t="shared" si="169"/>
        <v>4.0433452211741105</v>
      </c>
      <c r="Y91" s="22">
        <f t="shared" si="169"/>
        <v>2.7557903838036246</v>
      </c>
      <c r="Z91" s="22">
        <f t="shared" si="169"/>
        <v>3.6407915062706797</v>
      </c>
      <c r="AA91" s="22">
        <f t="shared" si="169"/>
        <v>2.0805223477520896</v>
      </c>
      <c r="AB91" s="22">
        <f t="shared" si="170"/>
        <v>2.8237178797686946</v>
      </c>
      <c r="AD91" s="22">
        <f t="shared" si="191"/>
        <v>2.8576984648916781</v>
      </c>
      <c r="AE91" s="22">
        <f t="shared" si="192"/>
        <v>3.8434413133069167</v>
      </c>
      <c r="AF91" s="22">
        <f t="shared" si="193"/>
        <v>5.9568783877142595</v>
      </c>
      <c r="AH91" s="18" t="str">
        <f t="shared" si="194"/>
        <v xml:space="preserve"> 41 Administrative occupations</v>
      </c>
      <c r="AI91" s="22">
        <f t="shared" si="171"/>
        <v>4.4093191359269035</v>
      </c>
      <c r="AJ91" s="22">
        <f t="shared" si="171"/>
        <v>1.9109905402762362</v>
      </c>
      <c r="AK91" s="22">
        <f t="shared" si="171"/>
        <v>3.0188864319972586</v>
      </c>
      <c r="AL91" s="22">
        <f t="shared" si="171"/>
        <v>1.8023924822391235</v>
      </c>
      <c r="AM91" s="22">
        <f t="shared" si="172"/>
        <v>2.2426159846041349</v>
      </c>
      <c r="AO91" s="22">
        <f t="shared" si="195"/>
        <v>2.4088331621516135</v>
      </c>
      <c r="AP91" s="22">
        <f t="shared" si="196"/>
        <v>3.942481782681484</v>
      </c>
      <c r="AQ91" s="22">
        <f t="shared" si="197"/>
        <v>5.7001124663929703</v>
      </c>
      <c r="AS91" s="18" t="str">
        <f t="shared" si="198"/>
        <v xml:space="preserve"> 41 Administrative occupations</v>
      </c>
      <c r="AT91" s="22">
        <f t="shared" si="173"/>
        <v>1.6792214132193006</v>
      </c>
      <c r="AU91" s="22">
        <f t="shared" si="173"/>
        <v>1.2438071232913739</v>
      </c>
      <c r="AV91" s="22">
        <f t="shared" si="173"/>
        <v>2.8236656963615436</v>
      </c>
      <c r="AW91" s="22">
        <f t="shared" si="173"/>
        <v>1.7084883848943466</v>
      </c>
      <c r="AX91" s="22">
        <f t="shared" si="174"/>
        <v>1.9231686240692936</v>
      </c>
      <c r="AZ91" s="22">
        <f t="shared" si="199"/>
        <v>2.2645569499552876</v>
      </c>
      <c r="BA91" s="22">
        <f t="shared" si="200"/>
        <v>3.7344552023512945</v>
      </c>
      <c r="BB91" s="22">
        <f t="shared" si="201"/>
        <v>5.4114618430320283</v>
      </c>
      <c r="BD91" s="18" t="str">
        <f t="shared" si="202"/>
        <v xml:space="preserve"> 41 Administrative occupations</v>
      </c>
      <c r="BE91" s="22">
        <f t="shared" si="175"/>
        <v>-1.4801225569458398</v>
      </c>
      <c r="BF91" s="22">
        <f t="shared" si="175"/>
        <v>0.66387099593379073</v>
      </c>
      <c r="BG91" s="22">
        <f t="shared" si="175"/>
        <v>-2.4250679730678515</v>
      </c>
      <c r="BH91" s="22">
        <f t="shared" si="175"/>
        <v>-1.993512673343556</v>
      </c>
      <c r="BI91" s="22">
        <f t="shared" si="176"/>
        <v>-1.2609594717175043</v>
      </c>
      <c r="BK91" s="22">
        <f t="shared" si="203"/>
        <v>-2.2095283828895251</v>
      </c>
      <c r="BL91" s="22">
        <f t="shared" si="204"/>
        <v>2.5838066863041353</v>
      </c>
      <c r="BM91" s="22">
        <f t="shared" si="205"/>
        <v>0.86883170421463429</v>
      </c>
      <c r="BO91" s="18" t="str">
        <f t="shared" si="206"/>
        <v xml:space="preserve"> 41 Administrative occupations</v>
      </c>
      <c r="BP91" s="22">
        <f t="shared" si="177"/>
        <v>-2.1430752895953864</v>
      </c>
      <c r="BQ91" s="22">
        <f t="shared" si="177"/>
        <v>-0.84298798097940386</v>
      </c>
      <c r="BR91" s="22">
        <f t="shared" si="177"/>
        <v>-3.4965989236185768</v>
      </c>
      <c r="BS91" s="22">
        <f t="shared" si="177"/>
        <v>-3.8555007139835284</v>
      </c>
      <c r="BT91" s="22">
        <f t="shared" si="178"/>
        <v>-2.740918402948489</v>
      </c>
      <c r="BV91" s="22">
        <f t="shared" si="207"/>
        <v>-3.6762169768736919</v>
      </c>
      <c r="BW91" s="22">
        <f t="shared" si="208"/>
        <v>2.2767069718466093</v>
      </c>
      <c r="BX91" s="22">
        <f t="shared" si="209"/>
        <v>-0.61611201752675981</v>
      </c>
      <c r="BZ91" s="18" t="str">
        <f t="shared" si="210"/>
        <v xml:space="preserve"> 41 Administrative occupations</v>
      </c>
      <c r="CA91" s="22">
        <f t="shared" si="179"/>
        <v>-7.3668598121524038</v>
      </c>
      <c r="CB91" s="22">
        <f t="shared" si="179"/>
        <v>-2.2482468449784521</v>
      </c>
      <c r="CC91" s="22">
        <f t="shared" si="179"/>
        <v>-8.4232505933274364</v>
      </c>
      <c r="CD91" s="22">
        <f t="shared" si="179"/>
        <v>-10.45096322215805</v>
      </c>
      <c r="CE91" s="22">
        <f t="shared" si="180"/>
        <v>-7.105450575528593</v>
      </c>
      <c r="CF91" s="286"/>
      <c r="CG91" s="22">
        <f t="shared" si="211"/>
        <v>-9.4427821727426355</v>
      </c>
      <c r="CH91" s="22">
        <f t="shared" si="212"/>
        <v>1.5171970020755765</v>
      </c>
      <c r="CI91" s="22">
        <f t="shared" si="213"/>
        <v>-6.091655138906682</v>
      </c>
      <c r="CK91" s="18" t="str">
        <f t="shared" si="214"/>
        <v xml:space="preserve"> 41 Administrative occupations</v>
      </c>
      <c r="CL91" s="22">
        <f t="shared" si="181"/>
        <v>-9.6960152664318002</v>
      </c>
      <c r="CM91" s="22">
        <f t="shared" si="181"/>
        <v>-1.0271606113665399</v>
      </c>
      <c r="CN91" s="22">
        <f t="shared" si="181"/>
        <v>-7.4535541705654911</v>
      </c>
      <c r="CO91" s="22">
        <f t="shared" si="181"/>
        <v>-3.926915546717813</v>
      </c>
      <c r="CP91" s="22">
        <f t="shared" si="182"/>
        <v>-4.1719826507958357</v>
      </c>
      <c r="CR91" s="22">
        <f t="shared" si="215"/>
        <v>-5.7067207802042441</v>
      </c>
      <c r="CS91" s="22">
        <f t="shared" si="216"/>
        <v>1.4314461465045003</v>
      </c>
      <c r="CT91" s="22">
        <f t="shared" si="217"/>
        <v>-3.3889339570944865</v>
      </c>
    </row>
    <row r="92" spans="1:98" x14ac:dyDescent="0.25">
      <c r="A92" s="18" t="str">
        <f t="shared" si="164"/>
        <v xml:space="preserve"> 42 Secretarial and related occupations</v>
      </c>
      <c r="B92" s="22">
        <f t="shared" si="165"/>
        <v>12.513098575513038</v>
      </c>
      <c r="C92" s="22">
        <f t="shared" si="165"/>
        <v>9.5238127766097858</v>
      </c>
      <c r="D92" s="22">
        <f t="shared" si="165"/>
        <v>1.43010395620915</v>
      </c>
      <c r="E92" s="22">
        <f t="shared" si="165"/>
        <v>2.8023762833897736</v>
      </c>
      <c r="F92" s="22">
        <f t="shared" si="166"/>
        <v>4.5264480579121136</v>
      </c>
      <c r="H92" s="22">
        <f t="shared" si="183"/>
        <v>2.1139349617355307</v>
      </c>
      <c r="I92" s="22">
        <f t="shared" si="184"/>
        <v>3.8680642944414645</v>
      </c>
      <c r="J92" s="22">
        <f t="shared" si="185"/>
        <v>5.413879894077489</v>
      </c>
      <c r="L92" s="18" t="str">
        <f t="shared" si="186"/>
        <v xml:space="preserve"> 42 Secretarial and related occupations</v>
      </c>
      <c r="M92" s="22">
        <f t="shared" si="167"/>
        <v>8.6179077792094994</v>
      </c>
      <c r="N92" s="22">
        <f t="shared" si="167"/>
        <v>4.5908513286236907</v>
      </c>
      <c r="O92" s="22">
        <f t="shared" si="167"/>
        <v>-1.0930344021657601</v>
      </c>
      <c r="P92" s="22">
        <f t="shared" si="167"/>
        <v>-0.66841819628449262</v>
      </c>
      <c r="Q92" s="22">
        <f t="shared" si="168"/>
        <v>0.91041119822243832</v>
      </c>
      <c r="S92" s="22">
        <f t="shared" si="187"/>
        <v>-0.88095367570091287</v>
      </c>
      <c r="T92" s="22">
        <f t="shared" si="188"/>
        <v>3.1601909884691137</v>
      </c>
      <c r="U92" s="22">
        <f t="shared" si="189"/>
        <v>2.5015710246645506</v>
      </c>
      <c r="W92" s="18" t="str">
        <f t="shared" si="190"/>
        <v xml:space="preserve"> 42 Secretarial and related occupations</v>
      </c>
      <c r="X92" s="22">
        <f t="shared" si="169"/>
        <v>4.16898895025406</v>
      </c>
      <c r="Y92" s="22">
        <f t="shared" si="169"/>
        <v>4.5949480537132992E-2</v>
      </c>
      <c r="Z92" s="22">
        <f t="shared" si="169"/>
        <v>0.30148846074768976</v>
      </c>
      <c r="AA92" s="22">
        <f t="shared" si="169"/>
        <v>0.17351307591295662</v>
      </c>
      <c r="AB92" s="22">
        <f t="shared" si="170"/>
        <v>0.1735960165863748</v>
      </c>
      <c r="AD92" s="22">
        <f t="shared" si="191"/>
        <v>0.23748034471058332</v>
      </c>
      <c r="AE92" s="22">
        <f t="shared" si="192"/>
        <v>3.5990374751197152</v>
      </c>
      <c r="AF92" s="22">
        <f t="shared" si="193"/>
        <v>3.7723382195246735</v>
      </c>
      <c r="AH92" s="18" t="str">
        <f t="shared" si="194"/>
        <v xml:space="preserve"> 42 Secretarial and related occupations</v>
      </c>
      <c r="AI92" s="22">
        <f t="shared" si="171"/>
        <v>1.0650352426763599</v>
      </c>
      <c r="AJ92" s="22">
        <f t="shared" si="171"/>
        <v>-1.9478645258451333</v>
      </c>
      <c r="AK92" s="22">
        <f t="shared" si="171"/>
        <v>-0.80989410271107287</v>
      </c>
      <c r="AL92" s="22">
        <f t="shared" si="171"/>
        <v>-0.95392092920528748</v>
      </c>
      <c r="AM92" s="22">
        <f t="shared" si="172"/>
        <v>-1.2385253112219829</v>
      </c>
      <c r="AO92" s="22">
        <f t="shared" si="195"/>
        <v>-0.88193367633032649</v>
      </c>
      <c r="AP92" s="22">
        <f t="shared" si="196"/>
        <v>3.3524113730158289</v>
      </c>
      <c r="AQ92" s="22">
        <f t="shared" si="197"/>
        <v>2.7043735800763802</v>
      </c>
      <c r="AS92" s="18" t="str">
        <f t="shared" si="198"/>
        <v xml:space="preserve"> 42 Secretarial and related occupations</v>
      </c>
      <c r="AT92" s="22">
        <f t="shared" si="173"/>
        <v>-0.38790578149944244</v>
      </c>
      <c r="AU92" s="22">
        <f t="shared" si="173"/>
        <v>-2.7048375196788599</v>
      </c>
      <c r="AV92" s="22">
        <f t="shared" si="173"/>
        <v>-2.1845685196194897</v>
      </c>
      <c r="AW92" s="22">
        <f t="shared" si="173"/>
        <v>-2.6427858945757721</v>
      </c>
      <c r="AX92" s="22">
        <f t="shared" si="174"/>
        <v>-2.5110064471852822</v>
      </c>
      <c r="AZ92" s="22">
        <f t="shared" si="199"/>
        <v>-2.4139461528961181</v>
      </c>
      <c r="BA92" s="22">
        <f t="shared" si="200"/>
        <v>2.9808261080192855</v>
      </c>
      <c r="BB92" s="22">
        <f t="shared" si="201"/>
        <v>1.1814255072479574</v>
      </c>
      <c r="BD92" s="18" t="str">
        <f t="shared" si="202"/>
        <v xml:space="preserve"> 42 Secretarial and related occupations</v>
      </c>
      <c r="BE92" s="22">
        <f t="shared" si="175"/>
        <v>-0.5944941159091166</v>
      </c>
      <c r="BF92" s="22">
        <f t="shared" si="175"/>
        <v>-3.2467822441188954</v>
      </c>
      <c r="BG92" s="22">
        <f t="shared" si="175"/>
        <v>-6.1337938858369689</v>
      </c>
      <c r="BH92" s="22">
        <f t="shared" si="175"/>
        <v>-8.6332823593430632</v>
      </c>
      <c r="BI92" s="22">
        <f t="shared" si="176"/>
        <v>-6.0303588291978238</v>
      </c>
      <c r="BK92" s="22">
        <f t="shared" si="203"/>
        <v>-7.3919703803582699</v>
      </c>
      <c r="BL92" s="22">
        <f t="shared" si="204"/>
        <v>2.1633544339521693</v>
      </c>
      <c r="BM92" s="22">
        <f t="shared" si="205"/>
        <v>-3.4677737882494286</v>
      </c>
      <c r="BO92" s="18" t="str">
        <f t="shared" si="206"/>
        <v xml:space="preserve"> 42 Secretarial and related occupations</v>
      </c>
      <c r="BP92" s="22">
        <f t="shared" si="177"/>
        <v>-4.427288711746713</v>
      </c>
      <c r="BQ92" s="22">
        <f t="shared" si="177"/>
        <v>-5.7115142990152741</v>
      </c>
      <c r="BR92" s="22">
        <f t="shared" si="177"/>
        <v>-8.3148899392209046</v>
      </c>
      <c r="BS92" s="22">
        <f t="shared" si="177"/>
        <v>-13.868102785440062</v>
      </c>
      <c r="BT92" s="22">
        <f t="shared" si="178"/>
        <v>-9.3626578735443449</v>
      </c>
      <c r="BV92" s="22">
        <f t="shared" si="207"/>
        <v>-11.13486355234331</v>
      </c>
      <c r="BW92" s="22">
        <f t="shared" si="208"/>
        <v>1.7987521339731138</v>
      </c>
      <c r="BX92" s="22">
        <f t="shared" si="209"/>
        <v>-6.6542394709731774</v>
      </c>
      <c r="BZ92" s="18" t="str">
        <f t="shared" si="210"/>
        <v xml:space="preserve"> 42 Secretarial and related occupations</v>
      </c>
      <c r="CA92" s="22">
        <f t="shared" si="179"/>
        <v>-6.8821052329570147</v>
      </c>
      <c r="CB92" s="22">
        <f t="shared" si="179"/>
        <v>-3.2568664950664683</v>
      </c>
      <c r="CC92" s="22">
        <f t="shared" si="179"/>
        <v>-11.581739545052116</v>
      </c>
      <c r="CD92" s="22">
        <f t="shared" si="179"/>
        <v>-20.675578386613434</v>
      </c>
      <c r="CE92" s="22">
        <f t="shared" si="180"/>
        <v>-12.126819927854326</v>
      </c>
      <c r="CF92" s="286"/>
      <c r="CG92" s="22">
        <f t="shared" si="211"/>
        <v>-16.252000796135381</v>
      </c>
      <c r="CH92" s="22">
        <f t="shared" si="212"/>
        <v>1.3838756374963346</v>
      </c>
      <c r="CI92" s="22">
        <f t="shared" si="213"/>
        <v>-10.851594265117903</v>
      </c>
      <c r="CK92" s="18" t="str">
        <f t="shared" si="214"/>
        <v xml:space="preserve"> 42 Secretarial and related occupations</v>
      </c>
      <c r="CL92" s="22">
        <f t="shared" si="181"/>
        <v>-7.0129223834463623</v>
      </c>
      <c r="CM92" s="22">
        <f t="shared" si="181"/>
        <v>0.41627478641124149</v>
      </c>
      <c r="CN92" s="22">
        <f t="shared" si="181"/>
        <v>-7.6474938784910629</v>
      </c>
      <c r="CO92" s="22">
        <f t="shared" si="181"/>
        <v>-5.6068221992907059</v>
      </c>
      <c r="CP92" s="22">
        <f t="shared" si="182"/>
        <v>-4.3398334303113018</v>
      </c>
      <c r="CR92" s="22">
        <f t="shared" si="215"/>
        <v>-6.6327330877213324</v>
      </c>
      <c r="CS92" s="22">
        <f t="shared" si="216"/>
        <v>1.743868437154994</v>
      </c>
      <c r="CT92" s="22">
        <f t="shared" si="217"/>
        <v>-3.6124248338144871</v>
      </c>
    </row>
    <row r="93" spans="1:98" x14ac:dyDescent="0.25">
      <c r="A93" s="18" t="str">
        <f t="shared" si="164"/>
        <v xml:space="preserve"> 51 Skilled agricultural and related trades</v>
      </c>
      <c r="B93" s="22">
        <f t="shared" si="165"/>
        <v>70.54774076280377</v>
      </c>
      <c r="C93" s="22">
        <f t="shared" si="165"/>
        <v>6.3322143780968787</v>
      </c>
      <c r="D93" s="22">
        <f t="shared" si="165"/>
        <v>4.640811313482196</v>
      </c>
      <c r="E93" s="22">
        <f t="shared" si="165"/>
        <v>3.3574757034211977</v>
      </c>
      <c r="F93" s="22">
        <f t="shared" si="166"/>
        <v>4.7697602619177326</v>
      </c>
      <c r="H93" s="22">
        <f t="shared" si="183"/>
        <v>3.9971639657520486</v>
      </c>
      <c r="I93" s="22">
        <f t="shared" si="184"/>
        <v>4.7270607772013529</v>
      </c>
      <c r="J93" s="22">
        <f t="shared" si="185"/>
        <v>7.5304934096213083</v>
      </c>
      <c r="L93" s="18" t="str">
        <f t="shared" si="186"/>
        <v xml:space="preserve"> 51 Skilled agricultural and related trades</v>
      </c>
      <c r="M93" s="22">
        <f t="shared" si="167"/>
        <v>2.8917941536702019</v>
      </c>
      <c r="N93" s="22">
        <f t="shared" si="167"/>
        <v>0.88365426763361565</v>
      </c>
      <c r="O93" s="22">
        <f t="shared" si="167"/>
        <v>-0.6069199392253033</v>
      </c>
      <c r="P93" s="22">
        <f t="shared" si="167"/>
        <v>1.5160612186796207</v>
      </c>
      <c r="Q93" s="22">
        <f t="shared" si="168"/>
        <v>0.59365101998178904</v>
      </c>
      <c r="S93" s="22">
        <f t="shared" si="187"/>
        <v>0.44896216568257596</v>
      </c>
      <c r="T93" s="22">
        <f t="shared" si="188"/>
        <v>3.0460709614178683</v>
      </c>
      <c r="U93" s="22">
        <f t="shared" si="189"/>
        <v>3.3905595399548627</v>
      </c>
      <c r="W93" s="18" t="str">
        <f t="shared" si="190"/>
        <v xml:space="preserve"> 51 Skilled agricultural and related trades</v>
      </c>
      <c r="X93" s="22">
        <f t="shared" si="169"/>
        <v>9.6615246611537522</v>
      </c>
      <c r="Y93" s="22">
        <f t="shared" si="169"/>
        <v>2.7145236619795066</v>
      </c>
      <c r="Z93" s="22">
        <f t="shared" si="169"/>
        <v>5.2058234742532461</v>
      </c>
      <c r="AA93" s="22">
        <f t="shared" si="169"/>
        <v>3.1813534340333849</v>
      </c>
      <c r="AB93" s="22">
        <f t="shared" si="170"/>
        <v>3.6949529570101669</v>
      </c>
      <c r="AD93" s="22">
        <f t="shared" si="191"/>
        <v>4.1886714341604847</v>
      </c>
      <c r="AE93" s="22">
        <f t="shared" si="192"/>
        <v>4.6107464221279981</v>
      </c>
      <c r="AF93" s="22">
        <f t="shared" si="193"/>
        <v>7.5820907189913411</v>
      </c>
      <c r="AH93" s="18" t="str">
        <f t="shared" si="194"/>
        <v xml:space="preserve"> 51 Skilled agricultural and related trades</v>
      </c>
      <c r="AI93" s="22">
        <f t="shared" si="171"/>
        <v>1.9490544688824052</v>
      </c>
      <c r="AJ93" s="22">
        <f t="shared" si="171"/>
        <v>2.422330010260576</v>
      </c>
      <c r="AK93" s="22">
        <f t="shared" si="171"/>
        <v>5.8018232159776639</v>
      </c>
      <c r="AL93" s="22">
        <f t="shared" si="171"/>
        <v>3.6289296901992119</v>
      </c>
      <c r="AM93" s="22">
        <f t="shared" si="172"/>
        <v>3.9416496620411579</v>
      </c>
      <c r="AO93" s="22">
        <f t="shared" si="195"/>
        <v>4.7097402305221747</v>
      </c>
      <c r="AP93" s="22">
        <f t="shared" si="196"/>
        <v>5.0520760411045806</v>
      </c>
      <c r="AQ93" s="22">
        <f t="shared" si="197"/>
        <v>8.3085983122644471</v>
      </c>
      <c r="AS93" s="18" t="str">
        <f t="shared" si="198"/>
        <v xml:space="preserve"> 51 Skilled agricultural and related trades</v>
      </c>
      <c r="AT93" s="22">
        <f t="shared" si="173"/>
        <v>9.249298122580818</v>
      </c>
      <c r="AU93" s="22">
        <f t="shared" si="173"/>
        <v>1.3767372528431299</v>
      </c>
      <c r="AV93" s="22">
        <f t="shared" si="173"/>
        <v>4.5708543914325661</v>
      </c>
      <c r="AW93" s="22">
        <f t="shared" si="173"/>
        <v>3.43983076528942</v>
      </c>
      <c r="AX93" s="22">
        <f t="shared" si="174"/>
        <v>3.1206374824721106</v>
      </c>
      <c r="AZ93" s="22">
        <f t="shared" si="199"/>
        <v>4.0038051286177989</v>
      </c>
      <c r="BA93" s="22">
        <f t="shared" si="200"/>
        <v>4.4017225499367152</v>
      </c>
      <c r="BB93" s="22">
        <f t="shared" si="201"/>
        <v>7.2798588542010378</v>
      </c>
      <c r="BD93" s="18" t="str">
        <f t="shared" si="202"/>
        <v xml:space="preserve"> 51 Skilled agricultural and related trades</v>
      </c>
      <c r="BE93" s="22">
        <f t="shared" si="175"/>
        <v>-0.83224144169448122</v>
      </c>
      <c r="BF93" s="22">
        <f t="shared" si="175"/>
        <v>-0.79777775729348299</v>
      </c>
      <c r="BG93" s="22">
        <f t="shared" si="175"/>
        <v>-2.2085520842092587</v>
      </c>
      <c r="BH93" s="22">
        <f t="shared" si="175"/>
        <v>-0.25863884529034875</v>
      </c>
      <c r="BI93" s="22">
        <f t="shared" si="176"/>
        <v>-1.0917489087664545</v>
      </c>
      <c r="BK93" s="22">
        <f t="shared" si="203"/>
        <v>-1.2384076454269421</v>
      </c>
      <c r="BL93" s="22">
        <f t="shared" si="204"/>
        <v>2.7198795369283157</v>
      </c>
      <c r="BM93" s="22">
        <f t="shared" si="205"/>
        <v>1.7602967310892836</v>
      </c>
      <c r="BO93" s="18" t="str">
        <f t="shared" si="206"/>
        <v xml:space="preserve"> 51 Skilled agricultural and related trades</v>
      </c>
      <c r="BP93" s="22">
        <f t="shared" si="177"/>
        <v>3.5726712949680772</v>
      </c>
      <c r="BQ93" s="22">
        <f t="shared" si="177"/>
        <v>-0.98030214008827388</v>
      </c>
      <c r="BR93" s="22">
        <f t="shared" si="177"/>
        <v>-1.404359852340431</v>
      </c>
      <c r="BS93" s="22">
        <f t="shared" si="177"/>
        <v>0.33415070062827734</v>
      </c>
      <c r="BT93" s="22">
        <f t="shared" si="178"/>
        <v>-0.68625423733298385</v>
      </c>
      <c r="BV93" s="22">
        <f t="shared" si="207"/>
        <v>-0.53890299720100732</v>
      </c>
      <c r="BW93" s="22">
        <f t="shared" si="208"/>
        <v>2.9756557363939118</v>
      </c>
      <c r="BX93" s="22">
        <f t="shared" si="209"/>
        <v>2.5643311411190473</v>
      </c>
      <c r="BZ93" s="18" t="str">
        <f t="shared" si="210"/>
        <v xml:space="preserve"> 51 Skilled agricultural and related trades</v>
      </c>
      <c r="CA93" s="22">
        <f t="shared" si="179"/>
        <v>0.26247129127441315</v>
      </c>
      <c r="CB93" s="22">
        <f t="shared" si="179"/>
        <v>-1.1757592367492964</v>
      </c>
      <c r="CC93" s="22">
        <f t="shared" si="179"/>
        <v>-3.0672617408268543</v>
      </c>
      <c r="CD93" s="22">
        <f t="shared" si="179"/>
        <v>-1.4374710486761644</v>
      </c>
      <c r="CE93" s="22">
        <f t="shared" si="180"/>
        <v>-1.89707974098966</v>
      </c>
      <c r="CF93" s="286"/>
      <c r="CG93" s="22">
        <f t="shared" si="211"/>
        <v>-2.2557632338312872</v>
      </c>
      <c r="CH93" s="22">
        <f t="shared" si="212"/>
        <v>2.4591637805220445</v>
      </c>
      <c r="CI93" s="22">
        <f t="shared" si="213"/>
        <v>0.68820210880506938</v>
      </c>
      <c r="CK93" s="18" t="str">
        <f t="shared" si="214"/>
        <v xml:space="preserve"> 51 Skilled agricultural and related trades</v>
      </c>
      <c r="CL93" s="22">
        <f t="shared" si="181"/>
        <v>-1.963901592509254</v>
      </c>
      <c r="CM93" s="22">
        <f t="shared" si="181"/>
        <v>-2.3210192531663454</v>
      </c>
      <c r="CN93" s="22">
        <f t="shared" si="181"/>
        <v>-5.6967890461177451</v>
      </c>
      <c r="CO93" s="22">
        <f t="shared" si="181"/>
        <v>-5.0618550877741253</v>
      </c>
      <c r="CP93" s="22">
        <f t="shared" si="182"/>
        <v>-4.3710368507729358</v>
      </c>
      <c r="CR93" s="22">
        <f t="shared" si="215"/>
        <v>-5.3798546438028394</v>
      </c>
      <c r="CS93" s="22">
        <f t="shared" si="216"/>
        <v>1.6935084156149527</v>
      </c>
      <c r="CT93" s="22">
        <f t="shared" si="217"/>
        <v>-2.7316601467724078</v>
      </c>
    </row>
    <row r="94" spans="1:98" x14ac:dyDescent="0.25">
      <c r="A94" s="18" t="str">
        <f t="shared" si="164"/>
        <v xml:space="preserve"> 52 Skilled metal, electrical and electronic trades</v>
      </c>
      <c r="B94" s="22">
        <f t="shared" si="165"/>
        <v>7.8302814931876519</v>
      </c>
      <c r="C94" s="22">
        <f t="shared" si="165"/>
        <v>4.87641856742973</v>
      </c>
      <c r="D94" s="22">
        <f t="shared" si="165"/>
        <v>4.2943780895216666</v>
      </c>
      <c r="E94" s="22">
        <f t="shared" si="165"/>
        <v>4.7330025928603803</v>
      </c>
      <c r="F94" s="22">
        <f t="shared" si="166"/>
        <v>4.6343065621857971</v>
      </c>
      <c r="H94" s="22">
        <f t="shared" si="183"/>
        <v>4.5134602377638</v>
      </c>
      <c r="I94" s="22">
        <f t="shared" si="184"/>
        <v>3.337976858220526</v>
      </c>
      <c r="J94" s="22">
        <f t="shared" si="185"/>
        <v>6.8714343555223101</v>
      </c>
      <c r="L94" s="18" t="str">
        <f t="shared" si="186"/>
        <v xml:space="preserve"> 52 Skilled metal, electrical and electronic trades</v>
      </c>
      <c r="M94" s="22">
        <f t="shared" si="167"/>
        <v>15.346151411713894</v>
      </c>
      <c r="N94" s="22">
        <f t="shared" si="167"/>
        <v>6.0882999431492113</v>
      </c>
      <c r="O94" s="22">
        <f t="shared" si="167"/>
        <v>2.7312050378133668</v>
      </c>
      <c r="P94" s="22">
        <f t="shared" si="167"/>
        <v>2.6637898573737662</v>
      </c>
      <c r="Q94" s="22">
        <f t="shared" si="168"/>
        <v>3.8155450003624081</v>
      </c>
      <c r="S94" s="22">
        <f>IF($F$6-$D$6 &lt;&gt; 0,(EXP(LN(1+(S58/100))/($F$6-$D$6))-1)*100,0)</f>
        <v>2.6974919158050836</v>
      </c>
      <c r="T94" s="22">
        <f t="shared" si="188"/>
        <v>3.1510881489699161</v>
      </c>
      <c r="U94" s="22">
        <f t="shared" si="189"/>
        <v>5.2539624167849741</v>
      </c>
      <c r="W94" s="18" t="str">
        <f t="shared" si="190"/>
        <v xml:space="preserve"> 52 Skilled metal, electrical and electronic trades</v>
      </c>
      <c r="X94" s="22">
        <f t="shared" si="169"/>
        <v>5.8070524237260779</v>
      </c>
      <c r="Y94" s="22">
        <f t="shared" si="169"/>
        <v>2.2851410054326671</v>
      </c>
      <c r="Z94" s="22">
        <f t="shared" si="169"/>
        <v>4.5394202749937662</v>
      </c>
      <c r="AA94" s="22">
        <f t="shared" si="169"/>
        <v>2.4038853101486124</v>
      </c>
      <c r="AB94" s="22">
        <f t="shared" si="170"/>
        <v>3.07096845713839</v>
      </c>
      <c r="AD94" s="22">
        <f>IF($F$6-$D$6 &lt;&gt; 0,(EXP(LN(1+(AD58/100))/($F$6-$D$6))-1)*100,0)</f>
        <v>3.4661432751307508</v>
      </c>
      <c r="AE94" s="22">
        <f t="shared" si="192"/>
        <v>3.5322205102068294</v>
      </c>
      <c r="AF94" s="22">
        <f t="shared" si="193"/>
        <v>6.1770599766987511</v>
      </c>
      <c r="AH94" s="18" t="str">
        <f t="shared" si="194"/>
        <v xml:space="preserve"> 52 Skilled metal, electrical and electronic trades</v>
      </c>
      <c r="AI94" s="22">
        <f t="shared" si="171"/>
        <v>9.1908543765779172</v>
      </c>
      <c r="AJ94" s="22">
        <f t="shared" si="171"/>
        <v>1.1558210139593461</v>
      </c>
      <c r="AK94" s="22">
        <f t="shared" si="171"/>
        <v>3.9605526786214096</v>
      </c>
      <c r="AL94" s="22">
        <f t="shared" si="171"/>
        <v>1.9662823274787966</v>
      </c>
      <c r="AM94" s="22">
        <f t="shared" si="172"/>
        <v>2.3541245564444369</v>
      </c>
      <c r="AO94" s="22">
        <f>IF($F$6-$D$6 &lt;&gt; 0,(EXP(LN(1+(AO58/100))/($F$6-$D$6))-1)*100,0)</f>
        <v>2.9585890800230663</v>
      </c>
      <c r="AP94" s="22">
        <f t="shared" si="196"/>
        <v>3.2704002093574269</v>
      </c>
      <c r="AQ94" s="22">
        <f t="shared" si="197"/>
        <v>5.5615744089291708</v>
      </c>
      <c r="AS94" s="18" t="str">
        <f t="shared" si="198"/>
        <v xml:space="preserve"> 52 Skilled metal, electrical and electronic trades</v>
      </c>
      <c r="AT94" s="22">
        <f t="shared" si="173"/>
        <v>1.7229968816844021</v>
      </c>
      <c r="AU94" s="22">
        <f t="shared" si="173"/>
        <v>0.72457588489116542</v>
      </c>
      <c r="AV94" s="22">
        <f t="shared" si="173"/>
        <v>3.3944636517483584</v>
      </c>
      <c r="AW94" s="22">
        <f t="shared" si="173"/>
        <v>1.7416973438365124</v>
      </c>
      <c r="AX94" s="22">
        <f t="shared" si="174"/>
        <v>1.9476541374761291</v>
      </c>
      <c r="AZ94" s="22">
        <f>IF($F$6-$D$6 &lt;&gt; 0,(EXP(LN(1+(AZ58/100))/($F$6-$D$6))-1)*100,0)</f>
        <v>2.5647513909358821</v>
      </c>
      <c r="BA94" s="22">
        <f t="shared" si="200"/>
        <v>3.1462957790547641</v>
      </c>
      <c r="BB94" s="22">
        <f t="shared" si="201"/>
        <v>5.1436761479723758</v>
      </c>
      <c r="BD94" s="18" t="str">
        <f t="shared" si="202"/>
        <v xml:space="preserve"> 52 Skilled metal, electrical and electronic trades</v>
      </c>
      <c r="BE94" s="22">
        <f t="shared" si="175"/>
        <v>-1.7112724312685734</v>
      </c>
      <c r="BF94" s="22">
        <f t="shared" si="175"/>
        <v>1.2147111064494176</v>
      </c>
      <c r="BG94" s="22">
        <f t="shared" si="175"/>
        <v>-2.6893086714598113</v>
      </c>
      <c r="BH94" s="22">
        <f t="shared" si="175"/>
        <v>-1.6426105941166891</v>
      </c>
      <c r="BI94" s="22">
        <f t="shared" si="176"/>
        <v>-1.0527495913780993</v>
      </c>
      <c r="BK94" s="22">
        <f>IF($F$6-$D$6 &lt;&gt; 0,(EXP(LN(1+(BK58/100))/($F$6-$D$6))-1)*100,0)</f>
        <v>-2.1673594327693668</v>
      </c>
      <c r="BL94" s="22">
        <f t="shared" si="204"/>
        <v>1.9051523774810342</v>
      </c>
      <c r="BM94" s="22">
        <f t="shared" si="205"/>
        <v>0.10879146295643682</v>
      </c>
      <c r="BO94" s="18" t="str">
        <f t="shared" si="206"/>
        <v xml:space="preserve"> 52 Skilled metal, electrical and electronic trades</v>
      </c>
      <c r="BP94" s="22">
        <f t="shared" si="177"/>
        <v>0.14336419310982951</v>
      </c>
      <c r="BQ94" s="22">
        <f t="shared" si="177"/>
        <v>-0.91619732125517439</v>
      </c>
      <c r="BR94" s="22">
        <f t="shared" si="177"/>
        <v>-3.2153949872684606</v>
      </c>
      <c r="BS94" s="22">
        <f t="shared" si="177"/>
        <v>-2.6626568725539035</v>
      </c>
      <c r="BT94" s="22">
        <f t="shared" si="178"/>
        <v>-2.2696445067692417</v>
      </c>
      <c r="BV94" s="22">
        <f>IF($F$6-$D$6 &lt;&gt; 0,(EXP(LN(1+(BV58/100))/($F$6-$D$6))-1)*100,0)</f>
        <v>-2.9394193939754398</v>
      </c>
      <c r="BW94" s="22">
        <f t="shared" si="208"/>
        <v>1.9567467869815225</v>
      </c>
      <c r="BX94" s="22">
        <f t="shared" si="209"/>
        <v>-0.45023608707469576</v>
      </c>
      <c r="BZ94" s="18" t="str">
        <f t="shared" si="210"/>
        <v xml:space="preserve"> 52 Skilled metal, electrical and electronic trades</v>
      </c>
      <c r="CA94" s="22">
        <f t="shared" si="179"/>
        <v>-5.2370824662437476</v>
      </c>
      <c r="CB94" s="22">
        <f t="shared" si="179"/>
        <v>-0.88484526967782529</v>
      </c>
      <c r="CC94" s="22">
        <f t="shared" si="179"/>
        <v>-4.4455434082990681</v>
      </c>
      <c r="CD94" s="22">
        <f t="shared" si="179"/>
        <v>-4.9029382544433115</v>
      </c>
      <c r="CE94" s="22">
        <f t="shared" si="180"/>
        <v>-3.4276715087038667</v>
      </c>
      <c r="CF94" s="286"/>
      <c r="CG94" s="22">
        <f>IF($F$6-$D$6 &lt;&gt; 0,(EXP(LN(1+(CG58/100))/($F$6-$D$6))-1)*100,0)</f>
        <v>-4.6745151674322694</v>
      </c>
      <c r="CH94" s="22">
        <f t="shared" si="212"/>
        <v>1.7375357514089806</v>
      </c>
      <c r="CI94" s="22">
        <f t="shared" si="213"/>
        <v>-2.1147231469231587</v>
      </c>
      <c r="CK94" s="18" t="str">
        <f t="shared" si="214"/>
        <v xml:space="preserve"> 52 Skilled metal, electrical and electronic trades</v>
      </c>
      <c r="CL94" s="22">
        <f t="shared" si="181"/>
        <v>-6.9749044287198974</v>
      </c>
      <c r="CM94" s="22">
        <f t="shared" si="181"/>
        <v>-2.894418480573302</v>
      </c>
      <c r="CN94" s="22">
        <f t="shared" si="181"/>
        <v>-7.3933069105053377</v>
      </c>
      <c r="CO94" s="22">
        <f t="shared" si="181"/>
        <v>-7.7169303474503899</v>
      </c>
      <c r="CP94" s="22">
        <f t="shared" si="182"/>
        <v>-6.0270485262565066</v>
      </c>
      <c r="CR94" s="22">
        <f>IF($F$6-$D$6 &lt;&gt; 0,(EXP(LN(1+(CR58/100))/($F$6-$D$6))-1)*100,0)</f>
        <v>-7.5552602433750167</v>
      </c>
      <c r="CS94" s="22">
        <f t="shared" si="216"/>
        <v>1.3386354221865737</v>
      </c>
      <c r="CT94" s="22">
        <f t="shared" si="217"/>
        <v>-5.0105543439778133</v>
      </c>
    </row>
    <row r="95" spans="1:98" x14ac:dyDescent="0.25">
      <c r="A95" s="18" t="str">
        <f t="shared" si="164"/>
        <v xml:space="preserve"> 53 Skilled construction and building trades</v>
      </c>
      <c r="B95" s="22">
        <f t="shared" si="165"/>
        <v>13.842911557880511</v>
      </c>
      <c r="C95" s="22">
        <f t="shared" si="165"/>
        <v>5.4327167508231078</v>
      </c>
      <c r="D95" s="22">
        <f t="shared" si="165"/>
        <v>3.6083716667085541</v>
      </c>
      <c r="E95" s="22">
        <f t="shared" si="165"/>
        <v>2.6905803808137563</v>
      </c>
      <c r="F95" s="22">
        <f t="shared" si="166"/>
        <v>3.9043232427152796</v>
      </c>
      <c r="H95" s="22">
        <f t="shared" si="183"/>
        <v>3.1484552417793576</v>
      </c>
      <c r="I95" s="22">
        <f t="shared" si="184"/>
        <v>3.1618566617025223</v>
      </c>
      <c r="J95" s="22">
        <f t="shared" si="185"/>
        <v>5.625648462166799</v>
      </c>
      <c r="L95" s="18" t="str">
        <f t="shared" si="186"/>
        <v xml:space="preserve"> 53 Skilled construction and building trades</v>
      </c>
      <c r="M95" s="22">
        <f t="shared" si="167"/>
        <v>-7.8675751771495106</v>
      </c>
      <c r="N95" s="22">
        <f t="shared" si="167"/>
        <v>9.2612485528823285</v>
      </c>
      <c r="O95" s="22">
        <f t="shared" si="167"/>
        <v>6.9200494000611901</v>
      </c>
      <c r="P95" s="22">
        <f t="shared" si="167"/>
        <v>4.4504462398558431</v>
      </c>
      <c r="Q95" s="22">
        <f t="shared" si="168"/>
        <v>6.8591880182354625</v>
      </c>
      <c r="S95" s="22">
        <f t="shared" si="187"/>
        <v>5.6780340081316272</v>
      </c>
      <c r="T95" s="22">
        <f t="shared" si="188"/>
        <v>4.0135878892749721</v>
      </c>
      <c r="U95" s="22">
        <f>IF($F$6-$D$6 &lt;&gt; 0,(EXP(LN(1+(U59/100))/($F$6-$D$6))-1)*100,0)</f>
        <v>8.2986278411822489</v>
      </c>
      <c r="W95" s="18" t="str">
        <f t="shared" si="190"/>
        <v xml:space="preserve"> 53 Skilled construction and building trades</v>
      </c>
      <c r="X95" s="22">
        <f t="shared" si="169"/>
        <v>2.7331151239078588</v>
      </c>
      <c r="Y95" s="22">
        <f t="shared" si="169"/>
        <v>2.5403453846537527</v>
      </c>
      <c r="Z95" s="22">
        <f t="shared" si="169"/>
        <v>7.3416050156299928</v>
      </c>
      <c r="AA95" s="22">
        <f t="shared" si="169"/>
        <v>3.0547250663192305</v>
      </c>
      <c r="AB95" s="22">
        <f t="shared" si="170"/>
        <v>4.2902215111386255</v>
      </c>
      <c r="AD95" s="22">
        <f t="shared" si="191"/>
        <v>5.1763262006388144</v>
      </c>
      <c r="AE95" s="22">
        <f t="shared" si="192"/>
        <v>4.1696318295873169</v>
      </c>
      <c r="AF95" s="22">
        <f>IF($F$6-$D$6 &lt;&gt; 0,(EXP(LN(1+(AF59/100))/($F$6-$D$6))-1)*100,0)</f>
        <v>8.0104877248194271</v>
      </c>
      <c r="AH95" s="18" t="str">
        <f t="shared" si="194"/>
        <v xml:space="preserve"> 53 Skilled construction and building trades</v>
      </c>
      <c r="AI95" s="22">
        <f t="shared" si="171"/>
        <v>3.8524779533606113</v>
      </c>
      <c r="AJ95" s="22">
        <f t="shared" si="171"/>
        <v>4.3863294652910501</v>
      </c>
      <c r="AK95" s="22">
        <f t="shared" si="171"/>
        <v>8.5752156782960007</v>
      </c>
      <c r="AL95" s="22">
        <f t="shared" si="171"/>
        <v>3.1581809980350206</v>
      </c>
      <c r="AM95" s="22">
        <f t="shared" si="172"/>
        <v>5.3479286709579688</v>
      </c>
      <c r="AO95" s="22">
        <f t="shared" si="195"/>
        <v>5.8320450092614662</v>
      </c>
      <c r="AP95" s="22">
        <f t="shared" si="196"/>
        <v>4.6086239249501393</v>
      </c>
      <c r="AQ95" s="22">
        <f>IF($F$6-$D$6 &lt;&gt; 0,(EXP(LN(1+(AQ59/100))/($F$6-$D$6))-1)*100,0)</f>
        <v>8.8354230836557903</v>
      </c>
      <c r="AS95" s="18" t="str">
        <f t="shared" si="198"/>
        <v xml:space="preserve"> 53 Skilled construction and building trades</v>
      </c>
      <c r="AT95" s="22">
        <f t="shared" si="173"/>
        <v>0.14169970816100275</v>
      </c>
      <c r="AU95" s="22">
        <f t="shared" si="173"/>
        <v>2.4940779099290822</v>
      </c>
      <c r="AV95" s="22">
        <f t="shared" si="173"/>
        <v>7.4171935788677645</v>
      </c>
      <c r="AW95" s="22">
        <f t="shared" si="173"/>
        <v>2.6254192341818916</v>
      </c>
      <c r="AX95" s="22">
        <f t="shared" si="174"/>
        <v>4.1539726561067525</v>
      </c>
      <c r="AZ95" s="22">
        <f t="shared" si="199"/>
        <v>4.9939737508328363</v>
      </c>
      <c r="BA95" s="22">
        <f t="shared" si="200"/>
        <v>4.283334768453062</v>
      </c>
      <c r="BB95" s="22">
        <f>IF($F$6-$D$6 &lt;&gt; 0,(EXP(LN(1+(BB59/100))/($F$6-$D$6))-1)*100,0)</f>
        <v>7.9503963106887676</v>
      </c>
      <c r="BD95" s="18" t="str">
        <f t="shared" si="202"/>
        <v xml:space="preserve"> 53 Skilled construction and building trades</v>
      </c>
      <c r="BE95" s="22">
        <f t="shared" si="175"/>
        <v>-3.033918050343487</v>
      </c>
      <c r="BF95" s="22">
        <f t="shared" si="175"/>
        <v>1.2714320903779885</v>
      </c>
      <c r="BG95" s="22">
        <f t="shared" si="175"/>
        <v>-1.0858113635794031</v>
      </c>
      <c r="BH95" s="22">
        <f t="shared" si="175"/>
        <v>-0.97174432002371525</v>
      </c>
      <c r="BI95" s="22">
        <f t="shared" si="176"/>
        <v>-0.26791667021491827</v>
      </c>
      <c r="BK95" s="22">
        <f t="shared" si="203"/>
        <v>-1.0287942749768075</v>
      </c>
      <c r="BL95" s="22">
        <f t="shared" si="204"/>
        <v>2.1925125651106825</v>
      </c>
      <c r="BM95" s="22">
        <f>IF($F$6-$D$6 &lt;&gt; 0,(EXP(LN(1+(BM59/100))/($F$6-$D$6))-1)*100,0)</f>
        <v>1.35398209156945</v>
      </c>
      <c r="BO95" s="18" t="str">
        <f t="shared" si="206"/>
        <v xml:space="preserve"> 53 Skilled construction and building trades</v>
      </c>
      <c r="BP95" s="22">
        <f t="shared" si="177"/>
        <v>-0.4248982851286276</v>
      </c>
      <c r="BQ95" s="22">
        <f t="shared" si="177"/>
        <v>1.9145829296018047</v>
      </c>
      <c r="BR95" s="22">
        <f t="shared" si="177"/>
        <v>0.90039772038559285</v>
      </c>
      <c r="BS95" s="22">
        <f t="shared" si="177"/>
        <v>0.52599556832473304</v>
      </c>
      <c r="BT95" s="22">
        <f t="shared" si="178"/>
        <v>1.1119604200646949</v>
      </c>
      <c r="BV95" s="22">
        <f t="shared" si="207"/>
        <v>0.71302266381287893</v>
      </c>
      <c r="BW95" s="22">
        <f t="shared" si="208"/>
        <v>2.7565097250637161</v>
      </c>
      <c r="BX95" s="22">
        <f>IF($F$6-$D$6 &lt;&gt; 0,(EXP(LN(1+(BX59/100))/($F$6-$D$6))-1)*100,0)</f>
        <v>3.3189466305323156</v>
      </c>
      <c r="BZ95" s="18" t="str">
        <f t="shared" si="210"/>
        <v xml:space="preserve"> 53 Skilled construction and building trades</v>
      </c>
      <c r="CA95" s="22">
        <f t="shared" si="179"/>
        <v>-2.6381779003565531</v>
      </c>
      <c r="CB95" s="22">
        <f t="shared" si="179"/>
        <v>1.1445775017540294</v>
      </c>
      <c r="CC95" s="22">
        <f t="shared" si="179"/>
        <v>-1.142387262672484</v>
      </c>
      <c r="CD95" s="22">
        <f t="shared" si="179"/>
        <v>-1.5591136547165263</v>
      </c>
      <c r="CE95" s="22">
        <f t="shared" si="180"/>
        <v>-0.52603871838141636</v>
      </c>
      <c r="CF95" s="286"/>
      <c r="CG95" s="22">
        <f t="shared" si="211"/>
        <v>-1.350970507352145</v>
      </c>
      <c r="CH95" s="22">
        <f t="shared" si="212"/>
        <v>2.264122850709982</v>
      </c>
      <c r="CI95" s="22">
        <f>IF($F$6-$D$6 &lt;&gt; 0,(EXP(LN(1+(CI59/100))/($F$6-$D$6))-1)*100,0)</f>
        <v>1.1736078782726977</v>
      </c>
      <c r="CK95" s="18" t="str">
        <f t="shared" si="214"/>
        <v xml:space="preserve"> 53 Skilled construction and building trades</v>
      </c>
      <c r="CL95" s="22">
        <f t="shared" si="181"/>
        <v>-8.8150020876511803</v>
      </c>
      <c r="CM95" s="22">
        <f t="shared" si="181"/>
        <v>-2.0497752915225931</v>
      </c>
      <c r="CN95" s="22">
        <f t="shared" si="181"/>
        <v>-6.4442663427797475</v>
      </c>
      <c r="CO95" s="22">
        <f t="shared" si="181"/>
        <v>-12.246740648006638</v>
      </c>
      <c r="CP95" s="22">
        <f t="shared" si="182"/>
        <v>-7.0078332177373355</v>
      </c>
      <c r="CR95" s="22">
        <f t="shared" si="215"/>
        <v>-9.3919398757038692</v>
      </c>
      <c r="CS95" s="22">
        <f t="shared" si="216"/>
        <v>1.3159983633137973</v>
      </c>
      <c r="CT95" s="22">
        <f>IF($F$6-$D$6 &lt;&gt; 0,(EXP(LN(1+(CT59/100))/($F$6-$D$6))-1)*100,0)</f>
        <v>-6.4635026899514614</v>
      </c>
    </row>
    <row r="96" spans="1:98" x14ac:dyDescent="0.25">
      <c r="A96" s="18" t="str">
        <f t="shared" si="164"/>
        <v xml:space="preserve"> 54 Textiles, printing and other skilled trades</v>
      </c>
      <c r="B96" s="22">
        <f t="shared" si="165"/>
        <v>48.405727430671796</v>
      </c>
      <c r="C96" s="22">
        <f t="shared" si="165"/>
        <v>5.806939017899837</v>
      </c>
      <c r="D96" s="22">
        <f t="shared" si="165"/>
        <v>4.0340698496211802</v>
      </c>
      <c r="E96" s="22">
        <f t="shared" si="165"/>
        <v>3.2363293962239137</v>
      </c>
      <c r="F96" s="22">
        <f t="shared" si="166"/>
        <v>4.3535988576995255</v>
      </c>
      <c r="H96" s="22">
        <f t="shared" si="183"/>
        <v>3.6344320360046201</v>
      </c>
      <c r="I96" s="22">
        <f t="shared" si="184"/>
        <v>3.5520305313355482</v>
      </c>
      <c r="J96" s="22">
        <f t="shared" si="185"/>
        <v>6.3262345491043037</v>
      </c>
      <c r="L96" s="18" t="str">
        <f t="shared" si="186"/>
        <v xml:space="preserve"> 54 Textiles, printing and other skilled trades</v>
      </c>
      <c r="M96" s="22">
        <f t="shared" si="167"/>
        <v>4.6866237829705115</v>
      </c>
      <c r="N96" s="22">
        <f t="shared" si="167"/>
        <v>6.7451546130871565</v>
      </c>
      <c r="O96" s="22">
        <f t="shared" si="167"/>
        <v>4.0473642996349923</v>
      </c>
      <c r="P96" s="22">
        <f t="shared" si="167"/>
        <v>2.8289012826670845</v>
      </c>
      <c r="Q96" s="22">
        <f t="shared" si="168"/>
        <v>4.5277213481265122</v>
      </c>
      <c r="S96" s="22">
        <f t="shared" si="187"/>
        <v>3.43633864502777</v>
      </c>
      <c r="T96" s="22">
        <f t="shared" si="188"/>
        <v>3.7399695156729029</v>
      </c>
      <c r="U96" s="22">
        <f t="shared" si="189"/>
        <v>6.3196683361356643</v>
      </c>
      <c r="W96" s="18" t="str">
        <f t="shared" si="190"/>
        <v xml:space="preserve"> 54 Textiles, printing and other skilled trades</v>
      </c>
      <c r="X96" s="22">
        <f t="shared" si="169"/>
        <v>6.2512818694731243</v>
      </c>
      <c r="Y96" s="22">
        <f t="shared" si="169"/>
        <v>1.4642590589087456</v>
      </c>
      <c r="Z96" s="22">
        <f t="shared" si="169"/>
        <v>5.2513787944330259</v>
      </c>
      <c r="AA96" s="22">
        <f t="shared" si="169"/>
        <v>2.5209748105527119</v>
      </c>
      <c r="AB96" s="22">
        <f t="shared" si="170"/>
        <v>3.0665810334192134</v>
      </c>
      <c r="AD96" s="22">
        <f t="shared" si="191"/>
        <v>3.8772061337809083</v>
      </c>
      <c r="AE96" s="22">
        <f t="shared" si="192"/>
        <v>3.9246646447104183</v>
      </c>
      <c r="AF96" s="22">
        <f t="shared" si="193"/>
        <v>6.8095446940533932</v>
      </c>
      <c r="AH96" s="18" t="str">
        <f t="shared" si="194"/>
        <v xml:space="preserve"> 54 Textiles, printing and other skilled trades</v>
      </c>
      <c r="AI96" s="22">
        <f t="shared" si="171"/>
        <v>-0.37155537508827274</v>
      </c>
      <c r="AJ96" s="22">
        <f t="shared" si="171"/>
        <v>-0.36503229169796425</v>
      </c>
      <c r="AK96" s="22">
        <f t="shared" si="171"/>
        <v>3.135675844960395</v>
      </c>
      <c r="AL96" s="22">
        <f t="shared" si="171"/>
        <v>1.3399891065952074</v>
      </c>
      <c r="AM96" s="22">
        <f t="shared" si="172"/>
        <v>1.3601362124493921</v>
      </c>
      <c r="AO96" s="22">
        <f t="shared" si="195"/>
        <v>2.2338900102584436</v>
      </c>
      <c r="AP96" s="22">
        <f t="shared" si="196"/>
        <v>3.6333125993489368</v>
      </c>
      <c r="AQ96" s="22">
        <f t="shared" si="197"/>
        <v>5.3004573030703384</v>
      </c>
      <c r="AS96" s="18" t="str">
        <f t="shared" si="198"/>
        <v xml:space="preserve"> 54 Textiles, printing and other skilled trades</v>
      </c>
      <c r="AT96" s="22">
        <f t="shared" si="173"/>
        <v>2.8970365713192336</v>
      </c>
      <c r="AU96" s="22">
        <f t="shared" si="173"/>
        <v>4.21034890851546E-2</v>
      </c>
      <c r="AV96" s="22">
        <f t="shared" si="173"/>
        <v>3.767544546058299</v>
      </c>
      <c r="AW96" s="22">
        <f t="shared" si="173"/>
        <v>1.7118024119905373</v>
      </c>
      <c r="AX96" s="22">
        <f t="shared" si="174"/>
        <v>1.8290991533622458</v>
      </c>
      <c r="AZ96" s="22">
        <f t="shared" si="199"/>
        <v>2.7345316222647131</v>
      </c>
      <c r="BA96" s="22">
        <f t="shared" si="200"/>
        <v>3.5628893518490523</v>
      </c>
      <c r="BB96" s="22">
        <f t="shared" si="201"/>
        <v>5.6273205510603219</v>
      </c>
      <c r="BD96" s="18" t="str">
        <f t="shared" si="202"/>
        <v xml:space="preserve"> 54 Textiles, printing and other skilled trades</v>
      </c>
      <c r="BE96" s="22">
        <f t="shared" si="175"/>
        <v>-1.3103083392948411</v>
      </c>
      <c r="BF96" s="22">
        <f t="shared" si="175"/>
        <v>0.52965991739186702</v>
      </c>
      <c r="BG96" s="22">
        <f t="shared" si="175"/>
        <v>-1.045948053603829</v>
      </c>
      <c r="BH96" s="22">
        <f t="shared" si="175"/>
        <v>-0.61916107499305761</v>
      </c>
      <c r="BI96" s="22">
        <f t="shared" si="176"/>
        <v>-0.38070022820916316</v>
      </c>
      <c r="BK96" s="22">
        <f t="shared" si="203"/>
        <v>-0.83278415997770638</v>
      </c>
      <c r="BL96" s="22">
        <f t="shared" si="204"/>
        <v>2.3226600845219769</v>
      </c>
      <c r="BM96" s="22">
        <f t="shared" si="205"/>
        <v>1.6506630909959963</v>
      </c>
      <c r="BO96" s="18" t="str">
        <f t="shared" si="206"/>
        <v xml:space="preserve"> 54 Textiles, printing and other skilled trades</v>
      </c>
      <c r="BP96" s="22">
        <f t="shared" si="177"/>
        <v>0.15429133531579264</v>
      </c>
      <c r="BQ96" s="22">
        <f t="shared" si="177"/>
        <v>-2.1778338053852098</v>
      </c>
      <c r="BR96" s="22">
        <f t="shared" si="177"/>
        <v>-3.9596283169729407</v>
      </c>
      <c r="BS96" s="22">
        <f t="shared" si="177"/>
        <v>-4.7279072302299667</v>
      </c>
      <c r="BT96" s="22">
        <f t="shared" si="178"/>
        <v>-3.6276895462236114</v>
      </c>
      <c r="BV96" s="22">
        <f t="shared" si="207"/>
        <v>-4.3445390966697195</v>
      </c>
      <c r="BW96" s="22">
        <f t="shared" si="208"/>
        <v>1.9540143262181564</v>
      </c>
      <c r="BX96" s="22">
        <f t="shared" si="209"/>
        <v>-1.5559016228863132</v>
      </c>
      <c r="BZ96" s="18" t="str">
        <f t="shared" si="210"/>
        <v xml:space="preserve"> 54 Textiles, printing and other skilled trades</v>
      </c>
      <c r="CA96" s="22">
        <f t="shared" si="179"/>
        <v>-2.7475223522844372</v>
      </c>
      <c r="CB96" s="22">
        <f t="shared" si="179"/>
        <v>1.5654940641529613E-2</v>
      </c>
      <c r="CC96" s="22">
        <f t="shared" si="179"/>
        <v>-4.0057317958936185</v>
      </c>
      <c r="CD96" s="22">
        <f t="shared" si="179"/>
        <v>-3.2819335934891947</v>
      </c>
      <c r="CE96" s="22">
        <f t="shared" si="180"/>
        <v>-2.4395869618834332</v>
      </c>
      <c r="CF96" s="286"/>
      <c r="CG96" s="22">
        <f t="shared" si="211"/>
        <v>-3.6445123160638526</v>
      </c>
      <c r="CH96" s="22">
        <f t="shared" si="212"/>
        <v>1.8190652982231992</v>
      </c>
      <c r="CI96" s="22">
        <f t="shared" si="213"/>
        <v>-1.1873925931727203</v>
      </c>
      <c r="CK96" s="18" t="str">
        <f t="shared" si="214"/>
        <v xml:space="preserve"> 54 Textiles, printing and other skilled trades</v>
      </c>
      <c r="CL96" s="22">
        <f t="shared" si="181"/>
        <v>-7.167807995476938</v>
      </c>
      <c r="CM96" s="22">
        <f t="shared" si="181"/>
        <v>-2.3310158087191946</v>
      </c>
      <c r="CN96" s="22">
        <f t="shared" si="181"/>
        <v>-6.5704888601784912</v>
      </c>
      <c r="CO96" s="22">
        <f t="shared" si="181"/>
        <v>-9.25902232036605</v>
      </c>
      <c r="CP96" s="22">
        <f t="shared" si="182"/>
        <v>-6.0965819946048994</v>
      </c>
      <c r="CR96" s="22">
        <f t="shared" si="215"/>
        <v>-7.9245679621450016</v>
      </c>
      <c r="CS96" s="22">
        <f t="shared" si="216"/>
        <v>1.2907119521336385</v>
      </c>
      <c r="CT96" s="22">
        <f t="shared" si="217"/>
        <v>-5.3868928112093535</v>
      </c>
    </row>
    <row r="97" spans="1:98" x14ac:dyDescent="0.25">
      <c r="A97" s="18" t="str">
        <f t="shared" si="164"/>
        <v xml:space="preserve"> 61 Caring personal service occupations</v>
      </c>
      <c r="B97" s="22">
        <f t="shared" si="165"/>
        <v>-5.6352016060218109</v>
      </c>
      <c r="C97" s="22">
        <f t="shared" si="165"/>
        <v>9.9523944417230439</v>
      </c>
      <c r="D97" s="22">
        <f t="shared" si="165"/>
        <v>5.5530587493238137</v>
      </c>
      <c r="E97" s="22">
        <f t="shared" si="165"/>
        <v>4.4050829327410446</v>
      </c>
      <c r="F97" s="22">
        <f t="shared" si="166"/>
        <v>6.6102722400281255</v>
      </c>
      <c r="H97" s="22">
        <f t="shared" si="183"/>
        <v>4.9775016492945579</v>
      </c>
      <c r="I97" s="22">
        <f t="shared" si="184"/>
        <v>4.2154185689213142</v>
      </c>
      <c r="J97" s="22">
        <f t="shared" si="185"/>
        <v>7.8877972983787403</v>
      </c>
      <c r="L97" s="18" t="str">
        <f t="shared" si="186"/>
        <v xml:space="preserve"> 61 Caring personal service occupations</v>
      </c>
      <c r="M97" s="22">
        <f t="shared" si="167"/>
        <v>5.8919596401037166</v>
      </c>
      <c r="N97" s="22">
        <f t="shared" si="167"/>
        <v>11.47181789581575</v>
      </c>
      <c r="O97" s="22">
        <f t="shared" si="167"/>
        <v>5.9981057304940411</v>
      </c>
      <c r="P97" s="22">
        <f t="shared" si="167"/>
        <v>4.5594225015174183</v>
      </c>
      <c r="Q97" s="22">
        <f t="shared" si="168"/>
        <v>7.3022399252152592</v>
      </c>
      <c r="S97" s="22">
        <f t="shared" si="187"/>
        <v>5.2763065529715547</v>
      </c>
      <c r="T97" s="22">
        <f t="shared" si="188"/>
        <v>4.4794201796298339</v>
      </c>
      <c r="U97" s="22">
        <f t="shared" si="189"/>
        <v>8.3123546657502878</v>
      </c>
      <c r="W97" s="18" t="str">
        <f t="shared" si="190"/>
        <v xml:space="preserve"> 61 Caring personal service occupations</v>
      </c>
      <c r="X97" s="22">
        <f t="shared" si="169"/>
        <v>8.0392798150850098</v>
      </c>
      <c r="Y97" s="22">
        <f t="shared" si="169"/>
        <v>6.5294778648095075</v>
      </c>
      <c r="Z97" s="22">
        <f t="shared" si="169"/>
        <v>6.4507087459338974</v>
      </c>
      <c r="AA97" s="22">
        <f t="shared" si="169"/>
        <v>3.3039457373599035</v>
      </c>
      <c r="AB97" s="22">
        <f t="shared" si="170"/>
        <v>5.4172676066424286</v>
      </c>
      <c r="AD97" s="22">
        <f t="shared" si="191"/>
        <v>4.8655245540375702</v>
      </c>
      <c r="AE97" s="22">
        <f t="shared" si="192"/>
        <v>4.8750522950876229</v>
      </c>
      <c r="AF97" s="22">
        <f t="shared" si="193"/>
        <v>8.290809808194588</v>
      </c>
      <c r="AH97" s="18" t="str">
        <f t="shared" si="194"/>
        <v xml:space="preserve"> 61 Caring personal service occupations</v>
      </c>
      <c r="AI97" s="22">
        <f t="shared" si="171"/>
        <v>5.4213797650664697</v>
      </c>
      <c r="AJ97" s="22">
        <f t="shared" si="171"/>
        <v>3.2430932948374069</v>
      </c>
      <c r="AK97" s="22">
        <f t="shared" si="171"/>
        <v>3.3837735115052059</v>
      </c>
      <c r="AL97" s="22">
        <f t="shared" si="171"/>
        <v>1.8999519852340496</v>
      </c>
      <c r="AM97" s="22">
        <f t="shared" si="172"/>
        <v>2.8400918322723623</v>
      </c>
      <c r="AO97" s="22">
        <f t="shared" si="195"/>
        <v>2.6391813922670204</v>
      </c>
      <c r="AP97" s="22">
        <f t="shared" si="196"/>
        <v>4.002887521568943</v>
      </c>
      <c r="AQ97" s="22">
        <f t="shared" si="197"/>
        <v>5.9250681248858461</v>
      </c>
      <c r="AS97" s="18" t="str">
        <f t="shared" si="198"/>
        <v xml:space="preserve"> 61 Caring personal service occupations</v>
      </c>
      <c r="AT97" s="22">
        <f t="shared" si="173"/>
        <v>7.7693683107048495</v>
      </c>
      <c r="AU97" s="22">
        <f t="shared" si="173"/>
        <v>4.2254384863277705</v>
      </c>
      <c r="AV97" s="22">
        <f t="shared" si="173"/>
        <v>4.8485701802632342</v>
      </c>
      <c r="AW97" s="22">
        <f t="shared" si="173"/>
        <v>2.4545545261213997</v>
      </c>
      <c r="AX97" s="22">
        <f t="shared" si="174"/>
        <v>3.8378859163167522</v>
      </c>
      <c r="AZ97" s="22">
        <f t="shared" si="199"/>
        <v>3.64465037096533</v>
      </c>
      <c r="BA97" s="22">
        <f t="shared" si="200"/>
        <v>4.300946647415671</v>
      </c>
      <c r="BB97" s="22">
        <f t="shared" si="201"/>
        <v>6.9286762960771409</v>
      </c>
      <c r="BD97" s="18" t="str">
        <f t="shared" si="202"/>
        <v xml:space="preserve"> 61 Caring personal service occupations</v>
      </c>
      <c r="BE97" s="22">
        <f t="shared" si="175"/>
        <v>6.1719050819634358</v>
      </c>
      <c r="BF97" s="22">
        <f t="shared" si="175"/>
        <v>5.9354340213713552</v>
      </c>
      <c r="BG97" s="22">
        <f t="shared" si="175"/>
        <v>1.8191614421215752</v>
      </c>
      <c r="BH97" s="22">
        <f t="shared" si="175"/>
        <v>2.346288424084797</v>
      </c>
      <c r="BI97" s="22">
        <f t="shared" si="176"/>
        <v>3.3509059622693238</v>
      </c>
      <c r="BK97" s="22">
        <f t="shared" si="203"/>
        <v>2.0823846902776166</v>
      </c>
      <c r="BL97" s="22">
        <f t="shared" si="204"/>
        <v>3.6233318505192402</v>
      </c>
      <c r="BM97" s="22">
        <f t="shared" si="205"/>
        <v>5.1758043653960861</v>
      </c>
      <c r="BO97" s="18" t="str">
        <f t="shared" si="206"/>
        <v xml:space="preserve"> 61 Caring personal service occupations</v>
      </c>
      <c r="BP97" s="22">
        <f t="shared" si="177"/>
        <v>1.8022035182950091</v>
      </c>
      <c r="BQ97" s="22">
        <f t="shared" si="177"/>
        <v>2.2923441975317926</v>
      </c>
      <c r="BR97" s="22">
        <f t="shared" si="177"/>
        <v>-0.96628118468436996</v>
      </c>
      <c r="BS97" s="22">
        <f t="shared" si="177"/>
        <v>-0.12441777439220481</v>
      </c>
      <c r="BT97" s="22">
        <f t="shared" si="178"/>
        <v>0.39109262126593158</v>
      </c>
      <c r="BV97" s="22">
        <f t="shared" si="207"/>
        <v>-0.54624025886814698</v>
      </c>
      <c r="BW97" s="22">
        <f t="shared" si="208"/>
        <v>2.8521449673997612</v>
      </c>
      <c r="BX97" s="22">
        <f t="shared" si="209"/>
        <v>2.4306346697752002</v>
      </c>
      <c r="BZ97" s="18" t="str">
        <f t="shared" si="210"/>
        <v xml:space="preserve"> 61 Caring personal service occupations</v>
      </c>
      <c r="CA97" s="22">
        <f t="shared" si="179"/>
        <v>-7.5300270513124818</v>
      </c>
      <c r="CB97" s="22">
        <f t="shared" si="179"/>
        <v>-7.2756165034637004</v>
      </c>
      <c r="CC97" s="22">
        <f t="shared" si="179"/>
        <v>-11.760416386884609</v>
      </c>
      <c r="CD97" s="22">
        <f t="shared" si="179"/>
        <v>-4.0773059106570919</v>
      </c>
      <c r="CE97" s="22">
        <f t="shared" si="180"/>
        <v>-7.7585210723389419</v>
      </c>
      <c r="CF97" s="286"/>
      <c r="CG97" s="22">
        <f t="shared" si="211"/>
        <v>-7.9990294317942361</v>
      </c>
      <c r="CH97" s="22">
        <f t="shared" si="212"/>
        <v>1.1781445493796117</v>
      </c>
      <c r="CI97" s="22">
        <f t="shared" si="213"/>
        <v>-5.6553032164454065</v>
      </c>
      <c r="CK97" s="18" t="str">
        <f t="shared" si="214"/>
        <v xml:space="preserve"> 61 Caring personal service occupations</v>
      </c>
      <c r="CL97" s="22">
        <f t="shared" si="181"/>
        <v>-14.113155538524291</v>
      </c>
      <c r="CM97" s="22">
        <f t="shared" si="181"/>
        <v>-13.305215703243379</v>
      </c>
      <c r="CN97" s="22">
        <f t="shared" si="181"/>
        <v>-4.4088407868950519</v>
      </c>
      <c r="CO97" s="22">
        <f t="shared" si="181"/>
        <v>3.9623110437807529</v>
      </c>
      <c r="CP97" s="22">
        <f t="shared" si="182"/>
        <v>-4.8456001217184408</v>
      </c>
      <c r="CR97" s="22">
        <f t="shared" si="215"/>
        <v>-0.31109476401908198</v>
      </c>
      <c r="CS97" s="22">
        <f t="shared" si="216"/>
        <v>1.5258007545567276</v>
      </c>
      <c r="CT97" s="22">
        <f t="shared" si="217"/>
        <v>1.2548799966277446</v>
      </c>
    </row>
    <row r="98" spans="1:98" x14ac:dyDescent="0.25">
      <c r="A98" s="18" t="str">
        <f t="shared" si="164"/>
        <v xml:space="preserve"> 62 Leisure, travel and related personal service occupations</v>
      </c>
      <c r="B98" s="22">
        <f t="shared" si="165"/>
        <v>21.569553729888202</v>
      </c>
      <c r="C98" s="22">
        <f t="shared" si="165"/>
        <v>6.7426247763433311</v>
      </c>
      <c r="D98" s="22">
        <f t="shared" si="165"/>
        <v>3.7598311048017141</v>
      </c>
      <c r="E98" s="22">
        <f t="shared" si="165"/>
        <v>2.2455580993502089</v>
      </c>
      <c r="F98" s="22">
        <f t="shared" si="166"/>
        <v>4.2326696559325194</v>
      </c>
      <c r="H98" s="22">
        <f t="shared" si="183"/>
        <v>2.9999118427038729</v>
      </c>
      <c r="I98" s="22">
        <f t="shared" si="184"/>
        <v>3.8039193339987065</v>
      </c>
      <c r="J98" s="22">
        <f t="shared" si="185"/>
        <v>6.0332689717705668</v>
      </c>
      <c r="L98" s="18" t="str">
        <f t="shared" si="186"/>
        <v xml:space="preserve"> 62 Leisure, travel and related personal service occupations</v>
      </c>
      <c r="M98" s="22">
        <f t="shared" si="167"/>
        <v>10.857626659215324</v>
      </c>
      <c r="N98" s="22">
        <f t="shared" si="167"/>
        <v>6.6599812583800766</v>
      </c>
      <c r="O98" s="22">
        <f t="shared" si="167"/>
        <v>3.6080618087605654</v>
      </c>
      <c r="P98" s="22">
        <f t="shared" si="167"/>
        <v>2.5343135024597396</v>
      </c>
      <c r="Q98" s="22">
        <f t="shared" si="168"/>
        <v>4.2528877421036393</v>
      </c>
      <c r="S98" s="22">
        <f t="shared" si="187"/>
        <v>3.0697894190226949</v>
      </c>
      <c r="T98" s="22">
        <f t="shared" si="188"/>
        <v>3.8573182088938562</v>
      </c>
      <c r="U98" s="22">
        <f t="shared" si="189"/>
        <v>6.1310462708697111</v>
      </c>
      <c r="W98" s="18" t="str">
        <f t="shared" si="190"/>
        <v xml:space="preserve"> 62 Leisure, travel and related personal service occupations</v>
      </c>
      <c r="X98" s="22">
        <f t="shared" si="169"/>
        <v>9.175725796986999</v>
      </c>
      <c r="Y98" s="22">
        <f t="shared" si="169"/>
        <v>4.1909119999718136</v>
      </c>
      <c r="Z98" s="22">
        <f t="shared" si="169"/>
        <v>5.4427948316599917</v>
      </c>
      <c r="AA98" s="22">
        <f t="shared" si="169"/>
        <v>2.7921113568967648</v>
      </c>
      <c r="AB98" s="22">
        <f t="shared" si="170"/>
        <v>4.1363084585255949</v>
      </c>
      <c r="AD98" s="22">
        <f t="shared" si="191"/>
        <v>4.1090174198105345</v>
      </c>
      <c r="AE98" s="22">
        <f t="shared" si="192"/>
        <v>4.4044932283519467</v>
      </c>
      <c r="AF98" s="22">
        <f t="shared" si="193"/>
        <v>7.3616977162535235</v>
      </c>
      <c r="AH98" s="18" t="str">
        <f t="shared" si="194"/>
        <v xml:space="preserve"> 62 Leisure, travel and related personal service occupations</v>
      </c>
      <c r="AI98" s="22">
        <f t="shared" si="171"/>
        <v>6.5517567330136472</v>
      </c>
      <c r="AJ98" s="22">
        <f t="shared" si="171"/>
        <v>4.3882292184272087</v>
      </c>
      <c r="AK98" s="22">
        <f t="shared" si="171"/>
        <v>5.5351230823131425</v>
      </c>
      <c r="AL98" s="22">
        <f t="shared" si="171"/>
        <v>2.7509270465104985</v>
      </c>
      <c r="AM98" s="22">
        <f t="shared" si="172"/>
        <v>4.2184876782725977</v>
      </c>
      <c r="AO98" s="22">
        <f t="shared" si="195"/>
        <v>4.1337204399961136</v>
      </c>
      <c r="AP98" s="22">
        <f t="shared" si="196"/>
        <v>4.5287895572220682</v>
      </c>
      <c r="AQ98" s="22">
        <f t="shared" si="197"/>
        <v>7.4770749869835562</v>
      </c>
      <c r="AS98" s="18" t="str">
        <f t="shared" si="198"/>
        <v xml:space="preserve"> 62 Leisure, travel and related personal service occupations</v>
      </c>
      <c r="AT98" s="22">
        <f t="shared" si="173"/>
        <v>8.0546043075441442</v>
      </c>
      <c r="AU98" s="22">
        <f t="shared" si="173"/>
        <v>5.4808095772541865</v>
      </c>
      <c r="AV98" s="22">
        <f t="shared" si="173"/>
        <v>6.6097166474079261</v>
      </c>
      <c r="AW98" s="22">
        <f t="shared" si="173"/>
        <v>3.1981995533678864</v>
      </c>
      <c r="AX98" s="22">
        <f t="shared" si="174"/>
        <v>5.0866274995118088</v>
      </c>
      <c r="AZ98" s="22">
        <f t="shared" si="199"/>
        <v>4.8900892024942744</v>
      </c>
      <c r="BA98" s="22">
        <f t="shared" si="200"/>
        <v>4.7060530607684115</v>
      </c>
      <c r="BB98" s="22">
        <f t="shared" si="201"/>
        <v>8.183004795619464</v>
      </c>
      <c r="BD98" s="18" t="str">
        <f t="shared" si="202"/>
        <v xml:space="preserve"> 62 Leisure, travel and related personal service occupations</v>
      </c>
      <c r="BE98" s="22">
        <f t="shared" si="175"/>
        <v>2.3849376656768673</v>
      </c>
      <c r="BF98" s="22">
        <f t="shared" si="175"/>
        <v>1.7478743855630086</v>
      </c>
      <c r="BG98" s="22">
        <f t="shared" si="175"/>
        <v>-1.3899591123324173</v>
      </c>
      <c r="BH98" s="22">
        <f t="shared" si="175"/>
        <v>-1.1302082174244554</v>
      </c>
      <c r="BI98" s="22">
        <f t="shared" si="176"/>
        <v>-0.26750102666800446</v>
      </c>
      <c r="BK98" s="22">
        <f t="shared" si="203"/>
        <v>-1.2601690793682119</v>
      </c>
      <c r="BL98" s="22">
        <f t="shared" si="204"/>
        <v>2.5885428099692964</v>
      </c>
      <c r="BM98" s="22">
        <f t="shared" si="205"/>
        <v>1.6004693629771305</v>
      </c>
      <c r="BO98" s="18" t="str">
        <f t="shared" si="206"/>
        <v xml:space="preserve"> 62 Leisure, travel and related personal service occupations</v>
      </c>
      <c r="BP98" s="22">
        <f t="shared" si="177"/>
        <v>-3.4125324320711803</v>
      </c>
      <c r="BQ98" s="22">
        <f t="shared" si="177"/>
        <v>-1.7778274455593213E-2</v>
      </c>
      <c r="BR98" s="22">
        <f t="shared" si="177"/>
        <v>-2.3013260132362601</v>
      </c>
      <c r="BS98" s="22">
        <f t="shared" si="177"/>
        <v>-2.4821102228441472</v>
      </c>
      <c r="BT98" s="22">
        <f t="shared" si="178"/>
        <v>-1.6067628654653276</v>
      </c>
      <c r="BV98" s="22">
        <f t="shared" si="207"/>
        <v>-2.3917599727589112</v>
      </c>
      <c r="BW98" s="22">
        <f t="shared" si="208"/>
        <v>2.5042647082986536</v>
      </c>
      <c r="BX98" s="22">
        <f t="shared" si="209"/>
        <v>0.63748336772460057</v>
      </c>
      <c r="BZ98" s="18" t="str">
        <f t="shared" si="210"/>
        <v xml:space="preserve"> 62 Leisure, travel and related personal service occupations</v>
      </c>
      <c r="CA98" s="22">
        <f t="shared" si="179"/>
        <v>-0.2581119232764717</v>
      </c>
      <c r="CB98" s="22">
        <f t="shared" si="179"/>
        <v>1.7287628599614191</v>
      </c>
      <c r="CC98" s="22">
        <f t="shared" si="179"/>
        <v>-3.4404532162935597</v>
      </c>
      <c r="CD98" s="22">
        <f t="shared" si="179"/>
        <v>-2.3400060520801236</v>
      </c>
      <c r="CE98" s="22">
        <f t="shared" si="180"/>
        <v>-1.3754067932264968</v>
      </c>
      <c r="CF98" s="286"/>
      <c r="CG98" s="22">
        <f t="shared" si="211"/>
        <v>-2.8917884290383111</v>
      </c>
      <c r="CH98" s="22">
        <f t="shared" si="212"/>
        <v>2.1591193637381823</v>
      </c>
      <c r="CI98" s="22">
        <f t="shared" si="213"/>
        <v>-0.16281943903733165</v>
      </c>
      <c r="CK98" s="18" t="str">
        <f t="shared" si="214"/>
        <v xml:space="preserve"> 62 Leisure, travel and related personal service occupations</v>
      </c>
      <c r="CL98" s="22">
        <f t="shared" si="181"/>
        <v>-6.3831462035114921</v>
      </c>
      <c r="CM98" s="22">
        <f t="shared" si="181"/>
        <v>-1.7193263439531536</v>
      </c>
      <c r="CN98" s="22">
        <f t="shared" si="181"/>
        <v>-7.0123148935157147</v>
      </c>
      <c r="CO98" s="22">
        <f t="shared" si="181"/>
        <v>-4.3910323826210291</v>
      </c>
      <c r="CP98" s="22">
        <f t="shared" si="182"/>
        <v>-4.3986416011207563</v>
      </c>
      <c r="CR98" s="22">
        <f t="shared" si="215"/>
        <v>-5.7107823016815491</v>
      </c>
      <c r="CS98" s="22">
        <f t="shared" si="216"/>
        <v>1.4647842731586369</v>
      </c>
      <c r="CT98" s="22">
        <f t="shared" si="217"/>
        <v>-3.3405584412845579</v>
      </c>
    </row>
    <row r="99" spans="1:98" x14ac:dyDescent="0.25">
      <c r="A99" s="18" t="str">
        <f t="shared" si="164"/>
        <v xml:space="preserve"> 71 Sales occupations</v>
      </c>
      <c r="B99" s="22">
        <f t="shared" si="165"/>
        <v>17.296140266368543</v>
      </c>
      <c r="C99" s="22">
        <f t="shared" si="165"/>
        <v>8.2189957155774032</v>
      </c>
      <c r="D99" s="22">
        <f t="shared" si="165"/>
        <v>3.5643458136135786</v>
      </c>
      <c r="E99" s="22">
        <f t="shared" si="165"/>
        <v>2.5186540943579416</v>
      </c>
      <c r="F99" s="22">
        <f t="shared" si="166"/>
        <v>4.7383080084121287</v>
      </c>
      <c r="H99" s="22">
        <f t="shared" si="183"/>
        <v>3.0401734517868428</v>
      </c>
      <c r="I99" s="22">
        <f t="shared" si="184"/>
        <v>3.5225579554582609</v>
      </c>
      <c r="J99" s="22">
        <f t="shared" si="185"/>
        <v>5.8330655593511693</v>
      </c>
      <c r="L99" s="18" t="str">
        <f t="shared" si="186"/>
        <v xml:space="preserve"> 71 Sales occupations</v>
      </c>
      <c r="M99" s="22">
        <f t="shared" si="167"/>
        <v>2.9114247242580271</v>
      </c>
      <c r="N99" s="22">
        <f t="shared" si="167"/>
        <v>8.0028686970355487</v>
      </c>
      <c r="O99" s="22">
        <f t="shared" si="167"/>
        <v>4.5804827257788006</v>
      </c>
      <c r="P99" s="22">
        <f t="shared" si="167"/>
        <v>3.944906108049584</v>
      </c>
      <c r="Q99" s="22">
        <f t="shared" si="168"/>
        <v>5.4944749144193672</v>
      </c>
      <c r="S99" s="22">
        <f t="shared" si="187"/>
        <v>4.2622101130873613</v>
      </c>
      <c r="T99" s="22">
        <f t="shared" si="188"/>
        <v>3.5889502860364741</v>
      </c>
      <c r="U99" s="22">
        <f t="shared" si="189"/>
        <v>6.855574469507042</v>
      </c>
      <c r="W99" s="18" t="str">
        <f t="shared" si="190"/>
        <v xml:space="preserve"> 71 Sales occupations</v>
      </c>
      <c r="X99" s="22">
        <f t="shared" si="169"/>
        <v>10.717950797593168</v>
      </c>
      <c r="Y99" s="22">
        <f t="shared" si="169"/>
        <v>3.1397083792110925</v>
      </c>
      <c r="Z99" s="22">
        <f t="shared" si="169"/>
        <v>5.8822418973474067</v>
      </c>
      <c r="AA99" s="22">
        <f t="shared" si="169"/>
        <v>3.3432623933527861</v>
      </c>
      <c r="AB99" s="22">
        <f t="shared" si="170"/>
        <v>4.1143035342662504</v>
      </c>
      <c r="AD99" s="22">
        <f t="shared" si="191"/>
        <v>4.6050491477061639</v>
      </c>
      <c r="AE99" s="22">
        <f t="shared" si="192"/>
        <v>4.1348656430929775</v>
      </c>
      <c r="AF99" s="22">
        <f t="shared" si="193"/>
        <v>7.537350807021248</v>
      </c>
      <c r="AH99" s="18" t="str">
        <f t="shared" si="194"/>
        <v xml:space="preserve"> 71 Sales occupations</v>
      </c>
      <c r="AI99" s="22">
        <f t="shared" si="171"/>
        <v>5.7900293574774997</v>
      </c>
      <c r="AJ99" s="22">
        <f t="shared" si="171"/>
        <v>1.4661732223447466</v>
      </c>
      <c r="AK99" s="22">
        <f t="shared" si="171"/>
        <v>4.5099216220268579</v>
      </c>
      <c r="AL99" s="22">
        <f t="shared" si="171"/>
        <v>2.745405011395885</v>
      </c>
      <c r="AM99" s="22">
        <f t="shared" si="172"/>
        <v>2.8996120201287834</v>
      </c>
      <c r="AO99" s="22">
        <f t="shared" si="195"/>
        <v>3.6239075926226105</v>
      </c>
      <c r="AP99" s="22">
        <f t="shared" si="196"/>
        <v>3.9817636538127754</v>
      </c>
      <c r="AQ99" s="22">
        <f t="shared" si="197"/>
        <v>6.6583099153572523</v>
      </c>
      <c r="AS99" s="18" t="str">
        <f t="shared" si="198"/>
        <v xml:space="preserve"> 71 Sales occupations</v>
      </c>
      <c r="AT99" s="22">
        <f t="shared" si="173"/>
        <v>2.6372897095418901</v>
      </c>
      <c r="AU99" s="22">
        <f t="shared" si="173"/>
        <v>-0.41129569301782132</v>
      </c>
      <c r="AV99" s="22">
        <f t="shared" si="173"/>
        <v>3.1231989525775106</v>
      </c>
      <c r="AW99" s="22">
        <f t="shared" si="173"/>
        <v>2.0554383382617836</v>
      </c>
      <c r="AX99" s="22">
        <f t="shared" si="174"/>
        <v>1.5782836518487997</v>
      </c>
      <c r="AZ99" s="22">
        <f t="shared" si="199"/>
        <v>2.5879294651621088</v>
      </c>
      <c r="BA99" s="22">
        <f t="shared" si="200"/>
        <v>3.3534085417858517</v>
      </c>
      <c r="BB99" s="22">
        <f t="shared" si="201"/>
        <v>5.3364924989220519</v>
      </c>
      <c r="BD99" s="18" t="str">
        <f t="shared" si="202"/>
        <v xml:space="preserve"> 71 Sales occupations</v>
      </c>
      <c r="BE99" s="22">
        <f t="shared" si="175"/>
        <v>1.1016900268905339</v>
      </c>
      <c r="BF99" s="22">
        <f t="shared" si="175"/>
        <v>1.1592044052309181</v>
      </c>
      <c r="BG99" s="22">
        <f t="shared" si="175"/>
        <v>-0.262352894876694</v>
      </c>
      <c r="BH99" s="22">
        <f t="shared" si="175"/>
        <v>-2.7593609240883499E-2</v>
      </c>
      <c r="BI99" s="22">
        <f t="shared" si="176"/>
        <v>0.28782744554258777</v>
      </c>
      <c r="BK99" s="22">
        <f t="shared" si="203"/>
        <v>-0.14504224200229121</v>
      </c>
      <c r="BL99" s="22">
        <f t="shared" si="204"/>
        <v>2.7400271904540752</v>
      </c>
      <c r="BM99" s="22">
        <f t="shared" si="205"/>
        <v>2.6264834033373985</v>
      </c>
      <c r="BO99" s="18" t="str">
        <f t="shared" si="206"/>
        <v xml:space="preserve"> 71 Sales occupations</v>
      </c>
      <c r="BP99" s="22">
        <f t="shared" si="177"/>
        <v>-1.7026736537369636</v>
      </c>
      <c r="BQ99" s="22">
        <f t="shared" si="177"/>
        <v>-1.5839021412283327</v>
      </c>
      <c r="BR99" s="22">
        <f t="shared" si="177"/>
        <v>-2.401087526403467</v>
      </c>
      <c r="BS99" s="22">
        <f t="shared" si="177"/>
        <v>-2.4252724487218824</v>
      </c>
      <c r="BT99" s="22">
        <f t="shared" si="178"/>
        <v>-2.1375338723382153</v>
      </c>
      <c r="BV99" s="22">
        <f t="shared" si="207"/>
        <v>-2.4131807367807401</v>
      </c>
      <c r="BW99" s="22">
        <f t="shared" si="208"/>
        <v>2.4718796869723336</v>
      </c>
      <c r="BX99" s="22">
        <f t="shared" si="209"/>
        <v>0.58294074484133152</v>
      </c>
      <c r="BZ99" s="18" t="str">
        <f t="shared" si="210"/>
        <v xml:space="preserve"> 71 Sales occupations</v>
      </c>
      <c r="CA99" s="22">
        <f t="shared" si="179"/>
        <v>-2.9637173749566648</v>
      </c>
      <c r="CB99" s="22">
        <f t="shared" si="179"/>
        <v>-0.7636741311244255</v>
      </c>
      <c r="CC99" s="22">
        <f t="shared" si="179"/>
        <v>-5.2049839093241683</v>
      </c>
      <c r="CD99" s="22">
        <f t="shared" si="179"/>
        <v>-6.102804140407148</v>
      </c>
      <c r="CE99" s="22">
        <f t="shared" si="180"/>
        <v>-4.0519245519565317</v>
      </c>
      <c r="CF99" s="286"/>
      <c r="CG99" s="22">
        <f t="shared" si="211"/>
        <v>-5.6549620150617379</v>
      </c>
      <c r="CH99" s="22">
        <f t="shared" si="212"/>
        <v>1.777884270078034</v>
      </c>
      <c r="CI99" s="22">
        <f t="shared" si="213"/>
        <v>-2.8174076472233356</v>
      </c>
      <c r="CK99" s="18" t="str">
        <f t="shared" si="214"/>
        <v xml:space="preserve"> 71 Sales occupations</v>
      </c>
      <c r="CL99" s="22">
        <f t="shared" si="181"/>
        <v>-6.535550628364339</v>
      </c>
      <c r="CM99" s="22">
        <f t="shared" si="181"/>
        <v>-2.8611602225123045</v>
      </c>
      <c r="CN99" s="22">
        <f t="shared" si="181"/>
        <v>-10.497324467863445</v>
      </c>
      <c r="CO99" s="22">
        <f t="shared" si="181"/>
        <v>-4.8921662007974875</v>
      </c>
      <c r="CP99" s="22">
        <f t="shared" si="182"/>
        <v>-6.1397427772527546</v>
      </c>
      <c r="CR99" s="22">
        <f t="shared" si="215"/>
        <v>-7.7373012041464628</v>
      </c>
      <c r="CS99" s="22">
        <f t="shared" si="216"/>
        <v>1.1044020405931443</v>
      </c>
      <c r="CT99" s="22">
        <f t="shared" si="217"/>
        <v>-5.5820829296018388</v>
      </c>
    </row>
    <row r="100" spans="1:98" x14ac:dyDescent="0.25">
      <c r="A100" s="18" t="str">
        <f t="shared" si="164"/>
        <v xml:space="preserve"> 72 Customer service occupations</v>
      </c>
      <c r="B100" s="22">
        <f t="shared" si="165"/>
        <v>8.1878458371501992</v>
      </c>
      <c r="C100" s="22">
        <f t="shared" si="165"/>
        <v>9.3149670395335846</v>
      </c>
      <c r="D100" s="22">
        <f t="shared" si="165"/>
        <v>4.8524222133521588</v>
      </c>
      <c r="E100" s="22">
        <f t="shared" si="165"/>
        <v>3.5855481346736662</v>
      </c>
      <c r="F100" s="22">
        <f t="shared" si="166"/>
        <v>5.8893838981520563</v>
      </c>
      <c r="H100" s="22">
        <f t="shared" si="183"/>
        <v>4.2170601591616341</v>
      </c>
      <c r="I100" s="22">
        <f t="shared" si="184"/>
        <v>3.4019886040015157</v>
      </c>
      <c r="J100" s="22">
        <f t="shared" si="185"/>
        <v>6.677887382769776</v>
      </c>
      <c r="L100" s="18" t="str">
        <f t="shared" si="186"/>
        <v xml:space="preserve"> 72 Customer service occupations</v>
      </c>
      <c r="M100" s="22">
        <f t="shared" si="167"/>
        <v>2.9358413705858455</v>
      </c>
      <c r="N100" s="22">
        <f t="shared" si="167"/>
        <v>9.6278806417950946</v>
      </c>
      <c r="O100" s="22">
        <f t="shared" si="167"/>
        <v>5.0287933570706267</v>
      </c>
      <c r="P100" s="22">
        <f t="shared" si="167"/>
        <v>3.5601866478503386</v>
      </c>
      <c r="Q100" s="22">
        <f t="shared" si="168"/>
        <v>6.041063075072084</v>
      </c>
      <c r="S100" s="22">
        <f t="shared" si="187"/>
        <v>4.2919049756822591</v>
      </c>
      <c r="T100" s="22">
        <f t="shared" si="188"/>
        <v>3.6593061713068975</v>
      </c>
      <c r="U100" s="22">
        <f t="shared" si="189"/>
        <v>6.9325262918116026</v>
      </c>
      <c r="W100" s="18" t="str">
        <f t="shared" si="190"/>
        <v xml:space="preserve"> 72 Customer service occupations</v>
      </c>
      <c r="X100" s="22">
        <f t="shared" si="169"/>
        <v>4.5675713244446969</v>
      </c>
      <c r="Y100" s="22">
        <f t="shared" si="169"/>
        <v>5.2648737851196836</v>
      </c>
      <c r="Z100" s="22">
        <f t="shared" si="169"/>
        <v>5.5923228618343535</v>
      </c>
      <c r="AA100" s="22">
        <f t="shared" si="169"/>
        <v>2.8837771963553749</v>
      </c>
      <c r="AB100" s="22">
        <f t="shared" si="170"/>
        <v>4.5733223541307266</v>
      </c>
      <c r="AD100" s="22">
        <f t="shared" si="191"/>
        <v>4.2292522229848251</v>
      </c>
      <c r="AE100" s="22">
        <f t="shared" si="192"/>
        <v>3.8322827690278061</v>
      </c>
      <c r="AF100" s="22">
        <f t="shared" si="193"/>
        <v>7.0140992939484725</v>
      </c>
      <c r="AH100" s="18" t="str">
        <f t="shared" si="194"/>
        <v xml:space="preserve"> 72 Customer service occupations</v>
      </c>
      <c r="AI100" s="22">
        <f t="shared" si="171"/>
        <v>4.6722952244244054</v>
      </c>
      <c r="AJ100" s="22">
        <f t="shared" si="171"/>
        <v>4.772065535439074</v>
      </c>
      <c r="AK100" s="22">
        <f t="shared" si="171"/>
        <v>6.6879466078970662</v>
      </c>
      <c r="AL100" s="22">
        <f t="shared" si="171"/>
        <v>3.3082713482218029</v>
      </c>
      <c r="AM100" s="22">
        <f t="shared" si="172"/>
        <v>4.9136473513035517</v>
      </c>
      <c r="AO100" s="22">
        <f t="shared" si="195"/>
        <v>4.9845099895847955</v>
      </c>
      <c r="AP100" s="22">
        <f t="shared" si="196"/>
        <v>4.2023132682686093</v>
      </c>
      <c r="AQ100" s="22">
        <f t="shared" si="197"/>
        <v>7.8836871762020255</v>
      </c>
      <c r="AS100" s="18" t="str">
        <f t="shared" si="198"/>
        <v xml:space="preserve"> 72 Customer service occupations</v>
      </c>
      <c r="AT100" s="22">
        <f t="shared" si="173"/>
        <v>5.3348722363422363</v>
      </c>
      <c r="AU100" s="22">
        <f t="shared" si="173"/>
        <v>3.5289169298454492</v>
      </c>
      <c r="AV100" s="22">
        <f t="shared" si="173"/>
        <v>4.5891738867258169</v>
      </c>
      <c r="AW100" s="22">
        <f t="shared" si="173"/>
        <v>2.0911360907942322</v>
      </c>
      <c r="AX100" s="22">
        <f t="shared" si="174"/>
        <v>3.3980019755745161</v>
      </c>
      <c r="AZ100" s="22">
        <f t="shared" si="199"/>
        <v>3.3326065910149527</v>
      </c>
      <c r="BA100" s="22">
        <f t="shared" si="200"/>
        <v>3.4599436323970556</v>
      </c>
      <c r="BB100" s="22">
        <f t="shared" si="201"/>
        <v>6.0133183104411181</v>
      </c>
      <c r="BD100" s="18" t="str">
        <f t="shared" si="202"/>
        <v xml:space="preserve"> 72 Customer service occupations</v>
      </c>
      <c r="BE100" s="22">
        <f t="shared" si="175"/>
        <v>2.6929711524900091</v>
      </c>
      <c r="BF100" s="22">
        <f t="shared" si="175"/>
        <v>3.3113066013750636</v>
      </c>
      <c r="BG100" s="22">
        <f t="shared" si="175"/>
        <v>-0.21479707457924269</v>
      </c>
      <c r="BH100" s="22">
        <f t="shared" si="175"/>
        <v>0.14087672178844102</v>
      </c>
      <c r="BI100" s="22">
        <f t="shared" si="176"/>
        <v>1.0667878030612643</v>
      </c>
      <c r="BK100" s="22">
        <f t="shared" si="203"/>
        <v>-3.7118364799015868E-2</v>
      </c>
      <c r="BL100" s="22">
        <f t="shared" si="204"/>
        <v>2.6146901084612262</v>
      </c>
      <c r="BM100" s="22">
        <f t="shared" si="205"/>
        <v>2.5852772114119293</v>
      </c>
      <c r="BO100" s="18" t="str">
        <f t="shared" si="206"/>
        <v xml:space="preserve"> 72 Customer service occupations</v>
      </c>
      <c r="BP100" s="22">
        <f t="shared" si="177"/>
        <v>3.4109607200222491</v>
      </c>
      <c r="BQ100" s="22">
        <f t="shared" si="177"/>
        <v>2.5811781620666885</v>
      </c>
      <c r="BR100" s="22">
        <f t="shared" si="177"/>
        <v>0.12559971902734723</v>
      </c>
      <c r="BS100" s="22">
        <f t="shared" si="177"/>
        <v>0.59699775309436376</v>
      </c>
      <c r="BT100" s="22">
        <f t="shared" si="178"/>
        <v>1.0956830548112917</v>
      </c>
      <c r="BV100" s="22">
        <f t="shared" si="207"/>
        <v>0.36102196551317522</v>
      </c>
      <c r="BW100" s="22">
        <f t="shared" si="208"/>
        <v>2.7850159749301717</v>
      </c>
      <c r="BX100" s="22">
        <f t="shared" si="209"/>
        <v>3.0680533039687763</v>
      </c>
      <c r="BZ100" s="18" t="str">
        <f t="shared" si="210"/>
        <v xml:space="preserve"> 72 Customer service occupations</v>
      </c>
      <c r="CA100" s="22">
        <f t="shared" si="179"/>
        <v>-2.3811165094823949</v>
      </c>
      <c r="CB100" s="22">
        <f t="shared" si="179"/>
        <v>1.2179552770974045</v>
      </c>
      <c r="CC100" s="22">
        <f t="shared" si="179"/>
        <v>-4.6754284059057349</v>
      </c>
      <c r="CD100" s="22">
        <f t="shared" si="179"/>
        <v>-2.7028244343944241</v>
      </c>
      <c r="CE100" s="22">
        <f t="shared" si="180"/>
        <v>-2.0838749196257722</v>
      </c>
      <c r="CF100" s="286"/>
      <c r="CG100" s="22">
        <f t="shared" si="211"/>
        <v>-3.6941768214054149</v>
      </c>
      <c r="CH100" s="22">
        <f t="shared" si="212"/>
        <v>1.6921627978347953</v>
      </c>
      <c r="CI100" s="22">
        <f t="shared" si="213"/>
        <v>-1.3940963723563793</v>
      </c>
      <c r="CK100" s="18" t="str">
        <f t="shared" si="214"/>
        <v xml:space="preserve"> 72 Customer service occupations</v>
      </c>
      <c r="CL100" s="22">
        <f t="shared" si="181"/>
        <v>-5.4163053853236498</v>
      </c>
      <c r="CM100" s="22">
        <f t="shared" si="181"/>
        <v>4.189852295851404</v>
      </c>
      <c r="CN100" s="22">
        <f t="shared" si="181"/>
        <v>-1.4180214815495251</v>
      </c>
      <c r="CO100" s="22">
        <f t="shared" si="181"/>
        <v>4.8322304799442772</v>
      </c>
      <c r="CP100" s="22">
        <f t="shared" si="182"/>
        <v>2.495766176497205</v>
      </c>
      <c r="CR100" s="22">
        <f t="shared" si="215"/>
        <v>1.6590807218672232</v>
      </c>
      <c r="CS100" s="22">
        <f t="shared" si="216"/>
        <v>2.0662570811886605</v>
      </c>
      <c r="CT100" s="22">
        <f t="shared" si="217"/>
        <v>3.4646971194981058</v>
      </c>
    </row>
    <row r="101" spans="1:98" x14ac:dyDescent="0.25">
      <c r="A101" s="18" t="str">
        <f t="shared" si="164"/>
        <v xml:space="preserve"> 81 Process, plant and machine operatives</v>
      </c>
      <c r="B101" s="22">
        <f t="shared" si="165"/>
        <v>94.421777526445311</v>
      </c>
      <c r="C101" s="22">
        <f t="shared" si="165"/>
        <v>7.585478250941402</v>
      </c>
      <c r="D101" s="22">
        <f t="shared" si="165"/>
        <v>4.1347881418637433</v>
      </c>
      <c r="E101" s="22">
        <f t="shared" si="165"/>
        <v>4.3746129560070512</v>
      </c>
      <c r="F101" s="22">
        <f t="shared" si="166"/>
        <v>5.3532951244463112</v>
      </c>
      <c r="H101" s="22">
        <f t="shared" si="183"/>
        <v>4.2546315880633623</v>
      </c>
      <c r="I101" s="22">
        <f t="shared" si="184"/>
        <v>3.6802151295239227</v>
      </c>
      <c r="J101" s="22">
        <f t="shared" si="185"/>
        <v>6.9186239597975652</v>
      </c>
      <c r="L101" s="18" t="str">
        <f t="shared" si="186"/>
        <v xml:space="preserve"> 81 Process, plant and machine operatives</v>
      </c>
      <c r="M101" s="22">
        <f t="shared" si="167"/>
        <v>1.4995428565672597</v>
      </c>
      <c r="N101" s="22">
        <f t="shared" si="167"/>
        <v>6.2341292922336367</v>
      </c>
      <c r="O101" s="22">
        <f t="shared" si="167"/>
        <v>3.026249921840396</v>
      </c>
      <c r="P101" s="22">
        <f t="shared" si="167"/>
        <v>3.4913176402685542</v>
      </c>
      <c r="Q101" s="22">
        <f t="shared" si="168"/>
        <v>4.2410131431444231</v>
      </c>
      <c r="S101" s="22">
        <f t="shared" si="187"/>
        <v>3.2585219531389376</v>
      </c>
      <c r="T101" s="22">
        <f t="shared" si="188"/>
        <v>3.3652197801982364</v>
      </c>
      <c r="U101" s="22">
        <f t="shared" si="189"/>
        <v>5.8781529002111199</v>
      </c>
      <c r="W101" s="18" t="str">
        <f t="shared" si="190"/>
        <v xml:space="preserve"> 81 Process, plant and machine operatives</v>
      </c>
      <c r="X101" s="22">
        <f t="shared" si="169"/>
        <v>7.7386027839551508</v>
      </c>
      <c r="Y101" s="22">
        <f t="shared" si="169"/>
        <v>1.1377618336240403</v>
      </c>
      <c r="Z101" s="22">
        <f t="shared" si="169"/>
        <v>3.4671640839860851</v>
      </c>
      <c r="AA101" s="22">
        <f t="shared" si="169"/>
        <v>2.2918939559611884</v>
      </c>
      <c r="AB101" s="22">
        <f t="shared" si="170"/>
        <v>2.2945198041181891</v>
      </c>
      <c r="AD101" s="22">
        <f t="shared" si="191"/>
        <v>2.8778507571145751</v>
      </c>
      <c r="AE101" s="22">
        <f t="shared" si="192"/>
        <v>3.4647094274111057</v>
      </c>
      <c r="AF101" s="22">
        <f t="shared" si="193"/>
        <v>5.6577599555857727</v>
      </c>
      <c r="AH101" s="18" t="str">
        <f t="shared" si="194"/>
        <v xml:space="preserve"> 81 Process, plant and machine operatives</v>
      </c>
      <c r="AI101" s="22">
        <f t="shared" si="171"/>
        <v>3.5265786209159877</v>
      </c>
      <c r="AJ101" s="22">
        <f t="shared" si="171"/>
        <v>0.76409354368436322</v>
      </c>
      <c r="AK101" s="22">
        <f t="shared" si="171"/>
        <v>3.6184358919645776</v>
      </c>
      <c r="AL101" s="22">
        <f t="shared" si="171"/>
        <v>2.5921377008669477</v>
      </c>
      <c r="AM101" s="22">
        <f t="shared" si="172"/>
        <v>2.3180617823617355</v>
      </c>
      <c r="AO101" s="22">
        <f t="shared" si="195"/>
        <v>3.1040098317077325</v>
      </c>
      <c r="AP101" s="22">
        <f t="shared" si="196"/>
        <v>3.3654409181267386</v>
      </c>
      <c r="AQ101" s="22">
        <f t="shared" si="197"/>
        <v>5.7551961618905745</v>
      </c>
      <c r="AS101" s="18" t="str">
        <f t="shared" si="198"/>
        <v xml:space="preserve"> 81 Process, plant and machine operatives</v>
      </c>
      <c r="AT101" s="22">
        <f t="shared" si="173"/>
        <v>3.9802025049011425</v>
      </c>
      <c r="AU101" s="22">
        <f t="shared" si="173"/>
        <v>1.557157292391298</v>
      </c>
      <c r="AV101" s="22">
        <f t="shared" si="173"/>
        <v>4.3996189378988859</v>
      </c>
      <c r="AW101" s="22">
        <f t="shared" si="173"/>
        <v>2.6915927508190052</v>
      </c>
      <c r="AX101" s="22">
        <f t="shared" si="174"/>
        <v>2.876168180406613</v>
      </c>
      <c r="AZ101" s="22">
        <f t="shared" si="199"/>
        <v>3.5420839625676326</v>
      </c>
      <c r="BA101" s="22">
        <f t="shared" si="200"/>
        <v>3.422493512490532</v>
      </c>
      <c r="BB101" s="22">
        <f t="shared" si="201"/>
        <v>6.1503737734500241</v>
      </c>
      <c r="BD101" s="18" t="str">
        <f t="shared" si="202"/>
        <v xml:space="preserve"> 81 Process, plant and machine operatives</v>
      </c>
      <c r="BE101" s="22">
        <f t="shared" si="175"/>
        <v>-0.44355474723499766</v>
      </c>
      <c r="BF101" s="22">
        <f t="shared" si="175"/>
        <v>1.7028172657505669</v>
      </c>
      <c r="BG101" s="22">
        <f t="shared" si="175"/>
        <v>-1.6033120192741945</v>
      </c>
      <c r="BH101" s="22">
        <f t="shared" si="175"/>
        <v>-0.40164994440684554</v>
      </c>
      <c r="BI101" s="22">
        <f t="shared" si="176"/>
        <v>-0.11003308780773713</v>
      </c>
      <c r="BK101" s="22">
        <f t="shared" si="203"/>
        <v>-1.0043042662192025</v>
      </c>
      <c r="BL101" s="22">
        <f t="shared" si="204"/>
        <v>2.118824213990611</v>
      </c>
      <c r="BM101" s="22">
        <f t="shared" si="205"/>
        <v>1.2945138448761995</v>
      </c>
      <c r="BO101" s="18" t="str">
        <f t="shared" si="206"/>
        <v xml:space="preserve"> 81 Process, plant and machine operatives</v>
      </c>
      <c r="BP101" s="22">
        <f t="shared" si="177"/>
        <v>1.3069068289901065</v>
      </c>
      <c r="BQ101" s="22">
        <f t="shared" si="177"/>
        <v>-0.2904645694293384</v>
      </c>
      <c r="BR101" s="22">
        <f t="shared" si="177"/>
        <v>-1.845505166312944</v>
      </c>
      <c r="BS101" s="22">
        <f t="shared" si="177"/>
        <v>-1.0018353305539018</v>
      </c>
      <c r="BT101" s="22">
        <f t="shared" si="178"/>
        <v>-1.0479773101543688</v>
      </c>
      <c r="BV101" s="22">
        <f t="shared" si="207"/>
        <v>-1.4245728257206713</v>
      </c>
      <c r="BW101" s="22">
        <f t="shared" si="208"/>
        <v>2.2399132402814104</v>
      </c>
      <c r="BX101" s="22">
        <f t="shared" si="209"/>
        <v>1.0882169117014673</v>
      </c>
      <c r="BZ101" s="18" t="str">
        <f t="shared" si="210"/>
        <v xml:space="preserve"> 81 Process, plant and machine operatives</v>
      </c>
      <c r="CA101" s="22">
        <f t="shared" si="179"/>
        <v>-4.4201839539845578</v>
      </c>
      <c r="CB101" s="22">
        <f t="shared" si="179"/>
        <v>-1.8732430708723879</v>
      </c>
      <c r="CC101" s="22">
        <f t="shared" si="179"/>
        <v>-5.5312157891231228</v>
      </c>
      <c r="CD101" s="22">
        <f t="shared" si="179"/>
        <v>-6.5774268189460416</v>
      </c>
      <c r="CE101" s="22">
        <f t="shared" si="180"/>
        <v>-4.6817927205547001</v>
      </c>
      <c r="CF101" s="286"/>
      <c r="CG101" s="22">
        <f t="shared" si="211"/>
        <v>-6.0557776855551415</v>
      </c>
      <c r="CH101" s="22">
        <f t="shared" si="212"/>
        <v>1.6564684346287661</v>
      </c>
      <c r="CI101" s="22">
        <f t="shared" si="213"/>
        <v>-3.3128370967548504</v>
      </c>
      <c r="CK101" s="18" t="str">
        <f t="shared" si="214"/>
        <v xml:space="preserve"> 81 Process, plant and machine operatives</v>
      </c>
      <c r="CL101" s="22">
        <f t="shared" si="181"/>
        <v>-9.3268093198641928</v>
      </c>
      <c r="CM101" s="22">
        <f t="shared" si="181"/>
        <v>-6.1837134206064519</v>
      </c>
      <c r="CN101" s="22">
        <f t="shared" si="181"/>
        <v>-11.694237096588056</v>
      </c>
      <c r="CO101" s="22">
        <f t="shared" si="181"/>
        <v>-16.226446899807247</v>
      </c>
      <c r="CP101" s="22">
        <f t="shared" si="182"/>
        <v>-11.463012590799426</v>
      </c>
      <c r="CR101" s="22">
        <f t="shared" si="215"/>
        <v>-13.990189410497988</v>
      </c>
      <c r="CS101" s="22">
        <f t="shared" si="216"/>
        <v>0.89268192902947074</v>
      </c>
      <c r="CT101" s="22">
        <f t="shared" si="217"/>
        <v>-10.923862136616902</v>
      </c>
    </row>
    <row r="102" spans="1:98" x14ac:dyDescent="0.25">
      <c r="A102" s="18" t="str">
        <f t="shared" si="164"/>
        <v xml:space="preserve"> 82 Transport and mobile machine drivers and operatives</v>
      </c>
      <c r="B102" s="22">
        <f t="shared" si="165"/>
        <v>9.4207797078317057</v>
      </c>
      <c r="C102" s="22">
        <f t="shared" si="165"/>
        <v>9.2756956788905498</v>
      </c>
      <c r="D102" s="22">
        <f t="shared" si="165"/>
        <v>6.9489785579812002</v>
      </c>
      <c r="E102" s="22">
        <f t="shared" si="165"/>
        <v>5.0796816333690487</v>
      </c>
      <c r="F102" s="22">
        <f t="shared" si="166"/>
        <v>7.0877161407287392</v>
      </c>
      <c r="H102" s="22">
        <f t="shared" si="183"/>
        <v>6.0102099700150458</v>
      </c>
      <c r="I102" s="22">
        <f t="shared" si="184"/>
        <v>4.9909800794685877</v>
      </c>
      <c r="J102" s="22">
        <f t="shared" si="185"/>
        <v>9.2402737705821636</v>
      </c>
      <c r="L102" s="18" t="str">
        <f t="shared" si="186"/>
        <v xml:space="preserve"> 82 Transport and mobile machine drivers and operatives</v>
      </c>
      <c r="M102" s="22">
        <f t="shared" si="167"/>
        <v>5.3082004092074531</v>
      </c>
      <c r="N102" s="22">
        <f t="shared" si="167"/>
        <v>8.1252203080399266</v>
      </c>
      <c r="O102" s="22">
        <f t="shared" si="167"/>
        <v>5.9417763419020941</v>
      </c>
      <c r="P102" s="22">
        <f t="shared" si="167"/>
        <v>4.3534001702197456</v>
      </c>
      <c r="Q102" s="22">
        <f t="shared" si="168"/>
        <v>6.1288895374496555</v>
      </c>
      <c r="S102" s="22">
        <f t="shared" si="187"/>
        <v>5.1445889304363002</v>
      </c>
      <c r="T102" s="22">
        <f t="shared" si="188"/>
        <v>4.7311774844815302</v>
      </c>
      <c r="U102" s="22">
        <f t="shared" si="189"/>
        <v>8.3946865586847608</v>
      </c>
      <c r="W102" s="18" t="str">
        <f t="shared" si="190"/>
        <v xml:space="preserve"> 82 Transport and mobile machine drivers and operatives</v>
      </c>
      <c r="X102" s="22">
        <f t="shared" si="169"/>
        <v>8.1284346205522375</v>
      </c>
      <c r="Y102" s="22">
        <f t="shared" si="169"/>
        <v>2.9336684393969525</v>
      </c>
      <c r="Z102" s="22">
        <f t="shared" si="169"/>
        <v>7.258499805539409</v>
      </c>
      <c r="AA102" s="22">
        <f t="shared" si="169"/>
        <v>3.4107635297131456</v>
      </c>
      <c r="AB102" s="22">
        <f t="shared" si="170"/>
        <v>4.5165273007951923</v>
      </c>
      <c r="AD102" s="22">
        <f t="shared" si="191"/>
        <v>5.3170611057031802</v>
      </c>
      <c r="AE102" s="22">
        <f t="shared" si="192"/>
        <v>5.1462364202365496</v>
      </c>
      <c r="AF102" s="22">
        <f t="shared" si="193"/>
        <v>8.828967279976796</v>
      </c>
      <c r="AH102" s="18" t="str">
        <f t="shared" si="194"/>
        <v xml:space="preserve"> 82 Transport and mobile machine drivers and operatives</v>
      </c>
      <c r="AI102" s="22">
        <f t="shared" si="171"/>
        <v>13.164935344740524</v>
      </c>
      <c r="AJ102" s="22">
        <f t="shared" si="171"/>
        <v>1.5473566247600434</v>
      </c>
      <c r="AK102" s="22">
        <f t="shared" si="171"/>
        <v>6.6480489231334872</v>
      </c>
      <c r="AL102" s="22">
        <f t="shared" si="171"/>
        <v>3.0500287559899641</v>
      </c>
      <c r="AM102" s="22">
        <f t="shared" si="172"/>
        <v>3.7265384495123621</v>
      </c>
      <c r="AO102" s="22">
        <f t="shared" si="195"/>
        <v>4.8336039078077819</v>
      </c>
      <c r="AP102" s="22">
        <f t="shared" si="196"/>
        <v>4.9198894640839486</v>
      </c>
      <c r="AQ102" s="22">
        <f t="shared" si="197"/>
        <v>8.3006027097869417</v>
      </c>
      <c r="AS102" s="18" t="str">
        <f t="shared" si="198"/>
        <v xml:space="preserve"> 82 Transport and mobile machine drivers and operatives</v>
      </c>
      <c r="AT102" s="22">
        <f t="shared" si="173"/>
        <v>7.9290249579673455</v>
      </c>
      <c r="AU102" s="22">
        <f t="shared" si="173"/>
        <v>2.2774898812246924</v>
      </c>
      <c r="AV102" s="22">
        <f t="shared" si="173"/>
        <v>7.30550823348457</v>
      </c>
      <c r="AW102" s="22">
        <f t="shared" si="173"/>
        <v>3.4334516585568409</v>
      </c>
      <c r="AX102" s="22">
        <f t="shared" si="174"/>
        <v>4.3168260746175857</v>
      </c>
      <c r="AZ102" s="22">
        <f t="shared" si="199"/>
        <v>5.3516924333206983</v>
      </c>
      <c r="BA102" s="22">
        <f t="shared" si="200"/>
        <v>5.109132224679569</v>
      </c>
      <c r="BB102" s="22">
        <f t="shared" si="201"/>
        <v>8.8276084188501294</v>
      </c>
      <c r="BD102" s="18" t="str">
        <f t="shared" si="202"/>
        <v xml:space="preserve"> 82 Transport and mobile machine drivers and operatives</v>
      </c>
      <c r="BE102" s="22">
        <f t="shared" si="175"/>
        <v>1.844685877685559</v>
      </c>
      <c r="BF102" s="22">
        <f t="shared" si="175"/>
        <v>2.463683230022351</v>
      </c>
      <c r="BG102" s="22">
        <f t="shared" si="175"/>
        <v>0.48725372310269854</v>
      </c>
      <c r="BH102" s="22">
        <f t="shared" si="175"/>
        <v>1.4959669028458578</v>
      </c>
      <c r="BI102" s="22">
        <f t="shared" si="176"/>
        <v>1.4790926113861902</v>
      </c>
      <c r="BK102" s="22">
        <f t="shared" si="203"/>
        <v>0.9903509155102741</v>
      </c>
      <c r="BL102" s="22">
        <f t="shared" si="204"/>
        <v>3.0895958437041182</v>
      </c>
      <c r="BM102" s="22">
        <f t="shared" si="205"/>
        <v>3.8513316515429441</v>
      </c>
      <c r="BO102" s="18" t="str">
        <f t="shared" si="206"/>
        <v xml:space="preserve"> 82 Transport and mobile machine drivers and operatives</v>
      </c>
      <c r="BP102" s="22">
        <f t="shared" si="177"/>
        <v>1.0498884748194826</v>
      </c>
      <c r="BQ102" s="22">
        <f t="shared" si="177"/>
        <v>1.3010864721945126</v>
      </c>
      <c r="BR102" s="22">
        <f t="shared" si="177"/>
        <v>-1.9204252174509495E-2</v>
      </c>
      <c r="BS102" s="22">
        <f t="shared" si="177"/>
        <v>0.57453041070456567</v>
      </c>
      <c r="BT102" s="22">
        <f t="shared" si="178"/>
        <v>0.61735624770618003</v>
      </c>
      <c r="BV102" s="22">
        <f t="shared" si="207"/>
        <v>0.27722364737725602</v>
      </c>
      <c r="BW102" s="22">
        <f t="shared" si="208"/>
        <v>3.1664826366086141</v>
      </c>
      <c r="BX102" s="22">
        <f t="shared" si="209"/>
        <v>3.3765813481849261</v>
      </c>
      <c r="BZ102" s="18" t="str">
        <f t="shared" si="210"/>
        <v xml:space="preserve"> 82 Transport and mobile machine drivers and operatives</v>
      </c>
      <c r="CA102" s="22">
        <f t="shared" si="179"/>
        <v>-4.3270173640939991</v>
      </c>
      <c r="CB102" s="22">
        <f t="shared" si="179"/>
        <v>-0.58260266479897016</v>
      </c>
      <c r="CC102" s="22">
        <f t="shared" si="179"/>
        <v>-3.271947830878752</v>
      </c>
      <c r="CD102" s="22">
        <f t="shared" si="179"/>
        <v>-2.7962520987568018</v>
      </c>
      <c r="CE102" s="22">
        <f t="shared" si="180"/>
        <v>-2.2239217149314761</v>
      </c>
      <c r="CF102" s="286"/>
      <c r="CG102" s="22">
        <f t="shared" si="211"/>
        <v>-3.0343916740292798</v>
      </c>
      <c r="CH102" s="22">
        <f t="shared" si="212"/>
        <v>2.3829928970780179</v>
      </c>
      <c r="CI102" s="22">
        <f t="shared" si="213"/>
        <v>3.6046979486670239E-3</v>
      </c>
      <c r="CK102" s="18" t="str">
        <f t="shared" si="214"/>
        <v xml:space="preserve"> 82 Transport and mobile machine drivers and operatives</v>
      </c>
      <c r="CL102" s="22">
        <f t="shared" si="181"/>
        <v>-4.9644565192954797</v>
      </c>
      <c r="CM102" s="22">
        <f t="shared" si="181"/>
        <v>-1.1502441247888795</v>
      </c>
      <c r="CN102" s="22">
        <f t="shared" si="181"/>
        <v>-5.1079148268514896</v>
      </c>
      <c r="CO102" s="22">
        <f t="shared" si="181"/>
        <v>-6.9185296603975104</v>
      </c>
      <c r="CP102" s="22">
        <f t="shared" si="182"/>
        <v>-4.422366030724822</v>
      </c>
      <c r="CR102" s="22">
        <f t="shared" si="215"/>
        <v>-6.0175824342262541</v>
      </c>
      <c r="CS102" s="22">
        <f t="shared" si="216"/>
        <v>1.8759242269033471</v>
      </c>
      <c r="CT102" s="22">
        <f t="shared" si="217"/>
        <v>-2.94186564257507</v>
      </c>
    </row>
    <row r="103" spans="1:98" x14ac:dyDescent="0.25">
      <c r="A103" s="18" t="str">
        <f t="shared" si="164"/>
        <v xml:space="preserve"> 91 Elementary trades and related occupations</v>
      </c>
      <c r="B103" s="22">
        <f t="shared" si="165"/>
        <v>5.9156043753142873</v>
      </c>
      <c r="C103" s="22">
        <f t="shared" si="165"/>
        <v>14.562200670230929</v>
      </c>
      <c r="D103" s="22">
        <f t="shared" si="165"/>
        <v>9.1422693625449867</v>
      </c>
      <c r="E103" s="22">
        <f t="shared" si="165"/>
        <v>4.7557194983116835</v>
      </c>
      <c r="F103" s="22">
        <f t="shared" si="166"/>
        <v>9.4134444898221972</v>
      </c>
      <c r="H103" s="22">
        <f t="shared" si="183"/>
        <v>6.9265025835594241</v>
      </c>
      <c r="I103" s="22">
        <f t="shared" si="184"/>
        <v>4.648757012911009</v>
      </c>
      <c r="J103" s="22">
        <f t="shared" si="185"/>
        <v>9.7218573480675197</v>
      </c>
      <c r="L103" s="18" t="str">
        <f t="shared" si="186"/>
        <v xml:space="preserve"> 91 Elementary trades and related occupations</v>
      </c>
      <c r="M103" s="22">
        <f t="shared" si="167"/>
        <v>26.33388755676458</v>
      </c>
      <c r="N103" s="22">
        <f t="shared" si="167"/>
        <v>10.297660301276501</v>
      </c>
      <c r="O103" s="22">
        <f t="shared" si="167"/>
        <v>6.2910763863522234</v>
      </c>
      <c r="P103" s="22">
        <f t="shared" si="167"/>
        <v>4.3086964455935961</v>
      </c>
      <c r="Q103" s="22">
        <f t="shared" si="168"/>
        <v>6.9369699834250786</v>
      </c>
      <c r="S103" s="22">
        <f t="shared" si="187"/>
        <v>5.2952212669663989</v>
      </c>
      <c r="T103" s="22">
        <f t="shared" si="188"/>
        <v>3.8864963092432925</v>
      </c>
      <c r="U103" s="22">
        <f t="shared" si="189"/>
        <v>7.9021547770110834</v>
      </c>
      <c r="W103" s="18" t="str">
        <f t="shared" si="190"/>
        <v xml:space="preserve"> 91 Elementary trades and related occupations</v>
      </c>
      <c r="X103" s="22">
        <f t="shared" si="169"/>
        <v>8.3672812050249021</v>
      </c>
      <c r="Y103" s="22">
        <f t="shared" si="169"/>
        <v>5.1592656781569435</v>
      </c>
      <c r="Z103" s="22">
        <f t="shared" si="169"/>
        <v>7.5889091243072082</v>
      </c>
      <c r="AA103" s="22">
        <f t="shared" si="169"/>
        <v>3.2092362603849844</v>
      </c>
      <c r="AB103" s="22">
        <f t="shared" si="170"/>
        <v>5.3039198503215257</v>
      </c>
      <c r="AD103" s="22">
        <f t="shared" si="191"/>
        <v>5.3763215376571694</v>
      </c>
      <c r="AE103" s="22">
        <f t="shared" si="192"/>
        <v>4.5690959691664368</v>
      </c>
      <c r="AF103" s="22">
        <f t="shared" si="193"/>
        <v>8.4543729930532496</v>
      </c>
      <c r="AH103" s="18" t="str">
        <f t="shared" si="194"/>
        <v xml:space="preserve"> 91 Elementary trades and related occupations</v>
      </c>
      <c r="AI103" s="22">
        <f t="shared" si="171"/>
        <v>10.690698222057771</v>
      </c>
      <c r="AJ103" s="22">
        <f t="shared" si="171"/>
        <v>3.3376201183373588</v>
      </c>
      <c r="AK103" s="22">
        <f t="shared" si="171"/>
        <v>7.2927547839395146</v>
      </c>
      <c r="AL103" s="22">
        <f t="shared" si="171"/>
        <v>3.0497925666495895</v>
      </c>
      <c r="AM103" s="22">
        <f t="shared" si="172"/>
        <v>4.5422856834362202</v>
      </c>
      <c r="AO103" s="22">
        <f t="shared" si="195"/>
        <v>5.1498745809492874</v>
      </c>
      <c r="AP103" s="22">
        <f t="shared" si="196"/>
        <v>4.5860942069024579</v>
      </c>
      <c r="AQ103" s="22">
        <f t="shared" si="197"/>
        <v>8.2924644399211758</v>
      </c>
      <c r="AS103" s="18" t="str">
        <f t="shared" si="198"/>
        <v xml:space="preserve"> 91 Elementary trades and related occupations</v>
      </c>
      <c r="AT103" s="22">
        <f t="shared" si="173"/>
        <v>5.8499079346830074</v>
      </c>
      <c r="AU103" s="22">
        <f t="shared" si="173"/>
        <v>3.7304252315917719</v>
      </c>
      <c r="AV103" s="22">
        <f t="shared" si="173"/>
        <v>6.0730964111797903</v>
      </c>
      <c r="AW103" s="22">
        <f t="shared" si="173"/>
        <v>2.7940173960786296</v>
      </c>
      <c r="AX103" s="22">
        <f t="shared" si="174"/>
        <v>4.1900903884109608</v>
      </c>
      <c r="AZ103" s="22">
        <f t="shared" si="199"/>
        <v>4.420686253954198</v>
      </c>
      <c r="BA103" s="22">
        <f t="shared" si="200"/>
        <v>3.7484795391807602</v>
      </c>
      <c r="BB103" s="22">
        <f t="shared" si="201"/>
        <v>7.1023813609040642</v>
      </c>
      <c r="BD103" s="18" t="str">
        <f t="shared" si="202"/>
        <v xml:space="preserve"> 91 Elementary trades and related occupations</v>
      </c>
      <c r="BE103" s="22">
        <f t="shared" si="175"/>
        <v>1.0809876635418769</v>
      </c>
      <c r="BF103" s="22">
        <f t="shared" si="175"/>
        <v>2.0841301667822831</v>
      </c>
      <c r="BG103" s="22">
        <f t="shared" si="175"/>
        <v>-0.75693947174462206</v>
      </c>
      <c r="BH103" s="22">
        <f t="shared" si="175"/>
        <v>4.6276011119328331E-2</v>
      </c>
      <c r="BI103" s="22">
        <f t="shared" si="176"/>
        <v>0.450731351115774</v>
      </c>
      <c r="BK103" s="22">
        <f t="shared" si="203"/>
        <v>-0.35614105325878498</v>
      </c>
      <c r="BL103" s="22">
        <f t="shared" si="204"/>
        <v>2.1749368085390408</v>
      </c>
      <c r="BM103" s="22">
        <f t="shared" si="205"/>
        <v>1.8824129189965344</v>
      </c>
      <c r="BO103" s="18" t="str">
        <f t="shared" si="206"/>
        <v xml:space="preserve"> 91 Elementary trades and related occupations</v>
      </c>
      <c r="BP103" s="22">
        <f t="shared" si="177"/>
        <v>0.8236701026844484</v>
      </c>
      <c r="BQ103" s="22">
        <f t="shared" si="177"/>
        <v>0.41384199484748585</v>
      </c>
      <c r="BR103" s="22">
        <f t="shared" si="177"/>
        <v>-0.5971444394608949</v>
      </c>
      <c r="BS103" s="22">
        <f t="shared" si="177"/>
        <v>-0.49634330281209671</v>
      </c>
      <c r="BT103" s="22">
        <f t="shared" si="178"/>
        <v>-0.22758251398508067</v>
      </c>
      <c r="BV103" s="22">
        <f t="shared" si="207"/>
        <v>-0.54675664204791863</v>
      </c>
      <c r="BW103" s="22">
        <f t="shared" si="208"/>
        <v>2.2911183993379103</v>
      </c>
      <c r="BX103" s="22">
        <f t="shared" si="209"/>
        <v>1.8474557732561347</v>
      </c>
      <c r="BZ103" s="18" t="str">
        <f t="shared" si="210"/>
        <v xml:space="preserve"> 91 Elementary trades and related occupations</v>
      </c>
      <c r="CA103" s="22">
        <f t="shared" si="179"/>
        <v>-1.5752522439147154</v>
      </c>
      <c r="CB103" s="22">
        <f t="shared" si="179"/>
        <v>0.99164242722526996</v>
      </c>
      <c r="CC103" s="22">
        <f t="shared" si="179"/>
        <v>-1.7922507873054272</v>
      </c>
      <c r="CD103" s="22">
        <f t="shared" si="179"/>
        <v>-1.3451856873350154</v>
      </c>
      <c r="CE103" s="22">
        <f t="shared" si="180"/>
        <v>-0.72273014545606307</v>
      </c>
      <c r="CF103" s="286"/>
      <c r="CG103" s="22">
        <f t="shared" si="211"/>
        <v>-1.5689720533044849</v>
      </c>
      <c r="CH103" s="22">
        <f t="shared" si="212"/>
        <v>2.2079676404014981</v>
      </c>
      <c r="CI103" s="22">
        <f t="shared" si="213"/>
        <v>0.93751380941233808</v>
      </c>
      <c r="CK103" s="18" t="str">
        <f t="shared" si="214"/>
        <v xml:space="preserve"> 91 Elementary trades and related occupations</v>
      </c>
      <c r="CL103" s="22">
        <f t="shared" si="181"/>
        <v>-6.6386587516314428</v>
      </c>
      <c r="CM103" s="22">
        <f t="shared" si="181"/>
        <v>-2.1171459586210362</v>
      </c>
      <c r="CN103" s="22">
        <f t="shared" si="181"/>
        <v>-5.3481311284367505</v>
      </c>
      <c r="CO103" s="22">
        <f t="shared" si="181"/>
        <v>-3.4672130349393537</v>
      </c>
      <c r="CP103" s="22">
        <f t="shared" si="182"/>
        <v>-3.6532904049774606</v>
      </c>
      <c r="CR103" s="22">
        <f t="shared" si="215"/>
        <v>-4.4122984185545384</v>
      </c>
      <c r="CS103" s="22">
        <f t="shared" si="216"/>
        <v>1.4828098553452573</v>
      </c>
      <c r="CT103" s="22">
        <f t="shared" si="217"/>
        <v>-2.2630764094635492</v>
      </c>
    </row>
    <row r="104" spans="1:98" x14ac:dyDescent="0.25">
      <c r="A104" s="18" t="str">
        <f t="shared" si="164"/>
        <v xml:space="preserve"> 92 Elementary administration and service occupations</v>
      </c>
      <c r="B104" s="22">
        <f t="shared" si="165"/>
        <v>10.182548975704918</v>
      </c>
      <c r="C104" s="22">
        <f t="shared" si="165"/>
        <v>11.337922313987004</v>
      </c>
      <c r="D104" s="22">
        <f t="shared" si="165"/>
        <v>8.6403100904631778</v>
      </c>
      <c r="E104" s="22">
        <f t="shared" si="165"/>
        <v>4.7353004841260482</v>
      </c>
      <c r="F104" s="22">
        <f t="shared" si="166"/>
        <v>8.2037712021226561</v>
      </c>
      <c r="H104" s="22">
        <f t="shared" si="183"/>
        <v>6.6699372926284806</v>
      </c>
      <c r="I104" s="22">
        <f t="shared" si="184"/>
        <v>4.5791781639449525</v>
      </c>
      <c r="J104" s="22">
        <f t="shared" si="185"/>
        <v>9.4728169327392919</v>
      </c>
      <c r="L104" s="18" t="str">
        <f t="shared" si="186"/>
        <v xml:space="preserve"> 92 Elementary administration and service occupations</v>
      </c>
      <c r="M104" s="22">
        <f t="shared" si="167"/>
        <v>10.110439432384632</v>
      </c>
      <c r="N104" s="22">
        <f t="shared" si="167"/>
        <v>11.149142109851095</v>
      </c>
      <c r="O104" s="22">
        <f t="shared" si="167"/>
        <v>7.4674484288139276</v>
      </c>
      <c r="P104" s="22">
        <f t="shared" si="167"/>
        <v>5.3280342407972414</v>
      </c>
      <c r="Q104" s="22">
        <f t="shared" si="168"/>
        <v>7.9548961257207784</v>
      </c>
      <c r="S104" s="22">
        <f t="shared" si="187"/>
        <v>6.3923638607641164</v>
      </c>
      <c r="T104" s="22">
        <f t="shared" si="188"/>
        <v>4.5286473374613223</v>
      </c>
      <c r="U104" s="22">
        <f t="shared" si="189"/>
        <v>9.2195577117022189</v>
      </c>
      <c r="W104" s="18" t="str">
        <f t="shared" si="190"/>
        <v xml:space="preserve"> 92 Elementary administration and service occupations</v>
      </c>
      <c r="X104" s="22">
        <f t="shared" si="169"/>
        <v>10.916464026882888</v>
      </c>
      <c r="Y104" s="22">
        <f t="shared" si="169"/>
        <v>5.4657180290824892</v>
      </c>
      <c r="Z104" s="22">
        <f t="shared" si="169"/>
        <v>8.5217281862323127</v>
      </c>
      <c r="AA104" s="22">
        <f t="shared" si="169"/>
        <v>4.5177535282747261</v>
      </c>
      <c r="AB104" s="22">
        <f t="shared" si="170"/>
        <v>6.1547325548463094</v>
      </c>
      <c r="AD104" s="22">
        <f t="shared" si="191"/>
        <v>6.5009260008149106</v>
      </c>
      <c r="AE104" s="22">
        <f t="shared" si="192"/>
        <v>5.0931325156702956</v>
      </c>
      <c r="AF104" s="22">
        <f t="shared" si="193"/>
        <v>9.6862360914979462</v>
      </c>
      <c r="AH104" s="18" t="str">
        <f t="shared" si="194"/>
        <v xml:space="preserve"> 92 Elementary administration and service occupations</v>
      </c>
      <c r="AI104" s="22">
        <f t="shared" si="171"/>
        <v>10.218300933445956</v>
      </c>
      <c r="AJ104" s="22">
        <f t="shared" si="171"/>
        <v>3.8997439351694529</v>
      </c>
      <c r="AK104" s="22">
        <f t="shared" si="171"/>
        <v>7.8965706838906247</v>
      </c>
      <c r="AL104" s="22">
        <f t="shared" si="171"/>
        <v>3.7904645133717274</v>
      </c>
      <c r="AM104" s="22">
        <f t="shared" si="172"/>
        <v>5.1783914935060071</v>
      </c>
      <c r="AO104" s="22">
        <f t="shared" si="195"/>
        <v>5.823604128194626</v>
      </c>
      <c r="AP104" s="22">
        <f t="shared" si="196"/>
        <v>4.8518199618506896</v>
      </c>
      <c r="AQ104" s="22">
        <f t="shared" si="197"/>
        <v>8.9998018717426742</v>
      </c>
      <c r="AS104" s="18" t="str">
        <f t="shared" si="198"/>
        <v xml:space="preserve"> 92 Elementary administration and service occupations</v>
      </c>
      <c r="AT104" s="22">
        <f t="shared" si="173"/>
        <v>5.3635728344940237</v>
      </c>
      <c r="AU104" s="22">
        <f t="shared" si="173"/>
        <v>3.2965256390411257</v>
      </c>
      <c r="AV104" s="22">
        <f t="shared" si="173"/>
        <v>6.99053321229548</v>
      </c>
      <c r="AW104" s="22">
        <f t="shared" si="173"/>
        <v>3.8677259741459524</v>
      </c>
      <c r="AX104" s="22">
        <f t="shared" si="174"/>
        <v>4.7057575460332179</v>
      </c>
      <c r="AZ104" s="22">
        <f t="shared" si="199"/>
        <v>5.4175667786089177</v>
      </c>
      <c r="BA104" s="22">
        <f t="shared" si="200"/>
        <v>4.5863079650336536</v>
      </c>
      <c r="BB104" s="22">
        <f t="shared" si="201"/>
        <v>8.4985819354158174</v>
      </c>
      <c r="BD104" s="18" t="str">
        <f t="shared" si="202"/>
        <v xml:space="preserve"> 92 Elementary administration and service occupations</v>
      </c>
      <c r="BE104" s="22">
        <f t="shared" si="175"/>
        <v>-0.13756452409858788</v>
      </c>
      <c r="BF104" s="22">
        <f t="shared" si="175"/>
        <v>0.95041374295916636</v>
      </c>
      <c r="BG104" s="22">
        <f t="shared" si="175"/>
        <v>-0.37374731583317278</v>
      </c>
      <c r="BH104" s="22">
        <f t="shared" si="175"/>
        <v>-0.18533811157023239</v>
      </c>
      <c r="BI104" s="22">
        <f t="shared" si="176"/>
        <v>0.12873884880417741</v>
      </c>
      <c r="BK104" s="22">
        <f t="shared" si="203"/>
        <v>-0.27958721063485736</v>
      </c>
      <c r="BL104" s="22">
        <f t="shared" si="204"/>
        <v>2.8322976227498131</v>
      </c>
      <c r="BM104" s="22">
        <f t="shared" si="205"/>
        <v>2.6155222339232287</v>
      </c>
      <c r="BO104" s="18" t="str">
        <f t="shared" si="206"/>
        <v xml:space="preserve"> 92 Elementary administration and service occupations</v>
      </c>
      <c r="BP104" s="22">
        <f t="shared" si="177"/>
        <v>0.5375960884011155</v>
      </c>
      <c r="BQ104" s="22">
        <f t="shared" si="177"/>
        <v>0.87691152288045249</v>
      </c>
      <c r="BR104" s="22">
        <f t="shared" si="177"/>
        <v>0.18563139726839317</v>
      </c>
      <c r="BS104" s="22">
        <f t="shared" si="177"/>
        <v>-0.17533194655975359</v>
      </c>
      <c r="BT104" s="22">
        <f t="shared" si="178"/>
        <v>0.29478780275393746</v>
      </c>
      <c r="BV104" s="22">
        <f t="shared" si="207"/>
        <v>4.9868654390605727E-3</v>
      </c>
      <c r="BW104" s="22">
        <f t="shared" si="208"/>
        <v>2.846881156560932</v>
      </c>
      <c r="BX104" s="22">
        <f t="shared" si="209"/>
        <v>2.8507549045550862</v>
      </c>
      <c r="BZ104" s="18" t="str">
        <f t="shared" si="210"/>
        <v xml:space="preserve"> 92 Elementary administration and service occupations</v>
      </c>
      <c r="CA104" s="22">
        <f t="shared" si="179"/>
        <v>-2.9462453911932807</v>
      </c>
      <c r="CB104" s="22">
        <f t="shared" si="179"/>
        <v>1.3392510706218941</v>
      </c>
      <c r="CC104" s="22">
        <f t="shared" si="179"/>
        <v>-2.3354512034830299</v>
      </c>
      <c r="CD104" s="22">
        <f t="shared" si="179"/>
        <v>-2.534689469127116</v>
      </c>
      <c r="CE104" s="22">
        <f t="shared" si="180"/>
        <v>-1.1928809993446921</v>
      </c>
      <c r="CF104" s="286"/>
      <c r="CG104" s="22">
        <f t="shared" si="211"/>
        <v>-2.4351211946116669</v>
      </c>
      <c r="CH104" s="22">
        <f t="shared" si="212"/>
        <v>2.2213422355069623</v>
      </c>
      <c r="CI104" s="22">
        <f t="shared" si="213"/>
        <v>0.26889949785380285</v>
      </c>
      <c r="CK104" s="18" t="str">
        <f t="shared" si="214"/>
        <v xml:space="preserve"> 92 Elementary administration and service occupations</v>
      </c>
      <c r="CL104" s="22">
        <f t="shared" si="181"/>
        <v>-8.9453545173564191</v>
      </c>
      <c r="CM104" s="22">
        <f t="shared" si="181"/>
        <v>-3.9742394316310214</v>
      </c>
      <c r="CN104" s="22">
        <f t="shared" si="181"/>
        <v>-9.1262759206135797</v>
      </c>
      <c r="CO104" s="22">
        <f t="shared" si="181"/>
        <v>-7.432455276972405</v>
      </c>
      <c r="CP104" s="22">
        <f t="shared" si="182"/>
        <v>-6.8688550604408043</v>
      </c>
      <c r="CR104" s="22">
        <f t="shared" si="215"/>
        <v>-8.2832756915802612</v>
      </c>
      <c r="CS104" s="22">
        <f t="shared" si="216"/>
        <v>1.1693907275080351</v>
      </c>
      <c r="CT104" s="22">
        <f t="shared" si="217"/>
        <v>-5.8980452084013475</v>
      </c>
    </row>
    <row r="105" spans="1:98" x14ac:dyDescent="0.25">
      <c r="A105" s="18"/>
      <c r="B105" s="22"/>
      <c r="C105" s="22"/>
      <c r="D105" s="22"/>
      <c r="E105" s="22"/>
      <c r="F105" s="22"/>
      <c r="H105" s="22"/>
      <c r="I105" s="22"/>
      <c r="J105" s="22"/>
      <c r="L105" s="18"/>
      <c r="M105" s="22"/>
      <c r="N105" s="22"/>
      <c r="O105" s="22"/>
      <c r="P105" s="22"/>
      <c r="Q105" s="22"/>
      <c r="S105" s="22"/>
      <c r="T105" s="22"/>
      <c r="U105" s="22"/>
      <c r="W105" s="18"/>
      <c r="X105" s="22"/>
      <c r="Y105" s="22"/>
      <c r="Z105" s="22"/>
      <c r="AA105" s="22"/>
      <c r="AB105" s="22"/>
      <c r="AD105" s="22"/>
      <c r="AE105" s="22"/>
      <c r="AF105" s="22"/>
      <c r="AH105" s="18"/>
      <c r="AI105" s="22"/>
      <c r="AJ105" s="22"/>
      <c r="AK105" s="22"/>
      <c r="AL105" s="22"/>
      <c r="AM105" s="22"/>
      <c r="AO105" s="22"/>
      <c r="AP105" s="22"/>
      <c r="AQ105" s="22"/>
      <c r="AS105" s="18"/>
      <c r="AT105" s="22"/>
      <c r="AU105" s="22"/>
      <c r="AV105" s="22"/>
      <c r="AW105" s="22"/>
      <c r="AX105" s="22"/>
      <c r="AZ105" s="22"/>
      <c r="BA105" s="22"/>
      <c r="BB105" s="22"/>
      <c r="BD105" s="18"/>
      <c r="BE105" s="22"/>
      <c r="BF105" s="22"/>
      <c r="BG105" s="22"/>
      <c r="BH105" s="22"/>
      <c r="BI105" s="22"/>
      <c r="BK105" s="22"/>
      <c r="BL105" s="22"/>
      <c r="BM105" s="22"/>
      <c r="BO105" s="18"/>
      <c r="BP105" s="22"/>
      <c r="BQ105" s="22"/>
      <c r="BR105" s="22"/>
      <c r="BS105" s="22"/>
      <c r="BT105" s="22"/>
      <c r="BV105" s="22"/>
      <c r="BW105" s="22"/>
      <c r="BX105" s="22"/>
      <c r="BZ105" s="18"/>
      <c r="CA105" s="22"/>
      <c r="CB105" s="22"/>
      <c r="CC105" s="22"/>
      <c r="CD105" s="22"/>
      <c r="CE105" s="22"/>
      <c r="CF105" s="286"/>
      <c r="CG105" s="22"/>
      <c r="CH105" s="22"/>
      <c r="CI105" s="22"/>
      <c r="CK105" s="18"/>
      <c r="CL105" s="22"/>
      <c r="CM105" s="22"/>
      <c r="CN105" s="22"/>
      <c r="CO105" s="22"/>
      <c r="CP105" s="22"/>
      <c r="CR105" s="22"/>
      <c r="CS105" s="22"/>
      <c r="CT105" s="22"/>
    </row>
    <row r="106" spans="1:98" x14ac:dyDescent="0.25">
      <c r="A106" s="28" t="str">
        <f>A34</f>
        <v>All occupations</v>
      </c>
      <c r="B106" s="30">
        <f>IF(AND(C$6-B$6 &lt;&gt; 0,B34&lt;&gt;0,C34&lt;&gt;0),(EXP(LN(C34/B34)/(C$6-B$6))-1)*100,0)</f>
        <v>4.5688176146984949</v>
      </c>
      <c r="C106" s="30">
        <f>IF(AND(D$6-C$6 &lt;&gt; 0,C34&lt;&gt;0,D34&lt;&gt;0),(EXP(LN(D34/C34)/(D$6-C$6))-1)*100,0)</f>
        <v>8.3163083391462056</v>
      </c>
      <c r="D106" s="30">
        <f>IF(AND(E$6-D$6 &lt;&gt; 0,D34&lt;&gt;0,E34&lt;&gt;0),(EXP(LN(E34/D34)/(E$6-D$6))-1)*100,0)</f>
        <v>3.026652534393337</v>
      </c>
      <c r="E106" s="30">
        <f>IF(AND(F$6-E$6 &lt;&gt; 0,E34&lt;&gt;0,F34&lt;&gt;0),(EXP(LN(F34/E34)/(F$6-E$6))-1)*100,0)</f>
        <v>2.8137536249286166</v>
      </c>
      <c r="F106" s="30">
        <f>IF(AND(F$6-C$6 &lt;&gt; 0,C34&lt;&gt;0,F34&lt;&gt;0),(EXP(LN(F34/C34)/(F$6-C$6))-1)*100,0)</f>
        <v>4.6883170153206644</v>
      </c>
      <c r="H106" s="30">
        <f t="shared" si="183"/>
        <v>2.9201480297820215</v>
      </c>
      <c r="I106" s="30">
        <f t="shared" si="184"/>
        <v>3.3235928939078896</v>
      </c>
      <c r="J106" s="30">
        <f t="shared" si="185"/>
        <v>5.5746750183171434</v>
      </c>
      <c r="L106" s="28" t="str">
        <f>L34</f>
        <v>All occupations</v>
      </c>
      <c r="M106" s="30">
        <f>IF(AND(N$6-M$6 &lt;&gt; 0,M34&lt;&gt;0,N34&lt;&gt;0),(EXP(LN(N34/M34)/(N$6-M$6))-1)*100,0)</f>
        <v>3.6268188066278961</v>
      </c>
      <c r="N106" s="30">
        <f>IF(AND(O$6-N$6 &lt;&gt; 0,N34&lt;&gt;0,O34&lt;&gt;0),(EXP(LN(O34/N34)/(O$6-N$6))-1)*100,0)</f>
        <v>8.3439611826524143</v>
      </c>
      <c r="O106" s="30">
        <f>IF(AND(P$6-O$6 &lt;&gt; 0,O34&lt;&gt;0,P34&lt;&gt;0),(EXP(LN(P34/O34)/(P$6-O$6))-1)*100,0)</f>
        <v>3.0155991425574236</v>
      </c>
      <c r="P106" s="30">
        <f>IF(AND(Q$6-P$6 &lt;&gt; 0,P34&lt;&gt;0,Q34&lt;&gt;0),(EXP(LN(Q34/P34)/(Q$6-P$6))-1)*100,0)</f>
        <v>2.6485436726549016</v>
      </c>
      <c r="Q106" s="30">
        <f>IF(AND(Q$6-N$6 &lt;&gt; 0,N34&lt;&gt;0,Q34&lt;&gt;0),(EXP(LN(Q34/N34)/(Q$6-N$6))-1)*100,0)</f>
        <v>4.6373739090591171</v>
      </c>
      <c r="S106" s="30">
        <f t="shared" si="187"/>
        <v>2.8319076335235449</v>
      </c>
      <c r="T106" s="30">
        <f t="shared" ref="T106" si="218">IF(O34&gt;0,((1+(T34/O34))^(1/($F$6-$D$6))-1)*100,0)</f>
        <v>3.4625603930715565</v>
      </c>
      <c r="U106" s="30">
        <f t="shared" si="189"/>
        <v>5.6198507772072137</v>
      </c>
      <c r="W106" s="28" t="str">
        <f>W34</f>
        <v>All occupations</v>
      </c>
      <c r="X106" s="30">
        <f>IF(AND(Y$6-X$6 &lt;&gt; 0,X34&lt;&gt;0,Y34&lt;&gt;0),(EXP(LN(Y34/X34)/(Y$6-X$6))-1)*100,0)</f>
        <v>5.0964134857867549</v>
      </c>
      <c r="Y106" s="30">
        <f>IF(AND(Z$6-Y$6 &lt;&gt; 0,Y34&lt;&gt;0,Z34&lt;&gt;0),(EXP(LN(Z34/Y34)/(Z$6-Y$6))-1)*100,0)</f>
        <v>3.0296469663122716</v>
      </c>
      <c r="Z106" s="30">
        <f>IF(AND(AA$6-Z$6 &lt;&gt; 0,Z34&lt;&gt;0,AA34&lt;&gt;0),(EXP(LN(AA34/Z34)/(AA$6-Z$6))-1)*100,0)</f>
        <v>3.9632723162411843</v>
      </c>
      <c r="AA106" s="30">
        <f>IF(AND(AB$6-AA$6 &lt;&gt; 0,AA34&lt;&gt;0,AB34&lt;&gt;0),(EXP(LN(AB34/AA34)/(AB$6-AA$6))-1)*100,0)</f>
        <v>2.0842293600844108</v>
      </c>
      <c r="AB106" s="30">
        <f>IF(AND(AB$6-Y$6 &lt;&gt; 0,Y34&lt;&gt;0,AB34&lt;&gt;0),(EXP(LN(AB34/Y34)/(AB$6-Y$6))-1)*100,0)</f>
        <v>3.0228600653516624</v>
      </c>
      <c r="AD106" s="30">
        <f t="shared" si="191"/>
        <v>3.019466782526492</v>
      </c>
      <c r="AE106" s="30">
        <f t="shared" ref="AE106" si="219">IF(Z34&gt;0,((1+(AE34/Z34))^(1/($F$6-$D$6))-1)*100,0)</f>
        <v>3.7795564306155605</v>
      </c>
      <c r="AF106" s="30">
        <f t="shared" si="193"/>
        <v>6.028239342077546</v>
      </c>
      <c r="AH106" s="28" t="str">
        <f>AH34</f>
        <v>All occupations</v>
      </c>
      <c r="AI106" s="30">
        <f>IF(AND(AJ$6-AI$6 &lt;&gt; 0,AI34&lt;&gt;0,AJ34&lt;&gt;0),(EXP(LN(AJ34/AI34)/(AJ$6-AI$6))-1)*100,0)</f>
        <v>0.92589820368356168</v>
      </c>
      <c r="AJ106" s="30">
        <f>IF(AND(AK$6-AJ$6 &lt;&gt; 0,AJ34&lt;&gt;0,AK34&lt;&gt;0),(EXP(LN(AK34/AJ34)/(AK$6-AJ$6))-1)*100,0)</f>
        <v>-0.19096812617437342</v>
      </c>
      <c r="AK106" s="30">
        <f>IF(AND(AL$6-AK$6 &lt;&gt; 0,AK34&lt;&gt;0,AL34&lt;&gt;0),(EXP(LN(AL34/AK34)/(AL$6-AK$6))-1)*100,0)</f>
        <v>1.9931090777857596</v>
      </c>
      <c r="AL106" s="30">
        <f>IF(AND(AM$6-AL$6 &lt;&gt; 0,AL34&lt;&gt;0,AM34&lt;&gt;0),(EXP(LN(AM34/AL34)/(AM$6-AL$6))-1)*100,0)</f>
        <v>1.0709162981896503</v>
      </c>
      <c r="AM106" s="30">
        <f>IF(AND(AM$6-AJ$6 &lt;&gt; 0,AJ34&lt;&gt;0,AM34&lt;&gt;0),(EXP(LN(AM34/AJ34)/(AM$6-AJ$6))-1)*100,0)</f>
        <v>0.95371198784508504</v>
      </c>
      <c r="AO106" s="30">
        <f t="shared" si="195"/>
        <v>1.5309656734979082</v>
      </c>
      <c r="AP106" s="30">
        <f t="shared" ref="AP106" si="220">IF(AK34&gt;0,((1+(AP34/AK34))^(1/($F$6-$D$6))-1)*100,0)</f>
        <v>3.4580231786262683</v>
      </c>
      <c r="AQ106" s="30">
        <f t="shared" si="197"/>
        <v>4.6072023327021761</v>
      </c>
      <c r="AS106" s="28" t="str">
        <f>AS34</f>
        <v>All occupations</v>
      </c>
      <c r="AT106" s="30">
        <f>IF(AND(AU$6-AT$6 &lt;&gt; 0,AT34&lt;&gt;0,AU34&lt;&gt;0),(EXP(LN(AU34/AT34)/(AU$6-AT$6))-1)*100,0)</f>
        <v>2.3929164169457673</v>
      </c>
      <c r="AU106" s="30">
        <f>IF(AND(AV$6-AU$6 &lt;&gt; 0,AU34&lt;&gt;0,AV34&lt;&gt;0),(EXP(LN(AV34/AU34)/(AV$6-AU$6))-1)*100,0)</f>
        <v>1.5023490654859861</v>
      </c>
      <c r="AV106" s="30">
        <f>IF(AND(AW$6-AV$6 &lt;&gt; 0,AV34&lt;&gt;0,AW34&lt;&gt;0),(EXP(LN(AW34/AV34)/(AW$6-AV$6))-1)*100,0)</f>
        <v>3.5259987157801875</v>
      </c>
      <c r="AW106" s="30">
        <f>IF(AND(AX$6-AW$6 &lt;&gt; 0,AW34&lt;&gt;0,AX34&lt;&gt;0),(EXP(LN(AX34/AW34)/(AX$6-AW$6))-1)*100,0)</f>
        <v>1.804032269132505</v>
      </c>
      <c r="AX106" s="30">
        <f>IF(AND(AX$6-AU$6 &lt;&gt; 0,AU34&lt;&gt;0,AX34&lt;&gt;0),(EXP(LN(AX34/AU34)/(AX$6-AU$6))-1)*100,0)</f>
        <v>2.2735899716053609</v>
      </c>
      <c r="AZ106" s="30">
        <f t="shared" si="199"/>
        <v>2.661405182061749</v>
      </c>
      <c r="BA106" s="30">
        <f t="shared" ref="BA106" si="221">IF(AV34&gt;0,((1+(BA34/AV34))^(1/($F$6-$D$6))-1)*100,0)</f>
        <v>3.5850250437123199</v>
      </c>
      <c r="BB106" s="30">
        <f t="shared" si="201"/>
        <v>5.5890354713514778</v>
      </c>
      <c r="BD106" s="28" t="str">
        <f>BD34</f>
        <v>All occupations</v>
      </c>
      <c r="BE106" s="30">
        <f>IF(AND(BF$6-BE$6 &lt;&gt; 0,BE34&lt;&gt;0,BF34&lt;&gt;0),(EXP(LN(BF34/BE34)/(BF$6-BE$6))-1)*100,0)</f>
        <v>0.14185967636388686</v>
      </c>
      <c r="BF106" s="30">
        <f>IF(AND(BG$6-BF$6 &lt;&gt; 0,BF34&lt;&gt;0,BG34&lt;&gt;0),(EXP(LN(BG34/BF34)/(BG$6-BF$6))-1)*100,0)</f>
        <v>2.0750803559386855</v>
      </c>
      <c r="BG106" s="30">
        <f>IF(AND(BH$6-BG$6 &lt;&gt; 0,BG34&lt;&gt;0,BH34&lt;&gt;0),(EXP(LN(BH34/BG34)/(BH$6-BG$6))-1)*100,0)</f>
        <v>-1.0409316815373493</v>
      </c>
      <c r="BH106" s="30">
        <f>IF(AND(BI$6-BH$6 &lt;&gt; 0,BH34&lt;&gt;0,BI34&lt;&gt;0),(EXP(LN(BI34/BH34)/(BI$6-BH$6))-1)*100,0)</f>
        <v>-0.30038654477928528</v>
      </c>
      <c r="BI106" s="30">
        <f>IF(AND(BI$6-BF$6 &lt;&gt; 0,BF34&lt;&gt;0,BI34&lt;&gt;0),(EXP(LN(BI34/BF34)/(BI$6-BF$6))-1)*100,0)</f>
        <v>0.23581693371788059</v>
      </c>
      <c r="BK106" s="30">
        <f t="shared" si="203"/>
        <v>-0.67134925289932257</v>
      </c>
      <c r="BL106" s="30">
        <f t="shared" ref="BL106" si="222">IF(BG34&gt;0,((1+(BL34/BG34))^(1/($F$6-$D$6))-1)*100,0)</f>
        <v>2.615652115658551</v>
      </c>
      <c r="BM106" s="30">
        <f t="shared" si="205"/>
        <v>2.0872252170068606</v>
      </c>
      <c r="BO106" s="28" t="str">
        <f>BO34</f>
        <v>All occupations</v>
      </c>
      <c r="BP106" s="30">
        <f>IF(AND(BQ$6-BP$6 &lt;&gt; 0,BP34&lt;&gt;0,BQ34&lt;&gt;0),(EXP(LN(BQ34/BP34)/(BQ$6-BP$6))-1)*100,0)</f>
        <v>-0.52794425471630602</v>
      </c>
      <c r="BQ106" s="30">
        <f>IF(AND(BR$6-BQ$6 &lt;&gt; 0,BQ34&lt;&gt;0,BR34&lt;&gt;0),(EXP(LN(BR34/BQ34)/(BR$6-BQ$6))-1)*100,0)</f>
        <v>0.2419371816125393</v>
      </c>
      <c r="BR106" s="30">
        <f>IF(AND(BS$6-BR$6 &lt;&gt; 0,BR34&lt;&gt;0,BS34&lt;&gt;0),(EXP(LN(BS34/BR34)/(BS$6-BR$6))-1)*100,0)</f>
        <v>-1.7339786209743635</v>
      </c>
      <c r="BS106" s="30">
        <f>IF(AND(BT$6-BS$6 &lt;&gt; 0,BS34&lt;&gt;0,BT34&lt;&gt;0),(EXP(LN(BT34/BS34)/(BT$6-BS$6))-1)*100,0)</f>
        <v>-1.3703793519706409</v>
      </c>
      <c r="BT106" s="30">
        <f>IF(AND(BT$6-BQ$6 &lt;&gt; 0,BQ34&lt;&gt;0,BT34&lt;&gt;0),(EXP(LN(BT34/BQ34)/(BT$6-BQ$6))-1)*100,0)</f>
        <v>-0.95784939900452892</v>
      </c>
      <c r="BV106" s="30">
        <f t="shared" si="207"/>
        <v>-1.5523468476549174</v>
      </c>
      <c r="BW106" s="30">
        <f t="shared" ref="BW106" si="223">IF(BR34&gt;0,((1+(BW34/BR34))^(1/($F$6-$D$6))-1)*100,0)</f>
        <v>2.5189401574817527</v>
      </c>
      <c r="BX106" s="30">
        <f t="shared" si="209"/>
        <v>1.297770105537932</v>
      </c>
      <c r="BZ106" s="28" t="str">
        <f>BZ34</f>
        <v>All occupations</v>
      </c>
      <c r="CA106" s="30">
        <f>IF(AND(CB$6-CA$6 &lt;&gt; 0,CA34&lt;&gt;0,CB34&lt;&gt;0),(EXP(LN(CB34/CA34)/(CB$6-CA$6))-1)*100,0)</f>
        <v>-4.1250010828904005</v>
      </c>
      <c r="CB106" s="30">
        <f>IF(AND(CC$6-CB$6 &lt;&gt; 0,CB34&lt;&gt;0,CC34&lt;&gt;0),(EXP(LN(CC34/CB34)/(CC$6-CB$6))-1)*100,0)</f>
        <v>-1.5868827447873546E-2</v>
      </c>
      <c r="CC106" s="30">
        <f>IF(AND(CD$6-CC$6 &lt;&gt; 0,CC34&lt;&gt;0,CD34&lt;&gt;0),(EXP(LN(CD34/CC34)/(CD$6-CC$6))-1)*100,0)</f>
        <v>-4.4368994642127184</v>
      </c>
      <c r="CD106" s="30">
        <f>IF(AND(CE$6-CD$6 &lt;&gt; 0,CD34&lt;&gt;0,CE34&lt;&gt;0),(EXP(LN(CE34/CD34)/(CE$6-CD$6))-1)*100,0)</f>
        <v>-3.8376489641293587</v>
      </c>
      <c r="CE106" s="30">
        <f>IF(AND(CE$6-CB$6 &lt;&gt; 0,CB34&lt;&gt;0,CE34&lt;&gt;0),(EXP(LN(CE34/CB34)/(CE$6-CB$6))-1)*100,0)</f>
        <v>-2.7830196758033998</v>
      </c>
      <c r="CF106" s="286"/>
      <c r="CG106" s="30">
        <f t="shared" si="211"/>
        <v>-4.1377424645206107</v>
      </c>
      <c r="CH106" s="30">
        <f t="shared" ref="CH106" si="224">IF(CC34&gt;0,((1+(CH34/CC34))^(1/($F$6-$D$6))-1)*100,0)</f>
        <v>1.9496610741267073</v>
      </c>
      <c r="CI106" s="30">
        <f t="shared" si="213"/>
        <v>-1.4017257806911543</v>
      </c>
      <c r="CK106" s="28" t="str">
        <f>CK34</f>
        <v>All occupations</v>
      </c>
      <c r="CL106" s="30">
        <f>IF(AND(CM$6-CL$6 &lt;&gt; 0,CL34&lt;&gt;0,CM34&lt;&gt;0),(EXP(LN(CM34/CL34)/(CM$6-CL$6))-1)*100,0)</f>
        <v>-7.576287358302169</v>
      </c>
      <c r="CM106" s="30">
        <f>IF(AND(CN$6-CM$6 &lt;&gt; 0,CM34&lt;&gt;0,CN34&lt;&gt;0),(EXP(LN(CN34/CM34)/(CN$6-CM$6))-1)*100,0)</f>
        <v>-2.528895406913334</v>
      </c>
      <c r="CN106" s="30">
        <f>IF(AND(CO$6-CN$6 &lt;&gt; 0,CN34&lt;&gt;0,CO34&lt;&gt;0),(EXP(LN(CO34/CN34)/(CO$6-CN$6))-1)*100,0)</f>
        <v>-7.2650307735502402</v>
      </c>
      <c r="CO106" s="30">
        <f>IF(AND(CP$6-CO$6 &lt;&gt; 0,CO34&lt;&gt;0,CP34&lt;&gt;0),(EXP(LN(CP34/CO34)/(CP$6-CO$6))-1)*100,0)</f>
        <v>-4.6752235426836597</v>
      </c>
      <c r="CP106" s="30">
        <f>IF(AND(CP$6-CM$6 &lt;&gt; 0,CM34&lt;&gt;0,CP34&lt;&gt;0),(EXP(LN(CP34/CM34)/(CP$6-CM$6))-1)*100,0)</f>
        <v>-4.8427815874191644</v>
      </c>
      <c r="CR106" s="30">
        <f t="shared" si="215"/>
        <v>-5.9790437652996857</v>
      </c>
      <c r="CS106" s="30">
        <f t="shared" ref="CS106" si="225">IF(CN34&gt;0,((1+(CS34/CN34))^(1/($F$6-$D$6))-1)*100,0)</f>
        <v>1.4129498909910554</v>
      </c>
      <c r="CT106" s="30">
        <f t="shared" si="217"/>
        <v>-3.6364513229840023</v>
      </c>
    </row>
    <row r="107" spans="1:98" x14ac:dyDescent="0.25">
      <c r="BZ107" s="286"/>
      <c r="CA107" s="286"/>
      <c r="CB107" s="286"/>
      <c r="CC107" s="286"/>
      <c r="CD107" s="286"/>
      <c r="CE107" s="286"/>
      <c r="CF107" s="286"/>
    </row>
    <row r="108" spans="1:98" x14ac:dyDescent="0.25">
      <c r="BZ108" s="286"/>
      <c r="CA108" s="286"/>
      <c r="CB108" s="286"/>
      <c r="CC108" s="286"/>
      <c r="CD108" s="286"/>
      <c r="CE108" s="286"/>
      <c r="CF108" s="286"/>
    </row>
    <row r="109" spans="1:98" ht="47.25" customHeight="1" x14ac:dyDescent="0.25">
      <c r="A109" s="526" t="str">
        <f>CONCATENATE(A$1," (Continued)")</f>
        <v>Basic Table 2  Employment Change by Occupation and Replacement Demand, RQF8 Doctorate, 2007-2027, United Kingdom (Continued)</v>
      </c>
      <c r="B109" s="526"/>
      <c r="C109" s="526"/>
      <c r="D109" s="526"/>
      <c r="E109" s="526"/>
      <c r="F109" s="526"/>
      <c r="G109" s="526"/>
      <c r="H109" s="526"/>
      <c r="I109" s="526"/>
      <c r="J109" s="526"/>
      <c r="L109" s="526" t="str">
        <f>CONCATENATE(L$1," (Continued)")</f>
        <v>Basic Table 2.1  Employment Change by Occupation and Replacement Demand, RQF7 Other higher degree, 2007-2027, United Kingdom (Continued)</v>
      </c>
      <c r="M109" s="526"/>
      <c r="N109" s="526"/>
      <c r="O109" s="526"/>
      <c r="P109" s="526"/>
      <c r="Q109" s="526"/>
      <c r="R109" s="526"/>
      <c r="S109" s="526"/>
      <c r="T109" s="526"/>
      <c r="U109" s="526"/>
      <c r="W109" s="526" t="str">
        <f>CONCATENATE(W$1," (Continued)")</f>
        <v>Basic Table 2.2  Employment Change by Occupation and Replacement Demand, RQF6 First degree, 2007-2027, United Kingdom (Continued)</v>
      </c>
      <c r="X109" s="526"/>
      <c r="Y109" s="526"/>
      <c r="Z109" s="526"/>
      <c r="AA109" s="526"/>
      <c r="AB109" s="526"/>
      <c r="AC109" s="526"/>
      <c r="AD109" s="526"/>
      <c r="AE109" s="526"/>
      <c r="AF109" s="526"/>
      <c r="AH109" s="526" t="str">
        <f>CONCATENATE(AH$1," (Continued)")</f>
        <v>Basic Table 2.3  Employment Change by Occupation and Replacement Demand, RQF5 Foundation degree;Nursing;Teaching, 2007-2027, United Kingdom (Continued)</v>
      </c>
      <c r="AI109" s="526"/>
      <c r="AJ109" s="526"/>
      <c r="AK109" s="526"/>
      <c r="AL109" s="526"/>
      <c r="AM109" s="526"/>
      <c r="AN109" s="526"/>
      <c r="AO109" s="526"/>
      <c r="AP109" s="526"/>
      <c r="AQ109" s="526"/>
      <c r="AS109" s="526" t="str">
        <f>CONCATENATE(AS$1," (Continued)")</f>
        <v>Basic Table 2.4  Employment Change by Occupation and Replacement Demand, RQF4 HE below degree level, 2007-2027, United Kingdom (Continued)</v>
      </c>
      <c r="AT109" s="526"/>
      <c r="AU109" s="526"/>
      <c r="AV109" s="526"/>
      <c r="AW109" s="526"/>
      <c r="AX109" s="526"/>
      <c r="AY109" s="526"/>
      <c r="AZ109" s="526"/>
      <c r="BA109" s="526"/>
      <c r="BB109" s="526"/>
      <c r="BD109" s="526" t="str">
        <f>CONCATENATE(BD$1," (Continued)")</f>
        <v>Basic Table 2.5  Employment Change by Occupation and Replacement Demand, RQF3 A level &amp; equivalent, 2007-2027, United Kingdom (Continued)</v>
      </c>
      <c r="BE109" s="526"/>
      <c r="BF109" s="526"/>
      <c r="BG109" s="526"/>
      <c r="BH109" s="526"/>
      <c r="BI109" s="526"/>
      <c r="BJ109" s="526"/>
      <c r="BK109" s="526"/>
      <c r="BL109" s="526"/>
      <c r="BM109" s="526"/>
      <c r="BO109" s="526" t="str">
        <f>CONCATENATE(BO$1," (Continued)")</f>
        <v>Basic Table 2.6  Employment Change by Occupation and Replacement Demand, RQF2 GCSE(A-C) &amp; equivalent, 2007-2027, United Kingdom (Continued)</v>
      </c>
      <c r="BP109" s="526"/>
      <c r="BQ109" s="526"/>
      <c r="BR109" s="526"/>
      <c r="BS109" s="526"/>
      <c r="BT109" s="526"/>
      <c r="BU109" s="526"/>
      <c r="BV109" s="526"/>
      <c r="BW109" s="526"/>
      <c r="BX109" s="526"/>
      <c r="BZ109" s="526" t="str">
        <f>CONCATENATE(BZ$1," (Continued)")</f>
        <v>Basic Table 2.7  Employment Change by Occupation and Replacement Demand, RQF1 GCSE(below grade C) &amp; equivalent, 2007-2027, United Kingdom (Continued)</v>
      </c>
      <c r="CA109" s="526"/>
      <c r="CB109" s="526"/>
      <c r="CC109" s="526"/>
      <c r="CD109" s="526"/>
      <c r="CE109" s="526"/>
      <c r="CF109" s="526"/>
      <c r="CG109" s="526"/>
      <c r="CH109" s="526"/>
      <c r="CI109" s="526"/>
      <c r="CK109" s="526" t="str">
        <f>CONCATENATE(CK$1," (Continued)")</f>
        <v>Basic Table 2.8  Employment Change by Occupation and Replacement Demand, No Qualification, 2007-2027, United Kingdom (Continued)</v>
      </c>
      <c r="CL109" s="526"/>
      <c r="CM109" s="526"/>
      <c r="CN109" s="526"/>
      <c r="CO109" s="526"/>
      <c r="CP109" s="526"/>
      <c r="CQ109" s="526"/>
      <c r="CR109" s="526"/>
      <c r="CS109" s="526"/>
      <c r="CT109" s="526"/>
    </row>
    <row r="110" spans="1:98" x14ac:dyDescent="0.25">
      <c r="BZ110" s="286"/>
      <c r="CA110" s="286"/>
      <c r="CB110" s="286"/>
      <c r="CC110" s="286"/>
      <c r="CD110" s="286"/>
      <c r="CE110" s="286"/>
      <c r="CF110" s="286"/>
    </row>
    <row r="111" spans="1:98" x14ac:dyDescent="0.25">
      <c r="F111" s="19" t="s">
        <v>35</v>
      </c>
      <c r="Q111" s="19" t="s">
        <v>35</v>
      </c>
      <c r="AB111" s="19" t="s">
        <v>35</v>
      </c>
      <c r="AM111" s="19" t="s">
        <v>35</v>
      </c>
      <c r="AX111" s="19" t="s">
        <v>35</v>
      </c>
      <c r="BI111" s="19" t="s">
        <v>35</v>
      </c>
      <c r="BT111" s="19" t="s">
        <v>35</v>
      </c>
      <c r="BZ111" s="286"/>
      <c r="CA111" s="286"/>
      <c r="CB111" s="286"/>
      <c r="CC111" s="286"/>
      <c r="CD111" s="286"/>
      <c r="CE111" s="19" t="s">
        <v>35</v>
      </c>
      <c r="CF111" s="286"/>
      <c r="CP111" s="19" t="s">
        <v>35</v>
      </c>
    </row>
    <row r="112" spans="1:98" x14ac:dyDescent="0.25">
      <c r="A112" s="41"/>
      <c r="B112" s="41"/>
      <c r="C112" s="41"/>
      <c r="D112" s="41"/>
      <c r="E112" s="41"/>
      <c r="F112" s="41"/>
      <c r="L112" s="41"/>
      <c r="M112" s="41"/>
      <c r="N112" s="41"/>
      <c r="O112" s="41"/>
      <c r="P112" s="41"/>
      <c r="Q112" s="41"/>
      <c r="W112" s="41"/>
      <c r="X112" s="41"/>
      <c r="Y112" s="41"/>
      <c r="Z112" s="41"/>
      <c r="AA112" s="41"/>
      <c r="AB112" s="41"/>
      <c r="AH112" s="41"/>
      <c r="AI112" s="41"/>
      <c r="AJ112" s="41"/>
      <c r="AK112" s="41"/>
      <c r="AL112" s="41"/>
      <c r="AM112" s="41"/>
      <c r="AS112" s="41"/>
      <c r="AT112" s="41"/>
      <c r="AU112" s="41"/>
      <c r="AV112" s="41"/>
      <c r="AW112" s="41"/>
      <c r="AX112" s="41"/>
      <c r="BD112" s="41"/>
      <c r="BE112" s="41"/>
      <c r="BF112" s="41"/>
      <c r="BG112" s="41"/>
      <c r="BH112" s="41"/>
      <c r="BI112" s="41"/>
      <c r="BO112" s="41"/>
      <c r="BP112" s="41"/>
      <c r="BQ112" s="41"/>
      <c r="BR112" s="41"/>
      <c r="BS112" s="41"/>
      <c r="BT112" s="41"/>
      <c r="BZ112" s="41"/>
      <c r="CA112" s="41"/>
      <c r="CB112" s="41"/>
      <c r="CC112" s="41"/>
      <c r="CD112" s="41"/>
      <c r="CE112" s="41"/>
      <c r="CF112" s="286"/>
      <c r="CK112" s="41"/>
      <c r="CL112" s="41"/>
      <c r="CM112" s="41"/>
      <c r="CN112" s="41"/>
      <c r="CO112" s="41"/>
      <c r="CP112" s="41"/>
    </row>
    <row r="113" spans="1:94" x14ac:dyDescent="0.25">
      <c r="A113" s="2"/>
      <c r="B113" s="2"/>
      <c r="C113" s="2"/>
      <c r="D113" s="2"/>
      <c r="E113" s="2"/>
      <c r="F113" s="2"/>
      <c r="L113" s="2"/>
      <c r="M113" s="2"/>
      <c r="N113" s="2"/>
      <c r="O113" s="2"/>
      <c r="P113" s="2"/>
      <c r="Q113" s="2"/>
      <c r="W113" s="2"/>
      <c r="X113" s="2"/>
      <c r="Y113" s="2"/>
      <c r="Z113" s="2"/>
      <c r="AA113" s="2"/>
      <c r="AB113" s="2"/>
      <c r="AH113" s="2"/>
      <c r="AI113" s="2"/>
      <c r="AJ113" s="2"/>
      <c r="AK113" s="2"/>
      <c r="AL113" s="2"/>
      <c r="AM113" s="2"/>
      <c r="AS113" s="2"/>
      <c r="AT113" s="2"/>
      <c r="AU113" s="2"/>
      <c r="AV113" s="2"/>
      <c r="AW113" s="2"/>
      <c r="AX113" s="2"/>
      <c r="BD113" s="2"/>
      <c r="BE113" s="2"/>
      <c r="BF113" s="2"/>
      <c r="BG113" s="2"/>
      <c r="BH113" s="2"/>
      <c r="BI113" s="2"/>
      <c r="BO113" s="2"/>
      <c r="BP113" s="2"/>
      <c r="BQ113" s="2"/>
      <c r="BR113" s="2"/>
      <c r="BS113" s="2"/>
      <c r="BT113" s="2"/>
      <c r="BZ113" s="2"/>
      <c r="CA113" s="2"/>
      <c r="CB113" s="2"/>
      <c r="CC113" s="2"/>
      <c r="CD113" s="2"/>
      <c r="CE113" s="2"/>
      <c r="CF113" s="286"/>
      <c r="CK113" s="2"/>
      <c r="CL113" s="2"/>
      <c r="CM113" s="2"/>
      <c r="CN113" s="2"/>
      <c r="CO113" s="2"/>
      <c r="CP113" s="2"/>
    </row>
    <row r="114" spans="1:94" x14ac:dyDescent="0.25">
      <c r="A114" s="50" t="s">
        <v>15</v>
      </c>
      <c r="B114" s="76" t="str">
        <f>CONCATENATE(B$6,"-",C$6)</f>
        <v>2007-2012</v>
      </c>
      <c r="C114" s="76" t="str">
        <f>CONCATENATE(C$6,"-",D$6)</f>
        <v>2012-2017</v>
      </c>
      <c r="D114" s="76" t="str">
        <f>CONCATENATE(D$6,"-",E$6)</f>
        <v>2017-2022</v>
      </c>
      <c r="E114" s="76" t="str">
        <f>CONCATENATE(E$6,"-",F$6)</f>
        <v>2022-2027</v>
      </c>
      <c r="F114" s="76" t="str">
        <f>CONCATENATE(D$6,"-",F$6)</f>
        <v>2017-2027</v>
      </c>
      <c r="L114" s="50" t="s">
        <v>15</v>
      </c>
      <c r="M114" s="76" t="str">
        <f>CONCATENATE(M$6,"-",N$6)</f>
        <v>2007-2012</v>
      </c>
      <c r="N114" s="76" t="str">
        <f>CONCATENATE(N$6,"-",O$6)</f>
        <v>2012-2017</v>
      </c>
      <c r="O114" s="76" t="str">
        <f>CONCATENATE(O$6,"-",P$6)</f>
        <v>2017-2022</v>
      </c>
      <c r="P114" s="76" t="str">
        <f>CONCATENATE(P$6,"-",Q$6)</f>
        <v>2022-2027</v>
      </c>
      <c r="Q114" s="76" t="str">
        <f>CONCATENATE(O$6,"-",Q$6)</f>
        <v>2017-2027</v>
      </c>
      <c r="W114" s="50" t="s">
        <v>15</v>
      </c>
      <c r="X114" s="76" t="str">
        <f>CONCATENATE(X$6,"-",Y$6)</f>
        <v>2007-2012</v>
      </c>
      <c r="Y114" s="76" t="str">
        <f>CONCATENATE(Y$6,"-",Z$6)</f>
        <v>2012-2017</v>
      </c>
      <c r="Z114" s="76" t="str">
        <f>CONCATENATE(Z$6,"-",AA$6)</f>
        <v>2017-2022</v>
      </c>
      <c r="AA114" s="76" t="str">
        <f>CONCATENATE(AA$6,"-",AB$6)</f>
        <v>2022-2027</v>
      </c>
      <c r="AB114" s="76" t="str">
        <f>CONCATENATE(Z$6,"-",AB$6)</f>
        <v>2017-2027</v>
      </c>
      <c r="AH114" s="50" t="s">
        <v>15</v>
      </c>
      <c r="AI114" s="76" t="str">
        <f>CONCATENATE(AI$6,"-",AJ$6)</f>
        <v>2007-2012</v>
      </c>
      <c r="AJ114" s="76" t="str">
        <f>CONCATENATE(AJ$6,"-",AK$6)</f>
        <v>2012-2017</v>
      </c>
      <c r="AK114" s="76" t="str">
        <f>CONCATENATE(AK$6,"-",AL$6)</f>
        <v>2017-2022</v>
      </c>
      <c r="AL114" s="76" t="str">
        <f>CONCATENATE(AL$6,"-",AM$6)</f>
        <v>2022-2027</v>
      </c>
      <c r="AM114" s="76" t="str">
        <f>CONCATENATE(AK$6,"-",AM$6)</f>
        <v>2017-2027</v>
      </c>
      <c r="AS114" s="50" t="s">
        <v>15</v>
      </c>
      <c r="AT114" s="76" t="str">
        <f>CONCATENATE(AT$6,"-",AU$6)</f>
        <v>2007-2012</v>
      </c>
      <c r="AU114" s="76" t="str">
        <f>CONCATENATE(AU$6,"-",AV$6)</f>
        <v>2012-2017</v>
      </c>
      <c r="AV114" s="76" t="str">
        <f>CONCATENATE(AV$6,"-",AW$6)</f>
        <v>2017-2022</v>
      </c>
      <c r="AW114" s="76" t="str">
        <f>CONCATENATE(AW$6,"-",AX$6)</f>
        <v>2022-2027</v>
      </c>
      <c r="AX114" s="76" t="str">
        <f>CONCATENATE(AV$6,"-",AX$6)</f>
        <v>2017-2027</v>
      </c>
      <c r="BD114" s="50" t="s">
        <v>15</v>
      </c>
      <c r="BE114" s="76" t="str">
        <f>CONCATENATE(BE$6,"-",BF$6)</f>
        <v>2007-2012</v>
      </c>
      <c r="BF114" s="76" t="str">
        <f>CONCATENATE(BF$6,"-",BG$6)</f>
        <v>2012-2017</v>
      </c>
      <c r="BG114" s="76" t="str">
        <f>CONCATENATE(BG$6,"-",BH$6)</f>
        <v>2017-2022</v>
      </c>
      <c r="BH114" s="76" t="str">
        <f>CONCATENATE(BH$6,"-",BI$6)</f>
        <v>2022-2027</v>
      </c>
      <c r="BI114" s="76" t="str">
        <f>CONCATENATE(BG$6,"-",BI$6)</f>
        <v>2017-2027</v>
      </c>
      <c r="BO114" s="50" t="s">
        <v>15</v>
      </c>
      <c r="BP114" s="76" t="str">
        <f>CONCATENATE(BP$6,"-",BQ$6)</f>
        <v>2007-2012</v>
      </c>
      <c r="BQ114" s="76" t="str">
        <f>CONCATENATE(BQ$6,"-",BR$6)</f>
        <v>2012-2017</v>
      </c>
      <c r="BR114" s="76" t="str">
        <f>CONCATENATE(BR$6,"-",BS$6)</f>
        <v>2017-2022</v>
      </c>
      <c r="BS114" s="76" t="str">
        <f>CONCATENATE(BS$6,"-",BT$6)</f>
        <v>2022-2027</v>
      </c>
      <c r="BT114" s="76" t="str">
        <f>CONCATENATE(BR$6,"-",BT$6)</f>
        <v>2017-2027</v>
      </c>
      <c r="BZ114" s="50" t="s">
        <v>15</v>
      </c>
      <c r="CA114" s="76" t="str">
        <f>CONCATENATE(CA$6,"-",CB$6)</f>
        <v>2007-2012</v>
      </c>
      <c r="CB114" s="76" t="str">
        <f>CONCATENATE(CB$6,"-",CC$6)</f>
        <v>2012-2017</v>
      </c>
      <c r="CC114" s="76" t="str">
        <f>CONCATENATE(CC$6,"-",CD$6)</f>
        <v>2017-2022</v>
      </c>
      <c r="CD114" s="76" t="str">
        <f>CONCATENATE(CD$6,"-",CE$6)</f>
        <v>2022-2027</v>
      </c>
      <c r="CE114" s="76" t="str">
        <f>CONCATENATE(CC$6,"-",CE$6)</f>
        <v>2017-2027</v>
      </c>
      <c r="CF114" s="286"/>
      <c r="CK114" s="50" t="s">
        <v>15</v>
      </c>
      <c r="CL114" s="76" t="str">
        <f>CONCATENATE(CL$6,"-",CM$6)</f>
        <v>2007-2012</v>
      </c>
      <c r="CM114" s="76" t="str">
        <f>CONCATENATE(CM$6,"-",CN$6)</f>
        <v>2012-2017</v>
      </c>
      <c r="CN114" s="76" t="str">
        <f>CONCATENATE(CN$6,"-",CO$6)</f>
        <v>2017-2022</v>
      </c>
      <c r="CO114" s="76" t="str">
        <f>CONCATENATE(CO$6,"-",CP$6)</f>
        <v>2022-2027</v>
      </c>
      <c r="CP114" s="76" t="str">
        <f>CONCATENATE(CN$6,"-",CP$6)</f>
        <v>2017-2027</v>
      </c>
    </row>
    <row r="115" spans="1:94" x14ac:dyDescent="0.25">
      <c r="B115" s="77"/>
      <c r="C115" s="77"/>
      <c r="D115" s="77"/>
      <c r="E115" s="77"/>
      <c r="F115" s="77"/>
      <c r="M115" s="77"/>
      <c r="N115" s="77"/>
      <c r="O115" s="77"/>
      <c r="P115" s="77"/>
      <c r="Q115" s="77"/>
      <c r="X115" s="77"/>
      <c r="Y115" s="77"/>
      <c r="Z115" s="77"/>
      <c r="AA115" s="77"/>
      <c r="AB115" s="77"/>
      <c r="AI115" s="77"/>
      <c r="AJ115" s="77"/>
      <c r="AK115" s="77"/>
      <c r="AL115" s="77"/>
      <c r="AM115" s="77"/>
      <c r="AT115" s="77"/>
      <c r="AU115" s="77"/>
      <c r="AV115" s="77"/>
      <c r="AW115" s="77"/>
      <c r="AX115" s="77"/>
      <c r="BE115" s="77"/>
      <c r="BF115" s="77"/>
      <c r="BG115" s="77"/>
      <c r="BH115" s="77"/>
      <c r="BI115" s="77"/>
      <c r="BP115" s="77"/>
      <c r="BQ115" s="77"/>
      <c r="BR115" s="77"/>
      <c r="BS115" s="77"/>
      <c r="BT115" s="77"/>
      <c r="BZ115" s="286"/>
      <c r="CA115" s="77"/>
      <c r="CB115" s="77"/>
      <c r="CC115" s="77"/>
      <c r="CD115" s="77"/>
      <c r="CE115" s="77"/>
      <c r="CF115" s="286"/>
      <c r="CL115" s="77"/>
      <c r="CM115" s="77"/>
      <c r="CN115" s="77"/>
      <c r="CO115" s="77"/>
      <c r="CP115" s="77"/>
    </row>
    <row r="116" spans="1:94" x14ac:dyDescent="0.25">
      <c r="A116" s="18" t="str">
        <f t="shared" ref="A116:A140" si="226">A8</f>
        <v xml:space="preserve"> 11 Corporate managers and directors</v>
      </c>
      <c r="B116" s="31">
        <f>C8-B8</f>
        <v>2.3844575245257609</v>
      </c>
      <c r="C116" s="31">
        <f t="shared" ref="B116:E140" si="227">D8-C8</f>
        <v>15.394352113494314</v>
      </c>
      <c r="D116" s="31">
        <f t="shared" si="227"/>
        <v>8.2603950444358532</v>
      </c>
      <c r="E116" s="31">
        <f t="shared" si="227"/>
        <v>9.0887073385569934</v>
      </c>
      <c r="F116" s="31">
        <f>F8-D8</f>
        <v>17.349102382992847</v>
      </c>
      <c r="L116" s="18" t="str">
        <f>A116</f>
        <v xml:space="preserve"> 11 Corporate managers and directors</v>
      </c>
      <c r="M116" s="31">
        <f t="shared" ref="M116:P140" si="228">N8-M8</f>
        <v>38.208328734719629</v>
      </c>
      <c r="N116" s="31">
        <f t="shared" si="228"/>
        <v>120.27149241152489</v>
      </c>
      <c r="O116" s="31">
        <f t="shared" si="228"/>
        <v>61.995231806215088</v>
      </c>
      <c r="P116" s="31">
        <f t="shared" si="228"/>
        <v>68.702501913205708</v>
      </c>
      <c r="Q116" s="31">
        <f>Q8-O8</f>
        <v>130.6977337194208</v>
      </c>
      <c r="W116" s="18" t="str">
        <f>A116</f>
        <v xml:space="preserve"> 11 Corporate managers and directors</v>
      </c>
      <c r="X116" s="31">
        <f t="shared" ref="X116:AA140" si="229">Y8-X8</f>
        <v>150.81880194164927</v>
      </c>
      <c r="Y116" s="31">
        <f t="shared" si="229"/>
        <v>130.68470586697549</v>
      </c>
      <c r="Z116" s="31">
        <f t="shared" si="229"/>
        <v>184.24857581406616</v>
      </c>
      <c r="AA116" s="31">
        <f t="shared" si="229"/>
        <v>113.73428024625355</v>
      </c>
      <c r="AB116" s="31">
        <f>AB8-Z8</f>
        <v>297.9828560603197</v>
      </c>
      <c r="AH116" s="18" t="str">
        <f>L116</f>
        <v xml:space="preserve"> 11 Corporate managers and directors</v>
      </c>
      <c r="AI116" s="31">
        <f t="shared" ref="AI116:AL140" si="230">AJ8-AI8</f>
        <v>6.3601341595780383</v>
      </c>
      <c r="AJ116" s="31">
        <f t="shared" si="230"/>
        <v>6.8149814867273619</v>
      </c>
      <c r="AK116" s="31">
        <f t="shared" si="230"/>
        <v>17.682697688341904</v>
      </c>
      <c r="AL116" s="31">
        <f t="shared" si="230"/>
        <v>11.565531418035818</v>
      </c>
      <c r="AM116" s="31">
        <f>AM8-AK8</f>
        <v>29.248229106377721</v>
      </c>
      <c r="AS116" s="18" t="str">
        <f>W116</f>
        <v xml:space="preserve"> 11 Corporate managers and directors</v>
      </c>
      <c r="AT116" s="31">
        <f t="shared" ref="AT116:AW140" si="231">AU8-AT8</f>
        <v>17.309452367075181</v>
      </c>
      <c r="AU116" s="31">
        <f t="shared" si="231"/>
        <v>19.982933908566906</v>
      </c>
      <c r="AV116" s="31">
        <f t="shared" si="231"/>
        <v>34.709330731029183</v>
      </c>
      <c r="AW116" s="31">
        <f t="shared" si="231"/>
        <v>19.238954173800153</v>
      </c>
      <c r="AX116" s="31">
        <f>AX8-AV8</f>
        <v>53.948284904829336</v>
      </c>
      <c r="BD116" s="18" t="str">
        <f>AH116</f>
        <v xml:space="preserve"> 11 Corporate managers and directors</v>
      </c>
      <c r="BE116" s="31">
        <f t="shared" ref="BE116:BH140" si="232">BF8-BE8</f>
        <v>2.4501420692150191</v>
      </c>
      <c r="BF116" s="31">
        <f t="shared" si="232"/>
        <v>66.927559491977888</v>
      </c>
      <c r="BG116" s="31">
        <f t="shared" si="232"/>
        <v>-39.381368850466515</v>
      </c>
      <c r="BH116" s="31">
        <f t="shared" si="232"/>
        <v>-15.335928668359372</v>
      </c>
      <c r="BI116" s="31">
        <f>BI8-BG8</f>
        <v>-54.717297518825887</v>
      </c>
      <c r="BO116" s="18" t="str">
        <f>AS116</f>
        <v xml:space="preserve"> 11 Corporate managers and directors</v>
      </c>
      <c r="BP116" s="31">
        <f t="shared" ref="BP116:BS140" si="233">BQ8-BP8</f>
        <v>-17.692296215784381</v>
      </c>
      <c r="BQ116" s="31">
        <f t="shared" si="233"/>
        <v>23.294253191357939</v>
      </c>
      <c r="BR116" s="31">
        <f t="shared" si="233"/>
        <v>-39.221036498503508</v>
      </c>
      <c r="BS116" s="31">
        <f t="shared" si="233"/>
        <v>-24.007431410074332</v>
      </c>
      <c r="BT116" s="31">
        <f>BT8-BR8</f>
        <v>-63.228467908577841</v>
      </c>
      <c r="BZ116" s="18" t="str">
        <f>BD116</f>
        <v xml:space="preserve"> 11 Corporate managers and directors</v>
      </c>
      <c r="CA116" s="83">
        <f t="shared" ref="CA116:CD140" si="234">CB8-CA8</f>
        <v>-27.702653472279962</v>
      </c>
      <c r="CB116" s="83">
        <f t="shared" si="234"/>
        <v>29.777187801361805</v>
      </c>
      <c r="CC116" s="83">
        <f t="shared" si="234"/>
        <v>-35.449966190877689</v>
      </c>
      <c r="CD116" s="83">
        <f t="shared" si="234"/>
        <v>-16.302179702332467</v>
      </c>
      <c r="CE116" s="83">
        <f>CE8-CC8</f>
        <v>-51.752145893210155</v>
      </c>
      <c r="CF116" s="286"/>
      <c r="CK116" s="18" t="str">
        <f>BO116</f>
        <v xml:space="preserve"> 11 Corporate managers and directors</v>
      </c>
      <c r="CL116" s="83">
        <f t="shared" ref="CL116:CO140" si="235">CM8-CL8</f>
        <v>-15.557353132846551</v>
      </c>
      <c r="CM116" s="83">
        <f t="shared" si="235"/>
        <v>-3.5860607430566205</v>
      </c>
      <c r="CN116" s="83">
        <f t="shared" si="235"/>
        <v>-11.701916974861575</v>
      </c>
      <c r="CO116" s="83">
        <f t="shared" si="235"/>
        <v>1.0397045772626541</v>
      </c>
      <c r="CP116" s="83">
        <f>CP8-CN8</f>
        <v>-10.662212397598921</v>
      </c>
    </row>
    <row r="117" spans="1:94" x14ac:dyDescent="0.25">
      <c r="A117" s="18" t="str">
        <f t="shared" si="226"/>
        <v xml:space="preserve"> 12 Other managers and proprietors</v>
      </c>
      <c r="B117" s="31">
        <f t="shared" si="227"/>
        <v>6.6320569758959698</v>
      </c>
      <c r="C117" s="31">
        <f t="shared" si="227"/>
        <v>4.6583408014192926</v>
      </c>
      <c r="D117" s="31">
        <f t="shared" si="227"/>
        <v>3.5171505244753991</v>
      </c>
      <c r="E117" s="31">
        <f t="shared" si="227"/>
        <v>3.2916194044243454</v>
      </c>
      <c r="F117" s="31">
        <f t="shared" ref="F117:F142" si="236">F9-D9</f>
        <v>6.8087699288997445</v>
      </c>
      <c r="L117" s="18" t="str">
        <f t="shared" ref="L117:L140" si="237">A117</f>
        <v xml:space="preserve"> 12 Other managers and proprietors</v>
      </c>
      <c r="M117" s="31">
        <f t="shared" si="228"/>
        <v>21.973251833927534</v>
      </c>
      <c r="N117" s="31">
        <f t="shared" si="228"/>
        <v>33.80562130446161</v>
      </c>
      <c r="O117" s="31">
        <f t="shared" si="228"/>
        <v>23.60563651471378</v>
      </c>
      <c r="P117" s="31">
        <f t="shared" si="228"/>
        <v>20.325466384734341</v>
      </c>
      <c r="Q117" s="31">
        <f t="shared" ref="Q117:Q140" si="238">Q9-O9</f>
        <v>43.931102899448121</v>
      </c>
      <c r="W117" s="18" t="str">
        <f t="shared" ref="W117:W140" si="239">A117</f>
        <v xml:space="preserve"> 12 Other managers and proprietors</v>
      </c>
      <c r="X117" s="31">
        <f t="shared" si="229"/>
        <v>65.77829461647103</v>
      </c>
      <c r="Y117" s="31">
        <f t="shared" si="229"/>
        <v>31.384798026927058</v>
      </c>
      <c r="Z117" s="31">
        <f t="shared" si="229"/>
        <v>58.796119397102359</v>
      </c>
      <c r="AA117" s="31">
        <f t="shared" si="229"/>
        <v>33.452587423384387</v>
      </c>
      <c r="AB117" s="31">
        <f t="shared" ref="AB117:AB140" si="240">AB9-Z9</f>
        <v>92.248706820486746</v>
      </c>
      <c r="AH117" s="18" t="str">
        <f t="shared" ref="AH117:AH140" si="241">L117</f>
        <v xml:space="preserve"> 12 Other managers and proprietors</v>
      </c>
      <c r="AI117" s="31">
        <f t="shared" si="230"/>
        <v>7.9840485145190527</v>
      </c>
      <c r="AJ117" s="31">
        <f t="shared" si="230"/>
        <v>8.060185032256534</v>
      </c>
      <c r="AK117" s="31">
        <f t="shared" si="230"/>
        <v>17.575693861956651</v>
      </c>
      <c r="AL117" s="31">
        <f t="shared" si="230"/>
        <v>10.095210617656591</v>
      </c>
      <c r="AM117" s="31">
        <f t="shared" ref="AM117:AM140" si="242">AM9-AK9</f>
        <v>27.670904479613242</v>
      </c>
      <c r="AS117" s="18" t="str">
        <f t="shared" ref="AS117:AS140" si="243">W117</f>
        <v xml:space="preserve"> 12 Other managers and proprietors</v>
      </c>
      <c r="AT117" s="31">
        <f t="shared" si="231"/>
        <v>13.535776333392221</v>
      </c>
      <c r="AU117" s="31">
        <f t="shared" si="231"/>
        <v>8.077551436549939</v>
      </c>
      <c r="AV117" s="31">
        <f t="shared" si="231"/>
        <v>16.964410131075738</v>
      </c>
      <c r="AW117" s="31">
        <f t="shared" si="231"/>
        <v>7.6875950478531649</v>
      </c>
      <c r="AX117" s="31">
        <f t="shared" ref="AX117:AX140" si="244">AX9-AV9</f>
        <v>24.652005178928903</v>
      </c>
      <c r="BD117" s="18" t="str">
        <f t="shared" ref="BD117:BD140" si="245">AH117</f>
        <v xml:space="preserve"> 12 Other managers and proprietors</v>
      </c>
      <c r="BE117" s="31">
        <f t="shared" si="232"/>
        <v>1.8534997047491117</v>
      </c>
      <c r="BF117" s="31">
        <f t="shared" si="232"/>
        <v>10.538849416965263</v>
      </c>
      <c r="BG117" s="31">
        <f t="shared" si="232"/>
        <v>-20.504936374337603</v>
      </c>
      <c r="BH117" s="31">
        <f t="shared" si="232"/>
        <v>-13.680390052472177</v>
      </c>
      <c r="BI117" s="31">
        <f t="shared" ref="BI117:BI140" si="246">BI9-BG9</f>
        <v>-34.18532642680978</v>
      </c>
      <c r="BO117" s="18" t="str">
        <f t="shared" ref="BO117:BO140" si="247">AS117</f>
        <v xml:space="preserve"> 12 Other managers and proprietors</v>
      </c>
      <c r="BP117" s="31">
        <f t="shared" si="233"/>
        <v>11.731685513540583</v>
      </c>
      <c r="BQ117" s="31">
        <f t="shared" si="233"/>
        <v>10.411465964529896</v>
      </c>
      <c r="BR117" s="31">
        <f t="shared" si="233"/>
        <v>-10.640481837654704</v>
      </c>
      <c r="BS117" s="31">
        <f t="shared" si="233"/>
        <v>-5.9203617655398375</v>
      </c>
      <c r="BT117" s="31">
        <f t="shared" ref="BT117:BT140" si="248">BT9-BR9</f>
        <v>-16.560843603194542</v>
      </c>
      <c r="BZ117" s="18" t="str">
        <f t="shared" ref="BZ117:BZ140" si="249">BD117</f>
        <v xml:space="preserve"> 12 Other managers and proprietors</v>
      </c>
      <c r="CA117" s="83">
        <f t="shared" si="234"/>
        <v>-10.416903788446277</v>
      </c>
      <c r="CB117" s="83">
        <f t="shared" si="234"/>
        <v>9.9720023185953295</v>
      </c>
      <c r="CC117" s="83">
        <f t="shared" si="234"/>
        <v>-26.013212993413148</v>
      </c>
      <c r="CD117" s="83">
        <f t="shared" si="234"/>
        <v>-15.853527138061011</v>
      </c>
      <c r="CE117" s="83">
        <f t="shared" ref="CE117:CE140" si="250">CE9-CC9</f>
        <v>-41.86674013147416</v>
      </c>
      <c r="CF117" s="286"/>
      <c r="CK117" s="18" t="str">
        <f t="shared" ref="CK117:CK140" si="251">BO117</f>
        <v xml:space="preserve"> 12 Other managers and proprietors</v>
      </c>
      <c r="CL117" s="83">
        <f t="shared" si="235"/>
        <v>-8.367700467355391</v>
      </c>
      <c r="CM117" s="83">
        <f t="shared" si="235"/>
        <v>-3.0011108514920295</v>
      </c>
      <c r="CN117" s="83">
        <f t="shared" si="235"/>
        <v>-13.174659685868185</v>
      </c>
      <c r="CO117" s="83">
        <f t="shared" si="235"/>
        <v>0.15705327333656527</v>
      </c>
      <c r="CP117" s="83">
        <f t="shared" ref="CP117:CP140" si="252">CP9-CN9</f>
        <v>-13.01760641253162</v>
      </c>
    </row>
    <row r="118" spans="1:94" x14ac:dyDescent="0.25">
      <c r="A118" s="18" t="str">
        <f t="shared" si="226"/>
        <v xml:space="preserve"> 21 Science, research, engineering and technology professionals</v>
      </c>
      <c r="B118" s="31">
        <f t="shared" si="227"/>
        <v>15.718385127983112</v>
      </c>
      <c r="C118" s="31">
        <f t="shared" si="227"/>
        <v>31.513889531013518</v>
      </c>
      <c r="D118" s="31">
        <f t="shared" si="227"/>
        <v>11.544825193758442</v>
      </c>
      <c r="E118" s="31">
        <f t="shared" si="227"/>
        <v>11.865068431732709</v>
      </c>
      <c r="F118" s="31">
        <f t="shared" si="236"/>
        <v>23.409893625491151</v>
      </c>
      <c r="L118" s="18" t="str">
        <f t="shared" si="237"/>
        <v xml:space="preserve"> 21 Science, research, engineering and technology professionals</v>
      </c>
      <c r="M118" s="31">
        <f t="shared" si="228"/>
        <v>39.073607960176503</v>
      </c>
      <c r="N118" s="31">
        <f t="shared" si="228"/>
        <v>141.40788110757407</v>
      </c>
      <c r="O118" s="31">
        <f t="shared" si="228"/>
        <v>57.928415828864274</v>
      </c>
      <c r="P118" s="31">
        <f t="shared" si="228"/>
        <v>65.788036162835283</v>
      </c>
      <c r="Q118" s="31">
        <f t="shared" si="238"/>
        <v>123.71645199169956</v>
      </c>
      <c r="W118" s="18" t="str">
        <f t="shared" si="239"/>
        <v xml:space="preserve"> 21 Science, research, engineering and technology professionals</v>
      </c>
      <c r="X118" s="31">
        <f t="shared" si="229"/>
        <v>111.847893330006</v>
      </c>
      <c r="Y118" s="31">
        <f t="shared" si="229"/>
        <v>66.943722328659078</v>
      </c>
      <c r="Z118" s="31">
        <f t="shared" si="229"/>
        <v>81.091872605264484</v>
      </c>
      <c r="AA118" s="31">
        <f t="shared" si="229"/>
        <v>37.504116103200772</v>
      </c>
      <c r="AB118" s="31">
        <f t="shared" si="240"/>
        <v>118.59598870846526</v>
      </c>
      <c r="AH118" s="18" t="str">
        <f t="shared" si="241"/>
        <v xml:space="preserve"> 21 Science, research, engineering and technology professionals</v>
      </c>
      <c r="AI118" s="31">
        <f t="shared" si="230"/>
        <v>-0.14101676293205401</v>
      </c>
      <c r="AJ118" s="31">
        <f t="shared" si="230"/>
        <v>-0.4072801434007971</v>
      </c>
      <c r="AK118" s="31">
        <f t="shared" si="230"/>
        <v>6.6584907230600123</v>
      </c>
      <c r="AL118" s="31">
        <f t="shared" si="230"/>
        <v>4.2216174729418441</v>
      </c>
      <c r="AM118" s="31">
        <f t="shared" si="242"/>
        <v>10.880108196001856</v>
      </c>
      <c r="AS118" s="18" t="str">
        <f t="shared" si="243"/>
        <v xml:space="preserve"> 21 Science, research, engineering and technology professionals</v>
      </c>
      <c r="AT118" s="31">
        <f t="shared" si="231"/>
        <v>16.653810322016255</v>
      </c>
      <c r="AU118" s="31">
        <f t="shared" si="231"/>
        <v>3.5950449148917869</v>
      </c>
      <c r="AV118" s="31">
        <f t="shared" si="231"/>
        <v>7.0524457319612281</v>
      </c>
      <c r="AW118" s="31">
        <f t="shared" si="231"/>
        <v>-3.4556285928017587</v>
      </c>
      <c r="AX118" s="31">
        <f t="shared" si="244"/>
        <v>3.5968171391594694</v>
      </c>
      <c r="BD118" s="18" t="str">
        <f t="shared" si="245"/>
        <v xml:space="preserve"> 21 Science, research, engineering and technology professionals</v>
      </c>
      <c r="BE118" s="31">
        <f t="shared" si="232"/>
        <v>-2.5847380884449365</v>
      </c>
      <c r="BF118" s="31">
        <f t="shared" si="232"/>
        <v>18.397525786103841</v>
      </c>
      <c r="BG118" s="31">
        <f t="shared" si="232"/>
        <v>-38.439029113221238</v>
      </c>
      <c r="BH118" s="31">
        <f t="shared" si="232"/>
        <v>-21.664154924768042</v>
      </c>
      <c r="BI118" s="31">
        <f t="shared" si="246"/>
        <v>-60.10318403798928</v>
      </c>
      <c r="BO118" s="18" t="str">
        <f t="shared" si="247"/>
        <v xml:space="preserve"> 21 Science, research, engineering and technology professionals</v>
      </c>
      <c r="BP118" s="31">
        <f t="shared" si="233"/>
        <v>1.4349033380624974</v>
      </c>
      <c r="BQ118" s="31">
        <f t="shared" si="233"/>
        <v>8.6104703357322023</v>
      </c>
      <c r="BR118" s="31">
        <f t="shared" si="233"/>
        <v>-22.979383961817092</v>
      </c>
      <c r="BS118" s="31">
        <f t="shared" si="233"/>
        <v>-7.9299888044979667</v>
      </c>
      <c r="BT118" s="31">
        <f t="shared" si="248"/>
        <v>-30.909372766315059</v>
      </c>
      <c r="BZ118" s="18" t="str">
        <f t="shared" si="249"/>
        <v xml:space="preserve"> 21 Science, research, engineering and technology professionals</v>
      </c>
      <c r="CA118" s="83">
        <f t="shared" si="234"/>
        <v>-15.145545451191666</v>
      </c>
      <c r="CB118" s="83">
        <f t="shared" si="234"/>
        <v>9.522171876361071</v>
      </c>
      <c r="CC118" s="83">
        <f t="shared" si="234"/>
        <v>-17.163084606025507</v>
      </c>
      <c r="CD118" s="83">
        <f t="shared" si="234"/>
        <v>-13.278129973238165</v>
      </c>
      <c r="CE118" s="83">
        <f t="shared" si="250"/>
        <v>-30.441214579263672</v>
      </c>
      <c r="CF118" s="286"/>
      <c r="CK118" s="18" t="str">
        <f t="shared" si="251"/>
        <v xml:space="preserve"> 21 Science, research, engineering and technology professionals</v>
      </c>
      <c r="CL118" s="83">
        <f t="shared" si="235"/>
        <v>-4.5211827285073163</v>
      </c>
      <c r="CM118" s="83">
        <f t="shared" si="235"/>
        <v>3.0598698336120904</v>
      </c>
      <c r="CN118" s="83">
        <f t="shared" si="235"/>
        <v>-2.6691891863204447</v>
      </c>
      <c r="CO118" s="83">
        <f t="shared" si="235"/>
        <v>3.3897364210017464</v>
      </c>
      <c r="CP118" s="83">
        <f t="shared" si="252"/>
        <v>0.72054723468130177</v>
      </c>
    </row>
    <row r="119" spans="1:94" x14ac:dyDescent="0.25">
      <c r="A119" s="18" t="str">
        <f t="shared" si="226"/>
        <v xml:space="preserve"> 22 Health professionals</v>
      </c>
      <c r="B119" s="31">
        <f t="shared" si="227"/>
        <v>15.98013502714506</v>
      </c>
      <c r="C119" s="31">
        <f t="shared" si="227"/>
        <v>34.295481646249584</v>
      </c>
      <c r="D119" s="31">
        <f t="shared" si="227"/>
        <v>17.386580753776528</v>
      </c>
      <c r="E119" s="31">
        <f t="shared" si="227"/>
        <v>18.54733135821445</v>
      </c>
      <c r="F119" s="31">
        <f t="shared" si="236"/>
        <v>35.933912111990978</v>
      </c>
      <c r="L119" s="18" t="str">
        <f t="shared" si="237"/>
        <v xml:space="preserve"> 22 Health professionals</v>
      </c>
      <c r="M119" s="31">
        <f t="shared" si="228"/>
        <v>24.544524807315952</v>
      </c>
      <c r="N119" s="31">
        <f t="shared" si="228"/>
        <v>94.030624527335334</v>
      </c>
      <c r="O119" s="31">
        <f t="shared" si="228"/>
        <v>45.092169377139044</v>
      </c>
      <c r="P119" s="31">
        <f t="shared" si="228"/>
        <v>44.492896725007256</v>
      </c>
      <c r="Q119" s="31">
        <f>Q11-O11</f>
        <v>89.5850661021463</v>
      </c>
      <c r="W119" s="18" t="str">
        <f t="shared" si="239"/>
        <v xml:space="preserve"> 22 Health professionals</v>
      </c>
      <c r="X119" s="31">
        <f t="shared" si="229"/>
        <v>96.311075412243156</v>
      </c>
      <c r="Y119" s="31">
        <f t="shared" si="229"/>
        <v>103.60099793581588</v>
      </c>
      <c r="Z119" s="31">
        <f t="shared" si="229"/>
        <v>130.34746240876257</v>
      </c>
      <c r="AA119" s="31">
        <f t="shared" si="229"/>
        <v>94.735588921432054</v>
      </c>
      <c r="AB119" s="31">
        <f>AB11-Z11</f>
        <v>225.08305133019462</v>
      </c>
      <c r="AH119" s="18" t="str">
        <f t="shared" si="241"/>
        <v xml:space="preserve"> 22 Health professionals</v>
      </c>
      <c r="AI119" s="31">
        <f t="shared" si="230"/>
        <v>-59.043205612995905</v>
      </c>
      <c r="AJ119" s="31">
        <f t="shared" si="230"/>
        <v>-61.879042790124686</v>
      </c>
      <c r="AK119" s="31">
        <f t="shared" si="230"/>
        <v>-75.694805867966977</v>
      </c>
      <c r="AL119" s="31">
        <f t="shared" si="230"/>
        <v>-69.577341611345844</v>
      </c>
      <c r="AM119" s="31">
        <f>AM11-AK11</f>
        <v>-145.27214747931282</v>
      </c>
      <c r="AS119" s="18" t="str">
        <f t="shared" si="243"/>
        <v xml:space="preserve"> 22 Health professionals</v>
      </c>
      <c r="AT119" s="31">
        <f t="shared" si="231"/>
        <v>1.5392957447974993</v>
      </c>
      <c r="AU119" s="31">
        <f t="shared" si="231"/>
        <v>3.3883008320587678</v>
      </c>
      <c r="AV119" s="31">
        <f t="shared" si="231"/>
        <v>5.4937727727049008</v>
      </c>
      <c r="AW119" s="31">
        <f t="shared" si="231"/>
        <v>6.1759886955816299</v>
      </c>
      <c r="AX119" s="31">
        <f>AX11-AV11</f>
        <v>11.669761468286531</v>
      </c>
      <c r="BD119" s="18" t="str">
        <f t="shared" si="245"/>
        <v xml:space="preserve"> 22 Health professionals</v>
      </c>
      <c r="BE119" s="31">
        <f t="shared" si="232"/>
        <v>4.3821097555435102</v>
      </c>
      <c r="BF119" s="31">
        <f t="shared" si="232"/>
        <v>33.907104315091757</v>
      </c>
      <c r="BG119" s="31">
        <f t="shared" si="232"/>
        <v>11.166501630460317</v>
      </c>
      <c r="BH119" s="31">
        <f t="shared" si="232"/>
        <v>18.881348250936554</v>
      </c>
      <c r="BI119" s="31">
        <f>BI11-BG11</f>
        <v>30.047849881396871</v>
      </c>
      <c r="BO119" s="18" t="str">
        <f t="shared" si="247"/>
        <v xml:space="preserve"> 22 Health professionals</v>
      </c>
      <c r="BP119" s="31">
        <f t="shared" si="233"/>
        <v>7.1563944818568643</v>
      </c>
      <c r="BQ119" s="31">
        <f t="shared" si="233"/>
        <v>12.478643185146794</v>
      </c>
      <c r="BR119" s="31">
        <f t="shared" si="233"/>
        <v>-4.2020554416000806</v>
      </c>
      <c r="BS119" s="31">
        <f t="shared" si="233"/>
        <v>-1.0633649623462418</v>
      </c>
      <c r="BT119" s="31">
        <f>BT11-BR11</f>
        <v>-5.2654204039463224</v>
      </c>
      <c r="BZ119" s="18" t="str">
        <f t="shared" si="249"/>
        <v xml:space="preserve"> 22 Health professionals</v>
      </c>
      <c r="CA119" s="83">
        <f t="shared" si="234"/>
        <v>-13.074639444328788</v>
      </c>
      <c r="CB119" s="83">
        <f t="shared" si="234"/>
        <v>10.596315901209472</v>
      </c>
      <c r="CC119" s="83">
        <f t="shared" si="234"/>
        <v>-13.80291502758314</v>
      </c>
      <c r="CD119" s="83">
        <f t="shared" si="234"/>
        <v>-1.4898375072679286</v>
      </c>
      <c r="CE119" s="83">
        <f>CE11-CC11</f>
        <v>-15.292752534851068</v>
      </c>
      <c r="CF119" s="286"/>
      <c r="CK119" s="18" t="str">
        <f t="shared" si="251"/>
        <v xml:space="preserve"> 22 Health professionals</v>
      </c>
      <c r="CL119" s="83">
        <f t="shared" si="235"/>
        <v>-0.50733371618088352</v>
      </c>
      <c r="CM119" s="83">
        <f t="shared" si="235"/>
        <v>1.5928800747809078</v>
      </c>
      <c r="CN119" s="83">
        <f t="shared" si="235"/>
        <v>-0.263042998680171</v>
      </c>
      <c r="CO119" s="83">
        <f t="shared" si="235"/>
        <v>4.185411634612243</v>
      </c>
      <c r="CP119" s="83">
        <f>CP11-CN11</f>
        <v>3.922368635932072</v>
      </c>
    </row>
    <row r="120" spans="1:94" x14ac:dyDescent="0.25">
      <c r="A120" s="18" t="str">
        <f t="shared" si="226"/>
        <v xml:space="preserve"> 23 Teaching and educational professionals</v>
      </c>
      <c r="B120" s="31">
        <f t="shared" si="227"/>
        <v>19.85250989089802</v>
      </c>
      <c r="C120" s="31">
        <f t="shared" si="227"/>
        <v>40.969377835106471</v>
      </c>
      <c r="D120" s="31">
        <f t="shared" si="227"/>
        <v>16.709515351762263</v>
      </c>
      <c r="E120" s="31">
        <f t="shared" si="227"/>
        <v>20.361356846958785</v>
      </c>
      <c r="F120" s="31">
        <f t="shared" si="236"/>
        <v>37.070872198721048</v>
      </c>
      <c r="L120" s="18" t="str">
        <f t="shared" si="237"/>
        <v xml:space="preserve"> 23 Teaching and educational professionals</v>
      </c>
      <c r="M120" s="31">
        <f t="shared" si="228"/>
        <v>70.278911938497686</v>
      </c>
      <c r="N120" s="31">
        <f t="shared" si="228"/>
        <v>239.38716962252579</v>
      </c>
      <c r="O120" s="31">
        <f t="shared" si="228"/>
        <v>93.401383916262148</v>
      </c>
      <c r="P120" s="31">
        <f t="shared" si="228"/>
        <v>103.17336401225077</v>
      </c>
      <c r="Q120" s="31">
        <f t="shared" si="238"/>
        <v>196.57474792851292</v>
      </c>
      <c r="W120" s="18" t="str">
        <f t="shared" si="239"/>
        <v xml:space="preserve"> 23 Teaching and educational professionals</v>
      </c>
      <c r="X120" s="31">
        <f t="shared" si="229"/>
        <v>48.041439909396729</v>
      </c>
      <c r="Y120" s="31">
        <f t="shared" si="229"/>
        <v>-12.849406752712639</v>
      </c>
      <c r="Z120" s="31">
        <f t="shared" si="229"/>
        <v>-3.9108455374652635</v>
      </c>
      <c r="AA120" s="31">
        <f t="shared" si="229"/>
        <v>-1.4042727696895554</v>
      </c>
      <c r="AB120" s="31">
        <f t="shared" si="240"/>
        <v>-5.3151183071548189</v>
      </c>
      <c r="AH120" s="18" t="str">
        <f t="shared" si="241"/>
        <v xml:space="preserve"> 23 Teaching and educational professionals</v>
      </c>
      <c r="AI120" s="31">
        <f t="shared" si="230"/>
        <v>-49.77658172156886</v>
      </c>
      <c r="AJ120" s="31">
        <f t="shared" si="230"/>
        <v>-61.299016202782333</v>
      </c>
      <c r="AK120" s="31">
        <f t="shared" si="230"/>
        <v>-27.251816547119329</v>
      </c>
      <c r="AL120" s="31">
        <f t="shared" si="230"/>
        <v>0.29153115040965361</v>
      </c>
      <c r="AM120" s="31">
        <f t="shared" si="242"/>
        <v>-26.960285396709676</v>
      </c>
      <c r="AS120" s="18" t="str">
        <f t="shared" si="243"/>
        <v xml:space="preserve"> 23 Teaching and educational professionals</v>
      </c>
      <c r="AT120" s="31">
        <f t="shared" si="231"/>
        <v>-4.1073565974606652E-2</v>
      </c>
      <c r="AU120" s="31">
        <f t="shared" si="231"/>
        <v>-3.1914608853360811</v>
      </c>
      <c r="AV120" s="31">
        <f t="shared" si="231"/>
        <v>1.9767126860402229</v>
      </c>
      <c r="AW120" s="31">
        <f t="shared" si="231"/>
        <v>2.0016658125307991</v>
      </c>
      <c r="AX120" s="31">
        <f t="shared" si="244"/>
        <v>3.978378498571022</v>
      </c>
      <c r="BD120" s="18" t="str">
        <f t="shared" si="245"/>
        <v xml:space="preserve"> 23 Teaching and educational professionals</v>
      </c>
      <c r="BE120" s="31">
        <f t="shared" si="232"/>
        <v>4.6119484061292084</v>
      </c>
      <c r="BF120" s="31">
        <f t="shared" si="232"/>
        <v>8.4595062904588261</v>
      </c>
      <c r="BG120" s="31">
        <f t="shared" si="232"/>
        <v>-3.2773239877771871</v>
      </c>
      <c r="BH120" s="31">
        <f t="shared" si="232"/>
        <v>8.5727968181324599</v>
      </c>
      <c r="BI120" s="31">
        <f t="shared" si="246"/>
        <v>5.2954728303552727</v>
      </c>
      <c r="BO120" s="18" t="str">
        <f t="shared" si="247"/>
        <v xml:space="preserve"> 23 Teaching and educational professionals</v>
      </c>
      <c r="BP120" s="31">
        <f t="shared" si="233"/>
        <v>-8.4480134042836639</v>
      </c>
      <c r="BQ120" s="31">
        <f t="shared" si="233"/>
        <v>5.7221629687509648</v>
      </c>
      <c r="BR120" s="31">
        <f t="shared" si="233"/>
        <v>-1.4155878628524832</v>
      </c>
      <c r="BS120" s="31">
        <f t="shared" si="233"/>
        <v>5.3955161305818606</v>
      </c>
      <c r="BT120" s="31">
        <f t="shared" si="248"/>
        <v>3.9799282677293775</v>
      </c>
      <c r="BZ120" s="18" t="str">
        <f t="shared" si="249"/>
        <v xml:space="preserve"> 23 Teaching and educational professionals</v>
      </c>
      <c r="CA120" s="83">
        <f t="shared" si="234"/>
        <v>-7.716940756244405</v>
      </c>
      <c r="CB120" s="83">
        <f t="shared" si="234"/>
        <v>5.743467329910473</v>
      </c>
      <c r="CC120" s="83">
        <f t="shared" si="234"/>
        <v>-6.7663804216035537</v>
      </c>
      <c r="CD120" s="83">
        <f t="shared" si="234"/>
        <v>2.4372528623519081</v>
      </c>
      <c r="CE120" s="83">
        <f t="shared" si="250"/>
        <v>-4.3291275592516456</v>
      </c>
      <c r="CF120" s="286"/>
      <c r="CK120" s="18" t="str">
        <f t="shared" si="251"/>
        <v xml:space="preserve"> 23 Teaching and educational professionals</v>
      </c>
      <c r="CL120" s="83">
        <f t="shared" si="235"/>
        <v>-0.47354368518057477</v>
      </c>
      <c r="CM120" s="83">
        <f t="shared" si="235"/>
        <v>2.4915032394170034</v>
      </c>
      <c r="CN120" s="83">
        <f t="shared" si="235"/>
        <v>-0.66173886276449423</v>
      </c>
      <c r="CO120" s="83">
        <f t="shared" si="235"/>
        <v>2.5091968742484294</v>
      </c>
      <c r="CP120" s="83">
        <f t="shared" si="252"/>
        <v>1.8474580114839352</v>
      </c>
    </row>
    <row r="121" spans="1:94" x14ac:dyDescent="0.25">
      <c r="A121" s="18" t="str">
        <f t="shared" si="226"/>
        <v xml:space="preserve"> 24 Business, media and public service professionals</v>
      </c>
      <c r="B121" s="31">
        <f t="shared" si="227"/>
        <v>1.1392344126203184</v>
      </c>
      <c r="C121" s="31">
        <f t="shared" si="227"/>
        <v>14.548964357970721</v>
      </c>
      <c r="D121" s="31">
        <f t="shared" si="227"/>
        <v>6.3618054193671298</v>
      </c>
      <c r="E121" s="31">
        <f t="shared" si="227"/>
        <v>6.3492404773333959</v>
      </c>
      <c r="F121" s="31">
        <f t="shared" si="236"/>
        <v>12.711045896700526</v>
      </c>
      <c r="L121" s="18" t="str">
        <f t="shared" si="237"/>
        <v xml:space="preserve"> 24 Business, media and public service professionals</v>
      </c>
      <c r="M121" s="31">
        <f t="shared" si="228"/>
        <v>44.520283443240317</v>
      </c>
      <c r="N121" s="31">
        <f t="shared" si="228"/>
        <v>174.94386762360904</v>
      </c>
      <c r="O121" s="31">
        <f t="shared" si="228"/>
        <v>62.329612796044842</v>
      </c>
      <c r="P121" s="31">
        <f t="shared" si="228"/>
        <v>51.594727454946906</v>
      </c>
      <c r="Q121" s="31">
        <f t="shared" si="238"/>
        <v>113.92434025099175</v>
      </c>
      <c r="W121" s="18" t="str">
        <f t="shared" si="239"/>
        <v xml:space="preserve"> 24 Business, media and public service professionals</v>
      </c>
      <c r="X121" s="31">
        <f t="shared" si="229"/>
        <v>124.45379231265144</v>
      </c>
      <c r="Y121" s="31">
        <f t="shared" si="229"/>
        <v>84.4334152923077</v>
      </c>
      <c r="Z121" s="31">
        <f t="shared" si="229"/>
        <v>111.55534158258411</v>
      </c>
      <c r="AA121" s="31">
        <f t="shared" si="229"/>
        <v>45.481870195439569</v>
      </c>
      <c r="AB121" s="31">
        <f t="shared" si="240"/>
        <v>157.03721177802367</v>
      </c>
      <c r="AH121" s="18" t="str">
        <f t="shared" si="241"/>
        <v xml:space="preserve"> 24 Business, media and public service professionals</v>
      </c>
      <c r="AI121" s="31">
        <f t="shared" si="230"/>
        <v>-40.738655447702826</v>
      </c>
      <c r="AJ121" s="31">
        <f t="shared" si="230"/>
        <v>-28.937491498873108</v>
      </c>
      <c r="AK121" s="31">
        <f t="shared" si="230"/>
        <v>-5.9928586751137018</v>
      </c>
      <c r="AL121" s="31">
        <f t="shared" si="230"/>
        <v>-2.6714000957325084</v>
      </c>
      <c r="AM121" s="31">
        <f t="shared" si="242"/>
        <v>-8.6642587708462102</v>
      </c>
      <c r="AS121" s="18" t="str">
        <f t="shared" si="243"/>
        <v xml:space="preserve"> 24 Business, media and public service professionals</v>
      </c>
      <c r="AT121" s="31">
        <f t="shared" si="231"/>
        <v>7.6647029576686663</v>
      </c>
      <c r="AU121" s="31">
        <f t="shared" si="231"/>
        <v>5.0998594159952972</v>
      </c>
      <c r="AV121" s="31">
        <f t="shared" si="231"/>
        <v>14.585413033182761</v>
      </c>
      <c r="AW121" s="31">
        <f t="shared" si="231"/>
        <v>6.8991459772645669</v>
      </c>
      <c r="AX121" s="31">
        <f t="shared" si="244"/>
        <v>21.484559010447327</v>
      </c>
      <c r="BD121" s="18" t="str">
        <f t="shared" si="245"/>
        <v xml:space="preserve"> 24 Business, media and public service professionals</v>
      </c>
      <c r="BE121" s="31">
        <f t="shared" si="232"/>
        <v>-8.0334328616515904E-3</v>
      </c>
      <c r="BF121" s="31">
        <f t="shared" si="232"/>
        <v>28.650236723991299</v>
      </c>
      <c r="BG121" s="31">
        <f t="shared" si="232"/>
        <v>-14.648089388550574</v>
      </c>
      <c r="BH121" s="31">
        <f t="shared" si="232"/>
        <v>-4.6916791535424238</v>
      </c>
      <c r="BI121" s="31">
        <f t="shared" si="246"/>
        <v>-19.339768542092997</v>
      </c>
      <c r="BO121" s="18" t="str">
        <f t="shared" si="247"/>
        <v xml:space="preserve"> 24 Business, media and public service professionals</v>
      </c>
      <c r="BP121" s="31">
        <f t="shared" si="233"/>
        <v>-16.883290915744411</v>
      </c>
      <c r="BQ121" s="31">
        <f t="shared" si="233"/>
        <v>2.0059380890187839</v>
      </c>
      <c r="BR121" s="31">
        <f t="shared" si="233"/>
        <v>-19.554141082307154</v>
      </c>
      <c r="BS121" s="31">
        <f t="shared" si="233"/>
        <v>-10.171846190933749</v>
      </c>
      <c r="BT121" s="31">
        <f t="shared" si="248"/>
        <v>-29.725987273240904</v>
      </c>
      <c r="BZ121" s="18" t="str">
        <f t="shared" si="249"/>
        <v xml:space="preserve"> 24 Business, media and public service professionals</v>
      </c>
      <c r="CA121" s="83">
        <f t="shared" si="234"/>
        <v>-15.93840650530241</v>
      </c>
      <c r="CB121" s="83">
        <f t="shared" si="234"/>
        <v>6.7809908281106317</v>
      </c>
      <c r="CC121" s="83">
        <f t="shared" si="234"/>
        <v>-17.069202869914051</v>
      </c>
      <c r="CD121" s="83">
        <f t="shared" si="234"/>
        <v>-10.931290286775351</v>
      </c>
      <c r="CE121" s="83">
        <f t="shared" si="250"/>
        <v>-28.000493156689402</v>
      </c>
      <c r="CF121" s="286"/>
      <c r="CK121" s="18" t="str">
        <f t="shared" si="251"/>
        <v xml:space="preserve"> 24 Business, media and public service professionals</v>
      </c>
      <c r="CL121" s="83">
        <f t="shared" si="235"/>
        <v>-4.2891792857625894</v>
      </c>
      <c r="CM121" s="83">
        <f t="shared" si="235"/>
        <v>3.9528314133253062</v>
      </c>
      <c r="CN121" s="83">
        <f t="shared" si="235"/>
        <v>-3.1125090608486179</v>
      </c>
      <c r="CO121" s="83">
        <f t="shared" si="235"/>
        <v>2.7928538752711756</v>
      </c>
      <c r="CP121" s="83">
        <f t="shared" si="252"/>
        <v>-0.31965518557744232</v>
      </c>
    </row>
    <row r="122" spans="1:94" x14ac:dyDescent="0.25">
      <c r="A122" s="18" t="str">
        <f t="shared" si="226"/>
        <v xml:space="preserve"> 31 Science, engineering and technology associate professionals</v>
      </c>
      <c r="B122" s="31">
        <f t="shared" si="227"/>
        <v>7.7497301910030458E-2</v>
      </c>
      <c r="C122" s="31">
        <f t="shared" si="227"/>
        <v>5.6237664877161109</v>
      </c>
      <c r="D122" s="31">
        <f t="shared" si="227"/>
        <v>2.316173264759442</v>
      </c>
      <c r="E122" s="31">
        <f t="shared" si="227"/>
        <v>2.8496920604306446</v>
      </c>
      <c r="F122" s="31">
        <f t="shared" si="236"/>
        <v>5.1658653251900866</v>
      </c>
      <c r="L122" s="18" t="str">
        <f t="shared" si="237"/>
        <v xml:space="preserve"> 31 Science, engineering and technology associate professionals</v>
      </c>
      <c r="M122" s="31">
        <f t="shared" si="228"/>
        <v>3.1518365259910439</v>
      </c>
      <c r="N122" s="31">
        <f t="shared" si="228"/>
        <v>28.266818734063342</v>
      </c>
      <c r="O122" s="31">
        <f t="shared" si="228"/>
        <v>10.152722814530208</v>
      </c>
      <c r="P122" s="31">
        <f t="shared" si="228"/>
        <v>12.269837475388456</v>
      </c>
      <c r="Q122" s="31">
        <f t="shared" si="238"/>
        <v>22.422560289918664</v>
      </c>
      <c r="W122" s="18" t="str">
        <f t="shared" si="239"/>
        <v xml:space="preserve"> 31 Science, engineering and technology associate professionals</v>
      </c>
      <c r="X122" s="31">
        <f t="shared" si="229"/>
        <v>29.992644416259424</v>
      </c>
      <c r="Y122" s="31">
        <f t="shared" si="229"/>
        <v>29.16641125441177</v>
      </c>
      <c r="Z122" s="31">
        <f t="shared" si="229"/>
        <v>27.944976745408781</v>
      </c>
      <c r="AA122" s="31">
        <f t="shared" si="229"/>
        <v>17.538645130692174</v>
      </c>
      <c r="AB122" s="31">
        <f t="shared" si="240"/>
        <v>45.483621876100955</v>
      </c>
      <c r="AH122" s="18" t="str">
        <f t="shared" si="241"/>
        <v xml:space="preserve"> 31 Science, engineering and technology associate professionals</v>
      </c>
      <c r="AI122" s="31">
        <f t="shared" si="230"/>
        <v>4.752897504195051</v>
      </c>
      <c r="AJ122" s="31">
        <f t="shared" si="230"/>
        <v>2.4299342813516738</v>
      </c>
      <c r="AK122" s="31">
        <f t="shared" si="230"/>
        <v>6.072733001449599</v>
      </c>
      <c r="AL122" s="31">
        <f t="shared" si="230"/>
        <v>4.1779543298421373</v>
      </c>
      <c r="AM122" s="31">
        <f t="shared" si="242"/>
        <v>10.250687331291736</v>
      </c>
      <c r="AS122" s="18" t="str">
        <f t="shared" si="243"/>
        <v xml:space="preserve"> 31 Science, engineering and technology associate professionals</v>
      </c>
      <c r="AT122" s="31">
        <f t="shared" si="231"/>
        <v>-4.1629173657101717</v>
      </c>
      <c r="AU122" s="31">
        <f t="shared" si="231"/>
        <v>-5.3074760903481604</v>
      </c>
      <c r="AV122" s="31">
        <f t="shared" si="231"/>
        <v>2.147304308549522</v>
      </c>
      <c r="AW122" s="31">
        <f t="shared" si="231"/>
        <v>-0.93671173592639434</v>
      </c>
      <c r="AX122" s="31">
        <f t="shared" si="244"/>
        <v>1.2105925726231277</v>
      </c>
      <c r="BD122" s="18" t="str">
        <f t="shared" si="245"/>
        <v xml:space="preserve"> 31 Science, engineering and technology associate professionals</v>
      </c>
      <c r="BE122" s="31">
        <f t="shared" si="232"/>
        <v>-18.136222249887595</v>
      </c>
      <c r="BF122" s="31">
        <f t="shared" si="232"/>
        <v>0.78179080694236802</v>
      </c>
      <c r="BG122" s="31">
        <f t="shared" si="232"/>
        <v>-22.786737904770604</v>
      </c>
      <c r="BH122" s="31">
        <f t="shared" si="232"/>
        <v>-19.578006479475832</v>
      </c>
      <c r="BI122" s="31">
        <f t="shared" si="246"/>
        <v>-42.364744384246436</v>
      </c>
      <c r="BO122" s="18" t="str">
        <f t="shared" si="247"/>
        <v xml:space="preserve"> 31 Science, engineering and technology associate professionals</v>
      </c>
      <c r="BP122" s="31">
        <f t="shared" si="233"/>
        <v>-7.3885870417409052</v>
      </c>
      <c r="BQ122" s="31">
        <f t="shared" si="233"/>
        <v>-1.0012070497666485</v>
      </c>
      <c r="BR122" s="31">
        <f t="shared" si="233"/>
        <v>-11.750408263672441</v>
      </c>
      <c r="BS122" s="31">
        <f t="shared" si="233"/>
        <v>-6.57966511714136</v>
      </c>
      <c r="BT122" s="31">
        <f t="shared" si="248"/>
        <v>-18.330073380813801</v>
      </c>
      <c r="BZ122" s="18" t="str">
        <f t="shared" si="249"/>
        <v xml:space="preserve"> 31 Science, engineering and technology associate professionals</v>
      </c>
      <c r="CA122" s="83">
        <f t="shared" si="234"/>
        <v>-15.122450201866364</v>
      </c>
      <c r="CB122" s="83">
        <f t="shared" si="234"/>
        <v>9.0010862488385683</v>
      </c>
      <c r="CC122" s="83">
        <f t="shared" si="234"/>
        <v>-10.156437480225534</v>
      </c>
      <c r="CD122" s="83">
        <f t="shared" si="234"/>
        <v>-6.2552767759613488</v>
      </c>
      <c r="CE122" s="83">
        <f t="shared" si="250"/>
        <v>-16.411714256186883</v>
      </c>
      <c r="CF122" s="286"/>
      <c r="CK122" s="18" t="str">
        <f t="shared" si="251"/>
        <v xml:space="preserve"> 31 Science, engineering and technology associate professionals</v>
      </c>
      <c r="CL122" s="83">
        <f t="shared" si="235"/>
        <v>-3.3715128061639206</v>
      </c>
      <c r="CM122" s="83">
        <f t="shared" si="235"/>
        <v>2.7521387052379147</v>
      </c>
      <c r="CN122" s="83">
        <f t="shared" si="235"/>
        <v>-1.4201693503888162</v>
      </c>
      <c r="CO122" s="83">
        <f t="shared" si="235"/>
        <v>2.9566312800370813</v>
      </c>
      <c r="CP122" s="83">
        <f t="shared" si="252"/>
        <v>1.5364619296482651</v>
      </c>
    </row>
    <row r="123" spans="1:94" x14ac:dyDescent="0.25">
      <c r="A123" s="18" t="str">
        <f t="shared" si="226"/>
        <v xml:space="preserve"> 32 Health and social care associate professionals</v>
      </c>
      <c r="B123" s="31">
        <f t="shared" si="227"/>
        <v>-0.49799964349225601</v>
      </c>
      <c r="C123" s="31">
        <f t="shared" si="227"/>
        <v>1.0838341963737941</v>
      </c>
      <c r="D123" s="31">
        <f t="shared" si="227"/>
        <v>0.70668648080581686</v>
      </c>
      <c r="E123" s="31">
        <f t="shared" si="227"/>
        <v>0.68433460303502924</v>
      </c>
      <c r="F123" s="31">
        <f t="shared" si="236"/>
        <v>1.3910210838408461</v>
      </c>
      <c r="L123" s="18" t="str">
        <f t="shared" si="237"/>
        <v xml:space="preserve"> 32 Health and social care associate professionals</v>
      </c>
      <c r="M123" s="31">
        <f t="shared" si="228"/>
        <v>6.811866794188191</v>
      </c>
      <c r="N123" s="31">
        <f t="shared" si="228"/>
        <v>25.67778814205704</v>
      </c>
      <c r="O123" s="31">
        <f t="shared" si="228"/>
        <v>12.804968725748793</v>
      </c>
      <c r="P123" s="31">
        <f t="shared" si="228"/>
        <v>13.791611376267497</v>
      </c>
      <c r="Q123" s="31">
        <f t="shared" si="238"/>
        <v>26.59658010201629</v>
      </c>
      <c r="W123" s="18" t="str">
        <f t="shared" si="239"/>
        <v xml:space="preserve"> 32 Health and social care associate professionals</v>
      </c>
      <c r="X123" s="31">
        <f t="shared" si="229"/>
        <v>32.646952468107074</v>
      </c>
      <c r="Y123" s="31">
        <f t="shared" si="229"/>
        <v>44.811023382366074</v>
      </c>
      <c r="Z123" s="31">
        <f t="shared" si="229"/>
        <v>52.30535817692973</v>
      </c>
      <c r="AA123" s="31">
        <f t="shared" si="229"/>
        <v>39.213588505004878</v>
      </c>
      <c r="AB123" s="31">
        <f t="shared" si="240"/>
        <v>91.518946681934608</v>
      </c>
      <c r="AH123" s="18" t="str">
        <f t="shared" si="241"/>
        <v xml:space="preserve"> 32 Health and social care associate professionals</v>
      </c>
      <c r="AI123" s="31">
        <f t="shared" si="230"/>
        <v>-13.440732235813741</v>
      </c>
      <c r="AJ123" s="31">
        <f t="shared" si="230"/>
        <v>-13.666263801885549</v>
      </c>
      <c r="AK123" s="31">
        <f t="shared" si="230"/>
        <v>-20.791978059849185</v>
      </c>
      <c r="AL123" s="31">
        <f t="shared" si="230"/>
        <v>-20.681050235410169</v>
      </c>
      <c r="AM123" s="31">
        <f t="shared" si="242"/>
        <v>-41.473028295259354</v>
      </c>
      <c r="AS123" s="18" t="str">
        <f t="shared" si="243"/>
        <v xml:space="preserve"> 32 Health and social care associate professionals</v>
      </c>
      <c r="AT123" s="31">
        <f t="shared" si="231"/>
        <v>3.0086963416650381</v>
      </c>
      <c r="AU123" s="31">
        <f t="shared" si="231"/>
        <v>3.3637759240534848</v>
      </c>
      <c r="AV123" s="31">
        <f t="shared" si="231"/>
        <v>3.8281371637420776</v>
      </c>
      <c r="AW123" s="31">
        <f t="shared" si="231"/>
        <v>2.9950850170396031</v>
      </c>
      <c r="AX123" s="31">
        <f t="shared" si="244"/>
        <v>6.8232221807816806</v>
      </c>
      <c r="BD123" s="18" t="str">
        <f t="shared" si="245"/>
        <v xml:space="preserve"> 32 Health and social care associate professionals</v>
      </c>
      <c r="BE123" s="31">
        <f t="shared" si="232"/>
        <v>-2.1487526033382309</v>
      </c>
      <c r="BF123" s="31">
        <f t="shared" si="232"/>
        <v>12.031479597670106</v>
      </c>
      <c r="BG123" s="31">
        <f t="shared" si="232"/>
        <v>2.4844060070592278</v>
      </c>
      <c r="BH123" s="31">
        <f t="shared" si="232"/>
        <v>6.0429291693711207</v>
      </c>
      <c r="BI123" s="31">
        <f t="shared" si="246"/>
        <v>8.5273351764303484</v>
      </c>
      <c r="BO123" s="18" t="str">
        <f t="shared" si="247"/>
        <v xml:space="preserve"> 32 Health and social care associate professionals</v>
      </c>
      <c r="BP123" s="31">
        <f t="shared" si="233"/>
        <v>5.0953770142435104</v>
      </c>
      <c r="BQ123" s="31">
        <f t="shared" si="233"/>
        <v>6.0159666885817629</v>
      </c>
      <c r="BR123" s="31">
        <f t="shared" si="233"/>
        <v>-2.404146837232453</v>
      </c>
      <c r="BS123" s="31">
        <f t="shared" si="233"/>
        <v>-0.62113204106482556</v>
      </c>
      <c r="BT123" s="31">
        <f t="shared" si="248"/>
        <v>-3.0252788782972786</v>
      </c>
      <c r="BZ123" s="18" t="str">
        <f t="shared" si="249"/>
        <v xml:space="preserve"> 32 Health and social care associate professionals</v>
      </c>
      <c r="CA123" s="83">
        <f t="shared" si="234"/>
        <v>-3.7693140590531904</v>
      </c>
      <c r="CB123" s="83">
        <f t="shared" si="234"/>
        <v>3.9413320577070543</v>
      </c>
      <c r="CC123" s="83">
        <f t="shared" si="234"/>
        <v>-6.2753040666731508</v>
      </c>
      <c r="CD123" s="83">
        <f t="shared" si="234"/>
        <v>-2.1660771564848886</v>
      </c>
      <c r="CE123" s="83">
        <f t="shared" si="250"/>
        <v>-8.4413812231580394</v>
      </c>
      <c r="CF123" s="286"/>
      <c r="CK123" s="18" t="str">
        <f t="shared" si="251"/>
        <v xml:space="preserve"> 32 Health and social care associate professionals</v>
      </c>
      <c r="CL123" s="83">
        <f t="shared" si="235"/>
        <v>-7.0903127104784414E-2</v>
      </c>
      <c r="CM123" s="83">
        <f t="shared" si="235"/>
        <v>0.73787900733940459</v>
      </c>
      <c r="CN123" s="83">
        <f t="shared" si="235"/>
        <v>-0.34565352123511817</v>
      </c>
      <c r="CO123" s="83">
        <f t="shared" si="235"/>
        <v>1.3518684237440564</v>
      </c>
      <c r="CP123" s="83">
        <f t="shared" si="252"/>
        <v>1.0062149025089382</v>
      </c>
    </row>
    <row r="124" spans="1:94" x14ac:dyDescent="0.25">
      <c r="A124" s="18" t="str">
        <f t="shared" si="226"/>
        <v xml:space="preserve"> 33 Protective service occupations</v>
      </c>
      <c r="B124" s="31">
        <f t="shared" si="227"/>
        <v>0.2434152333607752</v>
      </c>
      <c r="C124" s="31">
        <f t="shared" si="227"/>
        <v>0.59481025530151999</v>
      </c>
      <c r="D124" s="31">
        <f t="shared" si="227"/>
        <v>0.29934812219062779</v>
      </c>
      <c r="E124" s="31">
        <f t="shared" si="227"/>
        <v>0.36630800788409124</v>
      </c>
      <c r="F124" s="31">
        <f t="shared" si="236"/>
        <v>0.66565613007471902</v>
      </c>
      <c r="L124" s="18" t="str">
        <f t="shared" si="237"/>
        <v xml:space="preserve"> 33 Protective service occupations</v>
      </c>
      <c r="M124" s="31">
        <f t="shared" si="228"/>
        <v>1.798419286990999</v>
      </c>
      <c r="N124" s="31">
        <f t="shared" si="228"/>
        <v>8.237875671471901</v>
      </c>
      <c r="O124" s="31">
        <f t="shared" si="228"/>
        <v>2.7280053632492418</v>
      </c>
      <c r="P124" s="31">
        <f t="shared" si="228"/>
        <v>4.675065634364131</v>
      </c>
      <c r="Q124" s="31">
        <f t="shared" si="238"/>
        <v>7.4030709976133728</v>
      </c>
      <c r="W124" s="18" t="str">
        <f t="shared" si="239"/>
        <v xml:space="preserve"> 33 Protective service occupations</v>
      </c>
      <c r="X124" s="31">
        <f t="shared" si="229"/>
        <v>17.591441999293636</v>
      </c>
      <c r="Y124" s="31">
        <f t="shared" si="229"/>
        <v>15.640745382556005</v>
      </c>
      <c r="Z124" s="31">
        <f t="shared" si="229"/>
        <v>21.893773767971254</v>
      </c>
      <c r="AA124" s="31">
        <f t="shared" si="229"/>
        <v>16.346222949121312</v>
      </c>
      <c r="AB124" s="31">
        <f t="shared" si="240"/>
        <v>38.239996717092566</v>
      </c>
      <c r="AH124" s="18" t="str">
        <f t="shared" si="241"/>
        <v xml:space="preserve"> 33 Protective service occupations</v>
      </c>
      <c r="AI124" s="31">
        <f t="shared" si="230"/>
        <v>5.7766843766626401</v>
      </c>
      <c r="AJ124" s="31">
        <f t="shared" si="230"/>
        <v>2.2521228559204687</v>
      </c>
      <c r="AK124" s="31">
        <f t="shared" si="230"/>
        <v>4.4565413080470364</v>
      </c>
      <c r="AL124" s="31">
        <f t="shared" si="230"/>
        <v>3.1573259679694026</v>
      </c>
      <c r="AM124" s="31">
        <f t="shared" si="242"/>
        <v>7.613867276016439</v>
      </c>
      <c r="AS124" s="18" t="str">
        <f t="shared" si="243"/>
        <v xml:space="preserve"> 33 Protective service occupations</v>
      </c>
      <c r="AT124" s="31">
        <f t="shared" si="231"/>
        <v>-1.6019520817028337</v>
      </c>
      <c r="AU124" s="31">
        <f t="shared" si="231"/>
        <v>-2.4002074646209444</v>
      </c>
      <c r="AV124" s="31">
        <f t="shared" si="231"/>
        <v>-0.6131510787110841</v>
      </c>
      <c r="AW124" s="31">
        <f t="shared" si="231"/>
        <v>-0.37680576791112941</v>
      </c>
      <c r="AX124" s="31">
        <f t="shared" si="244"/>
        <v>-0.9899568466222135</v>
      </c>
      <c r="BD124" s="18" t="str">
        <f t="shared" si="245"/>
        <v xml:space="preserve"> 33 Protective service occupations</v>
      </c>
      <c r="BE124" s="31">
        <f t="shared" si="232"/>
        <v>-18.181408374463061</v>
      </c>
      <c r="BF124" s="31">
        <f t="shared" si="232"/>
        <v>-5.143971037171525</v>
      </c>
      <c r="BG124" s="31">
        <f t="shared" si="232"/>
        <v>-12.631304936123634</v>
      </c>
      <c r="BH124" s="31">
        <f t="shared" si="232"/>
        <v>-8.04810099441071</v>
      </c>
      <c r="BI124" s="31">
        <f t="shared" si="246"/>
        <v>-20.679405930534344</v>
      </c>
      <c r="BO124" s="18" t="str">
        <f t="shared" si="247"/>
        <v xml:space="preserve"> 33 Protective service occupations</v>
      </c>
      <c r="BP124" s="31">
        <f t="shared" si="233"/>
        <v>-12.199055192839936</v>
      </c>
      <c r="BQ124" s="31">
        <f t="shared" si="233"/>
        <v>-3.9840534029118118</v>
      </c>
      <c r="BR124" s="31">
        <f t="shared" si="233"/>
        <v>-14.008882965000552</v>
      </c>
      <c r="BS124" s="31">
        <f t="shared" si="233"/>
        <v>-10.047493625119714</v>
      </c>
      <c r="BT124" s="31">
        <f t="shared" si="248"/>
        <v>-24.056376590120266</v>
      </c>
      <c r="BZ124" s="18" t="str">
        <f t="shared" si="249"/>
        <v xml:space="preserve"> 33 Protective service occupations</v>
      </c>
      <c r="CA124" s="83">
        <f t="shared" si="234"/>
        <v>-16.344403488003671</v>
      </c>
      <c r="CB124" s="83">
        <f t="shared" si="234"/>
        <v>-1.8121194308005997</v>
      </c>
      <c r="CC124" s="83">
        <f t="shared" si="234"/>
        <v>-9.8838345619544086</v>
      </c>
      <c r="CD124" s="83">
        <f t="shared" si="234"/>
        <v>-5.6150060302387779</v>
      </c>
      <c r="CE124" s="83">
        <f t="shared" si="250"/>
        <v>-15.498840592193186</v>
      </c>
      <c r="CF124" s="286"/>
      <c r="CK124" s="18" t="str">
        <f t="shared" si="251"/>
        <v xml:space="preserve"> 33 Protective service occupations</v>
      </c>
      <c r="CL124" s="83">
        <f t="shared" si="235"/>
        <v>-3.2494287986939892</v>
      </c>
      <c r="CM124" s="83">
        <f t="shared" si="235"/>
        <v>-1.3559484779907658</v>
      </c>
      <c r="CN124" s="83">
        <f t="shared" si="235"/>
        <v>-2.2353002579693761</v>
      </c>
      <c r="CO124" s="83">
        <f t="shared" si="235"/>
        <v>-1.3411899227429069</v>
      </c>
      <c r="CP124" s="83">
        <f t="shared" si="252"/>
        <v>-3.5764901807122831</v>
      </c>
    </row>
    <row r="125" spans="1:94" x14ac:dyDescent="0.25">
      <c r="A125" s="18" t="str">
        <f t="shared" si="226"/>
        <v xml:space="preserve"> 34 Culture, media and sports occupations</v>
      </c>
      <c r="B125" s="31">
        <f t="shared" si="227"/>
        <v>1.2477961366311403</v>
      </c>
      <c r="C125" s="31">
        <f t="shared" si="227"/>
        <v>3.8066285522892418</v>
      </c>
      <c r="D125" s="31">
        <f t="shared" si="227"/>
        <v>1.9552567562571141</v>
      </c>
      <c r="E125" s="31">
        <f t="shared" si="227"/>
        <v>1.3923217526868665</v>
      </c>
      <c r="F125" s="31">
        <f t="shared" si="236"/>
        <v>3.3475785089439807</v>
      </c>
      <c r="L125" s="18" t="str">
        <f t="shared" si="237"/>
        <v xml:space="preserve"> 34 Culture, media and sports occupations</v>
      </c>
      <c r="M125" s="31">
        <f t="shared" si="228"/>
        <v>23.364344392234244</v>
      </c>
      <c r="N125" s="31">
        <f t="shared" si="228"/>
        <v>52.908157282379349</v>
      </c>
      <c r="O125" s="31">
        <f t="shared" si="228"/>
        <v>20.084517327572826</v>
      </c>
      <c r="P125" s="31">
        <f t="shared" si="228"/>
        <v>11.753037376005068</v>
      </c>
      <c r="Q125" s="31">
        <f t="shared" si="238"/>
        <v>31.837554703577894</v>
      </c>
      <c r="W125" s="18" t="str">
        <f t="shared" si="239"/>
        <v xml:space="preserve"> 34 Culture, media and sports occupations</v>
      </c>
      <c r="X125" s="31">
        <f t="shared" si="229"/>
        <v>58.711052311501874</v>
      </c>
      <c r="Y125" s="31">
        <f t="shared" si="229"/>
        <v>29.150075562758161</v>
      </c>
      <c r="Z125" s="31">
        <f t="shared" si="229"/>
        <v>47.60147323505231</v>
      </c>
      <c r="AA125" s="31">
        <f t="shared" si="229"/>
        <v>13.185179114956497</v>
      </c>
      <c r="AB125" s="31">
        <f t="shared" si="240"/>
        <v>60.786652350008808</v>
      </c>
      <c r="AH125" s="18" t="str">
        <f t="shared" si="241"/>
        <v xml:space="preserve"> 34 Culture, media and sports occupations</v>
      </c>
      <c r="AI125" s="31">
        <f t="shared" si="230"/>
        <v>10.255676227831216</v>
      </c>
      <c r="AJ125" s="31">
        <f t="shared" si="230"/>
        <v>2.7505478574488791</v>
      </c>
      <c r="AK125" s="31">
        <f t="shared" si="230"/>
        <v>10.90679089800993</v>
      </c>
      <c r="AL125" s="31">
        <f t="shared" si="230"/>
        <v>5.9468663041343461</v>
      </c>
      <c r="AM125" s="31">
        <f t="shared" si="242"/>
        <v>16.853657202144277</v>
      </c>
      <c r="AS125" s="18" t="str">
        <f t="shared" si="243"/>
        <v xml:space="preserve"> 34 Culture, media and sports occupations</v>
      </c>
      <c r="AT125" s="31">
        <f t="shared" si="231"/>
        <v>-9.3982294381488884</v>
      </c>
      <c r="AU125" s="31">
        <f t="shared" si="231"/>
        <v>0.13740224327887063</v>
      </c>
      <c r="AV125" s="31">
        <f t="shared" si="231"/>
        <v>3.6717772143143961</v>
      </c>
      <c r="AW125" s="31">
        <f t="shared" si="231"/>
        <v>5.774192877826323E-2</v>
      </c>
      <c r="AX125" s="31">
        <f t="shared" si="244"/>
        <v>3.7295191430926593</v>
      </c>
      <c r="BD125" s="18" t="str">
        <f t="shared" si="245"/>
        <v xml:space="preserve"> 34 Culture, media and sports occupations</v>
      </c>
      <c r="BE125" s="31">
        <f t="shared" si="232"/>
        <v>-4.6294626692330638</v>
      </c>
      <c r="BF125" s="31">
        <f t="shared" si="232"/>
        <v>15.501102341084376</v>
      </c>
      <c r="BG125" s="31">
        <f t="shared" si="232"/>
        <v>-9.6731786331974234</v>
      </c>
      <c r="BH125" s="31">
        <f t="shared" si="232"/>
        <v>-6.121628589763759</v>
      </c>
      <c r="BI125" s="31">
        <f t="shared" si="246"/>
        <v>-15.794807222961182</v>
      </c>
      <c r="BO125" s="18" t="str">
        <f t="shared" si="247"/>
        <v xml:space="preserve"> 34 Culture, media and sports occupations</v>
      </c>
      <c r="BP125" s="31">
        <f t="shared" si="233"/>
        <v>-30.942320501694653</v>
      </c>
      <c r="BQ125" s="31">
        <f t="shared" si="233"/>
        <v>-7.8113492712139134</v>
      </c>
      <c r="BR125" s="31">
        <f t="shared" si="233"/>
        <v>-13.569091576209104</v>
      </c>
      <c r="BS125" s="31">
        <f t="shared" si="233"/>
        <v>-11.496026385022027</v>
      </c>
      <c r="BT125" s="31">
        <f t="shared" si="248"/>
        <v>-25.065117961231131</v>
      </c>
      <c r="BZ125" s="18" t="str">
        <f t="shared" si="249"/>
        <v xml:space="preserve"> 34 Culture, media and sports occupations</v>
      </c>
      <c r="CA125" s="83">
        <f t="shared" si="234"/>
        <v>-17.168349828615455</v>
      </c>
      <c r="CB125" s="83">
        <f t="shared" si="234"/>
        <v>3.8926652078500581</v>
      </c>
      <c r="CC125" s="83">
        <f t="shared" si="234"/>
        <v>-13.66737371489409</v>
      </c>
      <c r="CD125" s="83">
        <f t="shared" si="234"/>
        <v>-8.2132870770705821</v>
      </c>
      <c r="CE125" s="83">
        <f t="shared" si="250"/>
        <v>-21.880660791964672</v>
      </c>
      <c r="CF125" s="286"/>
      <c r="CK125" s="18" t="str">
        <f t="shared" si="251"/>
        <v xml:space="preserve"> 34 Culture, media and sports occupations</v>
      </c>
      <c r="CL125" s="83">
        <f t="shared" si="235"/>
        <v>-1.8454571542286882</v>
      </c>
      <c r="CM125" s="83">
        <f t="shared" si="235"/>
        <v>4.4373129272610665</v>
      </c>
      <c r="CN125" s="83">
        <f t="shared" si="235"/>
        <v>-3.179121405191454</v>
      </c>
      <c r="CO125" s="83">
        <f t="shared" si="235"/>
        <v>1.5914650596473567</v>
      </c>
      <c r="CP125" s="83">
        <f t="shared" si="252"/>
        <v>-1.5876563455440973</v>
      </c>
    </row>
    <row r="126" spans="1:94" x14ac:dyDescent="0.25">
      <c r="A126" s="18" t="str">
        <f t="shared" si="226"/>
        <v xml:space="preserve"> 35 Business and public service associate professionals</v>
      </c>
      <c r="B126" s="31">
        <f t="shared" si="227"/>
        <v>2.9047030255584403</v>
      </c>
      <c r="C126" s="31">
        <f t="shared" si="227"/>
        <v>14.441675791280701</v>
      </c>
      <c r="D126" s="31">
        <f t="shared" si="227"/>
        <v>8.8598694239686253</v>
      </c>
      <c r="E126" s="31">
        <f t="shared" si="227"/>
        <v>10.014976599443116</v>
      </c>
      <c r="F126" s="31">
        <f t="shared" si="236"/>
        <v>18.874846023411742</v>
      </c>
      <c r="L126" s="18" t="str">
        <f t="shared" si="237"/>
        <v xml:space="preserve"> 35 Business and public service associate professionals</v>
      </c>
      <c r="M126" s="31">
        <f t="shared" si="228"/>
        <v>47.346018096435614</v>
      </c>
      <c r="N126" s="31">
        <f t="shared" si="228"/>
        <v>136.67038884116297</v>
      </c>
      <c r="O126" s="31">
        <f t="shared" si="228"/>
        <v>72.765011178603231</v>
      </c>
      <c r="P126" s="31">
        <f t="shared" si="228"/>
        <v>74.396936512281854</v>
      </c>
      <c r="Q126" s="31">
        <f t="shared" si="238"/>
        <v>147.16194769088509</v>
      </c>
      <c r="W126" s="18" t="str">
        <f t="shared" si="239"/>
        <v xml:space="preserve"> 35 Business and public service associate professionals</v>
      </c>
      <c r="X126" s="31">
        <f t="shared" si="229"/>
        <v>85.4147350309334</v>
      </c>
      <c r="Y126" s="31">
        <f t="shared" si="229"/>
        <v>93.784593899084712</v>
      </c>
      <c r="Z126" s="31">
        <f t="shared" si="229"/>
        <v>144.96376513511757</v>
      </c>
      <c r="AA126" s="31">
        <f t="shared" si="229"/>
        <v>80.517381494593906</v>
      </c>
      <c r="AB126" s="31">
        <f t="shared" si="240"/>
        <v>225.48114662971147</v>
      </c>
      <c r="AH126" s="18" t="str">
        <f t="shared" si="241"/>
        <v xml:space="preserve"> 35 Business and public service associate professionals</v>
      </c>
      <c r="AI126" s="31">
        <f t="shared" si="230"/>
        <v>19.410299195318657</v>
      </c>
      <c r="AJ126" s="31">
        <f t="shared" si="230"/>
        <v>16.379561530533778</v>
      </c>
      <c r="AK126" s="31">
        <f t="shared" si="230"/>
        <v>37.804451801930497</v>
      </c>
      <c r="AL126" s="31">
        <f t="shared" si="230"/>
        <v>23.268649301164999</v>
      </c>
      <c r="AM126" s="31">
        <f t="shared" si="242"/>
        <v>61.073101103095496</v>
      </c>
      <c r="AS126" s="18" t="str">
        <f t="shared" si="243"/>
        <v xml:space="preserve"> 35 Business and public service associate professionals</v>
      </c>
      <c r="AT126" s="31">
        <f t="shared" si="231"/>
        <v>-0.14844034720607624</v>
      </c>
      <c r="AU126" s="31">
        <f t="shared" si="231"/>
        <v>12.248809640242825</v>
      </c>
      <c r="AV126" s="31">
        <f t="shared" si="231"/>
        <v>29.563036920484961</v>
      </c>
      <c r="AW126" s="31">
        <f t="shared" si="231"/>
        <v>17.910763907057884</v>
      </c>
      <c r="AX126" s="31">
        <f t="shared" si="244"/>
        <v>47.473800827542846</v>
      </c>
      <c r="BD126" s="18" t="str">
        <f t="shared" si="245"/>
        <v xml:space="preserve"> 35 Business and public service associate professionals</v>
      </c>
      <c r="BE126" s="31">
        <f t="shared" si="232"/>
        <v>-11.887557988031347</v>
      </c>
      <c r="BF126" s="31">
        <f t="shared" si="232"/>
        <v>53.283708319223763</v>
      </c>
      <c r="BG126" s="31">
        <f t="shared" si="232"/>
        <v>-31.970525011938662</v>
      </c>
      <c r="BH126" s="31">
        <f t="shared" si="232"/>
        <v>-16.021247092402177</v>
      </c>
      <c r="BI126" s="31">
        <f t="shared" si="246"/>
        <v>-47.991772104340839</v>
      </c>
      <c r="BO126" s="18" t="str">
        <f t="shared" si="247"/>
        <v xml:space="preserve"> 35 Business and public service associate professionals</v>
      </c>
      <c r="BP126" s="31">
        <f t="shared" si="233"/>
        <v>-30.373547065089042</v>
      </c>
      <c r="BQ126" s="31">
        <f t="shared" si="233"/>
        <v>15.39635424949239</v>
      </c>
      <c r="BR126" s="31">
        <f t="shared" si="233"/>
        <v>-43.822261098370234</v>
      </c>
      <c r="BS126" s="31">
        <f t="shared" si="233"/>
        <v>-32.003469306367606</v>
      </c>
      <c r="BT126" s="31">
        <f t="shared" si="248"/>
        <v>-75.82573040473784</v>
      </c>
      <c r="BZ126" s="18" t="str">
        <f t="shared" si="249"/>
        <v xml:space="preserve"> 35 Business and public service associate professionals</v>
      </c>
      <c r="CA126" s="83">
        <f t="shared" si="234"/>
        <v>-66.531354765641197</v>
      </c>
      <c r="CB126" s="83">
        <f t="shared" si="234"/>
        <v>20.26616993247967</v>
      </c>
      <c r="CC126" s="83">
        <f t="shared" si="234"/>
        <v>-48.162288752610351</v>
      </c>
      <c r="CD126" s="83">
        <f t="shared" si="234"/>
        <v>-27.852881282311188</v>
      </c>
      <c r="CE126" s="83">
        <f t="shared" si="250"/>
        <v>-76.015170034921539</v>
      </c>
      <c r="CF126" s="286"/>
      <c r="CK126" s="18" t="str">
        <f t="shared" si="251"/>
        <v xml:space="preserve"> 35 Business and public service associate professionals</v>
      </c>
      <c r="CL126" s="83">
        <f t="shared" si="235"/>
        <v>-13.793876335308447</v>
      </c>
      <c r="CM126" s="83">
        <f t="shared" si="235"/>
        <v>4.0134741800965728</v>
      </c>
      <c r="CN126" s="83">
        <f t="shared" si="235"/>
        <v>-10.207067593807388</v>
      </c>
      <c r="CO126" s="83">
        <f t="shared" si="235"/>
        <v>1.8780457421777754</v>
      </c>
      <c r="CP126" s="83">
        <f t="shared" si="252"/>
        <v>-8.3290218516296122</v>
      </c>
    </row>
    <row r="127" spans="1:94" x14ac:dyDescent="0.25">
      <c r="A127" s="18" t="str">
        <f t="shared" si="226"/>
        <v xml:space="preserve"> 41 Administrative occupations</v>
      </c>
      <c r="B127" s="31">
        <f t="shared" si="227"/>
        <v>-0.40497812439857306</v>
      </c>
      <c r="C127" s="31">
        <f t="shared" si="227"/>
        <v>5.1517250238556613</v>
      </c>
      <c r="D127" s="31">
        <f t="shared" si="227"/>
        <v>3.0994103452707868</v>
      </c>
      <c r="E127" s="31">
        <f t="shared" si="227"/>
        <v>3.0697940252369413</v>
      </c>
      <c r="F127" s="31">
        <f t="shared" si="236"/>
        <v>6.1692043705077282</v>
      </c>
      <c r="L127" s="18" t="str">
        <f t="shared" si="237"/>
        <v xml:space="preserve"> 41 Administrative occupations</v>
      </c>
      <c r="M127" s="31">
        <f t="shared" si="228"/>
        <v>24.403151417694687</v>
      </c>
      <c r="N127" s="31">
        <f t="shared" si="228"/>
        <v>57.119692334921126</v>
      </c>
      <c r="O127" s="31">
        <f t="shared" si="228"/>
        <v>27.352260482132692</v>
      </c>
      <c r="P127" s="31">
        <f t="shared" si="228"/>
        <v>28.022665644186617</v>
      </c>
      <c r="Q127" s="31">
        <f t="shared" si="238"/>
        <v>55.374926126319309</v>
      </c>
      <c r="W127" s="18" t="str">
        <f t="shared" si="239"/>
        <v xml:space="preserve"> 41 Administrative occupations</v>
      </c>
      <c r="X127" s="31">
        <f t="shared" si="229"/>
        <v>91.737742093578277</v>
      </c>
      <c r="Y127" s="31">
        <f t="shared" si="229"/>
        <v>74.29297318698633</v>
      </c>
      <c r="Z127" s="31">
        <f t="shared" si="229"/>
        <v>114.44901428244805</v>
      </c>
      <c r="AA127" s="31">
        <f t="shared" si="229"/>
        <v>75.804582159301617</v>
      </c>
      <c r="AB127" s="31">
        <f t="shared" si="240"/>
        <v>190.25359644174966</v>
      </c>
      <c r="AH127" s="18" t="str">
        <f t="shared" si="241"/>
        <v xml:space="preserve"> 41 Administrative occupations</v>
      </c>
      <c r="AI127" s="31">
        <f t="shared" si="230"/>
        <v>36.126338535069266</v>
      </c>
      <c r="AJ127" s="31">
        <f t="shared" si="230"/>
        <v>18.480688499462502</v>
      </c>
      <c r="AK127" s="31">
        <f t="shared" si="230"/>
        <v>32.811920339331635</v>
      </c>
      <c r="AL127" s="31">
        <f t="shared" si="230"/>
        <v>22.184785605438123</v>
      </c>
      <c r="AM127" s="31">
        <f t="shared" si="242"/>
        <v>54.996705944769758</v>
      </c>
      <c r="AS127" s="18" t="str">
        <f t="shared" si="243"/>
        <v xml:space="preserve"> 41 Administrative occupations</v>
      </c>
      <c r="AT127" s="31">
        <f t="shared" si="231"/>
        <v>14.599427893430374</v>
      </c>
      <c r="AU127" s="31">
        <f t="shared" si="231"/>
        <v>11.650925233063617</v>
      </c>
      <c r="AV127" s="31">
        <f t="shared" si="231"/>
        <v>29.039059200206225</v>
      </c>
      <c r="AW127" s="31">
        <f t="shared" si="231"/>
        <v>19.749808548008616</v>
      </c>
      <c r="AX127" s="31">
        <f t="shared" si="244"/>
        <v>48.788867748214841</v>
      </c>
      <c r="BD127" s="18" t="str">
        <f t="shared" si="245"/>
        <v xml:space="preserve"> 41 Administrative occupations</v>
      </c>
      <c r="BE127" s="31">
        <f t="shared" si="232"/>
        <v>-45.826198979320338</v>
      </c>
      <c r="BF127" s="31">
        <f t="shared" si="232"/>
        <v>19.913204070955317</v>
      </c>
      <c r="BG127" s="31">
        <f t="shared" si="232"/>
        <v>-70.684054731260858</v>
      </c>
      <c r="BH127" s="31">
        <f t="shared" si="232"/>
        <v>-51.838847082338418</v>
      </c>
      <c r="BI127" s="31">
        <f t="shared" si="246"/>
        <v>-122.52290181359928</v>
      </c>
      <c r="BO127" s="18" t="str">
        <f t="shared" si="247"/>
        <v xml:space="preserve"> 41 Administrative occupations</v>
      </c>
      <c r="BP127" s="31">
        <f t="shared" si="233"/>
        <v>-81.658381728043992</v>
      </c>
      <c r="BQ127" s="31">
        <f t="shared" si="233"/>
        <v>-29.58241316751662</v>
      </c>
      <c r="BR127" s="31">
        <f t="shared" si="233"/>
        <v>-111.54046520894531</v>
      </c>
      <c r="BS127" s="31">
        <f t="shared" si="233"/>
        <v>-102.20339111108945</v>
      </c>
      <c r="BT127" s="31">
        <f t="shared" si="248"/>
        <v>-213.74385632003475</v>
      </c>
      <c r="BZ127" s="18" t="str">
        <f t="shared" si="249"/>
        <v xml:space="preserve"> 41 Administrative occupations</v>
      </c>
      <c r="CA127" s="83">
        <f t="shared" si="234"/>
        <v>-186.56095031798213</v>
      </c>
      <c r="CB127" s="83">
        <f t="shared" si="234"/>
        <v>-43.014532907253567</v>
      </c>
      <c r="CC127" s="83">
        <f t="shared" si="234"/>
        <v>-127.15326610131709</v>
      </c>
      <c r="CD127" s="83">
        <f t="shared" si="234"/>
        <v>-97.58934941918173</v>
      </c>
      <c r="CE127" s="83">
        <f t="shared" si="250"/>
        <v>-224.74261552049882</v>
      </c>
      <c r="CF127" s="286"/>
      <c r="CK127" s="18" t="str">
        <f t="shared" si="251"/>
        <v xml:space="preserve"> 41 Administrative occupations</v>
      </c>
      <c r="CL127" s="83">
        <f t="shared" si="235"/>
        <v>-60.119500418302479</v>
      </c>
      <c r="CM127" s="83">
        <f t="shared" si="235"/>
        <v>-4.5472860621232485</v>
      </c>
      <c r="CN127" s="83">
        <f t="shared" si="235"/>
        <v>-27.56138224788905</v>
      </c>
      <c r="CO127" s="83">
        <f t="shared" si="235"/>
        <v>-10.577090385567395</v>
      </c>
      <c r="CP127" s="83">
        <f t="shared" si="252"/>
        <v>-38.138472633456445</v>
      </c>
    </row>
    <row r="128" spans="1:94" x14ac:dyDescent="0.25">
      <c r="A128" s="18" t="str">
        <f t="shared" si="226"/>
        <v xml:space="preserve"> 42 Secretarial and related occupations</v>
      </c>
      <c r="B128" s="31">
        <f t="shared" si="227"/>
        <v>0.4952974865394878</v>
      </c>
      <c r="C128" s="31">
        <f t="shared" si="227"/>
        <v>0.64048280940313651</v>
      </c>
      <c r="D128" s="31">
        <f t="shared" si="227"/>
        <v>0.12895062857186934</v>
      </c>
      <c r="E128" s="31">
        <f t="shared" si="227"/>
        <v>0.27882605272589744</v>
      </c>
      <c r="F128" s="31">
        <f t="shared" si="236"/>
        <v>0.40777668129776679</v>
      </c>
      <c r="L128" s="18" t="str">
        <f t="shared" si="237"/>
        <v xml:space="preserve"> 42 Secretarial and related occupations</v>
      </c>
      <c r="M128" s="31">
        <f t="shared" si="228"/>
        <v>9.2513679190338216</v>
      </c>
      <c r="N128" s="31">
        <f t="shared" si="228"/>
        <v>6.8754352367183849</v>
      </c>
      <c r="O128" s="31">
        <f t="shared" si="228"/>
        <v>-1.8287464482066582</v>
      </c>
      <c r="P128" s="31">
        <f t="shared" si="228"/>
        <v>-1.0675552046871708</v>
      </c>
      <c r="Q128" s="31">
        <f t="shared" si="238"/>
        <v>-2.896301652893829</v>
      </c>
      <c r="W128" s="18" t="str">
        <f t="shared" si="239"/>
        <v xml:space="preserve"> 42 Secretarial and related occupations</v>
      </c>
      <c r="X128" s="31">
        <f t="shared" si="229"/>
        <v>20.560383543315368</v>
      </c>
      <c r="Y128" s="31">
        <f t="shared" si="229"/>
        <v>0.25595951602979028</v>
      </c>
      <c r="Z128" s="31">
        <f t="shared" si="229"/>
        <v>1.6919148387296872</v>
      </c>
      <c r="AA128" s="31">
        <f t="shared" si="229"/>
        <v>0.98597369037887006</v>
      </c>
      <c r="AB128" s="31">
        <f t="shared" si="240"/>
        <v>2.6778885291085572</v>
      </c>
      <c r="AH128" s="18" t="str">
        <f t="shared" si="241"/>
        <v xml:space="preserve"> 42 Secretarial and related occupations</v>
      </c>
      <c r="AI128" s="31">
        <f t="shared" si="230"/>
        <v>2.8415504413283657</v>
      </c>
      <c r="AJ128" s="31">
        <f t="shared" si="230"/>
        <v>-5.1592472245549459</v>
      </c>
      <c r="AK128" s="31">
        <f t="shared" si="230"/>
        <v>-1.9889524054908918</v>
      </c>
      <c r="AL128" s="31">
        <f t="shared" si="230"/>
        <v>-2.2428454548216479</v>
      </c>
      <c r="AM128" s="31">
        <f t="shared" si="242"/>
        <v>-4.2317978603125397</v>
      </c>
      <c r="AS128" s="18" t="str">
        <f t="shared" si="243"/>
        <v xml:space="preserve"> 42 Secretarial and related occupations</v>
      </c>
      <c r="AT128" s="31">
        <f t="shared" si="231"/>
        <v>-0.87352587895711764</v>
      </c>
      <c r="AU128" s="31">
        <f t="shared" si="231"/>
        <v>-5.7033411254333188</v>
      </c>
      <c r="AV128" s="31">
        <f t="shared" si="231"/>
        <v>-4.0581462317517989</v>
      </c>
      <c r="AW128" s="31">
        <f t="shared" si="231"/>
        <v>-4.3559414788388828</v>
      </c>
      <c r="AX128" s="31">
        <f t="shared" si="244"/>
        <v>-8.4140877105906817</v>
      </c>
      <c r="BD128" s="18" t="str">
        <f t="shared" si="245"/>
        <v xml:space="preserve"> 42 Secretarial and related occupations</v>
      </c>
      <c r="BE128" s="31">
        <f t="shared" si="232"/>
        <v>-5.080308113267165</v>
      </c>
      <c r="BF128" s="31">
        <f t="shared" si="232"/>
        <v>-25.53967650332936</v>
      </c>
      <c r="BG128" s="31">
        <f t="shared" si="232"/>
        <v>-38.616402673533798</v>
      </c>
      <c r="BH128" s="31">
        <f t="shared" si="232"/>
        <v>-37.6806119502874</v>
      </c>
      <c r="BI128" s="31">
        <f t="shared" si="246"/>
        <v>-76.297014623821198</v>
      </c>
      <c r="BO128" s="18" t="str">
        <f t="shared" si="247"/>
        <v xml:space="preserve"> 42 Secretarial and related occupations</v>
      </c>
      <c r="BP128" s="31">
        <f t="shared" si="233"/>
        <v>-58.343263914465183</v>
      </c>
      <c r="BQ128" s="31">
        <f t="shared" si="233"/>
        <v>-58.497059553869036</v>
      </c>
      <c r="BR128" s="31">
        <f t="shared" si="233"/>
        <v>-60.253101397740778</v>
      </c>
      <c r="BS128" s="31">
        <f t="shared" si="233"/>
        <v>-58.308242212253802</v>
      </c>
      <c r="BT128" s="31">
        <f t="shared" si="248"/>
        <v>-118.56134360999458</v>
      </c>
      <c r="BZ128" s="18" t="str">
        <f t="shared" si="249"/>
        <v xml:space="preserve"> 42 Secretarial and related occupations</v>
      </c>
      <c r="CA128" s="83">
        <f t="shared" si="234"/>
        <v>-81.481046303117978</v>
      </c>
      <c r="CB128" s="83">
        <f t="shared" si="234"/>
        <v>-29.023205683415028</v>
      </c>
      <c r="CC128" s="83">
        <f t="shared" si="234"/>
        <v>-74.087740577278424</v>
      </c>
      <c r="CD128" s="83">
        <f t="shared" si="234"/>
        <v>-59.751080936395006</v>
      </c>
      <c r="CE128" s="83">
        <f t="shared" si="250"/>
        <v>-133.83882151367342</v>
      </c>
      <c r="CF128" s="286"/>
      <c r="CK128" s="18" t="str">
        <f t="shared" si="251"/>
        <v xml:space="preserve"> 42 Secretarial and related occupations</v>
      </c>
      <c r="CL128" s="83">
        <f t="shared" si="235"/>
        <v>-16.355475045483722</v>
      </c>
      <c r="CM128" s="83">
        <f t="shared" si="235"/>
        <v>0.78295063926582031</v>
      </c>
      <c r="CN128" s="83">
        <f t="shared" si="235"/>
        <v>-12.500306418682271</v>
      </c>
      <c r="CO128" s="83">
        <f t="shared" si="235"/>
        <v>-6.4127667562967368</v>
      </c>
      <c r="CP128" s="83">
        <f t="shared" si="252"/>
        <v>-18.913073174979008</v>
      </c>
    </row>
    <row r="129" spans="1:94" x14ac:dyDescent="0.25">
      <c r="A129" s="18" t="str">
        <f t="shared" si="226"/>
        <v xml:space="preserve"> 51 Skilled agricultural and related trades</v>
      </c>
      <c r="B129" s="31">
        <f t="shared" si="227"/>
        <v>0.6084360554836713</v>
      </c>
      <c r="C129" s="31">
        <f t="shared" si="227"/>
        <v>0.23490872280818176</v>
      </c>
      <c r="D129" s="31">
        <f t="shared" si="227"/>
        <v>0.2262516168486054</v>
      </c>
      <c r="E129" s="31">
        <f t="shared" si="227"/>
        <v>0.20016029686425307</v>
      </c>
      <c r="F129" s="31">
        <f t="shared" si="236"/>
        <v>0.42641191371285847</v>
      </c>
      <c r="L129" s="18" t="str">
        <f t="shared" si="237"/>
        <v xml:space="preserve"> 51 Skilled agricultural and related trades</v>
      </c>
      <c r="M129" s="31">
        <f t="shared" si="228"/>
        <v>0.60452165860228124</v>
      </c>
      <c r="N129" s="31">
        <f t="shared" si="228"/>
        <v>0.20464042514972292</v>
      </c>
      <c r="O129" s="31">
        <f t="shared" si="228"/>
        <v>-0.14255998802868231</v>
      </c>
      <c r="P129" s="31">
        <f t="shared" si="228"/>
        <v>0.36041526426577342</v>
      </c>
      <c r="Q129" s="31">
        <f t="shared" si="238"/>
        <v>0.21785527623709111</v>
      </c>
      <c r="W129" s="18" t="str">
        <f t="shared" si="239"/>
        <v xml:space="preserve"> 51 Skilled agricultural and related trades</v>
      </c>
      <c r="X129" s="31">
        <f t="shared" si="229"/>
        <v>13.930696374626049</v>
      </c>
      <c r="Y129" s="31">
        <f t="shared" si="229"/>
        <v>5.403454252719186</v>
      </c>
      <c r="Z129" s="31">
        <f t="shared" si="229"/>
        <v>12.452277322549492</v>
      </c>
      <c r="AA129" s="31">
        <f t="shared" si="229"/>
        <v>9.4189189076736</v>
      </c>
      <c r="AB129" s="31">
        <f t="shared" si="240"/>
        <v>21.871196230223092</v>
      </c>
      <c r="AH129" s="18" t="str">
        <f t="shared" si="241"/>
        <v xml:space="preserve"> 51 Skilled agricultural and related trades</v>
      </c>
      <c r="AI129" s="31">
        <f t="shared" si="230"/>
        <v>1.7415403972587882</v>
      </c>
      <c r="AJ129" s="31">
        <f t="shared" si="230"/>
        <v>2.4064051500905705</v>
      </c>
      <c r="AK129" s="31">
        <f t="shared" si="230"/>
        <v>6.9502724707909813</v>
      </c>
      <c r="AL129" s="31">
        <f t="shared" si="230"/>
        <v>5.5185967345266782</v>
      </c>
      <c r="AM129" s="31">
        <f t="shared" si="242"/>
        <v>12.46886920531766</v>
      </c>
      <c r="AS129" s="18" t="str">
        <f t="shared" si="243"/>
        <v xml:space="preserve"> 51 Skilled agricultural and related trades</v>
      </c>
      <c r="AT129" s="31">
        <f t="shared" si="231"/>
        <v>10.988791079696696</v>
      </c>
      <c r="AU129" s="31">
        <f t="shared" si="231"/>
        <v>2.1752697851646907</v>
      </c>
      <c r="AV129" s="31">
        <f t="shared" si="231"/>
        <v>8.242931216011776</v>
      </c>
      <c r="AW129" s="31">
        <f t="shared" si="231"/>
        <v>7.5833024325123262</v>
      </c>
      <c r="AX129" s="31">
        <f t="shared" si="244"/>
        <v>15.826233648524102</v>
      </c>
      <c r="BD129" s="18" t="str">
        <f t="shared" si="245"/>
        <v xml:space="preserve"> 51 Skilled agricultural and related trades</v>
      </c>
      <c r="BE129" s="31">
        <f t="shared" si="232"/>
        <v>-2.3544394650520601</v>
      </c>
      <c r="BF129" s="31">
        <f t="shared" si="232"/>
        <v>-2.1660672613697258</v>
      </c>
      <c r="BG129" s="31">
        <f t="shared" si="232"/>
        <v>-5.6008293608888238</v>
      </c>
      <c r="BH129" s="31">
        <f t="shared" si="232"/>
        <v>-0.60992717550421105</v>
      </c>
      <c r="BI129" s="31">
        <f t="shared" si="246"/>
        <v>-6.2107565363930348</v>
      </c>
      <c r="BO129" s="18" t="str">
        <f t="shared" si="247"/>
        <v xml:space="preserve"> 51 Skilled agricultural and related trades</v>
      </c>
      <c r="BP129" s="31">
        <f t="shared" si="233"/>
        <v>14.070132724205152</v>
      </c>
      <c r="BQ129" s="31">
        <f t="shared" si="233"/>
        <v>-4.2009831952233299</v>
      </c>
      <c r="BR129" s="31">
        <f t="shared" si="233"/>
        <v>-5.6806015996370576</v>
      </c>
      <c r="BS129" s="31">
        <f t="shared" si="233"/>
        <v>1.3039080268014658</v>
      </c>
      <c r="BT129" s="31">
        <f t="shared" si="248"/>
        <v>-4.3766935728355918</v>
      </c>
      <c r="BZ129" s="18" t="str">
        <f t="shared" si="249"/>
        <v xml:space="preserve"> 51 Skilled agricultural and related trades</v>
      </c>
      <c r="CA129" s="83">
        <f t="shared" si="234"/>
        <v>0.90150863874490028</v>
      </c>
      <c r="CB129" s="83">
        <f t="shared" si="234"/>
        <v>-3.9756343748691023</v>
      </c>
      <c r="CC129" s="83">
        <f t="shared" si="234"/>
        <v>-9.4130625166278676</v>
      </c>
      <c r="CD129" s="83">
        <f t="shared" si="234"/>
        <v>-3.9001739761884906</v>
      </c>
      <c r="CE129" s="83">
        <f t="shared" si="250"/>
        <v>-13.313236492816358</v>
      </c>
      <c r="CF129" s="286"/>
      <c r="CK129" s="18" t="str">
        <f t="shared" si="251"/>
        <v xml:space="preserve"> 51 Skilled agricultural and related trades</v>
      </c>
      <c r="CL129" s="83">
        <f t="shared" si="235"/>
        <v>-5.918480376719188</v>
      </c>
      <c r="CM129" s="83">
        <f t="shared" si="235"/>
        <v>-6.2892400214219535</v>
      </c>
      <c r="CN129" s="83">
        <f t="shared" si="235"/>
        <v>-12.83096848920497</v>
      </c>
      <c r="CO129" s="83">
        <f t="shared" si="235"/>
        <v>-8.6114849011434131</v>
      </c>
      <c r="CP129" s="83">
        <f t="shared" si="252"/>
        <v>-21.442453390348383</v>
      </c>
    </row>
    <row r="130" spans="1:94" x14ac:dyDescent="0.25">
      <c r="A130" s="18" t="str">
        <f t="shared" si="226"/>
        <v xml:space="preserve"> 52 Skilled metal, electrical and electronic trades</v>
      </c>
      <c r="B130" s="31">
        <f t="shared" si="227"/>
        <v>0.34872546726255038</v>
      </c>
      <c r="C130" s="31">
        <f t="shared" si="227"/>
        <v>0.29847226622184797</v>
      </c>
      <c r="D130" s="31">
        <f t="shared" si="227"/>
        <v>0.32964167579050918</v>
      </c>
      <c r="E130" s="31">
        <f t="shared" si="227"/>
        <v>0.45226103397038608</v>
      </c>
      <c r="F130" s="31">
        <f t="shared" si="236"/>
        <v>0.78190270976089526</v>
      </c>
      <c r="L130" s="18" t="str">
        <f t="shared" si="237"/>
        <v xml:space="preserve"> 52 Skilled metal, electrical and electronic trades</v>
      </c>
      <c r="M130" s="31">
        <f t="shared" si="228"/>
        <v>10.410634040654074</v>
      </c>
      <c r="N130" s="31">
        <f t="shared" si="228"/>
        <v>7.0148864251369716</v>
      </c>
      <c r="O130" s="31">
        <f t="shared" si="228"/>
        <v>3.9544453713237999</v>
      </c>
      <c r="P130" s="31">
        <f t="shared" si="228"/>
        <v>4.407149634642856</v>
      </c>
      <c r="Q130" s="31">
        <f t="shared" si="238"/>
        <v>8.3615950059666559</v>
      </c>
      <c r="W130" s="18" t="str">
        <f t="shared" si="239"/>
        <v xml:space="preserve"> 52 Skilled metal, electrical and electronic trades</v>
      </c>
      <c r="X130" s="31">
        <f t="shared" si="229"/>
        <v>15.825770824127957</v>
      </c>
      <c r="Y130" s="31">
        <f t="shared" si="229"/>
        <v>7.6971497105983673</v>
      </c>
      <c r="Z130" s="31">
        <f t="shared" si="229"/>
        <v>17.908079595099323</v>
      </c>
      <c r="AA130" s="31">
        <f t="shared" si="229"/>
        <v>11.345534829018334</v>
      </c>
      <c r="AB130" s="31">
        <f t="shared" si="240"/>
        <v>29.253614424117657</v>
      </c>
      <c r="AH130" s="18" t="str">
        <f t="shared" si="241"/>
        <v xml:space="preserve"> 52 Skilled metal, electrical and electronic trades</v>
      </c>
      <c r="AI130" s="31">
        <f t="shared" si="230"/>
        <v>8.1966091033225048</v>
      </c>
      <c r="AJ130" s="31">
        <f t="shared" si="230"/>
        <v>1.3627457247800834</v>
      </c>
      <c r="AK130" s="31">
        <f t="shared" si="230"/>
        <v>5.2310330571050905</v>
      </c>
      <c r="AL130" s="31">
        <f t="shared" si="230"/>
        <v>3.0304430351801024</v>
      </c>
      <c r="AM130" s="31">
        <f t="shared" si="242"/>
        <v>8.2614760922851929</v>
      </c>
      <c r="AS130" s="18" t="str">
        <f t="shared" si="243"/>
        <v xml:space="preserve"> 52 Skilled metal, electrical and electronic trades</v>
      </c>
      <c r="AT130" s="31">
        <f t="shared" si="231"/>
        <v>8.0351342532823367</v>
      </c>
      <c r="AU130" s="31">
        <f t="shared" si="231"/>
        <v>3.6075865405845065</v>
      </c>
      <c r="AV130" s="31">
        <f t="shared" si="231"/>
        <v>18.48273088839764</v>
      </c>
      <c r="AW130" s="31">
        <f t="shared" si="231"/>
        <v>10.841843519742454</v>
      </c>
      <c r="AX130" s="31">
        <f t="shared" si="244"/>
        <v>29.324574408140094</v>
      </c>
      <c r="BD130" s="18" t="str">
        <f t="shared" si="245"/>
        <v xml:space="preserve"> 52 Skilled metal, electrical and electronic trades</v>
      </c>
      <c r="BE130" s="31">
        <f t="shared" si="232"/>
        <v>-43.201333727832662</v>
      </c>
      <c r="BF130" s="31">
        <f t="shared" si="232"/>
        <v>29.825198774856744</v>
      </c>
      <c r="BG130" s="31">
        <f t="shared" si="232"/>
        <v>-64.872768115220367</v>
      </c>
      <c r="BH130" s="31">
        <f t="shared" si="232"/>
        <v>-35.305996795513181</v>
      </c>
      <c r="BI130" s="31">
        <f t="shared" si="246"/>
        <v>-100.17876491073355</v>
      </c>
      <c r="BO130" s="18" t="str">
        <f t="shared" si="247"/>
        <v xml:space="preserve"> 52 Skilled metal, electrical and electronic trades</v>
      </c>
      <c r="BP130" s="31">
        <f t="shared" si="233"/>
        <v>2.1933805967585158</v>
      </c>
      <c r="BQ130" s="31">
        <f t="shared" si="233"/>
        <v>-13.821974349455161</v>
      </c>
      <c r="BR130" s="31">
        <f t="shared" si="233"/>
        <v>-44.24487172400805</v>
      </c>
      <c r="BS130" s="31">
        <f t="shared" si="233"/>
        <v>-31.46111552337635</v>
      </c>
      <c r="BT130" s="31">
        <f t="shared" si="248"/>
        <v>-75.7059872473844</v>
      </c>
      <c r="BZ130" s="18" t="str">
        <f t="shared" si="249"/>
        <v xml:space="preserve"> 52 Skilled metal, electrical and electronic trades</v>
      </c>
      <c r="CA130" s="83">
        <f t="shared" si="234"/>
        <v>-46.577486789020384</v>
      </c>
      <c r="CB130" s="83">
        <f t="shared" si="234"/>
        <v>-6.5603618564830697</v>
      </c>
      <c r="CC130" s="83">
        <f t="shared" si="234"/>
        <v>-29.36099429074315</v>
      </c>
      <c r="CD130" s="83">
        <f t="shared" si="234"/>
        <v>-25.561638422881416</v>
      </c>
      <c r="CE130" s="83">
        <f t="shared" si="250"/>
        <v>-54.922632713624566</v>
      </c>
      <c r="CF130" s="286"/>
      <c r="CK130" s="18" t="str">
        <f t="shared" si="251"/>
        <v xml:space="preserve"> 52 Skilled metal, electrical and electronic trades</v>
      </c>
      <c r="CL130" s="83">
        <f t="shared" si="235"/>
        <v>-27.258288110965132</v>
      </c>
      <c r="CM130" s="83">
        <f t="shared" si="235"/>
        <v>-8.5490392779974016</v>
      </c>
      <c r="CN130" s="83">
        <f t="shared" si="235"/>
        <v>-17.234407721006953</v>
      </c>
      <c r="CO130" s="83">
        <f t="shared" si="235"/>
        <v>-12.173392874485771</v>
      </c>
      <c r="CP130" s="83">
        <f t="shared" si="252"/>
        <v>-29.407800595492724</v>
      </c>
    </row>
    <row r="131" spans="1:94" x14ac:dyDescent="0.25">
      <c r="A131" s="18" t="str">
        <f t="shared" si="226"/>
        <v xml:space="preserve"> 53 Skilled construction and building trades</v>
      </c>
      <c r="B131" s="31">
        <f t="shared" si="227"/>
        <v>0.18198191486801329</v>
      </c>
      <c r="C131" s="31">
        <f t="shared" si="227"/>
        <v>0.11551216625773414</v>
      </c>
      <c r="D131" s="31">
        <f t="shared" si="227"/>
        <v>9.637594716255582E-2</v>
      </c>
      <c r="E131" s="31">
        <f t="shared" si="227"/>
        <v>8.4238311651731013E-2</v>
      </c>
      <c r="F131" s="31">
        <f t="shared" si="236"/>
        <v>0.18061425881428683</v>
      </c>
      <c r="L131" s="18" t="str">
        <f t="shared" si="237"/>
        <v xml:space="preserve"> 53 Skilled construction and building trades</v>
      </c>
      <c r="M131" s="31">
        <f t="shared" si="228"/>
        <v>-4.4387181814231376</v>
      </c>
      <c r="N131" s="31">
        <f t="shared" si="228"/>
        <v>4.8836591544677184</v>
      </c>
      <c r="O131" s="31">
        <f t="shared" si="228"/>
        <v>5.4230429171875301</v>
      </c>
      <c r="P131" s="31">
        <f t="shared" si="228"/>
        <v>4.6389108224820532</v>
      </c>
      <c r="Q131" s="31">
        <f t="shared" si="238"/>
        <v>10.061953739669583</v>
      </c>
      <c r="W131" s="18" t="str">
        <f t="shared" si="239"/>
        <v xml:space="preserve"> 53 Skilled construction and building trades</v>
      </c>
      <c r="X131" s="31">
        <f t="shared" si="229"/>
        <v>4.4728290164775864</v>
      </c>
      <c r="Y131" s="31">
        <f t="shared" si="229"/>
        <v>4.7390972169000491</v>
      </c>
      <c r="Z131" s="31">
        <f t="shared" si="229"/>
        <v>17.089073853137684</v>
      </c>
      <c r="AA131" s="31">
        <f t="shared" si="229"/>
        <v>9.301551907853451</v>
      </c>
      <c r="AB131" s="31">
        <f t="shared" si="240"/>
        <v>26.390625760991135</v>
      </c>
      <c r="AH131" s="18" t="str">
        <f t="shared" si="241"/>
        <v xml:space="preserve"> 53 Skilled construction and building trades</v>
      </c>
      <c r="AI131" s="31">
        <f t="shared" si="230"/>
        <v>3.5151699104815428</v>
      </c>
      <c r="AJ131" s="31">
        <f t="shared" si="230"/>
        <v>4.886803674285467</v>
      </c>
      <c r="AK131" s="31">
        <f t="shared" si="230"/>
        <v>12.873490694248858</v>
      </c>
      <c r="AL131" s="31">
        <f t="shared" si="230"/>
        <v>6.4205488743087429</v>
      </c>
      <c r="AM131" s="31">
        <f t="shared" si="242"/>
        <v>19.294039568557601</v>
      </c>
      <c r="AS131" s="18" t="str">
        <f t="shared" si="243"/>
        <v xml:space="preserve"> 53 Skilled construction and building trades</v>
      </c>
      <c r="AT131" s="31">
        <f t="shared" si="231"/>
        <v>0.23571557187361236</v>
      </c>
      <c r="AU131" s="31">
        <f t="shared" si="231"/>
        <v>4.3795996417429492</v>
      </c>
      <c r="AV131" s="31">
        <f t="shared" si="231"/>
        <v>16.254187844948639</v>
      </c>
      <c r="AW131" s="31">
        <f t="shared" si="231"/>
        <v>7.4769827718424793</v>
      </c>
      <c r="AX131" s="31">
        <f t="shared" si="244"/>
        <v>23.731170616791118</v>
      </c>
      <c r="BD131" s="18" t="str">
        <f t="shared" si="245"/>
        <v xml:space="preserve"> 53 Skilled construction and building trades</v>
      </c>
      <c r="BE131" s="31">
        <f t="shared" si="232"/>
        <v>-58.52390136492329</v>
      </c>
      <c r="BF131" s="31">
        <f t="shared" si="232"/>
        <v>22.914649334341107</v>
      </c>
      <c r="BG131" s="31">
        <f t="shared" si="232"/>
        <v>-19.885426579482385</v>
      </c>
      <c r="BH131" s="31">
        <f t="shared" si="232"/>
        <v>-16.889477949121556</v>
      </c>
      <c r="BI131" s="31">
        <f t="shared" si="246"/>
        <v>-36.77490452860394</v>
      </c>
      <c r="BO131" s="18" t="str">
        <f t="shared" si="247"/>
        <v xml:space="preserve"> 53 Skilled construction and building trades</v>
      </c>
      <c r="BP131" s="31">
        <f t="shared" si="233"/>
        <v>-6.501044194241274</v>
      </c>
      <c r="BQ131" s="31">
        <f t="shared" si="233"/>
        <v>30.050076106822303</v>
      </c>
      <c r="BR131" s="31">
        <f t="shared" si="233"/>
        <v>15.225769004935557</v>
      </c>
      <c r="BS131" s="31">
        <f t="shared" si="233"/>
        <v>9.2329268303351455</v>
      </c>
      <c r="BT131" s="31">
        <f t="shared" si="248"/>
        <v>24.458695835270703</v>
      </c>
      <c r="BZ131" s="18" t="str">
        <f t="shared" si="249"/>
        <v xml:space="preserve"> 53 Skilled construction and building trades</v>
      </c>
      <c r="CA131" s="83">
        <f t="shared" si="234"/>
        <v>-21.940671366769806</v>
      </c>
      <c r="CB131" s="83">
        <f t="shared" si="234"/>
        <v>8.982313003368688</v>
      </c>
      <c r="CC131" s="83">
        <f t="shared" si="234"/>
        <v>-9.0657860220725865</v>
      </c>
      <c r="CD131" s="83">
        <f t="shared" si="234"/>
        <v>-11.585137101084626</v>
      </c>
      <c r="CE131" s="83">
        <f t="shared" si="250"/>
        <v>-20.650923123157213</v>
      </c>
      <c r="CF131" s="286"/>
      <c r="CK131" s="18" t="str">
        <f t="shared" si="251"/>
        <v xml:space="preserve"> 53 Skilled construction and building trades</v>
      </c>
      <c r="CL131" s="83">
        <f t="shared" si="235"/>
        <v>-53.841457315858193</v>
      </c>
      <c r="CM131" s="83">
        <f t="shared" si="235"/>
        <v>-9.0339253460321913</v>
      </c>
      <c r="CN131" s="83">
        <f t="shared" si="235"/>
        <v>-23.455236640519828</v>
      </c>
      <c r="CO131" s="83">
        <f t="shared" si="235"/>
        <v>-28.463237348371415</v>
      </c>
      <c r="CP131" s="83">
        <f t="shared" si="252"/>
        <v>-51.918473988891243</v>
      </c>
    </row>
    <row r="132" spans="1:94" x14ac:dyDescent="0.25">
      <c r="A132" s="18" t="str">
        <f t="shared" si="226"/>
        <v xml:space="preserve"> 54 Textiles, printing and other skilled trades</v>
      </c>
      <c r="B132" s="31">
        <f t="shared" si="227"/>
        <v>1.7905414865941458</v>
      </c>
      <c r="C132" s="31">
        <f t="shared" si="227"/>
        <v>0.67805716352203094</v>
      </c>
      <c r="D132" s="31">
        <f t="shared" si="227"/>
        <v>0.60290981002916544</v>
      </c>
      <c r="E132" s="31">
        <f t="shared" si="227"/>
        <v>0.58011617405112581</v>
      </c>
      <c r="F132" s="31">
        <f t="shared" si="236"/>
        <v>1.1830259840802912</v>
      </c>
      <c r="L132" s="18" t="str">
        <f t="shared" si="237"/>
        <v xml:space="preserve"> 54 Textiles, printing and other skilled trades</v>
      </c>
      <c r="M132" s="31">
        <f t="shared" si="228"/>
        <v>3.7831325595273029</v>
      </c>
      <c r="N132" s="31">
        <f t="shared" si="228"/>
        <v>7.1333144277330192</v>
      </c>
      <c r="O132" s="31">
        <f t="shared" si="228"/>
        <v>5.6209945759514959</v>
      </c>
      <c r="P132" s="31">
        <f t="shared" si="228"/>
        <v>4.6755939343996999</v>
      </c>
      <c r="Q132" s="31">
        <f t="shared" si="238"/>
        <v>10.296588510351196</v>
      </c>
      <c r="W132" s="18" t="str">
        <f t="shared" si="239"/>
        <v xml:space="preserve"> 54 Textiles, printing and other skilled trades</v>
      </c>
      <c r="X132" s="31">
        <f t="shared" si="229"/>
        <v>16.181369147868651</v>
      </c>
      <c r="Y132" s="31">
        <f t="shared" si="229"/>
        <v>4.6643274699878248</v>
      </c>
      <c r="Z132" s="31">
        <f t="shared" si="229"/>
        <v>19.403699995384173</v>
      </c>
      <c r="AA132" s="31">
        <f t="shared" si="229"/>
        <v>11.392543965354065</v>
      </c>
      <c r="AB132" s="31">
        <f t="shared" si="240"/>
        <v>30.796243960738238</v>
      </c>
      <c r="AH132" s="18" t="str">
        <f t="shared" si="241"/>
        <v xml:space="preserve"> 54 Textiles, printing and other skilled trades</v>
      </c>
      <c r="AI132" s="31">
        <f t="shared" si="230"/>
        <v>-0.45189364653452913</v>
      </c>
      <c r="AJ132" s="31">
        <f t="shared" si="230"/>
        <v>-0.43583026135468117</v>
      </c>
      <c r="AK132" s="31">
        <f t="shared" si="230"/>
        <v>3.9425622319456721</v>
      </c>
      <c r="AL132" s="31">
        <f t="shared" si="230"/>
        <v>1.8967066016079634</v>
      </c>
      <c r="AM132" s="31">
        <f t="shared" si="242"/>
        <v>5.8392688335536356</v>
      </c>
      <c r="AS132" s="18" t="str">
        <f t="shared" si="243"/>
        <v xml:space="preserve"> 54 Textiles, printing and other skilled trades</v>
      </c>
      <c r="AT132" s="31">
        <f t="shared" si="231"/>
        <v>3.8941009910380728</v>
      </c>
      <c r="AU132" s="31">
        <f t="shared" si="231"/>
        <v>6.1658290741632982E-2</v>
      </c>
      <c r="AV132" s="31">
        <f t="shared" si="231"/>
        <v>5.9565812007561405</v>
      </c>
      <c r="AW132" s="31">
        <f t="shared" si="231"/>
        <v>3.1250063492795661</v>
      </c>
      <c r="AX132" s="31">
        <f t="shared" si="244"/>
        <v>9.0815875500357066</v>
      </c>
      <c r="BD132" s="18" t="str">
        <f t="shared" si="245"/>
        <v xml:space="preserve"> 54 Textiles, printing and other skilled trades</v>
      </c>
      <c r="BE132" s="31">
        <f t="shared" si="232"/>
        <v>-12.805816821426049</v>
      </c>
      <c r="BF132" s="31">
        <f t="shared" si="232"/>
        <v>5.0277220535624281</v>
      </c>
      <c r="BG132" s="31">
        <f t="shared" si="232"/>
        <v>-9.8780214838672578</v>
      </c>
      <c r="BH132" s="31">
        <f t="shared" si="232"/>
        <v>-5.5954922652099697</v>
      </c>
      <c r="BI132" s="31">
        <f t="shared" si="246"/>
        <v>-15.473513749077227</v>
      </c>
      <c r="BO132" s="18" t="str">
        <f t="shared" si="247"/>
        <v xml:space="preserve"> 54 Textiles, printing and other skilled trades</v>
      </c>
      <c r="BP132" s="31">
        <f t="shared" si="233"/>
        <v>1.6886664305372108</v>
      </c>
      <c r="BQ132" s="31">
        <f t="shared" si="233"/>
        <v>-22.925552599840159</v>
      </c>
      <c r="BR132" s="31">
        <f t="shared" si="233"/>
        <v>-36.030234859925798</v>
      </c>
      <c r="BS132" s="31">
        <f t="shared" si="233"/>
        <v>-34.616577299490032</v>
      </c>
      <c r="BT132" s="31">
        <f t="shared" si="248"/>
        <v>-70.64681215941583</v>
      </c>
      <c r="BZ132" s="18" t="str">
        <f t="shared" si="249"/>
        <v xml:space="preserve"> 54 Textiles, printing and other skilled trades</v>
      </c>
      <c r="CA132" s="83">
        <f t="shared" si="234"/>
        <v>-25.405721976286827</v>
      </c>
      <c r="CB132" s="83">
        <f t="shared" si="234"/>
        <v>0.13308916650439073</v>
      </c>
      <c r="CC132" s="83">
        <f t="shared" si="234"/>
        <v>-31.448017369775158</v>
      </c>
      <c r="CD132" s="83">
        <f t="shared" si="234"/>
        <v>-21.308369760012297</v>
      </c>
      <c r="CE132" s="83">
        <f t="shared" si="250"/>
        <v>-52.756387129787456</v>
      </c>
      <c r="CF132" s="286"/>
      <c r="CK132" s="18" t="str">
        <f t="shared" si="251"/>
        <v xml:space="preserve"> 54 Textiles, printing and other skilled trades</v>
      </c>
      <c r="CL132" s="83">
        <f t="shared" si="235"/>
        <v>-36.95502768830741</v>
      </c>
      <c r="CM132" s="83">
        <f t="shared" si="235"/>
        <v>-9.1260641785034693</v>
      </c>
      <c r="CN132" s="83">
        <f t="shared" si="235"/>
        <v>-21.005671126221642</v>
      </c>
      <c r="CO132" s="83">
        <f t="shared" si="235"/>
        <v>-19.973338964945352</v>
      </c>
      <c r="CP132" s="83">
        <f t="shared" si="252"/>
        <v>-40.979010091166998</v>
      </c>
    </row>
    <row r="133" spans="1:94" x14ac:dyDescent="0.25">
      <c r="A133" s="18" t="str">
        <f t="shared" si="226"/>
        <v xml:space="preserve"> 61 Caring personal service occupations</v>
      </c>
      <c r="B133" s="31">
        <f t="shared" si="227"/>
        <v>-0.45437416332423997</v>
      </c>
      <c r="C133" s="31">
        <f t="shared" si="227"/>
        <v>0.81980953900733966</v>
      </c>
      <c r="D133" s="31">
        <f t="shared" si="227"/>
        <v>0.67334746330308271</v>
      </c>
      <c r="E133" s="31">
        <f t="shared" si="227"/>
        <v>0.68399966564181591</v>
      </c>
      <c r="F133" s="31">
        <f t="shared" si="236"/>
        <v>1.3573471289448986</v>
      </c>
      <c r="L133" s="18" t="str">
        <f t="shared" si="237"/>
        <v xml:space="preserve"> 61 Caring personal service occupations</v>
      </c>
      <c r="M133" s="31">
        <f t="shared" si="228"/>
        <v>14.923977043650687</v>
      </c>
      <c r="N133" s="31">
        <f t="shared" si="228"/>
        <v>43.237739248930481</v>
      </c>
      <c r="O133" s="31">
        <f t="shared" si="228"/>
        <v>34.889897454026212</v>
      </c>
      <c r="P133" s="31">
        <f t="shared" si="228"/>
        <v>34.483112760106053</v>
      </c>
      <c r="Q133" s="31">
        <f t="shared" si="238"/>
        <v>69.373010214132265</v>
      </c>
      <c r="W133" s="18" t="str">
        <f t="shared" si="239"/>
        <v xml:space="preserve"> 61 Caring personal service occupations</v>
      </c>
      <c r="X133" s="31">
        <f t="shared" si="229"/>
        <v>71.364477623941951</v>
      </c>
      <c r="Y133" s="31">
        <f t="shared" si="229"/>
        <v>82.788631833801958</v>
      </c>
      <c r="Z133" s="31">
        <f t="shared" si="229"/>
        <v>112.03813314745781</v>
      </c>
      <c r="AA133" s="31">
        <f t="shared" si="229"/>
        <v>73.660375118917045</v>
      </c>
      <c r="AB133" s="31">
        <f t="shared" si="240"/>
        <v>185.69850826637486</v>
      </c>
      <c r="AH133" s="18" t="str">
        <f t="shared" si="241"/>
        <v xml:space="preserve"> 61 Caring personal service occupations</v>
      </c>
      <c r="AI133" s="31">
        <f t="shared" si="230"/>
        <v>52.187072578699286</v>
      </c>
      <c r="AJ133" s="31">
        <f t="shared" si="230"/>
        <v>38.918236045869719</v>
      </c>
      <c r="AK133" s="31">
        <f t="shared" si="230"/>
        <v>47.766268118753885</v>
      </c>
      <c r="AL133" s="31">
        <f t="shared" si="230"/>
        <v>30.749690879750688</v>
      </c>
      <c r="AM133" s="31">
        <f t="shared" si="242"/>
        <v>78.515958998504573</v>
      </c>
      <c r="AS133" s="18" t="str">
        <f t="shared" si="243"/>
        <v xml:space="preserve"> 61 Caring personal service occupations</v>
      </c>
      <c r="AT133" s="31">
        <f t="shared" si="231"/>
        <v>37.167926423566044</v>
      </c>
      <c r="AU133" s="31">
        <f t="shared" si="231"/>
        <v>27.378080806261721</v>
      </c>
      <c r="AV133" s="31">
        <f t="shared" si="231"/>
        <v>39.121962700393453</v>
      </c>
      <c r="AW133" s="31">
        <f t="shared" si="231"/>
        <v>23.922796758984703</v>
      </c>
      <c r="AX133" s="31">
        <f t="shared" si="244"/>
        <v>63.044759459378156</v>
      </c>
      <c r="BD133" s="18" t="str">
        <f t="shared" si="245"/>
        <v xml:space="preserve"> 61 Caring personal service occupations</v>
      </c>
      <c r="BE133" s="31">
        <f t="shared" si="232"/>
        <v>173.78321044785321</v>
      </c>
      <c r="BF133" s="31">
        <f t="shared" si="232"/>
        <v>224.40820436252739</v>
      </c>
      <c r="BG133" s="31">
        <f t="shared" si="232"/>
        <v>84.51593211575323</v>
      </c>
      <c r="BH133" s="31">
        <f t="shared" si="232"/>
        <v>120.55185743430411</v>
      </c>
      <c r="BI133" s="31">
        <f t="shared" si="246"/>
        <v>205.06778955005734</v>
      </c>
      <c r="BO133" s="18" t="str">
        <f t="shared" si="247"/>
        <v xml:space="preserve"> 61 Caring personal service occupations</v>
      </c>
      <c r="BP133" s="31">
        <f t="shared" si="233"/>
        <v>51.747323813467233</v>
      </c>
      <c r="BQ133" s="31">
        <f t="shared" si="233"/>
        <v>72.678542224279681</v>
      </c>
      <c r="BR133" s="31">
        <f t="shared" si="233"/>
        <v>-32.147214656755523</v>
      </c>
      <c r="BS133" s="31">
        <f t="shared" si="233"/>
        <v>-4.0100509879548554</v>
      </c>
      <c r="BT133" s="31">
        <f t="shared" si="248"/>
        <v>-36.157265644710378</v>
      </c>
      <c r="BZ133" s="18" t="str">
        <f t="shared" si="249"/>
        <v xml:space="preserve"> 61 Caring personal service occupations</v>
      </c>
      <c r="CA133" s="83">
        <f t="shared" si="234"/>
        <v>-108.74923483986194</v>
      </c>
      <c r="CB133" s="83">
        <f t="shared" si="234"/>
        <v>-71.4013618275022</v>
      </c>
      <c r="CC133" s="83">
        <f t="shared" si="234"/>
        <v>-72.354986250477396</v>
      </c>
      <c r="CD133" s="83">
        <f t="shared" si="234"/>
        <v>-15.639723112241427</v>
      </c>
      <c r="CE133" s="83">
        <f t="shared" si="250"/>
        <v>-87.994709362718822</v>
      </c>
      <c r="CF133" s="286"/>
      <c r="CK133" s="18" t="str">
        <f t="shared" si="251"/>
        <v xml:space="preserve"> 61 Caring personal service occupations</v>
      </c>
      <c r="CL133" s="83">
        <f t="shared" si="235"/>
        <v>-64.009877612655046</v>
      </c>
      <c r="CM133" s="83">
        <f t="shared" si="235"/>
        <v>-28.656464743258194</v>
      </c>
      <c r="CN133" s="83">
        <f t="shared" si="235"/>
        <v>-5.5514661078300236</v>
      </c>
      <c r="CO133" s="83">
        <f t="shared" si="235"/>
        <v>4.7077116960722591</v>
      </c>
      <c r="CP133" s="83">
        <f t="shared" si="252"/>
        <v>-0.84375441175776444</v>
      </c>
    </row>
    <row r="134" spans="1:94" x14ac:dyDescent="0.25">
      <c r="A134" s="18" t="str">
        <f t="shared" si="226"/>
        <v xml:space="preserve"> 62 Leisure, travel and related personal service occupations</v>
      </c>
      <c r="B134" s="31">
        <f t="shared" si="227"/>
        <v>0.43338724033283815</v>
      </c>
      <c r="C134" s="31">
        <f t="shared" si="227"/>
        <v>0.26818146215458694</v>
      </c>
      <c r="D134" s="31">
        <f t="shared" si="227"/>
        <v>0.19524698441219301</v>
      </c>
      <c r="E134" s="31">
        <f t="shared" si="227"/>
        <v>0.13606288359868524</v>
      </c>
      <c r="F134" s="31">
        <f t="shared" si="236"/>
        <v>0.33130986801087825</v>
      </c>
      <c r="L134" s="18" t="str">
        <f t="shared" si="237"/>
        <v xml:space="preserve"> 62 Leisure, travel and related personal service occupations</v>
      </c>
      <c r="M134" s="31">
        <f t="shared" si="228"/>
        <v>5.3598714281003526</v>
      </c>
      <c r="N134" s="31">
        <f t="shared" si="228"/>
        <v>5.062817866689203</v>
      </c>
      <c r="O134" s="31">
        <f t="shared" si="228"/>
        <v>3.5622676911063458</v>
      </c>
      <c r="P134" s="31">
        <f t="shared" si="228"/>
        <v>2.9238732406617238</v>
      </c>
      <c r="Q134" s="31">
        <f t="shared" si="238"/>
        <v>6.4861409317680696</v>
      </c>
      <c r="W134" s="18" t="str">
        <f t="shared" si="239"/>
        <v xml:space="preserve"> 62 Leisure, travel and related personal service occupations</v>
      </c>
      <c r="X134" s="31">
        <f t="shared" si="229"/>
        <v>22.242634394910233</v>
      </c>
      <c r="Y134" s="31">
        <f t="shared" si="229"/>
        <v>14.265353890913751</v>
      </c>
      <c r="Z134" s="31">
        <f t="shared" si="229"/>
        <v>23.324196599507175</v>
      </c>
      <c r="AA134" s="31">
        <f t="shared" si="229"/>
        <v>14.791013929021346</v>
      </c>
      <c r="AB134" s="31">
        <f t="shared" si="240"/>
        <v>38.115210528528522</v>
      </c>
      <c r="AH134" s="18" t="str">
        <f t="shared" si="241"/>
        <v xml:space="preserve"> 62 Leisure, travel and related personal service occupations</v>
      </c>
      <c r="AI134" s="31">
        <f t="shared" si="230"/>
        <v>10.36497134987841</v>
      </c>
      <c r="AJ134" s="31">
        <f t="shared" si="230"/>
        <v>9.1314083113330611</v>
      </c>
      <c r="AK134" s="31">
        <f t="shared" si="230"/>
        <v>14.60775116502051</v>
      </c>
      <c r="AL134" s="31">
        <f t="shared" si="230"/>
        <v>8.9899610456826764</v>
      </c>
      <c r="AM134" s="31">
        <f t="shared" si="242"/>
        <v>23.597712210703186</v>
      </c>
      <c r="AS134" s="18" t="str">
        <f t="shared" si="243"/>
        <v xml:space="preserve"> 62 Leisure, travel and related personal service occupations</v>
      </c>
      <c r="AT134" s="31">
        <f t="shared" si="231"/>
        <v>14.667157040473978</v>
      </c>
      <c r="AU134" s="31">
        <f t="shared" si="231"/>
        <v>13.965487049935049</v>
      </c>
      <c r="AV134" s="31">
        <f t="shared" si="231"/>
        <v>22.493133024858821</v>
      </c>
      <c r="AW134" s="31">
        <f t="shared" si="231"/>
        <v>14.001032263581351</v>
      </c>
      <c r="AX134" s="31">
        <f t="shared" si="244"/>
        <v>36.494165288440172</v>
      </c>
      <c r="BD134" s="18" t="str">
        <f t="shared" si="245"/>
        <v xml:space="preserve"> 62 Leisure, travel and related personal service occupations</v>
      </c>
      <c r="BE134" s="31">
        <f t="shared" si="232"/>
        <v>20.239509486542232</v>
      </c>
      <c r="BF134" s="31">
        <f t="shared" si="232"/>
        <v>16.477117130075072</v>
      </c>
      <c r="BG134" s="31">
        <f t="shared" si="232"/>
        <v>-13.419799992429489</v>
      </c>
      <c r="BH134" s="31">
        <f t="shared" si="232"/>
        <v>-10.227374504591012</v>
      </c>
      <c r="BI134" s="31">
        <f t="shared" si="246"/>
        <v>-23.647174497020501</v>
      </c>
      <c r="BO134" s="18" t="str">
        <f t="shared" si="247"/>
        <v xml:space="preserve"> 62 Leisure, travel and related personal service occupations</v>
      </c>
      <c r="BP134" s="31">
        <f t="shared" si="233"/>
        <v>-36.717394760597841</v>
      </c>
      <c r="BQ134" s="31">
        <f t="shared" si="233"/>
        <v>-0.17209536115922219</v>
      </c>
      <c r="BR134" s="31">
        <f t="shared" si="233"/>
        <v>-21.26369648956188</v>
      </c>
      <c r="BS134" s="31">
        <f t="shared" si="233"/>
        <v>-20.340199776424924</v>
      </c>
      <c r="BT134" s="31">
        <f t="shared" si="248"/>
        <v>-41.603896265986805</v>
      </c>
      <c r="BZ134" s="18" t="str">
        <f t="shared" si="249"/>
        <v xml:space="preserve"> 62 Leisure, travel and related personal service occupations</v>
      </c>
      <c r="CA134" s="83">
        <f t="shared" si="234"/>
        <v>-1.5137750365104523</v>
      </c>
      <c r="CB134" s="83">
        <f t="shared" si="234"/>
        <v>10.414385590595984</v>
      </c>
      <c r="CC134" s="83">
        <f t="shared" si="234"/>
        <v>-20.362927640447793</v>
      </c>
      <c r="CD134" s="83">
        <f t="shared" si="234"/>
        <v>-11.884252264801205</v>
      </c>
      <c r="CE134" s="83">
        <f t="shared" si="250"/>
        <v>-32.247179905248998</v>
      </c>
      <c r="CF134" s="286"/>
      <c r="CK134" s="18" t="str">
        <f t="shared" si="251"/>
        <v xml:space="preserve"> 62 Leisure, travel and related personal service occupations</v>
      </c>
      <c r="CL134" s="83">
        <f t="shared" si="235"/>
        <v>-19.038115139524827</v>
      </c>
      <c r="CM134" s="83">
        <f t="shared" si="235"/>
        <v>-4.0475177465495165</v>
      </c>
      <c r="CN134" s="83">
        <f t="shared" si="235"/>
        <v>-13.617877755463709</v>
      </c>
      <c r="CO134" s="83">
        <f t="shared" si="235"/>
        <v>-6.2469866848018114</v>
      </c>
      <c r="CP134" s="83">
        <f t="shared" si="252"/>
        <v>-19.864864440265521</v>
      </c>
    </row>
    <row r="135" spans="1:94" x14ac:dyDescent="0.25">
      <c r="A135" s="18" t="str">
        <f t="shared" si="226"/>
        <v xml:space="preserve"> 71 Sales occupations</v>
      </c>
      <c r="B135" s="31">
        <f t="shared" si="227"/>
        <v>1.7037620028044016</v>
      </c>
      <c r="C135" s="31">
        <f t="shared" si="227"/>
        <v>1.5012392361155205</v>
      </c>
      <c r="D135" s="31">
        <f t="shared" si="227"/>
        <v>0.88057979167589373</v>
      </c>
      <c r="E135" s="31">
        <f t="shared" si="227"/>
        <v>0.72598912309240493</v>
      </c>
      <c r="F135" s="31">
        <f t="shared" si="236"/>
        <v>1.6065689147682987</v>
      </c>
      <c r="L135" s="18" t="str">
        <f t="shared" si="237"/>
        <v xml:space="preserve"> 71 Sales occupations</v>
      </c>
      <c r="M135" s="31">
        <f t="shared" si="228"/>
        <v>6.3561999524983719</v>
      </c>
      <c r="N135" s="31">
        <f t="shared" si="228"/>
        <v>22.326066468709641</v>
      </c>
      <c r="O135" s="31">
        <f t="shared" si="228"/>
        <v>17.538194289210693</v>
      </c>
      <c r="P135" s="31">
        <f t="shared" si="228"/>
        <v>18.657257853564985</v>
      </c>
      <c r="Q135" s="31">
        <f t="shared" si="238"/>
        <v>36.195452142775679</v>
      </c>
      <c r="W135" s="18" t="str">
        <f t="shared" si="239"/>
        <v xml:space="preserve"> 71 Sales occupations</v>
      </c>
      <c r="X135" s="31">
        <f t="shared" si="229"/>
        <v>92.495391270518638</v>
      </c>
      <c r="Y135" s="31">
        <f t="shared" si="229"/>
        <v>38.754889609916688</v>
      </c>
      <c r="Z135" s="31">
        <f t="shared" si="229"/>
        <v>89.517280868056503</v>
      </c>
      <c r="AA135" s="31">
        <f t="shared" si="229"/>
        <v>64.360577887230022</v>
      </c>
      <c r="AB135" s="31">
        <f t="shared" si="240"/>
        <v>153.87785875528652</v>
      </c>
      <c r="AH135" s="18" t="str">
        <f t="shared" si="241"/>
        <v xml:space="preserve"> 71 Sales occupations</v>
      </c>
      <c r="AI135" s="31">
        <f t="shared" si="230"/>
        <v>20.217308178952138</v>
      </c>
      <c r="AJ135" s="31">
        <f t="shared" si="230"/>
        <v>6.221880606085719</v>
      </c>
      <c r="AK135" s="31">
        <f t="shared" si="230"/>
        <v>21.874442105914028</v>
      </c>
      <c r="AL135" s="31">
        <f t="shared" si="230"/>
        <v>16.026755102752276</v>
      </c>
      <c r="AM135" s="31">
        <f t="shared" si="242"/>
        <v>37.901197208666304</v>
      </c>
      <c r="AS135" s="18" t="str">
        <f t="shared" si="243"/>
        <v xml:space="preserve"> 71 Sales occupations</v>
      </c>
      <c r="AT135" s="31">
        <f t="shared" si="231"/>
        <v>8.8348413577505411</v>
      </c>
      <c r="AU135" s="31">
        <f t="shared" si="231"/>
        <v>-1.4765355264517126</v>
      </c>
      <c r="AV135" s="31">
        <f t="shared" si="231"/>
        <v>11.787879627582058</v>
      </c>
      <c r="AW135" s="31">
        <f t="shared" si="231"/>
        <v>8.8562733640358999</v>
      </c>
      <c r="AX135" s="31">
        <f t="shared" si="244"/>
        <v>20.644152991617958</v>
      </c>
      <c r="BD135" s="18" t="str">
        <f t="shared" si="245"/>
        <v xml:space="preserve"> 71 Sales occupations</v>
      </c>
      <c r="BE135" s="31">
        <f t="shared" si="232"/>
        <v>28.904673105521283</v>
      </c>
      <c r="BF135" s="31">
        <f t="shared" si="232"/>
        <v>32.163275870057532</v>
      </c>
      <c r="BG135" s="31">
        <f t="shared" si="232"/>
        <v>-7.4949005676335219</v>
      </c>
      <c r="BH135" s="31">
        <f t="shared" si="232"/>
        <v>-0.78166957561666095</v>
      </c>
      <c r="BI135" s="31">
        <f t="shared" si="246"/>
        <v>-8.2765701432501828</v>
      </c>
      <c r="BO135" s="18" t="str">
        <f t="shared" si="247"/>
        <v xml:space="preserve"> 71 Sales occupations</v>
      </c>
      <c r="BP135" s="31">
        <f t="shared" si="233"/>
        <v>-56.795268635916955</v>
      </c>
      <c r="BQ135" s="31">
        <f t="shared" si="233"/>
        <v>-48.601436933023251</v>
      </c>
      <c r="BR135" s="31">
        <f t="shared" si="233"/>
        <v>-66.921078733167064</v>
      </c>
      <c r="BS135" s="31">
        <f t="shared" si="233"/>
        <v>-59.831564825631233</v>
      </c>
      <c r="BT135" s="31">
        <f t="shared" si="248"/>
        <v>-126.7526435587983</v>
      </c>
      <c r="BZ135" s="18" t="str">
        <f t="shared" si="249"/>
        <v xml:space="preserve"> 71 Sales occupations</v>
      </c>
      <c r="CA135" s="83">
        <f t="shared" si="234"/>
        <v>-67.670508812917717</v>
      </c>
      <c r="CB135" s="83">
        <f t="shared" si="234"/>
        <v>-15.676425789989651</v>
      </c>
      <c r="CC135" s="83">
        <f t="shared" si="234"/>
        <v>-94.092715946220153</v>
      </c>
      <c r="CD135" s="83">
        <f t="shared" si="234"/>
        <v>-82.948446632889244</v>
      </c>
      <c r="CE135" s="83">
        <f t="shared" si="250"/>
        <v>-177.0411625791094</v>
      </c>
      <c r="CF135" s="286"/>
      <c r="CK135" s="18" t="str">
        <f t="shared" si="251"/>
        <v xml:space="preserve"> 71 Sales occupations</v>
      </c>
      <c r="CL135" s="83">
        <f t="shared" si="235"/>
        <v>-77.661605587479414</v>
      </c>
      <c r="CM135" s="83">
        <f t="shared" si="235"/>
        <v>-26.096088974458894</v>
      </c>
      <c r="CN135" s="83">
        <f t="shared" si="235"/>
        <v>-71.108912532033216</v>
      </c>
      <c r="CO135" s="83">
        <f t="shared" si="235"/>
        <v>-21.283938859967748</v>
      </c>
      <c r="CP135" s="83">
        <f t="shared" si="252"/>
        <v>-92.392851392000964</v>
      </c>
    </row>
    <row r="136" spans="1:94" x14ac:dyDescent="0.25">
      <c r="A136" s="18" t="str">
        <f t="shared" si="226"/>
        <v xml:space="preserve"> 72 Customer service occupations</v>
      </c>
      <c r="B136" s="31">
        <f t="shared" si="227"/>
        <v>0.57858910924699924</v>
      </c>
      <c r="C136" s="31">
        <f t="shared" si="227"/>
        <v>0.9977676482699922</v>
      </c>
      <c r="D136" s="31">
        <f t="shared" si="227"/>
        <v>0.74222927566500019</v>
      </c>
      <c r="E136" s="31">
        <f t="shared" si="227"/>
        <v>0.67769299144571171</v>
      </c>
      <c r="F136" s="31">
        <f t="shared" si="236"/>
        <v>1.4199222671107119</v>
      </c>
      <c r="L136" s="18" t="str">
        <f t="shared" si="237"/>
        <v xml:space="preserve"> 72 Customer service occupations</v>
      </c>
      <c r="M136" s="31">
        <f t="shared" si="228"/>
        <v>2.8036458350206885</v>
      </c>
      <c r="N136" s="31">
        <f t="shared" si="228"/>
        <v>12.144020827464537</v>
      </c>
      <c r="O136" s="31">
        <f t="shared" si="228"/>
        <v>9.1634166429720736</v>
      </c>
      <c r="P136" s="31">
        <f t="shared" si="228"/>
        <v>8.051255284082437</v>
      </c>
      <c r="Q136" s="31">
        <f t="shared" si="238"/>
        <v>17.214671927054511</v>
      </c>
      <c r="W136" s="18" t="str">
        <f t="shared" si="239"/>
        <v xml:space="preserve"> 72 Customer service occupations</v>
      </c>
      <c r="X136" s="31">
        <f t="shared" si="229"/>
        <v>18.21524127542051</v>
      </c>
      <c r="Y136" s="31">
        <f t="shared" si="229"/>
        <v>26.617809373935501</v>
      </c>
      <c r="Z136" s="31">
        <f t="shared" si="229"/>
        <v>36.781897460564181</v>
      </c>
      <c r="AA136" s="31">
        <f t="shared" si="229"/>
        <v>23.586323170122085</v>
      </c>
      <c r="AB136" s="31">
        <f t="shared" si="240"/>
        <v>60.368220630686267</v>
      </c>
      <c r="AH136" s="18" t="str">
        <f t="shared" si="241"/>
        <v xml:space="preserve"> 72 Customer service occupations</v>
      </c>
      <c r="AI136" s="31">
        <f t="shared" si="230"/>
        <v>5.5401034089267505</v>
      </c>
      <c r="AJ136" s="31">
        <f t="shared" si="230"/>
        <v>7.1239095205722194</v>
      </c>
      <c r="AK136" s="31">
        <f t="shared" si="230"/>
        <v>13.096256271102938</v>
      </c>
      <c r="AL136" s="31">
        <f t="shared" si="230"/>
        <v>8.3697641617788463</v>
      </c>
      <c r="AM136" s="31">
        <f t="shared" si="242"/>
        <v>21.466020432881784</v>
      </c>
      <c r="AS136" s="18" t="str">
        <f t="shared" si="243"/>
        <v xml:space="preserve"> 72 Customer service occupations</v>
      </c>
      <c r="AT136" s="31">
        <f t="shared" si="231"/>
        <v>9.2304110081840811</v>
      </c>
      <c r="AU136" s="31">
        <f t="shared" si="231"/>
        <v>7.6370922727178439</v>
      </c>
      <c r="AV136" s="31">
        <f t="shared" si="231"/>
        <v>12.065112201701211</v>
      </c>
      <c r="AW136" s="31">
        <f t="shared" si="231"/>
        <v>6.5452679624255055</v>
      </c>
      <c r="AX136" s="31">
        <f t="shared" si="244"/>
        <v>18.610380164126717</v>
      </c>
      <c r="BD136" s="18" t="str">
        <f t="shared" si="245"/>
        <v xml:space="preserve"> 72 Customer service occupations</v>
      </c>
      <c r="BE136" s="31">
        <f t="shared" si="232"/>
        <v>17.661559234069699</v>
      </c>
      <c r="BF136" s="31">
        <f t="shared" si="232"/>
        <v>25.1112744892894</v>
      </c>
      <c r="BG136" s="31">
        <f t="shared" si="232"/>
        <v>-1.786548453609953</v>
      </c>
      <c r="BH136" s="31">
        <f t="shared" si="232"/>
        <v>1.1674700280114507</v>
      </c>
      <c r="BI136" s="31">
        <f t="shared" si="246"/>
        <v>-0.61907842559850224</v>
      </c>
      <c r="BO136" s="18" t="str">
        <f t="shared" si="247"/>
        <v xml:space="preserve"> 72 Customer service occupations</v>
      </c>
      <c r="BP136" s="31">
        <f t="shared" si="233"/>
        <v>24.096584755872527</v>
      </c>
      <c r="BQ136" s="31">
        <f t="shared" si="233"/>
        <v>21.209254278025071</v>
      </c>
      <c r="BR136" s="31">
        <f t="shared" si="233"/>
        <v>1.1161127400827127</v>
      </c>
      <c r="BS136" s="31">
        <f t="shared" si="233"/>
        <v>5.3890501735491796</v>
      </c>
      <c r="BT136" s="31">
        <f t="shared" si="248"/>
        <v>6.5051629136318923</v>
      </c>
      <c r="BZ136" s="18" t="str">
        <f t="shared" si="249"/>
        <v xml:space="preserve"> 72 Customer service occupations</v>
      </c>
      <c r="CA136" s="83">
        <f t="shared" si="234"/>
        <v>-10.78527443018686</v>
      </c>
      <c r="CB136" s="83">
        <f t="shared" si="234"/>
        <v>5.2554507972710809</v>
      </c>
      <c r="CC136" s="83">
        <f t="shared" si="234"/>
        <v>-19.050835741045034</v>
      </c>
      <c r="CD136" s="83">
        <f t="shared" si="234"/>
        <v>-9.0168798695137156</v>
      </c>
      <c r="CE136" s="83">
        <f t="shared" si="250"/>
        <v>-28.06771561055875</v>
      </c>
      <c r="CF136" s="286"/>
      <c r="CK136" s="18" t="str">
        <f t="shared" si="251"/>
        <v xml:space="preserve"> 72 Customer service occupations</v>
      </c>
      <c r="CL136" s="83">
        <f t="shared" si="235"/>
        <v>-7.1936284525716054</v>
      </c>
      <c r="CM136" s="83">
        <f t="shared" si="235"/>
        <v>5.1042136106332592</v>
      </c>
      <c r="CN136" s="83">
        <f t="shared" si="235"/>
        <v>-1.8960137118337208</v>
      </c>
      <c r="CO136" s="83">
        <f t="shared" si="235"/>
        <v>6.8165821927536072</v>
      </c>
      <c r="CP136" s="83">
        <f t="shared" si="252"/>
        <v>4.9205684809198864</v>
      </c>
    </row>
    <row r="137" spans="1:94" x14ac:dyDescent="0.25">
      <c r="A137" s="18" t="str">
        <f t="shared" si="226"/>
        <v xml:space="preserve"> 81 Process, plant and machine operatives</v>
      </c>
      <c r="B137" s="31">
        <f t="shared" si="227"/>
        <v>1.2231390335363725</v>
      </c>
      <c r="C137" s="31">
        <f t="shared" si="227"/>
        <v>0.55998586386040361</v>
      </c>
      <c r="D137" s="31">
        <f t="shared" si="227"/>
        <v>0.41067064081994809</v>
      </c>
      <c r="E137" s="31">
        <f t="shared" si="227"/>
        <v>0.5346141972927354</v>
      </c>
      <c r="F137" s="31">
        <f t="shared" si="236"/>
        <v>0.94528483811268349</v>
      </c>
      <c r="L137" s="18" t="str">
        <f t="shared" si="237"/>
        <v xml:space="preserve"> 81 Process, plant and machine operatives</v>
      </c>
      <c r="M137" s="31">
        <f t="shared" si="228"/>
        <v>0.69996886119470503</v>
      </c>
      <c r="N137" s="31">
        <f t="shared" si="228"/>
        <v>3.4459334710132001</v>
      </c>
      <c r="O137" s="31">
        <f t="shared" si="228"/>
        <v>2.1228667146590059</v>
      </c>
      <c r="P137" s="31">
        <f t="shared" si="228"/>
        <v>2.8693544132896758</v>
      </c>
      <c r="Q137" s="31">
        <f t="shared" si="238"/>
        <v>4.9922211279486817</v>
      </c>
      <c r="W137" s="18" t="str">
        <f t="shared" si="239"/>
        <v xml:space="preserve"> 81 Process, plant and machine operatives</v>
      </c>
      <c r="X137" s="31">
        <f t="shared" si="229"/>
        <v>9.481592539282051</v>
      </c>
      <c r="Y137" s="31">
        <f t="shared" si="229"/>
        <v>1.7736028752732125</v>
      </c>
      <c r="Z137" s="31">
        <f t="shared" si="229"/>
        <v>5.9920212528212744</v>
      </c>
      <c r="AA137" s="31">
        <f t="shared" si="229"/>
        <v>4.5877751081081612</v>
      </c>
      <c r="AB137" s="31">
        <f t="shared" si="240"/>
        <v>10.579796360929436</v>
      </c>
      <c r="AH137" s="18" t="str">
        <f t="shared" si="241"/>
        <v xml:space="preserve"> 81 Process, plant and machine operatives</v>
      </c>
      <c r="AI137" s="31">
        <f t="shared" si="230"/>
        <v>2.2484038304424168</v>
      </c>
      <c r="AJ137" s="31">
        <f t="shared" si="230"/>
        <v>0.54819881716504071</v>
      </c>
      <c r="AK137" s="31">
        <f t="shared" si="230"/>
        <v>2.8551393920978967</v>
      </c>
      <c r="AL137" s="31">
        <f t="shared" si="230"/>
        <v>2.3935338762615999</v>
      </c>
      <c r="AM137" s="31">
        <f t="shared" si="242"/>
        <v>5.2486732683594965</v>
      </c>
      <c r="AS137" s="18" t="str">
        <f t="shared" si="243"/>
        <v xml:space="preserve"> 81 Process, plant and machine operatives</v>
      </c>
      <c r="AT137" s="31">
        <f t="shared" si="231"/>
        <v>5.7802219164827946</v>
      </c>
      <c r="AU137" s="31">
        <f t="shared" si="231"/>
        <v>2.6187086790730092</v>
      </c>
      <c r="AV137" s="31">
        <f t="shared" si="231"/>
        <v>8.4605830408984133</v>
      </c>
      <c r="AW137" s="31">
        <f t="shared" si="231"/>
        <v>6.2038693904030495</v>
      </c>
      <c r="AX137" s="31">
        <f t="shared" si="244"/>
        <v>14.664452431301463</v>
      </c>
      <c r="BD137" s="18" t="str">
        <f t="shared" si="245"/>
        <v xml:space="preserve"> 81 Process, plant and machine operatives</v>
      </c>
      <c r="BE137" s="31">
        <f t="shared" si="232"/>
        <v>-4.4839952920249289</v>
      </c>
      <c r="BF137" s="31">
        <f t="shared" si="232"/>
        <v>17.574189230398019</v>
      </c>
      <c r="BG137" s="31">
        <f t="shared" si="232"/>
        <v>-16.852908181537543</v>
      </c>
      <c r="BH137" s="31">
        <f t="shared" si="232"/>
        <v>-3.9888144151951224</v>
      </c>
      <c r="BI137" s="31">
        <f t="shared" si="246"/>
        <v>-20.841722596732666</v>
      </c>
      <c r="BO137" s="18" t="str">
        <f t="shared" si="247"/>
        <v xml:space="preserve"> 81 Process, plant and machine operatives</v>
      </c>
      <c r="BP137" s="31">
        <f t="shared" si="233"/>
        <v>17.591228269735836</v>
      </c>
      <c r="BQ137" s="31">
        <f t="shared" si="233"/>
        <v>-4.0407847035123154</v>
      </c>
      <c r="BR137" s="31">
        <f t="shared" si="233"/>
        <v>-24.52817753668819</v>
      </c>
      <c r="BS137" s="31">
        <f t="shared" si="233"/>
        <v>-12.337426254998405</v>
      </c>
      <c r="BT137" s="31">
        <f t="shared" si="248"/>
        <v>-36.865603791686596</v>
      </c>
      <c r="BZ137" s="18" t="str">
        <f t="shared" si="249"/>
        <v xml:space="preserve"> 81 Process, plant and machine operatives</v>
      </c>
      <c r="CA137" s="83">
        <f t="shared" si="234"/>
        <v>-61.465379926552743</v>
      </c>
      <c r="CB137" s="83">
        <f t="shared" si="234"/>
        <v>-21.863812262950574</v>
      </c>
      <c r="CC137" s="83">
        <f t="shared" si="234"/>
        <v>-54.593531073422184</v>
      </c>
      <c r="CD137" s="83">
        <f t="shared" si="234"/>
        <v>-47.83529663131786</v>
      </c>
      <c r="CE137" s="83">
        <f t="shared" si="250"/>
        <v>-102.42882770474004</v>
      </c>
      <c r="CF137" s="286"/>
      <c r="CK137" s="18" t="str">
        <f t="shared" si="251"/>
        <v xml:space="preserve"> 81 Process, plant and machine operatives</v>
      </c>
      <c r="CL137" s="83">
        <f t="shared" si="235"/>
        <v>-86.740616085306499</v>
      </c>
      <c r="CM137" s="83">
        <f t="shared" si="235"/>
        <v>-37.527128799783824</v>
      </c>
      <c r="CN137" s="83">
        <f t="shared" si="235"/>
        <v>-46.217602229710231</v>
      </c>
      <c r="CO137" s="83">
        <f t="shared" si="235"/>
        <v>-31.482417421667375</v>
      </c>
      <c r="CP137" s="83">
        <f t="shared" si="252"/>
        <v>-77.700019651377602</v>
      </c>
    </row>
    <row r="138" spans="1:94" x14ac:dyDescent="0.25">
      <c r="A138" s="18" t="str">
        <f t="shared" si="226"/>
        <v xml:space="preserve"> 82 Transport and mobile machine drivers and operatives</v>
      </c>
      <c r="B138" s="31">
        <f t="shared" si="227"/>
        <v>0.86567259791699236</v>
      </c>
      <c r="C138" s="31">
        <f t="shared" si="227"/>
        <v>1.3330831916380603</v>
      </c>
      <c r="D138" s="31">
        <f t="shared" si="227"/>
        <v>1.4856024140239263</v>
      </c>
      <c r="E138" s="31">
        <f t="shared" si="227"/>
        <v>1.4638378627905748</v>
      </c>
      <c r="F138" s="31">
        <f t="shared" si="236"/>
        <v>2.9494402768145012</v>
      </c>
      <c r="L138" s="18" t="str">
        <f t="shared" si="237"/>
        <v xml:space="preserve"> 82 Transport and mobile machine drivers and operatives</v>
      </c>
      <c r="M138" s="31">
        <f t="shared" si="228"/>
        <v>3.5671002307742192</v>
      </c>
      <c r="N138" s="31">
        <f t="shared" si="228"/>
        <v>7.4804807555148969</v>
      </c>
      <c r="O138" s="31">
        <f t="shared" si="228"/>
        <v>7.7397179098359707</v>
      </c>
      <c r="P138" s="31">
        <f t="shared" si="228"/>
        <v>7.3315342722019246</v>
      </c>
      <c r="Q138" s="31">
        <f t="shared" si="238"/>
        <v>15.071252182037895</v>
      </c>
      <c r="W138" s="18" t="str">
        <f t="shared" si="239"/>
        <v xml:space="preserve"> 82 Transport and mobile machine drivers and operatives</v>
      </c>
      <c r="X138" s="31">
        <f t="shared" si="229"/>
        <v>17.203287850555796</v>
      </c>
      <c r="Y138" s="31">
        <f t="shared" si="229"/>
        <v>8.2730253873162596</v>
      </c>
      <c r="Z138" s="31">
        <f t="shared" si="229"/>
        <v>25.787135052386205</v>
      </c>
      <c r="AA138" s="31">
        <f t="shared" si="229"/>
        <v>15.929155213443536</v>
      </c>
      <c r="AB138" s="31">
        <f t="shared" si="240"/>
        <v>41.716290265829741</v>
      </c>
      <c r="AH138" s="18" t="str">
        <f t="shared" si="241"/>
        <v xml:space="preserve"> 82 Transport and mobile machine drivers and operatives</v>
      </c>
      <c r="AI138" s="31">
        <f t="shared" si="230"/>
        <v>12.615300302233589</v>
      </c>
      <c r="AJ138" s="31">
        <f t="shared" si="230"/>
        <v>2.1828483265126479</v>
      </c>
      <c r="AK138" s="31">
        <f t="shared" si="230"/>
        <v>11.213319642055311</v>
      </c>
      <c r="AL138" s="31">
        <f t="shared" si="230"/>
        <v>6.6053115390991479</v>
      </c>
      <c r="AM138" s="31">
        <f t="shared" si="242"/>
        <v>17.818631181154458</v>
      </c>
      <c r="AS138" s="18" t="str">
        <f t="shared" si="243"/>
        <v xml:space="preserve"> 82 Transport and mobile machine drivers and operatives</v>
      </c>
      <c r="AT138" s="31">
        <f t="shared" si="231"/>
        <v>13.643799632566964</v>
      </c>
      <c r="AU138" s="31">
        <f t="shared" si="231"/>
        <v>5.1267450019320933</v>
      </c>
      <c r="AV138" s="31">
        <f t="shared" si="231"/>
        <v>20.349630289403294</v>
      </c>
      <c r="AW138" s="31">
        <f t="shared" si="231"/>
        <v>12.593982514633339</v>
      </c>
      <c r="AX138" s="31">
        <f t="shared" si="244"/>
        <v>32.943612804036633</v>
      </c>
      <c r="BD138" s="18" t="str">
        <f t="shared" si="245"/>
        <v xml:space="preserve"> 82 Transport and mobile machine drivers and operatives</v>
      </c>
      <c r="BE138" s="31">
        <f t="shared" si="232"/>
        <v>19.684164710323415</v>
      </c>
      <c r="BF138" s="31">
        <f t="shared" si="232"/>
        <v>29.163967686787828</v>
      </c>
      <c r="BG138" s="31">
        <f t="shared" si="232"/>
        <v>6.261837471857234</v>
      </c>
      <c r="BH138" s="31">
        <f t="shared" si="232"/>
        <v>20.099469935065031</v>
      </c>
      <c r="BI138" s="31">
        <f t="shared" si="246"/>
        <v>26.361307406922265</v>
      </c>
      <c r="BO138" s="18" t="str">
        <f t="shared" si="247"/>
        <v xml:space="preserve"> 82 Transport and mobile machine drivers and operatives</v>
      </c>
      <c r="BP138" s="31">
        <f t="shared" si="233"/>
        <v>18.174965600407745</v>
      </c>
      <c r="BQ138" s="31">
        <f t="shared" si="233"/>
        <v>23.850501294337903</v>
      </c>
      <c r="BR138" s="31">
        <f t="shared" si="233"/>
        <v>-0.365756188900491</v>
      </c>
      <c r="BS138" s="31">
        <f t="shared" si="233"/>
        <v>11.062348501910606</v>
      </c>
      <c r="BT138" s="31">
        <f t="shared" si="248"/>
        <v>10.696592313010115</v>
      </c>
      <c r="BZ138" s="18" t="str">
        <f t="shared" si="249"/>
        <v xml:space="preserve"> 82 Transport and mobile machine drivers and operatives</v>
      </c>
      <c r="CA138" s="83">
        <f t="shared" si="234"/>
        <v>-83.257818494335652</v>
      </c>
      <c r="CB138" s="83">
        <f t="shared" si="234"/>
        <v>-9.6842723058394427</v>
      </c>
      <c r="CC138" s="83">
        <f t="shared" si="234"/>
        <v>-50.056286777655657</v>
      </c>
      <c r="CD138" s="83">
        <f t="shared" si="234"/>
        <v>-36.569639834926193</v>
      </c>
      <c r="CE138" s="83">
        <f t="shared" si="250"/>
        <v>-86.62592661258185</v>
      </c>
      <c r="CF138" s="286"/>
      <c r="CK138" s="18" t="str">
        <f t="shared" si="251"/>
        <v xml:space="preserve"> 82 Transport and mobile machine drivers and operatives</v>
      </c>
      <c r="CL138" s="83">
        <f t="shared" si="235"/>
        <v>-43.421723684588983</v>
      </c>
      <c r="CM138" s="83">
        <f t="shared" si="235"/>
        <v>-8.4171970715503335</v>
      </c>
      <c r="CN138" s="83">
        <f t="shared" si="235"/>
        <v>-32.594392768634435</v>
      </c>
      <c r="CO138" s="83">
        <f t="shared" si="235"/>
        <v>-32.7616862350459</v>
      </c>
      <c r="CP138" s="83">
        <f t="shared" si="252"/>
        <v>-65.356079003680335</v>
      </c>
    </row>
    <row r="139" spans="1:94" x14ac:dyDescent="0.25">
      <c r="A139" s="18" t="str">
        <f t="shared" si="226"/>
        <v xml:space="preserve"> 91 Elementary trades and related occupations</v>
      </c>
      <c r="B139" s="31">
        <f t="shared" si="227"/>
        <v>5.0751526370605669E-3</v>
      </c>
      <c r="C139" s="31">
        <f t="shared" si="227"/>
        <v>1.9778834035255065E-2</v>
      </c>
      <c r="D139" s="31">
        <f t="shared" si="227"/>
        <v>2.2001954900329447E-2</v>
      </c>
      <c r="E139" s="31">
        <f t="shared" si="227"/>
        <v>1.6239653000577926E-2</v>
      </c>
      <c r="F139" s="31">
        <f t="shared" si="236"/>
        <v>3.8241607900907373E-2</v>
      </c>
      <c r="L139" s="18" t="str">
        <f t="shared" si="237"/>
        <v xml:space="preserve"> 91 Elementary trades and related occupations</v>
      </c>
      <c r="M139" s="31">
        <f t="shared" si="228"/>
        <v>3.2298301233153834</v>
      </c>
      <c r="N139" s="31">
        <f t="shared" si="228"/>
        <v>2.9634850785713631</v>
      </c>
      <c r="O139" s="31">
        <f t="shared" si="228"/>
        <v>2.7285603940020913</v>
      </c>
      <c r="P139" s="31">
        <f t="shared" si="228"/>
        <v>2.4369308655186508</v>
      </c>
      <c r="Q139" s="31">
        <f t="shared" si="238"/>
        <v>5.1654912595207421</v>
      </c>
      <c r="W139" s="18" t="str">
        <f t="shared" si="239"/>
        <v xml:space="preserve"> 91 Elementary trades and related occupations</v>
      </c>
      <c r="X139" s="31">
        <f t="shared" si="229"/>
        <v>6.1047738667822884</v>
      </c>
      <c r="Y139" s="31">
        <f t="shared" si="229"/>
        <v>5.2766807944371443</v>
      </c>
      <c r="Z139" s="31">
        <f t="shared" si="229"/>
        <v>10.477375040943841</v>
      </c>
      <c r="AA139" s="31">
        <f t="shared" si="229"/>
        <v>5.8523015805412228</v>
      </c>
      <c r="AB139" s="31">
        <f t="shared" si="240"/>
        <v>16.329676621485063</v>
      </c>
      <c r="AH139" s="18" t="str">
        <f t="shared" si="241"/>
        <v xml:space="preserve"> 91 Elementary trades and related occupations</v>
      </c>
      <c r="AI139" s="31">
        <f t="shared" si="230"/>
        <v>5.0380850645512858</v>
      </c>
      <c r="AJ139" s="31">
        <f t="shared" si="230"/>
        <v>2.2570660038248285</v>
      </c>
      <c r="AK139" s="31">
        <f t="shared" si="230"/>
        <v>6.2892184973601672</v>
      </c>
      <c r="AL139" s="31">
        <f t="shared" si="230"/>
        <v>3.4357623729513058</v>
      </c>
      <c r="AM139" s="31">
        <f t="shared" si="242"/>
        <v>9.7249808703114731</v>
      </c>
      <c r="AS139" s="18" t="str">
        <f t="shared" si="243"/>
        <v xml:space="preserve"> 91 Elementary trades and related occupations</v>
      </c>
      <c r="AT139" s="31">
        <f t="shared" si="231"/>
        <v>3.965426622790309</v>
      </c>
      <c r="AU139" s="31">
        <f t="shared" si="231"/>
        <v>3.2207919721781231</v>
      </c>
      <c r="AV139" s="31">
        <f t="shared" si="231"/>
        <v>6.5988702004728665</v>
      </c>
      <c r="AW139" s="31">
        <f t="shared" si="231"/>
        <v>3.8182219744657253</v>
      </c>
      <c r="AX139" s="31">
        <f t="shared" si="244"/>
        <v>10.417092174938592</v>
      </c>
      <c r="BD139" s="18" t="str">
        <f t="shared" si="245"/>
        <v xml:space="preserve"> 91 Elementary trades and related occupations</v>
      </c>
      <c r="BE139" s="31">
        <f t="shared" si="232"/>
        <v>4.3339964447250736</v>
      </c>
      <c r="BF139" s="31">
        <f t="shared" si="232"/>
        <v>8.9960551521687222</v>
      </c>
      <c r="BG139" s="31">
        <f t="shared" si="232"/>
        <v>-3.422186905303775</v>
      </c>
      <c r="BH139" s="31">
        <f t="shared" si="232"/>
        <v>0.20468019005639349</v>
      </c>
      <c r="BI139" s="31">
        <f t="shared" si="246"/>
        <v>-3.2175067152473815</v>
      </c>
      <c r="BO139" s="18" t="str">
        <f t="shared" si="247"/>
        <v xml:space="preserve"> 91 Elementary trades and related occupations</v>
      </c>
      <c r="BP139" s="31">
        <f t="shared" si="233"/>
        <v>5.6818958446815486</v>
      </c>
      <c r="BQ139" s="31">
        <f t="shared" si="233"/>
        <v>2.9500364667435122</v>
      </c>
      <c r="BR139" s="31">
        <f t="shared" si="233"/>
        <v>-4.2585216922494169</v>
      </c>
      <c r="BS139" s="31">
        <f t="shared" si="233"/>
        <v>-3.4421633406163039</v>
      </c>
      <c r="BT139" s="31">
        <f t="shared" si="248"/>
        <v>-7.7006850328657208</v>
      </c>
      <c r="BZ139" s="18" t="str">
        <f t="shared" si="249"/>
        <v xml:space="preserve"> 91 Elementary trades and related occupations</v>
      </c>
      <c r="CA139" s="83">
        <f t="shared" si="234"/>
        <v>-13.459089380992623</v>
      </c>
      <c r="CB139" s="83">
        <f t="shared" si="234"/>
        <v>8.2382937722713336</v>
      </c>
      <c r="CC139" s="83">
        <f t="shared" si="234"/>
        <v>-14.795461769035597</v>
      </c>
      <c r="CD139" s="83">
        <f t="shared" si="234"/>
        <v>-10.235838892430507</v>
      </c>
      <c r="CE139" s="83">
        <f t="shared" si="250"/>
        <v>-25.031300661466105</v>
      </c>
      <c r="CF139" s="286"/>
      <c r="CK139" s="18" t="str">
        <f t="shared" si="251"/>
        <v xml:space="preserve"> 91 Elementary trades and related occupations</v>
      </c>
      <c r="CL139" s="83">
        <f t="shared" si="235"/>
        <v>-37.531236148678758</v>
      </c>
      <c r="CM139" s="83">
        <f t="shared" si="235"/>
        <v>-9.2924332266392753</v>
      </c>
      <c r="CN139" s="83">
        <f t="shared" si="235"/>
        <v>-19.772942256408619</v>
      </c>
      <c r="CO139" s="83">
        <f t="shared" si="235"/>
        <v>-10.111521205233601</v>
      </c>
      <c r="CP139" s="83">
        <f t="shared" si="252"/>
        <v>-29.88446346164222</v>
      </c>
    </row>
    <row r="140" spans="1:94" x14ac:dyDescent="0.25">
      <c r="A140" s="18" t="str">
        <f t="shared" si="226"/>
        <v xml:space="preserve"> 92 Elementary administration and service occupations</v>
      </c>
      <c r="B140" s="31">
        <f t="shared" si="227"/>
        <v>0.61631271210144478</v>
      </c>
      <c r="C140" s="31">
        <f t="shared" si="227"/>
        <v>1.1403139569876506</v>
      </c>
      <c r="D140" s="31">
        <f t="shared" si="227"/>
        <v>1.4090060542640899</v>
      </c>
      <c r="E140" s="31">
        <f t="shared" si="227"/>
        <v>1.0810385806612768</v>
      </c>
      <c r="F140" s="31">
        <f t="shared" si="236"/>
        <v>2.4900446349253667</v>
      </c>
      <c r="L140" s="18" t="str">
        <f t="shared" si="237"/>
        <v xml:space="preserve"> 92 Elementary administration and service occupations</v>
      </c>
      <c r="M140" s="31">
        <f t="shared" si="228"/>
        <v>17.606889068625868</v>
      </c>
      <c r="N140" s="31">
        <f t="shared" si="228"/>
        <v>32.082771868947681</v>
      </c>
      <c r="O140" s="31">
        <f t="shared" si="228"/>
        <v>33.875377833313962</v>
      </c>
      <c r="P140" s="31">
        <f t="shared" si="228"/>
        <v>33.198410139416325</v>
      </c>
      <c r="Q140" s="31">
        <f t="shared" si="238"/>
        <v>67.073787972730287</v>
      </c>
      <c r="W140" s="18" t="str">
        <f t="shared" si="239"/>
        <v xml:space="preserve"> 92 Elementary administration and service occupations</v>
      </c>
      <c r="X140" s="31">
        <f t="shared" si="229"/>
        <v>77.121670399755615</v>
      </c>
      <c r="Y140" s="31">
        <f t="shared" si="229"/>
        <v>58.147407701866229</v>
      </c>
      <c r="Z140" s="31">
        <f t="shared" si="229"/>
        <v>125.73303235942385</v>
      </c>
      <c r="AA140" s="31">
        <f t="shared" si="229"/>
        <v>92.623610294059688</v>
      </c>
      <c r="AB140" s="31">
        <f t="shared" si="240"/>
        <v>218.35664265348353</v>
      </c>
      <c r="AH140" s="18" t="str">
        <f t="shared" si="241"/>
        <v xml:space="preserve"> 92 Elementary administration and service occupations</v>
      </c>
      <c r="AI140" s="31">
        <f t="shared" si="230"/>
        <v>37.817251409062486</v>
      </c>
      <c r="AJ140" s="31">
        <f t="shared" si="230"/>
        <v>20.695231024700817</v>
      </c>
      <c r="AK140" s="31">
        <f t="shared" si="230"/>
        <v>54.954285721630114</v>
      </c>
      <c r="AL140" s="31">
        <f t="shared" si="230"/>
        <v>35.537650157074552</v>
      </c>
      <c r="AM140" s="31">
        <f t="shared" si="242"/>
        <v>90.491935878704666</v>
      </c>
      <c r="AS140" s="18" t="str">
        <f t="shared" si="243"/>
        <v xml:space="preserve"> 92 Elementary administration and service occupations</v>
      </c>
      <c r="AT140" s="31">
        <f t="shared" si="231"/>
        <v>21.131809136869521</v>
      </c>
      <c r="AU140" s="31">
        <f t="shared" si="231"/>
        <v>16.182804645380358</v>
      </c>
      <c r="AV140" s="31">
        <f t="shared" si="231"/>
        <v>43.448986516177186</v>
      </c>
      <c r="AW140" s="31">
        <f t="shared" si="231"/>
        <v>31.664063435626957</v>
      </c>
      <c r="AX140" s="31">
        <f t="shared" si="244"/>
        <v>75.113049951804143</v>
      </c>
      <c r="BD140" s="18" t="str">
        <f t="shared" si="245"/>
        <v xml:space="preserve"> 92 Elementary administration and service occupations</v>
      </c>
      <c r="BE140" s="31">
        <f t="shared" si="232"/>
        <v>-3.9686574015006499</v>
      </c>
      <c r="BF140" s="31">
        <f t="shared" si="232"/>
        <v>27.82983106728966</v>
      </c>
      <c r="BG140" s="31">
        <f t="shared" si="232"/>
        <v>-11.174164881083357</v>
      </c>
      <c r="BH140" s="31">
        <f t="shared" si="232"/>
        <v>-5.4589258782307297</v>
      </c>
      <c r="BI140" s="31">
        <f t="shared" si="246"/>
        <v>-16.633090759314086</v>
      </c>
      <c r="BO140" s="18" t="str">
        <f t="shared" si="247"/>
        <v xml:space="preserve"> 92 Elementary administration and service occupations</v>
      </c>
      <c r="BP140" s="31">
        <f t="shared" si="233"/>
        <v>24.342281850340328</v>
      </c>
      <c r="BQ140" s="31">
        <f t="shared" si="233"/>
        <v>41.062995651996516</v>
      </c>
      <c r="BR140" s="31">
        <f t="shared" si="233"/>
        <v>8.9557278086100496</v>
      </c>
      <c r="BS140" s="31">
        <f t="shared" si="233"/>
        <v>-8.4762238619689469</v>
      </c>
      <c r="BT140" s="31">
        <f t="shared" si="248"/>
        <v>0.47950394664110263</v>
      </c>
      <c r="BZ140" s="18" t="str">
        <f t="shared" si="249"/>
        <v xml:space="preserve"> 92 Elementary administration and service occupations</v>
      </c>
      <c r="CA140" s="83">
        <f t="shared" si="234"/>
        <v>-133.52150916556673</v>
      </c>
      <c r="CB140" s="83">
        <f t="shared" si="234"/>
        <v>56.941022385497718</v>
      </c>
      <c r="CC140" s="83">
        <f t="shared" si="234"/>
        <v>-98.60675442285617</v>
      </c>
      <c r="CD140" s="83">
        <f t="shared" si="234"/>
        <v>-94.714250976676908</v>
      </c>
      <c r="CE140" s="83">
        <f t="shared" si="250"/>
        <v>-193.32100539953308</v>
      </c>
      <c r="CF140" s="286"/>
      <c r="CK140" s="18" t="str">
        <f t="shared" si="251"/>
        <v xml:space="preserve"> 92 Elementary administration and service occupations</v>
      </c>
      <c r="CL140" s="83">
        <f t="shared" si="235"/>
        <v>-289.54034669303564</v>
      </c>
      <c r="CM140" s="83">
        <f t="shared" si="235"/>
        <v>-88.91085778494886</v>
      </c>
      <c r="CN140" s="83">
        <f t="shared" si="235"/>
        <v>-150.41455324671952</v>
      </c>
      <c r="CO140" s="83">
        <f t="shared" si="235"/>
        <v>-78.51969091288953</v>
      </c>
      <c r="CP140" s="83">
        <f t="shared" si="252"/>
        <v>-228.93424415960905</v>
      </c>
    </row>
    <row r="141" spans="1:94" x14ac:dyDescent="0.25">
      <c r="A141" s="18"/>
      <c r="C141" s="31"/>
      <c r="F141" s="31"/>
      <c r="L141" s="18"/>
      <c r="N141" s="31"/>
      <c r="Q141" s="31"/>
      <c r="W141" s="18"/>
      <c r="Y141" s="31"/>
      <c r="AB141" s="31"/>
      <c r="AH141" s="18"/>
      <c r="AJ141" s="31"/>
      <c r="AM141" s="31"/>
      <c r="AS141" s="18"/>
      <c r="AU141" s="31"/>
      <c r="AX141" s="31"/>
      <c r="BD141" s="18"/>
      <c r="BF141" s="31"/>
      <c r="BI141" s="31"/>
      <c r="BO141" s="18"/>
      <c r="BQ141" s="31"/>
      <c r="BT141" s="31"/>
      <c r="BZ141" s="18"/>
      <c r="CA141" s="84"/>
      <c r="CB141" s="83"/>
      <c r="CC141" s="84"/>
      <c r="CD141" s="84"/>
      <c r="CE141" s="83"/>
      <c r="CF141" s="286"/>
      <c r="CK141" s="18"/>
      <c r="CL141" s="84"/>
      <c r="CM141" s="83"/>
      <c r="CN141" s="84"/>
      <c r="CO141" s="84"/>
      <c r="CP141" s="83"/>
    </row>
    <row r="142" spans="1:94" x14ac:dyDescent="0.25">
      <c r="A142" s="28" t="str">
        <f t="shared" ref="A142" si="253">A34</f>
        <v>All occupations</v>
      </c>
      <c r="B142" s="33">
        <f>C34-B34</f>
        <v>73.673758984637516</v>
      </c>
      <c r="C142" s="33">
        <f>D34-C34</f>
        <v>180.69043945235256</v>
      </c>
      <c r="D142" s="33">
        <f>E34-D34</f>
        <v>88.219830938295445</v>
      </c>
      <c r="E142" s="33">
        <f>F34-E34</f>
        <v>94.795827732724547</v>
      </c>
      <c r="F142" s="33">
        <f t="shared" si="236"/>
        <v>183.01565867101999</v>
      </c>
      <c r="L142" s="28" t="str">
        <f t="shared" ref="L142" si="254">L34</f>
        <v>All occupations</v>
      </c>
      <c r="M142" s="33">
        <f>N34-M34</f>
        <v>419.63296577098708</v>
      </c>
      <c r="N142" s="33">
        <f t="shared" ref="N142" si="255">O34-N34</f>
        <v>1267.5826288581329</v>
      </c>
      <c r="O142" s="33">
        <f>P34-O34</f>
        <v>614.88741148842973</v>
      </c>
      <c r="P142" s="33">
        <f>Q34-P34</f>
        <v>621.95238995141972</v>
      </c>
      <c r="Q142" s="33">
        <f>Q34-O34</f>
        <v>1236.8398014398495</v>
      </c>
      <c r="W142" s="28" t="str">
        <f t="shared" ref="W142" si="256">W34</f>
        <v>All occupations</v>
      </c>
      <c r="X142" s="33">
        <f>Y34-X34</f>
        <v>1298.5459839696723</v>
      </c>
      <c r="Y142" s="33">
        <f t="shared" ref="Y142" si="257">Z34-Y34</f>
        <v>949.70144499983144</v>
      </c>
      <c r="Z142" s="33">
        <f>AA34-Z34</f>
        <v>1469.4830049993034</v>
      </c>
      <c r="AA142" s="33">
        <f>AB34-AA34</f>
        <v>903.94542507541155</v>
      </c>
      <c r="AB142" s="33">
        <f>AB34-Z34</f>
        <v>2373.4284300747149</v>
      </c>
      <c r="AH142" s="28" t="str">
        <f t="shared" ref="AH142" si="258">AH34</f>
        <v>All occupations</v>
      </c>
      <c r="AI142" s="33">
        <f>AJ34-AI34</f>
        <v>89.397359060763165</v>
      </c>
      <c r="AJ142" s="33">
        <f t="shared" ref="AJ142" si="259">AK34-AJ34</f>
        <v>-18.88141717405415</v>
      </c>
      <c r="AK142" s="33">
        <f>AL34-AK34</f>
        <v>203.90294743461209</v>
      </c>
      <c r="AL142" s="33">
        <f>AM34-AL34</f>
        <v>118.71155915125792</v>
      </c>
      <c r="AM142" s="33">
        <f>AM34-AK34</f>
        <v>322.61450658587</v>
      </c>
      <c r="AS142" s="28" t="str">
        <f t="shared" ref="AS142" si="260">AS34</f>
        <v>All occupations</v>
      </c>
      <c r="AT142" s="33">
        <f>AU34-AT34</f>
        <v>195.66035831692034</v>
      </c>
      <c r="AU142" s="33">
        <f t="shared" ref="AU142" si="261">AV34-AU34</f>
        <v>135.81940714222355</v>
      </c>
      <c r="AV142" s="33">
        <f>AW34-AV34</f>
        <v>357.62269133442987</v>
      </c>
      <c r="AW142" s="33">
        <f>AX34-AW34</f>
        <v>210.22430426996971</v>
      </c>
      <c r="AX142" s="33">
        <f>AX34-AV34</f>
        <v>567.84699560439958</v>
      </c>
      <c r="BD142" s="28" t="str">
        <f t="shared" ref="BD142" si="262">BD34</f>
        <v>All occupations</v>
      </c>
      <c r="BE142" s="33">
        <f>BF34-BE34</f>
        <v>44.083986793063559</v>
      </c>
      <c r="BF142" s="33">
        <f t="shared" ref="BF142" si="263">BG34-BF34</f>
        <v>675.03383750994908</v>
      </c>
      <c r="BG142" s="33">
        <f>BH34-BG34</f>
        <v>-352.57182890110835</v>
      </c>
      <c r="BH142" s="33">
        <f>BI34-BH34</f>
        <v>-97.997721720921618</v>
      </c>
      <c r="BI142" s="33">
        <f>BI34-BG34</f>
        <v>-450.56955062202996</v>
      </c>
      <c r="BO142" s="28" t="str">
        <f t="shared" ref="BO142" si="264">BO34</f>
        <v>All occupations</v>
      </c>
      <c r="BP142" s="33">
        <f>BQ34-BP34</f>
        <v>-178.93764333673062</v>
      </c>
      <c r="BQ142" s="33">
        <f t="shared" ref="BQ142" si="265">BR34-BQ34</f>
        <v>81.097751107323347</v>
      </c>
      <c r="BR142" s="33">
        <f>BS34-BR34</f>
        <v>-565.50358795917327</v>
      </c>
      <c r="BS142" s="33">
        <f>BT34-BS34</f>
        <v>-412.48398513873235</v>
      </c>
      <c r="BT142" s="33">
        <f>BT34-BR34</f>
        <v>-977.98757309790562</v>
      </c>
      <c r="BZ142" s="28" t="str">
        <f t="shared" ref="BZ142" si="266">BZ34</f>
        <v>All occupations</v>
      </c>
      <c r="CA142" s="85">
        <f>CB34-CA34</f>
        <v>-1050.4179199623304</v>
      </c>
      <c r="CB142" s="85">
        <f t="shared" ref="CB142" si="267">CC34-CB34</f>
        <v>-3.5537822211690582</v>
      </c>
      <c r="CC142" s="85">
        <f>CD34-CC34</f>
        <v>-908.85236718474926</v>
      </c>
      <c r="CD142" s="85">
        <f>CE34-CD34</f>
        <v>-634.06031789792996</v>
      </c>
      <c r="CE142" s="85">
        <f>CE34-CC34</f>
        <v>-1542.9126850826792</v>
      </c>
      <c r="CF142" s="286"/>
      <c r="CK142" s="28" t="str">
        <f t="shared" ref="CK142" si="268">CK34</f>
        <v>All occupations</v>
      </c>
      <c r="CL142" s="85">
        <f>CM34-CL34</f>
        <v>-881.63284959681005</v>
      </c>
      <c r="CM142" s="85">
        <f t="shared" ref="CM142" si="269">CN34-CM34</f>
        <v>-219.51130967483732</v>
      </c>
      <c r="CN142" s="85">
        <f>CO34-CN34</f>
        <v>-504.73210215009362</v>
      </c>
      <c r="CO142" s="85">
        <f>CP34-CO34</f>
        <v>-234.58248142299408</v>
      </c>
      <c r="CP142" s="85">
        <f>CP34-CN34</f>
        <v>-739.3145835730877</v>
      </c>
    </row>
    <row r="143" spans="1:94" x14ac:dyDescent="0.25">
      <c r="BZ143" s="286"/>
      <c r="CA143" s="286"/>
      <c r="CB143" s="286"/>
      <c r="CC143" s="286"/>
      <c r="CD143" s="286"/>
      <c r="CE143" s="286"/>
      <c r="CF143" s="286"/>
    </row>
    <row r="144" spans="1:94" x14ac:dyDescent="0.25">
      <c r="BZ144" s="286"/>
      <c r="CA144" s="286"/>
      <c r="CB144" s="286"/>
      <c r="CC144" s="286"/>
      <c r="CD144" s="286"/>
      <c r="CE144" s="286"/>
      <c r="CF144" s="286"/>
    </row>
    <row r="145" spans="78:84" x14ac:dyDescent="0.25">
      <c r="BZ145" s="286"/>
      <c r="CA145" s="286"/>
      <c r="CB145" s="286"/>
      <c r="CC145" s="286"/>
      <c r="CD145" s="286"/>
      <c r="CE145" s="286"/>
      <c r="CF145" s="286"/>
    </row>
    <row r="146" spans="78:84" x14ac:dyDescent="0.25">
      <c r="BZ146" s="286"/>
      <c r="CA146" s="286"/>
      <c r="CB146" s="286"/>
      <c r="CC146" s="286"/>
      <c r="CD146" s="286"/>
      <c r="CE146" s="286"/>
      <c r="CF146" s="286"/>
    </row>
    <row r="147" spans="78:84" x14ac:dyDescent="0.25">
      <c r="BZ147" s="286"/>
      <c r="CA147" s="286"/>
      <c r="CB147" s="286"/>
      <c r="CC147" s="286"/>
      <c r="CD147" s="286"/>
      <c r="CE147" s="286"/>
      <c r="CF147" s="286"/>
    </row>
    <row r="148" spans="78:84" x14ac:dyDescent="0.25">
      <c r="BZ148" s="286"/>
      <c r="CA148" s="286"/>
      <c r="CB148" s="286"/>
      <c r="CC148" s="286"/>
      <c r="CD148" s="286"/>
      <c r="CE148" s="286"/>
      <c r="CF148" s="286"/>
    </row>
    <row r="149" spans="78:84" x14ac:dyDescent="0.25">
      <c r="BZ149" s="286"/>
      <c r="CA149" s="286"/>
      <c r="CB149" s="286"/>
      <c r="CC149" s="286"/>
      <c r="CD149" s="286"/>
      <c r="CE149" s="286"/>
      <c r="CF149" s="286"/>
    </row>
    <row r="150" spans="78:84" x14ac:dyDescent="0.25">
      <c r="BZ150" s="286"/>
      <c r="CA150" s="286"/>
      <c r="CB150" s="286"/>
      <c r="CC150" s="286"/>
      <c r="CD150" s="286"/>
      <c r="CE150" s="286"/>
      <c r="CF150" s="286"/>
    </row>
    <row r="151" spans="78:84" x14ac:dyDescent="0.25">
      <c r="BZ151" s="286"/>
      <c r="CA151" s="286"/>
      <c r="CB151" s="286"/>
      <c r="CC151" s="286"/>
      <c r="CD151" s="286"/>
      <c r="CE151" s="286"/>
      <c r="CF151" s="286"/>
    </row>
    <row r="152" spans="78:84" x14ac:dyDescent="0.25">
      <c r="BZ152" s="286"/>
      <c r="CA152" s="286"/>
      <c r="CB152" s="286"/>
      <c r="CC152" s="286"/>
      <c r="CD152" s="286"/>
      <c r="CE152" s="286"/>
      <c r="CF152" s="286"/>
    </row>
    <row r="153" spans="78:84" x14ac:dyDescent="0.25">
      <c r="BZ153" s="286"/>
      <c r="CA153" s="286"/>
      <c r="CB153" s="286"/>
      <c r="CC153" s="286"/>
      <c r="CD153" s="286"/>
      <c r="CE153" s="286"/>
      <c r="CF153" s="286"/>
    </row>
    <row r="154" spans="78:84" x14ac:dyDescent="0.25">
      <c r="BZ154" s="286"/>
      <c r="CA154" s="286"/>
      <c r="CB154" s="286"/>
      <c r="CC154" s="286"/>
      <c r="CD154" s="286"/>
      <c r="CE154" s="286"/>
      <c r="CF154" s="286"/>
    </row>
    <row r="155" spans="78:84" x14ac:dyDescent="0.25">
      <c r="BZ155" s="286"/>
      <c r="CA155" s="286"/>
      <c r="CB155" s="286"/>
      <c r="CC155" s="286"/>
      <c r="CD155" s="286"/>
      <c r="CE155" s="286"/>
      <c r="CF155" s="286"/>
    </row>
    <row r="156" spans="78:84" x14ac:dyDescent="0.25">
      <c r="BZ156" s="286"/>
      <c r="CA156" s="286"/>
      <c r="CB156" s="286"/>
      <c r="CC156" s="286"/>
      <c r="CD156" s="286"/>
      <c r="CE156" s="286"/>
      <c r="CF156" s="286"/>
    </row>
    <row r="157" spans="78:84" x14ac:dyDescent="0.25">
      <c r="BZ157" s="286"/>
      <c r="CA157" s="286"/>
      <c r="CB157" s="286"/>
      <c r="CC157" s="286"/>
      <c r="CD157" s="286"/>
      <c r="CE157" s="286"/>
      <c r="CF157" s="286"/>
    </row>
    <row r="158" spans="78:84" x14ac:dyDescent="0.25">
      <c r="BZ158" s="286"/>
      <c r="CA158" s="286"/>
      <c r="CB158" s="286"/>
      <c r="CC158" s="286"/>
      <c r="CD158" s="286"/>
      <c r="CE158" s="286"/>
      <c r="CF158" s="286"/>
    </row>
    <row r="159" spans="78:84" x14ac:dyDescent="0.25">
      <c r="BZ159" s="286"/>
      <c r="CA159" s="286"/>
      <c r="CB159" s="286"/>
      <c r="CC159" s="286"/>
      <c r="CD159" s="286"/>
      <c r="CE159" s="286"/>
      <c r="CF159" s="286"/>
    </row>
    <row r="160" spans="78:84" x14ac:dyDescent="0.25">
      <c r="BZ160" s="286"/>
      <c r="CA160" s="286"/>
      <c r="CB160" s="286"/>
      <c r="CC160" s="286"/>
      <c r="CD160" s="286"/>
      <c r="CE160" s="286"/>
      <c r="CF160" s="286"/>
    </row>
    <row r="161" spans="78:84" x14ac:dyDescent="0.25">
      <c r="BZ161" s="286"/>
      <c r="CA161" s="286"/>
      <c r="CB161" s="286"/>
      <c r="CC161" s="286"/>
      <c r="CD161" s="286"/>
      <c r="CE161" s="286"/>
      <c r="CF161" s="286"/>
    </row>
    <row r="162" spans="78:84" x14ac:dyDescent="0.25">
      <c r="BZ162" s="286"/>
      <c r="CA162" s="286"/>
      <c r="CB162" s="286"/>
      <c r="CC162" s="286"/>
      <c r="CD162" s="286"/>
      <c r="CE162" s="286"/>
      <c r="CF162" s="286"/>
    </row>
    <row r="163" spans="78:84" x14ac:dyDescent="0.25">
      <c r="BZ163" s="286"/>
      <c r="CA163" s="286"/>
      <c r="CB163" s="286"/>
      <c r="CC163" s="286"/>
      <c r="CD163" s="286"/>
      <c r="CE163" s="286"/>
      <c r="CF163" s="286"/>
    </row>
    <row r="164" spans="78:84" x14ac:dyDescent="0.25">
      <c r="BZ164" s="286"/>
      <c r="CA164" s="286"/>
      <c r="CB164" s="286"/>
      <c r="CC164" s="286"/>
      <c r="CD164" s="286"/>
      <c r="CE164" s="286"/>
      <c r="CF164" s="286"/>
    </row>
    <row r="165" spans="78:84" x14ac:dyDescent="0.25">
      <c r="BZ165" s="286"/>
      <c r="CA165" s="286"/>
      <c r="CB165" s="286"/>
      <c r="CC165" s="286"/>
      <c r="CD165" s="286"/>
      <c r="CE165" s="286"/>
      <c r="CF165" s="286"/>
    </row>
    <row r="166" spans="78:84" x14ac:dyDescent="0.25">
      <c r="BZ166" s="286"/>
      <c r="CA166" s="286"/>
      <c r="CB166" s="286"/>
      <c r="CC166" s="286"/>
      <c r="CD166" s="286"/>
      <c r="CE166" s="286"/>
      <c r="CF166" s="286"/>
    </row>
    <row r="167" spans="78:84" x14ac:dyDescent="0.25">
      <c r="BZ167" s="286"/>
      <c r="CA167" s="286"/>
      <c r="CB167" s="286"/>
      <c r="CC167" s="286"/>
      <c r="CD167" s="286"/>
      <c r="CE167" s="286"/>
      <c r="CF167" s="286"/>
    </row>
    <row r="168" spans="78:84" x14ac:dyDescent="0.25">
      <c r="BZ168" s="286"/>
      <c r="CA168" s="286"/>
      <c r="CB168" s="286"/>
      <c r="CC168" s="286"/>
      <c r="CD168" s="286"/>
      <c r="CE168" s="286"/>
      <c r="CF168" s="286"/>
    </row>
    <row r="169" spans="78:84" x14ac:dyDescent="0.25">
      <c r="BZ169" s="286"/>
      <c r="CA169" s="286"/>
      <c r="CB169" s="286"/>
      <c r="CC169" s="286"/>
      <c r="CD169" s="286"/>
      <c r="CE169" s="286"/>
      <c r="CF169" s="286"/>
    </row>
    <row r="170" spans="78:84" x14ac:dyDescent="0.25">
      <c r="BZ170" s="286"/>
      <c r="CA170" s="286"/>
      <c r="CB170" s="286"/>
      <c r="CC170" s="286"/>
      <c r="CD170" s="286"/>
      <c r="CE170" s="286"/>
      <c r="CF170" s="286"/>
    </row>
    <row r="171" spans="78:84" x14ac:dyDescent="0.25">
      <c r="BZ171" s="286"/>
      <c r="CA171" s="286"/>
      <c r="CB171" s="286"/>
      <c r="CC171" s="286"/>
      <c r="CD171" s="286"/>
      <c r="CE171" s="286"/>
      <c r="CF171" s="286"/>
    </row>
    <row r="172" spans="78:84" x14ac:dyDescent="0.25">
      <c r="BZ172" s="286"/>
      <c r="CA172" s="286"/>
      <c r="CB172" s="286"/>
      <c r="CC172" s="286"/>
      <c r="CD172" s="286"/>
      <c r="CE172" s="286"/>
      <c r="CF172" s="286"/>
    </row>
    <row r="173" spans="78:84" x14ac:dyDescent="0.25">
      <c r="BZ173" s="286"/>
      <c r="CA173" s="286"/>
      <c r="CB173" s="286"/>
      <c r="CC173" s="286"/>
      <c r="CD173" s="286"/>
      <c r="CE173" s="286"/>
      <c r="CF173" s="286"/>
    </row>
    <row r="174" spans="78:84" x14ac:dyDescent="0.25">
      <c r="BZ174" s="286"/>
      <c r="CA174" s="286"/>
      <c r="CB174" s="286"/>
      <c r="CC174" s="286"/>
      <c r="CD174" s="286"/>
      <c r="CE174" s="286"/>
      <c r="CF174" s="286"/>
    </row>
    <row r="175" spans="78:84" x14ac:dyDescent="0.25">
      <c r="BZ175" s="286"/>
      <c r="CA175" s="286"/>
      <c r="CB175" s="286"/>
      <c r="CC175" s="286"/>
      <c r="CD175" s="286"/>
      <c r="CE175" s="286"/>
      <c r="CF175" s="286"/>
    </row>
    <row r="176" spans="78:84" x14ac:dyDescent="0.25">
      <c r="BZ176" s="286"/>
      <c r="CA176" s="286"/>
      <c r="CB176" s="286"/>
      <c r="CC176" s="286"/>
      <c r="CD176" s="286"/>
      <c r="CE176" s="286"/>
      <c r="CF176" s="286"/>
    </row>
    <row r="177" spans="78:84" x14ac:dyDescent="0.25">
      <c r="BZ177" s="286"/>
      <c r="CA177" s="286"/>
      <c r="CB177" s="286"/>
      <c r="CC177" s="286"/>
      <c r="CD177" s="286"/>
      <c r="CE177" s="286"/>
      <c r="CF177" s="286"/>
    </row>
  </sheetData>
  <mergeCells count="36">
    <mergeCell ref="W1:AF1"/>
    <mergeCell ref="L1:U1"/>
    <mergeCell ref="A1:J1"/>
    <mergeCell ref="A37:J37"/>
    <mergeCell ref="L37:U37"/>
    <mergeCell ref="W37:AF37"/>
    <mergeCell ref="A73:J73"/>
    <mergeCell ref="L73:U73"/>
    <mergeCell ref="W73:AF73"/>
    <mergeCell ref="A109:J109"/>
    <mergeCell ref="L109:U109"/>
    <mergeCell ref="W109:AF109"/>
    <mergeCell ref="AH1:AQ1"/>
    <mergeCell ref="AH37:AQ37"/>
    <mergeCell ref="AH73:AQ73"/>
    <mergeCell ref="AH109:AQ109"/>
    <mergeCell ref="AS1:BB1"/>
    <mergeCell ref="AS37:BB37"/>
    <mergeCell ref="AS73:BB73"/>
    <mergeCell ref="AS109:BB109"/>
    <mergeCell ref="BD1:BM1"/>
    <mergeCell ref="BD37:BM37"/>
    <mergeCell ref="BD73:BM73"/>
    <mergeCell ref="BD109:BM109"/>
    <mergeCell ref="BO1:BX1"/>
    <mergeCell ref="BO37:BX37"/>
    <mergeCell ref="BO73:BX73"/>
    <mergeCell ref="BO109:BX109"/>
    <mergeCell ref="BZ1:CI1"/>
    <mergeCell ref="BZ37:CI37"/>
    <mergeCell ref="BZ73:CI73"/>
    <mergeCell ref="BZ109:CI109"/>
    <mergeCell ref="CK1:CT1"/>
    <mergeCell ref="CK37:CT37"/>
    <mergeCell ref="CK73:CT73"/>
    <mergeCell ref="CK109:CT109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2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G36"/>
  <sheetViews>
    <sheetView showGridLines="0" zoomScale="85" zoomScaleNormal="85" workbookViewId="0"/>
  </sheetViews>
  <sheetFormatPr defaultColWidth="9.109375" defaultRowHeight="13.2" x14ac:dyDescent="0.25"/>
  <cols>
    <col min="1" max="1" width="55.6640625" style="123" customWidth="1"/>
    <col min="2" max="4" width="11.6640625" style="123" customWidth="1"/>
    <col min="5" max="5" width="14.6640625" style="123" customWidth="1"/>
    <col min="6" max="8" width="11.6640625" style="123" customWidth="1"/>
    <col min="9" max="9" width="16.5546875" style="123" customWidth="1"/>
    <col min="10" max="11" width="11.6640625" style="123" customWidth="1"/>
    <col min="12" max="12" width="2.6640625" style="123" customWidth="1"/>
    <col min="13" max="22" width="11.6640625" style="123" customWidth="1"/>
    <col min="23" max="23" width="2.6640625" style="123" customWidth="1"/>
    <col min="24" max="32" width="11.6640625" style="123" customWidth="1"/>
    <col min="33" max="33" width="12.88671875" style="123" customWidth="1"/>
    <col min="34" max="16384" width="9.109375" style="123"/>
  </cols>
  <sheetData>
    <row r="1" spans="1:33" ht="15.6" x14ac:dyDescent="0.3">
      <c r="A1" s="23" t="str">
        <f>CONCATENATE("Basic Table 3  Occupation by Qualification in ",A$6,", ",Info!B5)</f>
        <v>Basic Table 3  Occupation by Qualification in 2017, United Kingdom</v>
      </c>
    </row>
    <row r="2" spans="1:33" ht="15.6" x14ac:dyDescent="0.3">
      <c r="A2" s="23"/>
    </row>
    <row r="3" spans="1:33" x14ac:dyDescent="0.25">
      <c r="AG3" s="124"/>
    </row>
    <row r="4" spans="1:33" x14ac:dyDescent="0.25">
      <c r="A4" s="132"/>
      <c r="B4" s="131" t="s">
        <v>518</v>
      </c>
      <c r="C4" s="130"/>
      <c r="D4" s="130"/>
      <c r="E4" s="130"/>
      <c r="F4" s="130"/>
      <c r="G4" s="130"/>
      <c r="H4" s="130"/>
      <c r="I4" s="130"/>
      <c r="J4" s="130"/>
      <c r="K4" s="130"/>
      <c r="L4" s="132"/>
      <c r="M4" s="131" t="s">
        <v>516</v>
      </c>
      <c r="N4" s="130"/>
      <c r="O4" s="130"/>
      <c r="P4" s="130"/>
      <c r="Q4" s="130"/>
      <c r="R4" s="130"/>
      <c r="S4" s="130"/>
      <c r="T4" s="130"/>
      <c r="U4" s="130"/>
      <c r="V4" s="130"/>
      <c r="W4" s="132"/>
      <c r="X4" s="131" t="s">
        <v>517</v>
      </c>
      <c r="Y4" s="130"/>
      <c r="Z4" s="130"/>
      <c r="AA4" s="130"/>
      <c r="AB4" s="130"/>
      <c r="AC4" s="130"/>
      <c r="AD4" s="130"/>
      <c r="AE4" s="130"/>
      <c r="AF4" s="130"/>
    </row>
    <row r="5" spans="1:33" x14ac:dyDescent="0.25">
      <c r="A5" s="129"/>
      <c r="B5" s="124"/>
      <c r="C5" s="124"/>
      <c r="D5" s="124"/>
      <c r="E5" s="124"/>
      <c r="F5" s="124"/>
      <c r="G5" s="124"/>
      <c r="H5" s="124"/>
      <c r="I5" s="124"/>
      <c r="J5" s="124"/>
      <c r="K5" s="124"/>
      <c r="L5" s="129"/>
      <c r="M5" s="124"/>
      <c r="N5" s="124"/>
      <c r="O5" s="124"/>
      <c r="P5" s="124"/>
      <c r="Q5" s="124"/>
      <c r="R5" s="124"/>
      <c r="S5" s="124"/>
      <c r="T5" s="124"/>
      <c r="U5" s="124"/>
      <c r="V5" s="124"/>
      <c r="W5" s="129"/>
      <c r="X5" s="124"/>
      <c r="Y5" s="124"/>
      <c r="Z5" s="124"/>
      <c r="AA5" s="124"/>
      <c r="AB5" s="124"/>
      <c r="AC5" s="124"/>
      <c r="AD5" s="124"/>
      <c r="AE5" s="124"/>
      <c r="AF5" s="124"/>
      <c r="AG5" s="124"/>
    </row>
    <row r="6" spans="1:33" ht="52.8" x14ac:dyDescent="0.25">
      <c r="A6" s="136">
        <f>'Basic T2'!D6</f>
        <v>2017</v>
      </c>
      <c r="B6" s="346" t="str">
        <f>name!$F$4</f>
        <v>RQF8 Doctorate</v>
      </c>
      <c r="C6" s="346" t="str">
        <f>name!$F$5</f>
        <v>RQF7 Other higher degree</v>
      </c>
      <c r="D6" s="346" t="str">
        <f>name!$F$6</f>
        <v>RQF6 First degree</v>
      </c>
      <c r="E6" s="346" t="str">
        <f>name!$F$7</f>
        <v>RQF5 Foundation degree;Nursing;Teaching</v>
      </c>
      <c r="F6" s="346" t="str">
        <f>name!$F$8</f>
        <v>RQF4 HE below degree level</v>
      </c>
      <c r="G6" s="346" t="str">
        <f>name!$F$9</f>
        <v>RQF3 A level &amp; equivalent</v>
      </c>
      <c r="H6" s="346" t="str">
        <f>name!$F$10</f>
        <v>RQF2 GCSE(A-C) &amp; equivalent</v>
      </c>
      <c r="I6" s="346" t="str">
        <f>name!$F$11</f>
        <v>RQF1 GCSE(below grade C) &amp; equivalent</v>
      </c>
      <c r="J6" s="346" t="str">
        <f>name!$F$12</f>
        <v>No Qualification</v>
      </c>
      <c r="K6" s="346" t="str">
        <f>name!$F$3</f>
        <v>All qualifications</v>
      </c>
      <c r="L6" s="124"/>
      <c r="M6" s="346" t="str">
        <f>name!$F$4</f>
        <v>RQF8 Doctorate</v>
      </c>
      <c r="N6" s="346" t="str">
        <f>name!$F$5</f>
        <v>RQF7 Other higher degree</v>
      </c>
      <c r="O6" s="346" t="str">
        <f>name!$F$6</f>
        <v>RQF6 First degree</v>
      </c>
      <c r="P6" s="346" t="str">
        <f>name!$F$7</f>
        <v>RQF5 Foundation degree;Nursing;Teaching</v>
      </c>
      <c r="Q6" s="346" t="str">
        <f>name!$F$8</f>
        <v>RQF4 HE below degree level</v>
      </c>
      <c r="R6" s="346" t="str">
        <f>name!$F$9</f>
        <v>RQF3 A level &amp; equivalent</v>
      </c>
      <c r="S6" s="346" t="str">
        <f>name!$F$10</f>
        <v>RQF2 GCSE(A-C) &amp; equivalent</v>
      </c>
      <c r="T6" s="346" t="str">
        <f>name!$F$11</f>
        <v>RQF1 GCSE(below grade C) &amp; equivalent</v>
      </c>
      <c r="U6" s="346" t="str">
        <f>name!$F$12</f>
        <v>No Qualification</v>
      </c>
      <c r="V6" s="346" t="str">
        <f>name!$F$3</f>
        <v>All qualifications</v>
      </c>
      <c r="W6" s="124"/>
      <c r="X6" s="346" t="str">
        <f>name!$F$4</f>
        <v>RQF8 Doctorate</v>
      </c>
      <c r="Y6" s="346" t="str">
        <f>name!$F$5</f>
        <v>RQF7 Other higher degree</v>
      </c>
      <c r="Z6" s="346" t="str">
        <f>name!$F$6</f>
        <v>RQF6 First degree</v>
      </c>
      <c r="AA6" s="346" t="str">
        <f>name!$F$7</f>
        <v>RQF5 Foundation degree;Nursing;Teaching</v>
      </c>
      <c r="AB6" s="346" t="str">
        <f>name!$F$8</f>
        <v>RQF4 HE below degree level</v>
      </c>
      <c r="AC6" s="346" t="str">
        <f>name!$F$9</f>
        <v>RQF3 A level &amp; equivalent</v>
      </c>
      <c r="AD6" s="346" t="str">
        <f>name!$F$10</f>
        <v>RQF2 GCSE(A-C) &amp; equivalent</v>
      </c>
      <c r="AE6" s="346" t="str">
        <f>name!$F$11</f>
        <v>RQF1 GCSE(below grade C) &amp; equivalent</v>
      </c>
      <c r="AF6" s="346" t="str">
        <f>name!$F$12</f>
        <v>No Qualification</v>
      </c>
      <c r="AG6" s="346" t="str">
        <f>name!$F$3</f>
        <v>All qualifications</v>
      </c>
    </row>
    <row r="8" spans="1:33" x14ac:dyDescent="0.25">
      <c r="A8" s="12" t="str">
        <f>name!D4</f>
        <v xml:space="preserve"> 11 Corporate managers and directors</v>
      </c>
      <c r="B8" s="84">
        <f>'Basic T2'!D8</f>
        <v>41.264513599111396</v>
      </c>
      <c r="C8" s="84">
        <f>'Basic T2'!O8</f>
        <v>345.93872689942737</v>
      </c>
      <c r="D8" s="84">
        <f>'Basic T2'!Z8</f>
        <v>729.86031263428833</v>
      </c>
      <c r="E8" s="84">
        <f>'Basic T2'!AK8</f>
        <v>135.94376753416847</v>
      </c>
      <c r="F8" s="84">
        <f>'Basic T2'!AV8</f>
        <v>201.57645332871192</v>
      </c>
      <c r="G8" s="84">
        <f>'Basic T2'!BG8</f>
        <v>441.48183103513355</v>
      </c>
      <c r="H8" s="84">
        <f>'Basic T2'!BR8</f>
        <v>346.78343073155918</v>
      </c>
      <c r="I8" s="84">
        <f>'Basic T2'!CC8</f>
        <v>235.86216922104626</v>
      </c>
      <c r="J8" s="84">
        <f>'Basic T2'!CN8</f>
        <v>47.289272129398533</v>
      </c>
      <c r="K8" s="448">
        <f>SUM(B8:J8)</f>
        <v>2526.0004771128451</v>
      </c>
      <c r="L8" s="133"/>
      <c r="M8" s="133">
        <f t="shared" ref="M8:M32" si="0">B8/B$34*100</f>
        <v>7.5201812567801989</v>
      </c>
      <c r="N8" s="133">
        <f t="shared" ref="N8:N32" si="1">C8/C$34*100</f>
        <v>9.010242084622309</v>
      </c>
      <c r="O8" s="133">
        <f t="shared" ref="O8:O32" si="2">D8/D$34*100</f>
        <v>10.654052859253856</v>
      </c>
      <c r="P8" s="133">
        <f t="shared" ref="P8:U23" si="3">E8/E$34*100</f>
        <v>6.9142911441465378</v>
      </c>
      <c r="Q8" s="133">
        <f t="shared" si="3"/>
        <v>10.663189083521106</v>
      </c>
      <c r="R8" s="133">
        <f t="shared" si="3"/>
        <v>6.3828730150314481</v>
      </c>
      <c r="S8" s="133">
        <f t="shared" si="3"/>
        <v>5.135424309261051</v>
      </c>
      <c r="T8" s="133">
        <f t="shared" si="3"/>
        <v>5.2685256634906921</v>
      </c>
      <c r="U8" s="133">
        <f t="shared" si="3"/>
        <v>2.9434985907426707</v>
      </c>
      <c r="V8" s="133">
        <f t="shared" ref="V8:V32" si="4">K8/K$34*100</f>
        <v>7.2486256227126216</v>
      </c>
      <c r="W8" s="133"/>
      <c r="X8" s="133">
        <f t="shared" ref="X8:X32" si="5">IF($K8&gt;0,B8/$K8*100,0)</f>
        <v>1.6335908869770166</v>
      </c>
      <c r="Y8" s="133">
        <f t="shared" ref="Y8:AG23" si="6">IF($K8&gt;0,C8/$K8*100,0)</f>
        <v>13.695117243003319</v>
      </c>
      <c r="Z8" s="133">
        <f t="shared" si="6"/>
        <v>28.893910323742311</v>
      </c>
      <c r="AA8" s="133">
        <f t="shared" si="6"/>
        <v>5.3817791709029592</v>
      </c>
      <c r="AB8" s="133">
        <f t="shared" si="6"/>
        <v>7.9800639451623825</v>
      </c>
      <c r="AC8" s="133">
        <f t="shared" si="6"/>
        <v>17.477503865705369</v>
      </c>
      <c r="AD8" s="133">
        <f t="shared" si="6"/>
        <v>13.72855761008897</v>
      </c>
      <c r="AE8" s="133">
        <f t="shared" si="6"/>
        <v>9.3373762736035086</v>
      </c>
      <c r="AF8" s="133">
        <f>IF($K8&gt;0,J8/$K8*100,0)</f>
        <v>1.8721006808141611</v>
      </c>
      <c r="AG8" s="133">
        <f t="shared" si="6"/>
        <v>100</v>
      </c>
    </row>
    <row r="9" spans="1:33" x14ac:dyDescent="0.25">
      <c r="A9" s="12" t="str">
        <f>name!D5</f>
        <v xml:space="preserve"> 12 Other managers and proprietors</v>
      </c>
      <c r="B9" s="84">
        <f>'Basic T2'!D9</f>
        <v>13.641689163493639</v>
      </c>
      <c r="C9" s="84">
        <f>'Basic T2'!O9</f>
        <v>105.00278288414242</v>
      </c>
      <c r="D9" s="84">
        <f>'Basic T2'!Z9</f>
        <v>217.18042599025841</v>
      </c>
      <c r="E9" s="84">
        <f>'Basic T2'!AK9</f>
        <v>70.311757529438808</v>
      </c>
      <c r="F9" s="84">
        <f>'Basic T2'!AV9</f>
        <v>72.959532687074983</v>
      </c>
      <c r="G9" s="84">
        <f>'Basic T2'!BG9</f>
        <v>181.33747970741746</v>
      </c>
      <c r="H9" s="84">
        <f>'Basic T2'!BR9</f>
        <v>195.71721028801622</v>
      </c>
      <c r="I9" s="84">
        <f>'Basic T2'!CC9</f>
        <v>132.99403305395043</v>
      </c>
      <c r="J9" s="84">
        <f>'Basic T2'!CN9</f>
        <v>51.278968351548301</v>
      </c>
      <c r="K9" s="448">
        <f>SUM(B9:J9)</f>
        <v>1040.4238796553404</v>
      </c>
      <c r="L9" s="133"/>
      <c r="M9" s="133">
        <f t="shared" si="0"/>
        <v>2.4861064922460536</v>
      </c>
      <c r="N9" s="133">
        <f t="shared" si="1"/>
        <v>2.7348788088134843</v>
      </c>
      <c r="O9" s="133">
        <f t="shared" si="2"/>
        <v>3.1702665543548827</v>
      </c>
      <c r="P9" s="133">
        <f t="shared" si="3"/>
        <v>3.5761548413242679</v>
      </c>
      <c r="Q9" s="133">
        <f t="shared" si="3"/>
        <v>3.8594849727758658</v>
      </c>
      <c r="R9" s="133">
        <f t="shared" si="3"/>
        <v>2.6217479961166883</v>
      </c>
      <c r="S9" s="133">
        <f t="shared" si="3"/>
        <v>2.8983245172168108</v>
      </c>
      <c r="T9" s="133">
        <f t="shared" si="3"/>
        <v>2.9707285341686092</v>
      </c>
      <c r="U9" s="133">
        <f>J9/J$34*100</f>
        <v>3.1918353630925345</v>
      </c>
      <c r="V9" s="133">
        <f t="shared" si="4"/>
        <v>2.9856064006653247</v>
      </c>
      <c r="W9" s="133"/>
      <c r="X9" s="133">
        <f t="shared" si="5"/>
        <v>1.3111664803399843</v>
      </c>
      <c r="Y9" s="133">
        <f t="shared" si="6"/>
        <v>10.092308042653396</v>
      </c>
      <c r="Z9" s="133">
        <f t="shared" si="6"/>
        <v>20.874225422642493</v>
      </c>
      <c r="AA9" s="133">
        <f t="shared" si="6"/>
        <v>6.7579915171430773</v>
      </c>
      <c r="AB9" s="133">
        <f t="shared" si="6"/>
        <v>7.0124815581168871</v>
      </c>
      <c r="AC9" s="133">
        <f t="shared" si="6"/>
        <v>17.429192394881291</v>
      </c>
      <c r="AD9" s="133">
        <f t="shared" si="6"/>
        <v>18.811295483995536</v>
      </c>
      <c r="AE9" s="133">
        <f t="shared" si="6"/>
        <v>12.782677873368991</v>
      </c>
      <c r="AF9" s="133">
        <f t="shared" si="6"/>
        <v>4.9286612268583649</v>
      </c>
      <c r="AG9" s="133">
        <f t="shared" si="6"/>
        <v>100</v>
      </c>
    </row>
    <row r="10" spans="1:33" x14ac:dyDescent="0.25">
      <c r="A10" s="12" t="str">
        <f>name!D6</f>
        <v xml:space="preserve"> 21 Science, research, engineering and technology professionals</v>
      </c>
      <c r="B10" s="84">
        <f>'Basic T2'!D10</f>
        <v>96.660518859770931</v>
      </c>
      <c r="C10" s="84">
        <f>'Basic T2'!O10</f>
        <v>379.18222475223979</v>
      </c>
      <c r="D10" s="84">
        <f>'Basic T2'!Z10</f>
        <v>589.77124498257479</v>
      </c>
      <c r="E10" s="84">
        <f>'Basic T2'!AK10</f>
        <v>58.957197501439296</v>
      </c>
      <c r="F10" s="84">
        <f>'Basic T2'!AV10</f>
        <v>158.93864202022169</v>
      </c>
      <c r="G10" s="84">
        <f>'Basic T2'!BG10</f>
        <v>208.22512862073785</v>
      </c>
      <c r="H10" s="84">
        <f>'Basic T2'!BR10</f>
        <v>153.61505345568193</v>
      </c>
      <c r="I10" s="84">
        <f>'Basic T2'!CC10</f>
        <v>89.744973131015556</v>
      </c>
      <c r="J10" s="84">
        <f>'Basic T2'!CN10</f>
        <v>18.948354150061572</v>
      </c>
      <c r="K10" s="448">
        <f t="shared" ref="K10:K32" si="7">SUM(B10:J10)</f>
        <v>1754.0433374737433</v>
      </c>
      <c r="L10" s="133"/>
      <c r="M10" s="133">
        <f t="shared" si="0"/>
        <v>17.615732230890799</v>
      </c>
      <c r="N10" s="133">
        <f t="shared" si="1"/>
        <v>9.8760947345354921</v>
      </c>
      <c r="O10" s="133">
        <f t="shared" si="2"/>
        <v>8.6091186356378326</v>
      </c>
      <c r="P10" s="133">
        <f t="shared" si="3"/>
        <v>2.9986459545888415</v>
      </c>
      <c r="Q10" s="133">
        <f t="shared" si="3"/>
        <v>8.4076922902100488</v>
      </c>
      <c r="R10" s="133">
        <f t="shared" si="3"/>
        <v>3.0104852818257681</v>
      </c>
      <c r="S10" s="133">
        <f t="shared" si="3"/>
        <v>2.2748447874818045</v>
      </c>
      <c r="T10" s="133">
        <f t="shared" si="3"/>
        <v>2.0046610088916599</v>
      </c>
      <c r="U10" s="133">
        <f t="shared" si="3"/>
        <v>1.1794314275969946</v>
      </c>
      <c r="V10" s="133">
        <f t="shared" si="4"/>
        <v>5.0334129366011764</v>
      </c>
      <c r="W10" s="133"/>
      <c r="X10" s="133">
        <f t="shared" si="5"/>
        <v>5.5107258067515028</v>
      </c>
      <c r="Y10" s="133">
        <f t="shared" si="6"/>
        <v>21.617608678834362</v>
      </c>
      <c r="Z10" s="133">
        <f t="shared" si="6"/>
        <v>33.623527559586492</v>
      </c>
      <c r="AA10" s="133">
        <f t="shared" si="6"/>
        <v>3.3612166952700417</v>
      </c>
      <c r="AB10" s="133">
        <f t="shared" si="6"/>
        <v>9.0612722402362476</v>
      </c>
      <c r="AC10" s="133">
        <f t="shared" si="6"/>
        <v>11.871150739105088</v>
      </c>
      <c r="AD10" s="133">
        <f t="shared" si="6"/>
        <v>8.7577684184773705</v>
      </c>
      <c r="AE10" s="133">
        <f t="shared" si="6"/>
        <v>5.1164627015584765</v>
      </c>
      <c r="AF10" s="133">
        <f t="shared" si="6"/>
        <v>1.0802671601804259</v>
      </c>
      <c r="AG10" s="133">
        <f t="shared" si="6"/>
        <v>100</v>
      </c>
    </row>
    <row r="11" spans="1:33" x14ac:dyDescent="0.25">
      <c r="A11" s="12" t="str">
        <f>name!D7</f>
        <v xml:space="preserve"> 22 Health professionals</v>
      </c>
      <c r="B11" s="84">
        <f>'Basic T2'!D11</f>
        <v>98.550187866531402</v>
      </c>
      <c r="C11" s="84">
        <f>'Basic T2'!O11</f>
        <v>288.42624430102529</v>
      </c>
      <c r="D11" s="84">
        <f>'Basic T2'!Z11</f>
        <v>555.63112764232471</v>
      </c>
      <c r="E11" s="84">
        <f>'Basic T2'!AK11</f>
        <v>245.25492329758555</v>
      </c>
      <c r="F11" s="84">
        <f>'Basic T2'!AV11</f>
        <v>38.398071407078191</v>
      </c>
      <c r="G11" s="84">
        <f>'Basic T2'!BG11</f>
        <v>143.62806618839542</v>
      </c>
      <c r="H11" s="84">
        <f>'Basic T2'!BR11</f>
        <v>103.15522448488458</v>
      </c>
      <c r="I11" s="84">
        <f>'Basic T2'!CC11</f>
        <v>62.17840648135126</v>
      </c>
      <c r="J11" s="84">
        <f>'Basic T2'!CN11</f>
        <v>7.7786406004750894</v>
      </c>
      <c r="K11" s="448">
        <f t="shared" si="7"/>
        <v>1543.0008922696516</v>
      </c>
      <c r="L11" s="133"/>
      <c r="M11" s="133">
        <f t="shared" si="0"/>
        <v>17.960111752341515</v>
      </c>
      <c r="N11" s="133">
        <f t="shared" si="1"/>
        <v>7.5122849297707681</v>
      </c>
      <c r="O11" s="133">
        <f t="shared" si="2"/>
        <v>8.1107621577368239</v>
      </c>
      <c r="P11" s="133">
        <f t="shared" si="3"/>
        <v>12.474010210057012</v>
      </c>
      <c r="Q11" s="133">
        <f t="shared" si="3"/>
        <v>2.0312188705321361</v>
      </c>
      <c r="R11" s="133">
        <f t="shared" si="3"/>
        <v>2.0765513854229334</v>
      </c>
      <c r="S11" s="133">
        <f t="shared" si="3"/>
        <v>1.5275984966450917</v>
      </c>
      <c r="T11" s="133">
        <f t="shared" si="3"/>
        <v>1.3888981490496866</v>
      </c>
      <c r="U11" s="133">
        <f t="shared" si="3"/>
        <v>0.48417784022431654</v>
      </c>
      <c r="V11" s="133">
        <f t="shared" si="4"/>
        <v>4.4278043115644978</v>
      </c>
      <c r="W11" s="133"/>
      <c r="X11" s="133">
        <f t="shared" si="5"/>
        <v>6.3869171016207673</v>
      </c>
      <c r="Y11" s="133">
        <f t="shared" si="6"/>
        <v>18.692552009919417</v>
      </c>
      <c r="Z11" s="133">
        <f t="shared" si="6"/>
        <v>36.009773579912085</v>
      </c>
      <c r="AA11" s="133">
        <f t="shared" si="6"/>
        <v>15.894671514857773</v>
      </c>
      <c r="AB11" s="133">
        <f t="shared" si="6"/>
        <v>2.4885320286884078</v>
      </c>
      <c r="AC11" s="133">
        <f t="shared" si="6"/>
        <v>9.3083592438581224</v>
      </c>
      <c r="AD11" s="133">
        <f t="shared" si="6"/>
        <v>6.685363890694199</v>
      </c>
      <c r="AE11" s="133">
        <f t="shared" si="6"/>
        <v>4.0297064501298481</v>
      </c>
      <c r="AF11" s="133">
        <f t="shared" si="6"/>
        <v>0.50412418031937933</v>
      </c>
      <c r="AG11" s="133">
        <f t="shared" si="6"/>
        <v>100</v>
      </c>
    </row>
    <row r="12" spans="1:33" x14ac:dyDescent="0.25">
      <c r="A12" s="12" t="str">
        <f>name!D8</f>
        <v xml:space="preserve"> 23 Teaching and educational professionals</v>
      </c>
      <c r="B12" s="84">
        <f>'Basic T2'!D12</f>
        <v>150.19196571200069</v>
      </c>
      <c r="C12" s="84">
        <f>'Basic T2'!O12</f>
        <v>853.9183878252046</v>
      </c>
      <c r="D12" s="84">
        <f>'Basic T2'!Z12</f>
        <v>482.45605429599721</v>
      </c>
      <c r="E12" s="84">
        <f>'Basic T2'!AK12</f>
        <v>56.852544902931591</v>
      </c>
      <c r="F12" s="84">
        <f>'Basic T2'!AV12</f>
        <v>17.827690148872986</v>
      </c>
      <c r="G12" s="84">
        <f>'Basic T2'!BG12</f>
        <v>63.813797724530666</v>
      </c>
      <c r="H12" s="84">
        <f>'Basic T2'!BR12</f>
        <v>48.48233201319136</v>
      </c>
      <c r="I12" s="84">
        <f>'Basic T2'!CC12</f>
        <v>38.500008443979162</v>
      </c>
      <c r="J12" s="84">
        <f>'Basic T2'!CN12</f>
        <v>8.6965410625032966</v>
      </c>
      <c r="K12" s="448">
        <f t="shared" si="7"/>
        <v>1720.7393221292114</v>
      </c>
      <c r="L12" s="133"/>
      <c r="M12" s="133">
        <f t="shared" si="0"/>
        <v>27.371479921931861</v>
      </c>
      <c r="N12" s="133">
        <f t="shared" si="1"/>
        <v>22.240965802745542</v>
      </c>
      <c r="O12" s="133">
        <f t="shared" si="2"/>
        <v>7.0425973515183609</v>
      </c>
      <c r="P12" s="133">
        <f t="shared" si="3"/>
        <v>2.8916003644354769</v>
      </c>
      <c r="Q12" s="133">
        <f t="shared" si="3"/>
        <v>0.94306665208491358</v>
      </c>
      <c r="R12" s="133">
        <f t="shared" si="3"/>
        <v>0.92260958175234054</v>
      </c>
      <c r="S12" s="133">
        <f t="shared" si="3"/>
        <v>0.71796206025465648</v>
      </c>
      <c r="T12" s="133">
        <f t="shared" si="3"/>
        <v>0.85998650483713535</v>
      </c>
      <c r="U12" s="133">
        <f t="shared" si="3"/>
        <v>0.54131212448711896</v>
      </c>
      <c r="V12" s="133">
        <f t="shared" si="4"/>
        <v>4.9378435409684753</v>
      </c>
      <c r="W12" s="133"/>
      <c r="X12" s="133">
        <f t="shared" si="5"/>
        <v>8.7283392539757791</v>
      </c>
      <c r="Y12" s="133">
        <f t="shared" si="6"/>
        <v>49.625087126420844</v>
      </c>
      <c r="Z12" s="133">
        <f t="shared" si="6"/>
        <v>28.03771890904515</v>
      </c>
      <c r="AA12" s="133">
        <f t="shared" si="6"/>
        <v>3.3039603484264712</v>
      </c>
      <c r="AB12" s="133">
        <f t="shared" si="6"/>
        <v>1.0360482799226862</v>
      </c>
      <c r="AC12" s="133">
        <f t="shared" si="6"/>
        <v>3.7085104584911002</v>
      </c>
      <c r="AD12" s="133">
        <f t="shared" si="6"/>
        <v>2.8175291509698406</v>
      </c>
      <c r="AE12" s="133">
        <f t="shared" si="6"/>
        <v>2.2374108587429711</v>
      </c>
      <c r="AF12" s="133">
        <f t="shared" si="6"/>
        <v>0.50539561400516819</v>
      </c>
      <c r="AG12" s="133">
        <f t="shared" si="6"/>
        <v>100</v>
      </c>
    </row>
    <row r="13" spans="1:33" x14ac:dyDescent="0.25">
      <c r="A13" s="12" t="str">
        <f>name!D9</f>
        <v xml:space="preserve"> 24 Business, media and public service professionals</v>
      </c>
      <c r="B13" s="84">
        <f>'Basic T2'!D13</f>
        <v>39.36922863308672</v>
      </c>
      <c r="C13" s="84">
        <f>'Basic T2'!O13</f>
        <v>506.26008850138811</v>
      </c>
      <c r="D13" s="84">
        <f>'Basic T2'!Z13</f>
        <v>742.65597727593195</v>
      </c>
      <c r="E13" s="84">
        <f>'Basic T2'!AK13</f>
        <v>51.790567386856445</v>
      </c>
      <c r="F13" s="84">
        <f>'Basic T2'!AV13</f>
        <v>99.152721494306874</v>
      </c>
      <c r="G13" s="84">
        <f>'Basic T2'!BG13</f>
        <v>192.97789898630933</v>
      </c>
      <c r="H13" s="84">
        <f>'Basic T2'!BR13</f>
        <v>126.25386239059122</v>
      </c>
      <c r="I13" s="84">
        <f>'Basic T2'!CC13</f>
        <v>78.306832612832423</v>
      </c>
      <c r="J13" s="84">
        <f>'Basic T2'!CN13</f>
        <v>18.941109410272087</v>
      </c>
      <c r="K13" s="448">
        <f t="shared" si="7"/>
        <v>1855.7082866915753</v>
      </c>
      <c r="L13" s="133"/>
      <c r="M13" s="133">
        <f t="shared" si="0"/>
        <v>7.1747782643634173</v>
      </c>
      <c r="N13" s="133">
        <f t="shared" si="1"/>
        <v>13.18593612245664</v>
      </c>
      <c r="O13" s="133">
        <f t="shared" si="2"/>
        <v>10.8408361177781</v>
      </c>
      <c r="P13" s="133">
        <f t="shared" si="3"/>
        <v>2.634141071184168</v>
      </c>
      <c r="Q13" s="133">
        <f t="shared" si="3"/>
        <v>5.2450779839616581</v>
      </c>
      <c r="R13" s="133">
        <f t="shared" si="3"/>
        <v>2.7900432981559198</v>
      </c>
      <c r="S13" s="133">
        <f t="shared" si="3"/>
        <v>1.8696601296404929</v>
      </c>
      <c r="T13" s="133">
        <f t="shared" si="3"/>
        <v>1.749163753601924</v>
      </c>
      <c r="U13" s="133">
        <f t="shared" si="3"/>
        <v>1.1789804821626413</v>
      </c>
      <c r="V13" s="133">
        <f t="shared" si="4"/>
        <v>5.3251512646455357</v>
      </c>
      <c r="W13" s="133"/>
      <c r="X13" s="133">
        <f t="shared" si="5"/>
        <v>2.1215203335258921</v>
      </c>
      <c r="Y13" s="133">
        <f t="shared" si="6"/>
        <v>27.281232299930458</v>
      </c>
      <c r="Z13" s="133">
        <f t="shared" si="6"/>
        <v>40.020081960186005</v>
      </c>
      <c r="AA13" s="133">
        <f t="shared" si="6"/>
        <v>2.7908787042811865</v>
      </c>
      <c r="AB13" s="133">
        <f t="shared" si="6"/>
        <v>5.3431200477678509</v>
      </c>
      <c r="AC13" s="133">
        <f t="shared" si="6"/>
        <v>10.399150576104685</v>
      </c>
      <c r="AD13" s="133">
        <f t="shared" si="6"/>
        <v>6.8035403676340342</v>
      </c>
      <c r="AE13" s="133">
        <f t="shared" si="6"/>
        <v>4.2197813726661053</v>
      </c>
      <c r="AF13" s="133">
        <f t="shared" si="6"/>
        <v>1.0206943379037765</v>
      </c>
      <c r="AG13" s="133">
        <f t="shared" si="6"/>
        <v>100</v>
      </c>
    </row>
    <row r="14" spans="1:33" x14ac:dyDescent="0.25">
      <c r="A14" s="12" t="str">
        <f>name!D10</f>
        <v xml:space="preserve"> 31 Science, engineering and technology associate professionals</v>
      </c>
      <c r="B14" s="84">
        <f>'Basic T2'!D14</f>
        <v>14.545339003139937</v>
      </c>
      <c r="C14" s="84">
        <f>'Basic T2'!O14</f>
        <v>80.897460692186058</v>
      </c>
      <c r="D14" s="84">
        <f>'Basic T2'!Z14</f>
        <v>182.0275485159527</v>
      </c>
      <c r="E14" s="84">
        <f>'Basic T2'!AK14</f>
        <v>28.983888254112202</v>
      </c>
      <c r="F14" s="84">
        <f>'Basic T2'!AV14</f>
        <v>75.229765015101933</v>
      </c>
      <c r="G14" s="84">
        <f>'Basic T2'!BG14</f>
        <v>118.10905033639871</v>
      </c>
      <c r="H14" s="84">
        <f>'Basic T2'!BR14</f>
        <v>88.933349650914721</v>
      </c>
      <c r="I14" s="84">
        <f>'Basic T2'!CC14</f>
        <v>68.832056325736616</v>
      </c>
      <c r="J14" s="84">
        <f>'Basic T2'!CN14</f>
        <v>13.591864051438323</v>
      </c>
      <c r="K14" s="448">
        <f t="shared" si="7"/>
        <v>671.15032184498114</v>
      </c>
      <c r="L14" s="133"/>
      <c r="M14" s="133">
        <f t="shared" si="0"/>
        <v>2.6507906238178083</v>
      </c>
      <c r="N14" s="133">
        <f t="shared" si="1"/>
        <v>2.1070370218472942</v>
      </c>
      <c r="O14" s="133">
        <f t="shared" si="2"/>
        <v>2.6571264256439955</v>
      </c>
      <c r="P14" s="133">
        <f t="shared" si="3"/>
        <v>1.4741613059088645</v>
      </c>
      <c r="Q14" s="133">
        <f t="shared" si="3"/>
        <v>3.9795779507875273</v>
      </c>
      <c r="R14" s="133">
        <f t="shared" si="3"/>
        <v>1.7076015754840796</v>
      </c>
      <c r="S14" s="133">
        <f t="shared" si="3"/>
        <v>1.3169905053937088</v>
      </c>
      <c r="T14" s="133">
        <f t="shared" si="3"/>
        <v>1.5375227677276067</v>
      </c>
      <c r="U14" s="133">
        <f t="shared" si="3"/>
        <v>0.84601921068907604</v>
      </c>
      <c r="V14" s="133">
        <f t="shared" si="4"/>
        <v>1.9259368569786777</v>
      </c>
      <c r="W14" s="133"/>
      <c r="X14" s="133">
        <f t="shared" si="5"/>
        <v>2.167225214636721</v>
      </c>
      <c r="Y14" s="133">
        <f t="shared" si="6"/>
        <v>12.053553139898716</v>
      </c>
      <c r="Z14" s="133">
        <f t="shared" si="6"/>
        <v>27.121725579384659</v>
      </c>
      <c r="AA14" s="133">
        <f t="shared" si="6"/>
        <v>4.3185389786353632</v>
      </c>
      <c r="AB14" s="133">
        <f t="shared" si="6"/>
        <v>11.209078289390751</v>
      </c>
      <c r="AC14" s="133">
        <f t="shared" si="6"/>
        <v>17.598002487984939</v>
      </c>
      <c r="AD14" s="133">
        <f t="shared" si="6"/>
        <v>13.250883856605835</v>
      </c>
      <c r="AE14" s="133">
        <f t="shared" si="6"/>
        <v>10.255833020614284</v>
      </c>
      <c r="AF14" s="133">
        <f t="shared" si="6"/>
        <v>2.0251594328487417</v>
      </c>
      <c r="AG14" s="133">
        <f t="shared" si="6"/>
        <v>100</v>
      </c>
    </row>
    <row r="15" spans="1:33" x14ac:dyDescent="0.25">
      <c r="A15" s="12" t="str">
        <f>name!D11</f>
        <v xml:space="preserve"> 32 Health and social care associate professionals</v>
      </c>
      <c r="B15" s="84">
        <f>'Basic T2'!D15</f>
        <v>3.0863500176622636</v>
      </c>
      <c r="C15" s="84">
        <f>'Basic T2'!O15</f>
        <v>69.709386409747182</v>
      </c>
      <c r="D15" s="84">
        <f>'Basic T2'!Z15</f>
        <v>188.05596785208076</v>
      </c>
      <c r="E15" s="84">
        <f>'Basic T2'!AK15</f>
        <v>110.78197010029645</v>
      </c>
      <c r="F15" s="84">
        <f>'Basic T2'!AV15</f>
        <v>21.933896544465757</v>
      </c>
      <c r="G15" s="84">
        <f>'Basic T2'!BG15</f>
        <v>59.484012377184307</v>
      </c>
      <c r="H15" s="84">
        <f>'Basic T2'!BR15</f>
        <v>47.273820516018219</v>
      </c>
      <c r="I15" s="84">
        <f>'Basic T2'!CC15</f>
        <v>25.932675682918081</v>
      </c>
      <c r="J15" s="84">
        <f>'Basic T2'!CN15</f>
        <v>3.6243044303710437</v>
      </c>
      <c r="K15" s="448">
        <f t="shared" si="7"/>
        <v>529.88238393074403</v>
      </c>
      <c r="L15" s="133"/>
      <c r="M15" s="133">
        <f t="shared" si="0"/>
        <v>0.5624666215667401</v>
      </c>
      <c r="N15" s="133">
        <f t="shared" si="1"/>
        <v>1.8156349615777643</v>
      </c>
      <c r="O15" s="133">
        <f t="shared" si="2"/>
        <v>2.7451255908993866</v>
      </c>
      <c r="P15" s="133">
        <f t="shared" si="3"/>
        <v>5.6345267509454828</v>
      </c>
      <c r="Q15" s="133">
        <f t="shared" si="3"/>
        <v>1.1602807884045387</v>
      </c>
      <c r="R15" s="133">
        <f t="shared" si="3"/>
        <v>0.86001024444856755</v>
      </c>
      <c r="S15" s="133">
        <f t="shared" si="3"/>
        <v>0.70006553242023239</v>
      </c>
      <c r="T15" s="133">
        <f t="shared" si="3"/>
        <v>0.57926613585237696</v>
      </c>
      <c r="U15" s="133">
        <f t="shared" si="3"/>
        <v>0.22559313144063972</v>
      </c>
      <c r="V15" s="133">
        <f t="shared" si="4"/>
        <v>1.5205535628300877</v>
      </c>
      <c r="W15" s="133"/>
      <c r="X15" s="133">
        <f t="shared" si="5"/>
        <v>0.58245944973057484</v>
      </c>
      <c r="Y15" s="133">
        <f t="shared" si="6"/>
        <v>13.155633877207407</v>
      </c>
      <c r="Z15" s="133">
        <f t="shared" si="6"/>
        <v>35.490133953322704</v>
      </c>
      <c r="AA15" s="133">
        <f t="shared" si="6"/>
        <v>20.906898107934783</v>
      </c>
      <c r="AB15" s="133">
        <f t="shared" si="6"/>
        <v>4.1393896475208223</v>
      </c>
      <c r="AC15" s="133">
        <f t="shared" si="6"/>
        <v>11.22588977877002</v>
      </c>
      <c r="AD15" s="133">
        <f t="shared" si="6"/>
        <v>8.9215686253493072</v>
      </c>
      <c r="AE15" s="133">
        <f t="shared" si="6"/>
        <v>4.8940437480758936</v>
      </c>
      <c r="AF15" s="133">
        <f t="shared" si="6"/>
        <v>0.68398281208849221</v>
      </c>
      <c r="AG15" s="133">
        <f t="shared" si="6"/>
        <v>100</v>
      </c>
    </row>
    <row r="16" spans="1:33" x14ac:dyDescent="0.25">
      <c r="A16" s="12" t="str">
        <f>name!D12</f>
        <v xml:space="preserve"> 33 Protective service occupations</v>
      </c>
      <c r="B16" s="84">
        <f>'Basic T2'!D16</f>
        <v>1.6870178935393156</v>
      </c>
      <c r="C16" s="84">
        <f>'Basic T2'!O16</f>
        <v>26.291902678048448</v>
      </c>
      <c r="D16" s="84">
        <f>'Basic T2'!Z16</f>
        <v>98.494663680763637</v>
      </c>
      <c r="E16" s="84">
        <f>'Basic T2'!AK16</f>
        <v>25.85830980228214</v>
      </c>
      <c r="F16" s="84">
        <f>'Basic T2'!AV16</f>
        <v>22.645899813726736</v>
      </c>
      <c r="G16" s="84">
        <f>'Basic T2'!BG16</f>
        <v>75.690019981832904</v>
      </c>
      <c r="H16" s="84">
        <f>'Basic T2'!BR16</f>
        <v>83.467875345467476</v>
      </c>
      <c r="I16" s="84">
        <f>'Basic T2'!CC16</f>
        <v>45.350391106647045</v>
      </c>
      <c r="J16" s="84">
        <f>'Basic T2'!CN16</f>
        <v>6.7631069172648752</v>
      </c>
      <c r="K16" s="448">
        <f t="shared" si="7"/>
        <v>386.2491872195726</v>
      </c>
      <c r="L16" s="133"/>
      <c r="M16" s="133">
        <f t="shared" si="0"/>
        <v>0.30744771321187642</v>
      </c>
      <c r="N16" s="133">
        <f t="shared" si="1"/>
        <v>0.68479296931510525</v>
      </c>
      <c r="O16" s="133">
        <f t="shared" si="2"/>
        <v>1.4377646448836217</v>
      </c>
      <c r="P16" s="133">
        <f t="shared" si="3"/>
        <v>1.3151899915057084</v>
      </c>
      <c r="Q16" s="133">
        <f t="shared" si="3"/>
        <v>1.1979450362015487</v>
      </c>
      <c r="R16" s="133">
        <f t="shared" si="3"/>
        <v>1.0943140851719111</v>
      </c>
      <c r="S16" s="133">
        <f t="shared" si="3"/>
        <v>1.2360537387476627</v>
      </c>
      <c r="T16" s="133">
        <f t="shared" si="3"/>
        <v>1.0130056048572542</v>
      </c>
      <c r="U16" s="133">
        <f t="shared" si="3"/>
        <v>0.42096642184592586</v>
      </c>
      <c r="V16" s="133">
        <f t="shared" si="4"/>
        <v>1.1083829083167047</v>
      </c>
      <c r="W16" s="133"/>
      <c r="X16" s="133">
        <f t="shared" si="5"/>
        <v>0.43676930576433554</v>
      </c>
      <c r="Y16" s="133">
        <f t="shared" si="6"/>
        <v>6.8069794184711609</v>
      </c>
      <c r="Z16" s="133">
        <f t="shared" si="6"/>
        <v>25.500290211555054</v>
      </c>
      <c r="AA16" s="133">
        <f t="shared" si="6"/>
        <v>6.6947221270351482</v>
      </c>
      <c r="AB16" s="133">
        <f t="shared" si="6"/>
        <v>5.8630284704918054</v>
      </c>
      <c r="AC16" s="133">
        <f t="shared" si="6"/>
        <v>19.59616291407368</v>
      </c>
      <c r="AD16" s="133">
        <f t="shared" si="6"/>
        <v>21.609851387989632</v>
      </c>
      <c r="AE16" s="133">
        <f t="shared" si="6"/>
        <v>11.741226287905825</v>
      </c>
      <c r="AF16" s="133">
        <f t="shared" si="6"/>
        <v>1.7509698767133521</v>
      </c>
      <c r="AG16" s="133">
        <f t="shared" si="6"/>
        <v>100</v>
      </c>
    </row>
    <row r="17" spans="1:33" x14ac:dyDescent="0.25">
      <c r="A17" s="12" t="str">
        <f>name!D13</f>
        <v xml:space="preserve"> 34 Culture, media and sports occupations</v>
      </c>
      <c r="B17" s="84">
        <f>'Basic T2'!D17</f>
        <v>10.102745679451035</v>
      </c>
      <c r="C17" s="84">
        <f>'Basic T2'!O17</f>
        <v>163.49130722362574</v>
      </c>
      <c r="D17" s="84">
        <f>'Basic T2'!Z17</f>
        <v>323.44176150169676</v>
      </c>
      <c r="E17" s="84">
        <f>'Basic T2'!AK17</f>
        <v>46.319201016779267</v>
      </c>
      <c r="F17" s="84">
        <f>'Basic T2'!AV17</f>
        <v>50.132275596199342</v>
      </c>
      <c r="G17" s="84">
        <f>'Basic T2'!BG17</f>
        <v>120.25582139991468</v>
      </c>
      <c r="H17" s="84">
        <f>'Basic T2'!BR17</f>
        <v>58.185352005543535</v>
      </c>
      <c r="I17" s="84">
        <f>'Basic T2'!CC17</f>
        <v>50.021775597645444</v>
      </c>
      <c r="J17" s="84">
        <f>'Basic T2'!CN17</f>
        <v>17.732788848129104</v>
      </c>
      <c r="K17" s="448">
        <f t="shared" si="7"/>
        <v>839.68302886898482</v>
      </c>
      <c r="L17" s="133"/>
      <c r="M17" s="133">
        <f t="shared" si="0"/>
        <v>1.8411577424303109</v>
      </c>
      <c r="N17" s="133">
        <f t="shared" si="1"/>
        <v>4.2582577267924453</v>
      </c>
      <c r="O17" s="133">
        <f t="shared" si="2"/>
        <v>4.7214043074786671</v>
      </c>
      <c r="P17" s="133">
        <f t="shared" si="3"/>
        <v>2.3558596852464317</v>
      </c>
      <c r="Q17" s="133">
        <f t="shared" si="3"/>
        <v>2.6519463213182841</v>
      </c>
      <c r="R17" s="133">
        <f t="shared" si="3"/>
        <v>1.7386392448229024</v>
      </c>
      <c r="S17" s="133">
        <f t="shared" si="3"/>
        <v>0.86165152268616318</v>
      </c>
      <c r="T17" s="133">
        <f t="shared" si="3"/>
        <v>1.117351753949914</v>
      </c>
      <c r="U17" s="133">
        <f t="shared" si="3"/>
        <v>1.1037691348172851</v>
      </c>
      <c r="V17" s="133">
        <f t="shared" si="4"/>
        <v>2.4095592907303947</v>
      </c>
      <c r="W17" s="133"/>
      <c r="X17" s="133">
        <f t="shared" si="5"/>
        <v>1.2031618279887086</v>
      </c>
      <c r="Y17" s="133">
        <f t="shared" si="6"/>
        <v>19.470598023618646</v>
      </c>
      <c r="Z17" s="133">
        <f t="shared" si="6"/>
        <v>38.519506811678475</v>
      </c>
      <c r="AA17" s="133">
        <f t="shared" si="6"/>
        <v>5.5162721436884512</v>
      </c>
      <c r="AB17" s="133">
        <f t="shared" si="6"/>
        <v>5.9703809500264953</v>
      </c>
      <c r="AC17" s="133">
        <f t="shared" si="6"/>
        <v>14.321573411087495</v>
      </c>
      <c r="AD17" s="133">
        <f t="shared" si="6"/>
        <v>6.9294424211379599</v>
      </c>
      <c r="AE17" s="133">
        <f t="shared" si="6"/>
        <v>5.957221222515658</v>
      </c>
      <c r="AF17" s="133">
        <f t="shared" si="6"/>
        <v>2.1118431882581183</v>
      </c>
      <c r="AG17" s="133">
        <f t="shared" si="6"/>
        <v>100</v>
      </c>
    </row>
    <row r="18" spans="1:33" x14ac:dyDescent="0.25">
      <c r="A18" s="12" t="str">
        <f>name!D14</f>
        <v xml:space="preserve"> 35 Business and public service associate professionals</v>
      </c>
      <c r="B18" s="84">
        <f>'Basic T2'!D18</f>
        <v>36.802959995373634</v>
      </c>
      <c r="C18" s="84">
        <f>'Basic T2'!O18</f>
        <v>375.72497325912707</v>
      </c>
      <c r="D18" s="84">
        <f>'Basic T2'!Z18</f>
        <v>686.15631446033251</v>
      </c>
      <c r="E18" s="84">
        <f>'Basic T2'!AK18</f>
        <v>173.84706546484497</v>
      </c>
      <c r="F18" s="84">
        <f>'Basic T2'!AV18</f>
        <v>160.90563263697715</v>
      </c>
      <c r="G18" s="84">
        <f>'Basic T2'!BG18</f>
        <v>426.30619011374267</v>
      </c>
      <c r="H18" s="84">
        <f>'Basic T2'!BR18</f>
        <v>343.24509242735934</v>
      </c>
      <c r="I18" s="84">
        <f>'Basic T2'!CC18</f>
        <v>212.39608163843531</v>
      </c>
      <c r="J18" s="84">
        <f>'Basic T2'!CN18</f>
        <v>42.034450061584245</v>
      </c>
      <c r="K18" s="448">
        <f t="shared" si="7"/>
        <v>2457.4187600577766</v>
      </c>
      <c r="L18" s="133"/>
      <c r="M18" s="133">
        <f t="shared" si="0"/>
        <v>6.7070929913299704</v>
      </c>
      <c r="N18" s="133">
        <f t="shared" si="1"/>
        <v>9.7860479416263431</v>
      </c>
      <c r="O18" s="133">
        <f t="shared" si="2"/>
        <v>10.016088719204264</v>
      </c>
      <c r="P18" s="133">
        <f t="shared" si="3"/>
        <v>8.8421061662670173</v>
      </c>
      <c r="Q18" s="133">
        <f t="shared" si="3"/>
        <v>8.5117440905350215</v>
      </c>
      <c r="R18" s="133">
        <f t="shared" si="3"/>
        <v>6.1634660494133229</v>
      </c>
      <c r="S18" s="133">
        <f t="shared" si="3"/>
        <v>5.0830259910846474</v>
      </c>
      <c r="T18" s="133">
        <f t="shared" si="3"/>
        <v>4.74435646306737</v>
      </c>
      <c r="U18" s="133">
        <f t="shared" si="3"/>
        <v>2.6164146527854388</v>
      </c>
      <c r="V18" s="133">
        <f t="shared" si="4"/>
        <v>7.0518231296017753</v>
      </c>
      <c r="W18" s="133"/>
      <c r="X18" s="133">
        <f t="shared" si="5"/>
        <v>1.4976267209137915</v>
      </c>
      <c r="Y18" s="133">
        <f t="shared" si="6"/>
        <v>15.289415844220761</v>
      </c>
      <c r="Z18" s="133">
        <f t="shared" si="6"/>
        <v>27.921831053499414</v>
      </c>
      <c r="AA18" s="133">
        <f t="shared" si="6"/>
        <v>7.0743769149364528</v>
      </c>
      <c r="AB18" s="133">
        <f t="shared" si="6"/>
        <v>6.5477498280835977</v>
      </c>
      <c r="AC18" s="133">
        <f t="shared" si="6"/>
        <v>17.347722620287954</v>
      </c>
      <c r="AD18" s="133">
        <f t="shared" si="6"/>
        <v>13.96770863828228</v>
      </c>
      <c r="AE18" s="133">
        <f t="shared" si="6"/>
        <v>8.643056083507787</v>
      </c>
      <c r="AF18" s="133">
        <f t="shared" si="6"/>
        <v>1.7105122962679737</v>
      </c>
      <c r="AG18" s="133">
        <f t="shared" si="6"/>
        <v>100</v>
      </c>
    </row>
    <row r="19" spans="1:33" x14ac:dyDescent="0.25">
      <c r="A19" s="12" t="str">
        <f>name!D15</f>
        <v xml:space="preserve"> 41 Administrative occupations</v>
      </c>
      <c r="B19" s="84">
        <f>'Basic T2'!D19</f>
        <v>16.664037401165782</v>
      </c>
      <c r="C19" s="84">
        <f>'Basic T2'!O19</f>
        <v>192.37018653564658</v>
      </c>
      <c r="D19" s="84">
        <f>'Basic T2'!Z19</f>
        <v>584.56063153452305</v>
      </c>
      <c r="E19" s="84">
        <f>'Basic T2'!AK19</f>
        <v>204.64308070939518</v>
      </c>
      <c r="F19" s="84">
        <f>'Basic T2'!AV19</f>
        <v>194.39111700769115</v>
      </c>
      <c r="G19" s="84">
        <f>'Basic T2'!BG19</f>
        <v>611.9124820418424</v>
      </c>
      <c r="H19" s="84">
        <f>'Basic T2'!BR19</f>
        <v>684.19734014775668</v>
      </c>
      <c r="I19" s="84">
        <f>'Basic T2'!CC19</f>
        <v>357.23199300873472</v>
      </c>
      <c r="J19" s="84">
        <f>'Basic T2'!CN19</f>
        <v>85.831303649284408</v>
      </c>
      <c r="K19" s="448">
        <f t="shared" si="7"/>
        <v>2931.8021720360402</v>
      </c>
      <c r="L19" s="133"/>
      <c r="M19" s="133">
        <f t="shared" si="0"/>
        <v>3.036909218026739</v>
      </c>
      <c r="N19" s="133">
        <f t="shared" si="1"/>
        <v>5.0104305062498504</v>
      </c>
      <c r="O19" s="133">
        <f t="shared" si="2"/>
        <v>8.5330572987714479</v>
      </c>
      <c r="P19" s="133">
        <f t="shared" si="3"/>
        <v>10.408434798632427</v>
      </c>
      <c r="Q19" s="133">
        <f t="shared" si="3"/>
        <v>10.283092110117204</v>
      </c>
      <c r="R19" s="133">
        <f t="shared" si="3"/>
        <v>8.8469318432154633</v>
      </c>
      <c r="S19" s="133">
        <f t="shared" si="3"/>
        <v>10.132097849987563</v>
      </c>
      <c r="T19" s="133">
        <f t="shared" si="3"/>
        <v>7.9796006676364675</v>
      </c>
      <c r="U19" s="133">
        <f t="shared" si="3"/>
        <v>5.3425292874451404</v>
      </c>
      <c r="V19" s="133">
        <f t="shared" si="4"/>
        <v>8.4131165205617577</v>
      </c>
      <c r="W19" s="133"/>
      <c r="X19" s="133">
        <f t="shared" si="5"/>
        <v>0.56838887562434526</v>
      </c>
      <c r="Y19" s="133">
        <f t="shared" si="6"/>
        <v>6.5614995571836889</v>
      </c>
      <c r="Z19" s="133">
        <f t="shared" si="6"/>
        <v>19.938611039658412</v>
      </c>
      <c r="AA19" s="133">
        <f t="shared" si="6"/>
        <v>6.9801121870128533</v>
      </c>
      <c r="AB19" s="133">
        <f t="shared" si="6"/>
        <v>6.630430895434289</v>
      </c>
      <c r="AC19" s="133">
        <f t="shared" si="6"/>
        <v>20.871547469278575</v>
      </c>
      <c r="AD19" s="133">
        <f t="shared" si="6"/>
        <v>23.337090976796844</v>
      </c>
      <c r="AE19" s="133">
        <f t="shared" si="6"/>
        <v>12.184723663010621</v>
      </c>
      <c r="AF19" s="133">
        <f t="shared" si="6"/>
        <v>2.9275953360003615</v>
      </c>
      <c r="AG19" s="133">
        <f t="shared" si="6"/>
        <v>100</v>
      </c>
    </row>
    <row r="20" spans="1:33" x14ac:dyDescent="0.25">
      <c r="A20" s="12" t="str">
        <f>name!D16</f>
        <v xml:space="preserve"> 42 Secretarial and related occupations</v>
      </c>
      <c r="B20" s="84">
        <f>'Basic T2'!D20</f>
        <v>1.7525263064144636</v>
      </c>
      <c r="C20" s="84">
        <f>'Basic T2'!O20</f>
        <v>34.20136552535957</v>
      </c>
      <c r="D20" s="84">
        <f>'Basic T2'!Z20</f>
        <v>111.56272379884851</v>
      </c>
      <c r="E20" s="84">
        <f>'Basic T2'!AK20</f>
        <v>49.91840765664724</v>
      </c>
      <c r="F20" s="84">
        <f>'Basic T2'!AV20</f>
        <v>38.811945161256503</v>
      </c>
      <c r="G20" s="84">
        <f>'Basic T2'!BG20</f>
        <v>142.33622831180384</v>
      </c>
      <c r="H20" s="84">
        <f>'Basic T2'!BR20</f>
        <v>171.11487163698959</v>
      </c>
      <c r="I20" s="84">
        <f>'Basic T2'!CC20</f>
        <v>161.19807579329603</v>
      </c>
      <c r="J20" s="84">
        <f>'Basic T2'!CN20</f>
        <v>38.08808131539994</v>
      </c>
      <c r="K20" s="448">
        <f t="shared" si="7"/>
        <v>748.98422550601572</v>
      </c>
      <c r="L20" s="133"/>
      <c r="M20" s="133">
        <f t="shared" si="0"/>
        <v>0.31938618275137232</v>
      </c>
      <c r="N20" s="133">
        <f t="shared" si="1"/>
        <v>0.89080105534913301</v>
      </c>
      <c r="O20" s="133">
        <f t="shared" si="2"/>
        <v>1.6285241653779856</v>
      </c>
      <c r="P20" s="133">
        <f t="shared" si="3"/>
        <v>2.5389203951810568</v>
      </c>
      <c r="Q20" s="133">
        <f t="shared" si="3"/>
        <v>2.0531123706142784</v>
      </c>
      <c r="R20" s="133">
        <f t="shared" si="3"/>
        <v>2.0578742020313574</v>
      </c>
      <c r="S20" s="133">
        <f t="shared" si="3"/>
        <v>2.533994976711873</v>
      </c>
      <c r="T20" s="133">
        <f t="shared" si="3"/>
        <v>3.6007308930766668</v>
      </c>
      <c r="U20" s="133">
        <f t="shared" si="3"/>
        <v>2.3707747788800213</v>
      </c>
      <c r="V20" s="133">
        <f t="shared" si="4"/>
        <v>2.1492894784468946</v>
      </c>
      <c r="W20" s="133"/>
      <c r="X20" s="133">
        <f t="shared" si="5"/>
        <v>0.23398707833004792</v>
      </c>
      <c r="Y20" s="133">
        <f t="shared" si="6"/>
        <v>4.5663666016801674</v>
      </c>
      <c r="Z20" s="133">
        <f t="shared" si="6"/>
        <v>14.895203396770665</v>
      </c>
      <c r="AA20" s="133">
        <f t="shared" si="6"/>
        <v>6.6648142853639181</v>
      </c>
      <c r="AB20" s="133">
        <f t="shared" si="6"/>
        <v>5.1819442705932897</v>
      </c>
      <c r="AC20" s="133">
        <f t="shared" si="6"/>
        <v>19.003902013509176</v>
      </c>
      <c r="AD20" s="133">
        <f t="shared" si="6"/>
        <v>22.846258413704764</v>
      </c>
      <c r="AE20" s="133">
        <f t="shared" si="6"/>
        <v>21.522225743057565</v>
      </c>
      <c r="AF20" s="133">
        <f t="shared" si="6"/>
        <v>5.0852981969904016</v>
      </c>
      <c r="AG20" s="133">
        <f t="shared" si="6"/>
        <v>100</v>
      </c>
    </row>
    <row r="21" spans="1:33" x14ac:dyDescent="0.25">
      <c r="A21" s="12" t="str">
        <f>name!D17</f>
        <v xml:space="preserve"> 51 Skilled agricultural and related trades</v>
      </c>
      <c r="B21" s="84">
        <f>'Basic T2'!D21</f>
        <v>0.8886531154141103</v>
      </c>
      <c r="C21" s="84">
        <f>'Basic T2'!O21</f>
        <v>4.7551897034515216</v>
      </c>
      <c r="D21" s="84">
        <f>'Basic T2'!Z21</f>
        <v>43.111379589418434</v>
      </c>
      <c r="E21" s="84">
        <f>'Basic T2'!AK21</f>
        <v>21.335392061142464</v>
      </c>
      <c r="F21" s="84">
        <f>'Basic T2'!AV21</f>
        <v>32.917420393591513</v>
      </c>
      <c r="G21" s="84">
        <f>'Basic T2'!BG21</f>
        <v>53.009822597831068</v>
      </c>
      <c r="H21" s="84">
        <f>'Basic T2'!BR21</f>
        <v>83.203890228505884</v>
      </c>
      <c r="I21" s="84">
        <f>'Basic T2'!CC21</f>
        <v>65.26010133682766</v>
      </c>
      <c r="J21" s="84">
        <f>'Basic T2'!CN21</f>
        <v>50.479297214984847</v>
      </c>
      <c r="K21" s="448">
        <f t="shared" si="7"/>
        <v>354.96114624116751</v>
      </c>
      <c r="L21" s="133"/>
      <c r="M21" s="133">
        <f t="shared" si="0"/>
        <v>0.16195107901285025</v>
      </c>
      <c r="N21" s="133">
        <f t="shared" si="1"/>
        <v>0.1238525988992778</v>
      </c>
      <c r="O21" s="133">
        <f t="shared" si="2"/>
        <v>0.62931345769881453</v>
      </c>
      <c r="P21" s="133">
        <f t="shared" si="3"/>
        <v>1.0851480362876795</v>
      </c>
      <c r="Q21" s="133">
        <f t="shared" si="3"/>
        <v>1.7412980137428782</v>
      </c>
      <c r="R21" s="133">
        <f t="shared" si="3"/>
        <v>0.76640745418212597</v>
      </c>
      <c r="S21" s="133">
        <f t="shared" si="3"/>
        <v>1.2321444528164756</v>
      </c>
      <c r="T21" s="133">
        <f t="shared" si="3"/>
        <v>1.4577349128543498</v>
      </c>
      <c r="U21" s="133">
        <f t="shared" si="3"/>
        <v>3.1420602078080275</v>
      </c>
      <c r="V21" s="133">
        <f t="shared" si="4"/>
        <v>1.0185985644199167</v>
      </c>
      <c r="W21" s="133"/>
      <c r="X21" s="133">
        <f t="shared" si="5"/>
        <v>0.25035222159507625</v>
      </c>
      <c r="Y21" s="133">
        <f t="shared" si="6"/>
        <v>1.33963667680427</v>
      </c>
      <c r="Z21" s="133">
        <f t="shared" si="6"/>
        <v>12.145379866484802</v>
      </c>
      <c r="AA21" s="133">
        <f t="shared" si="6"/>
        <v>6.0106274410796452</v>
      </c>
      <c r="AB21" s="133">
        <f t="shared" si="6"/>
        <v>9.2735277486473908</v>
      </c>
      <c r="AC21" s="133">
        <f t="shared" si="6"/>
        <v>14.933978876047229</v>
      </c>
      <c r="AD21" s="133">
        <f t="shared" si="6"/>
        <v>23.440281030638644</v>
      </c>
      <c r="AE21" s="133">
        <f t="shared" si="6"/>
        <v>18.385139339303542</v>
      </c>
      <c r="AF21" s="133">
        <f t="shared" si="6"/>
        <v>14.221076799399398</v>
      </c>
      <c r="AG21" s="133">
        <f t="shared" si="6"/>
        <v>100</v>
      </c>
    </row>
    <row r="22" spans="1:33" x14ac:dyDescent="0.25">
      <c r="A22" s="12" t="str">
        <f>name!D18</f>
        <v xml:space="preserve"> 52 Skilled metal, electrical and electronic trades</v>
      </c>
      <c r="B22" s="84">
        <f>'Basic T2'!D22</f>
        <v>1.4089075812846301</v>
      </c>
      <c r="C22" s="84">
        <f>'Basic T2'!O22</f>
        <v>27.418344362304239</v>
      </c>
      <c r="D22" s="84">
        <f>'Basic T2'!Z22</f>
        <v>72.054795184350851</v>
      </c>
      <c r="E22" s="84">
        <f>'Basic T2'!AK22</f>
        <v>24.404477989701384</v>
      </c>
      <c r="F22" s="84">
        <f>'Basic T2'!AV22</f>
        <v>101.75285027876107</v>
      </c>
      <c r="G22" s="84">
        <f>'Basic T2'!BG22</f>
        <v>509.10568924980123</v>
      </c>
      <c r="H22" s="84">
        <f>'Basic T2'!BR22</f>
        <v>293.48253815562282</v>
      </c>
      <c r="I22" s="84">
        <f>'Basic T2'!CC22</f>
        <v>144.3697953954655</v>
      </c>
      <c r="J22" s="84">
        <f>'Basic T2'!CN22</f>
        <v>54.043563894962247</v>
      </c>
      <c r="K22" s="448">
        <f t="shared" si="7"/>
        <v>1228.0409620922539</v>
      </c>
      <c r="L22" s="133"/>
      <c r="M22" s="133">
        <f t="shared" si="0"/>
        <v>0.25676397129615897</v>
      </c>
      <c r="N22" s="133">
        <f t="shared" si="1"/>
        <v>0.71413201545290605</v>
      </c>
      <c r="O22" s="133">
        <f t="shared" si="2"/>
        <v>1.0518116732310172</v>
      </c>
      <c r="P22" s="133">
        <f t="shared" si="3"/>
        <v>1.2412460615327576</v>
      </c>
      <c r="Q22" s="133">
        <f t="shared" si="3"/>
        <v>5.3826221485319552</v>
      </c>
      <c r="R22" s="133">
        <f t="shared" si="3"/>
        <v>7.3605678360361333</v>
      </c>
      <c r="S22" s="133">
        <f t="shared" si="3"/>
        <v>4.3461054572549385</v>
      </c>
      <c r="T22" s="133">
        <f t="shared" si="3"/>
        <v>3.2248324289813226</v>
      </c>
      <c r="U22" s="133">
        <f t="shared" si="3"/>
        <v>3.3639163176004705</v>
      </c>
      <c r="V22" s="133">
        <f t="shared" si="4"/>
        <v>3.52399346881236</v>
      </c>
      <c r="W22" s="133"/>
      <c r="X22" s="133">
        <f t="shared" si="5"/>
        <v>0.11472806077121628</v>
      </c>
      <c r="Y22" s="133">
        <f t="shared" si="6"/>
        <v>2.2326897236058558</v>
      </c>
      <c r="Z22" s="133">
        <f t="shared" si="6"/>
        <v>5.8674586116076055</v>
      </c>
      <c r="AA22" s="133">
        <f t="shared" si="6"/>
        <v>1.9872690523386669</v>
      </c>
      <c r="AB22" s="133">
        <f t="shared" si="6"/>
        <v>8.2857863393580438</v>
      </c>
      <c r="AC22" s="133">
        <f t="shared" si="6"/>
        <v>41.456735155024553</v>
      </c>
      <c r="AD22" s="133">
        <f t="shared" si="6"/>
        <v>23.898432317404701</v>
      </c>
      <c r="AE22" s="133">
        <f t="shared" si="6"/>
        <v>11.75610585085842</v>
      </c>
      <c r="AF22" s="133">
        <f t="shared" si="6"/>
        <v>4.4007948890309363</v>
      </c>
      <c r="AG22" s="133">
        <f t="shared" si="6"/>
        <v>100</v>
      </c>
    </row>
    <row r="23" spans="1:33" x14ac:dyDescent="0.25">
      <c r="A23" s="12" t="str">
        <f>name!D19</f>
        <v xml:space="preserve"> 53 Skilled construction and building trades</v>
      </c>
      <c r="B23" s="84">
        <f>'Basic T2'!D23</f>
        <v>0.49699512297141513</v>
      </c>
      <c r="C23" s="84">
        <f>'Basic T2'!O23</f>
        <v>13.649069397277223</v>
      </c>
      <c r="D23" s="84">
        <f>'Basic T2'!Z23</f>
        <v>40.201652327263552</v>
      </c>
      <c r="E23" s="84">
        <f>'Basic T2'!AK23</f>
        <v>25.297901320116267</v>
      </c>
      <c r="F23" s="84">
        <f>'Basic T2'!AV23</f>
        <v>37.790895357838849</v>
      </c>
      <c r="G23" s="84">
        <f>'Basic T2'!BG23</f>
        <v>374.31874507950721</v>
      </c>
      <c r="H23" s="84">
        <f>'Basic T2'!BR23</f>
        <v>332.16524950637313</v>
      </c>
      <c r="I23" s="84">
        <f>'Basic T2'!CC23</f>
        <v>162.38448793481905</v>
      </c>
      <c r="J23" s="84">
        <f>'Basic T2'!CN23</f>
        <v>82.799989631805019</v>
      </c>
      <c r="K23" s="448">
        <f t="shared" si="7"/>
        <v>1069.1049856779716</v>
      </c>
      <c r="L23" s="133"/>
      <c r="M23" s="133">
        <f t="shared" si="0"/>
        <v>9.0574032806757493E-2</v>
      </c>
      <c r="N23" s="133">
        <f t="shared" si="1"/>
        <v>0.35550058416856961</v>
      </c>
      <c r="O23" s="133">
        <f t="shared" si="2"/>
        <v>0.5868390451018064</v>
      </c>
      <c r="P23" s="133">
        <f t="shared" si="3"/>
        <v>1.2866868282079118</v>
      </c>
      <c r="Q23" s="133">
        <f t="shared" si="3"/>
        <v>1.9990998759119336</v>
      </c>
      <c r="R23" s="133">
        <f t="shared" si="3"/>
        <v>5.4118399649345594</v>
      </c>
      <c r="S23" s="133">
        <f t="shared" si="3"/>
        <v>4.918947521247742</v>
      </c>
      <c r="T23" s="133">
        <f t="shared" si="3"/>
        <v>3.6272321452093603</v>
      </c>
      <c r="U23" s="133">
        <f t="shared" si="3"/>
        <v>5.1538465664649191</v>
      </c>
      <c r="V23" s="133">
        <f t="shared" si="4"/>
        <v>3.0679098688899247</v>
      </c>
      <c r="W23" s="133"/>
      <c r="X23" s="133">
        <f t="shared" si="5"/>
        <v>4.6487026964545139E-2</v>
      </c>
      <c r="Y23" s="133">
        <f t="shared" si="6"/>
        <v>1.276681858201389</v>
      </c>
      <c r="Z23" s="133">
        <f t="shared" si="6"/>
        <v>3.7603091245309015</v>
      </c>
      <c r="AA23" s="133">
        <f t="shared" si="6"/>
        <v>2.3662691371767979</v>
      </c>
      <c r="AB23" s="133">
        <f t="shared" si="6"/>
        <v>3.5348161185380498</v>
      </c>
      <c r="AC23" s="133">
        <f t="shared" si="6"/>
        <v>35.01234678483268</v>
      </c>
      <c r="AD23" s="133">
        <f t="shared" si="6"/>
        <v>31.069469692513962</v>
      </c>
      <c r="AE23" s="133">
        <f t="shared" si="6"/>
        <v>15.188825242625084</v>
      </c>
      <c r="AF23" s="133">
        <f t="shared" si="6"/>
        <v>7.7447950146165958</v>
      </c>
      <c r="AG23" s="133">
        <f t="shared" si="6"/>
        <v>100</v>
      </c>
    </row>
    <row r="24" spans="1:33" x14ac:dyDescent="0.25">
      <c r="A24" s="12" t="str">
        <f>name!D20</f>
        <v xml:space="preserve"> 54 Textiles, printing and other skilled trades</v>
      </c>
      <c r="B24" s="84">
        <f>'Basic T2'!D24</f>
        <v>2.7574568218805133</v>
      </c>
      <c r="C24" s="84">
        <f>'Basic T2'!O24</f>
        <v>25.616823189196264</v>
      </c>
      <c r="D24" s="84">
        <f>'Basic T2'!Z24</f>
        <v>66.534762187296039</v>
      </c>
      <c r="E24" s="84">
        <f>'Basic T2'!AK24</f>
        <v>23.618136998893782</v>
      </c>
      <c r="F24" s="84">
        <f>'Basic T2'!AV24</f>
        <v>29.325927524765568</v>
      </c>
      <c r="G24" s="84">
        <f>'Basic T2'!BG24</f>
        <v>192.87443578323004</v>
      </c>
      <c r="H24" s="84">
        <f>'Basic T2'!BR24</f>
        <v>196.98191774919286</v>
      </c>
      <c r="I24" s="84">
        <f>'Basic T2'!CC24</f>
        <v>170.10818650340534</v>
      </c>
      <c r="J24" s="84">
        <f>'Basic T2'!CN24</f>
        <v>72.911618102940565</v>
      </c>
      <c r="K24" s="448">
        <f t="shared" si="7"/>
        <v>780.72926486080098</v>
      </c>
      <c r="L24" s="133"/>
      <c r="M24" s="133">
        <f t="shared" si="0"/>
        <v>0.50252803921898348</v>
      </c>
      <c r="N24" s="133">
        <f t="shared" si="1"/>
        <v>0.66721000115355089</v>
      </c>
      <c r="O24" s="133">
        <f t="shared" si="2"/>
        <v>0.97123361970844424</v>
      </c>
      <c r="P24" s="133">
        <f t="shared" ref="P24:U32" si="8">E24/E$34*100</f>
        <v>1.2012516532002546</v>
      </c>
      <c r="Q24" s="133">
        <f t="shared" si="8"/>
        <v>1.5513116987740463</v>
      </c>
      <c r="R24" s="133">
        <f t="shared" si="8"/>
        <v>2.7885474438748159</v>
      </c>
      <c r="S24" s="133">
        <f t="shared" si="8"/>
        <v>2.9170532362519999</v>
      </c>
      <c r="T24" s="133">
        <f t="shared" si="8"/>
        <v>3.7997587706535905</v>
      </c>
      <c r="U24" s="133">
        <f t="shared" si="8"/>
        <v>4.5383495129194964</v>
      </c>
      <c r="V24" s="133">
        <f t="shared" si="4"/>
        <v>2.2403852275356377</v>
      </c>
      <c r="W24" s="133"/>
      <c r="X24" s="133">
        <f t="shared" si="5"/>
        <v>0.35318988873462431</v>
      </c>
      <c r="Y24" s="133">
        <f t="shared" ref="Y24:AG32" si="9">IF($K24&gt;0,C24/$K24*100,0)</f>
        <v>3.2811403827373602</v>
      </c>
      <c r="Z24" s="133">
        <f t="shared" si="9"/>
        <v>8.5221299087794229</v>
      </c>
      <c r="AA24" s="133">
        <f t="shared" si="9"/>
        <v>3.0251379142428769</v>
      </c>
      <c r="AB24" s="133">
        <f t="shared" si="9"/>
        <v>3.7562223993222785</v>
      </c>
      <c r="AC24" s="133">
        <f t="shared" si="9"/>
        <v>24.704394271376305</v>
      </c>
      <c r="AD24" s="133">
        <f t="shared" si="9"/>
        <v>25.230502635803393</v>
      </c>
      <c r="AE24" s="133">
        <f t="shared" si="9"/>
        <v>21.788370714364667</v>
      </c>
      <c r="AF24" s="133">
        <f t="shared" si="9"/>
        <v>9.3389118846390673</v>
      </c>
      <c r="AG24" s="133">
        <f t="shared" si="9"/>
        <v>100</v>
      </c>
    </row>
    <row r="25" spans="1:33" x14ac:dyDescent="0.25">
      <c r="A25" s="12" t="str">
        <f>name!D21</f>
        <v xml:space="preserve"> 61 Caring personal service occupations</v>
      </c>
      <c r="B25" s="84">
        <f>'Basic T2'!D25</f>
        <v>2.1703394505887266</v>
      </c>
      <c r="C25" s="84">
        <f>'Basic T2'!O25</f>
        <v>103.19218410270646</v>
      </c>
      <c r="D25" s="84">
        <f>'Basic T2'!Z25</f>
        <v>305.3483931309363</v>
      </c>
      <c r="E25" s="84">
        <f>'Basic T2'!AK25</f>
        <v>263.85445600921787</v>
      </c>
      <c r="F25" s="84">
        <f>'Basic T2'!AV25</f>
        <v>146.46667412379537</v>
      </c>
      <c r="G25" s="84">
        <f>'Basic T2'!BG25</f>
        <v>895.97762724582572</v>
      </c>
      <c r="H25" s="84">
        <f>'Basic T2'!BR25</f>
        <v>678.36386057257357</v>
      </c>
      <c r="I25" s="84">
        <f>'Basic T2'!CC25</f>
        <v>155.58706388852983</v>
      </c>
      <c r="J25" s="84">
        <f>'Basic T2'!CN25</f>
        <v>27.503960978426921</v>
      </c>
      <c r="K25" s="448">
        <f t="shared" si="7"/>
        <v>2578.4645595026009</v>
      </c>
      <c r="L25" s="133"/>
      <c r="M25" s="133">
        <f t="shared" si="0"/>
        <v>0.3955298302006266</v>
      </c>
      <c r="N25" s="133">
        <f t="shared" si="1"/>
        <v>2.6877203611742786</v>
      </c>
      <c r="O25" s="133">
        <f t="shared" si="2"/>
        <v>4.4572884216206239</v>
      </c>
      <c r="P25" s="133">
        <f t="shared" si="8"/>
        <v>13.420008593403123</v>
      </c>
      <c r="Q25" s="133">
        <f t="shared" si="8"/>
        <v>7.7479378906903307</v>
      </c>
      <c r="R25" s="133">
        <f t="shared" si="8"/>
        <v>12.953899836852337</v>
      </c>
      <c r="S25" s="133">
        <f t="shared" si="8"/>
        <v>10.045711390418903</v>
      </c>
      <c r="T25" s="133">
        <f t="shared" si="8"/>
        <v>3.4753959980570772</v>
      </c>
      <c r="U25" s="133">
        <f t="shared" si="8"/>
        <v>1.7119711667017097</v>
      </c>
      <c r="V25" s="133">
        <f t="shared" si="4"/>
        <v>7.3991768578878254</v>
      </c>
      <c r="W25" s="133"/>
      <c r="X25" s="133">
        <f t="shared" si="5"/>
        <v>8.4171777447559576E-2</v>
      </c>
      <c r="Y25" s="133">
        <f t="shared" si="9"/>
        <v>4.0020788233216118</v>
      </c>
      <c r="Z25" s="133">
        <f t="shared" si="9"/>
        <v>11.842256741734685</v>
      </c>
      <c r="AA25" s="133">
        <f t="shared" si="9"/>
        <v>10.233006889189772</v>
      </c>
      <c r="AB25" s="133">
        <f t="shared" si="9"/>
        <v>5.6803834508413624</v>
      </c>
      <c r="AC25" s="133">
        <f t="shared" si="9"/>
        <v>34.74849494998157</v>
      </c>
      <c r="AD25" s="133">
        <f t="shared" si="9"/>
        <v>26.308830116456338</v>
      </c>
      <c r="AE25" s="133">
        <f t="shared" si="9"/>
        <v>6.0340974365978246</v>
      </c>
      <c r="AF25" s="133">
        <f t="shared" si="9"/>
        <v>1.0666798144292733</v>
      </c>
      <c r="AG25" s="133">
        <f t="shared" si="9"/>
        <v>100</v>
      </c>
    </row>
    <row r="26" spans="1:33" x14ac:dyDescent="0.25">
      <c r="A26" s="12" t="str">
        <f>name!D22</f>
        <v xml:space="preserve"> 62 Leisure, travel and related personal service occupations</v>
      </c>
      <c r="B26" s="84">
        <f>'Basic T2'!D26</f>
        <v>0.9633764750156516</v>
      </c>
      <c r="C26" s="84">
        <f>'Basic T2'!O26</f>
        <v>18.371727908498528</v>
      </c>
      <c r="D26" s="84">
        <f>'Basic T2'!Z26</f>
        <v>76.870868967763641</v>
      </c>
      <c r="E26" s="84">
        <f>'Basic T2'!AK26</f>
        <v>47.253321675247783</v>
      </c>
      <c r="F26" s="84">
        <f>'Basic T2'!AV26</f>
        <v>59.638400188467614</v>
      </c>
      <c r="G26" s="84">
        <f>'Basic T2'!BG26</f>
        <v>198.5393763201788</v>
      </c>
      <c r="H26" s="84">
        <f>'Basic T2'!BR26</f>
        <v>193.49862745303579</v>
      </c>
      <c r="I26" s="84">
        <f>'Basic T2'!CC26</f>
        <v>126.80370321302476</v>
      </c>
      <c r="J26" s="84">
        <f>'Basic T2'!CN26</f>
        <v>44.68216402141551</v>
      </c>
      <c r="K26" s="448">
        <f t="shared" si="7"/>
        <v>766.62156622264808</v>
      </c>
      <c r="L26" s="133"/>
      <c r="M26" s="133">
        <f t="shared" si="0"/>
        <v>0.1755689108811328</v>
      </c>
      <c r="N26" s="133">
        <f t="shared" si="1"/>
        <v>0.47850588296958219</v>
      </c>
      <c r="O26" s="133">
        <f t="shared" si="2"/>
        <v>1.1221137622394612</v>
      </c>
      <c r="P26" s="133">
        <f t="shared" si="8"/>
        <v>2.4033703752439695</v>
      </c>
      <c r="Q26" s="133">
        <f t="shared" si="8"/>
        <v>3.1548106306410055</v>
      </c>
      <c r="R26" s="133">
        <f t="shared" si="8"/>
        <v>2.8704502392860509</v>
      </c>
      <c r="S26" s="133">
        <f t="shared" si="8"/>
        <v>2.8654701094994848</v>
      </c>
      <c r="T26" s="133">
        <f t="shared" si="8"/>
        <v>2.8324532366077531</v>
      </c>
      <c r="U26" s="133">
        <f t="shared" si="8"/>
        <v>2.7812203678771708</v>
      </c>
      <c r="V26" s="133">
        <f t="shared" si="4"/>
        <v>2.1999016936833775</v>
      </c>
      <c r="W26" s="133"/>
      <c r="X26" s="133">
        <f t="shared" si="5"/>
        <v>0.12566519355338102</v>
      </c>
      <c r="Y26" s="133">
        <f t="shared" si="9"/>
        <v>2.3964533112499042</v>
      </c>
      <c r="Z26" s="133">
        <f t="shared" si="9"/>
        <v>10.027224950965993</v>
      </c>
      <c r="AA26" s="133">
        <f t="shared" si="9"/>
        <v>6.1638393383684322</v>
      </c>
      <c r="AB26" s="133">
        <f t="shared" si="9"/>
        <v>7.7793793986676043</v>
      </c>
      <c r="AC26" s="133">
        <f t="shared" si="9"/>
        <v>25.897963880462694</v>
      </c>
      <c r="AD26" s="133">
        <f t="shared" si="9"/>
        <v>25.24043621763159</v>
      </c>
      <c r="AE26" s="133">
        <f t="shared" si="9"/>
        <v>16.540586490127186</v>
      </c>
      <c r="AF26" s="133">
        <f t="shared" si="9"/>
        <v>5.8284512189732185</v>
      </c>
      <c r="AG26" s="133">
        <f t="shared" si="9"/>
        <v>100</v>
      </c>
    </row>
    <row r="27" spans="1:33" x14ac:dyDescent="0.25">
      <c r="A27" s="12" t="str">
        <f>name!D23</f>
        <v xml:space="preserve"> 71 Sales occupations</v>
      </c>
      <c r="B27" s="84">
        <f>'Basic T2'!D27</f>
        <v>4.6011435035710013</v>
      </c>
      <c r="C27" s="84">
        <f>'Basic T2'!O27</f>
        <v>69.876571116921795</v>
      </c>
      <c r="D27" s="84">
        <f>'Basic T2'!Z27</f>
        <v>270.60132524267635</v>
      </c>
      <c r="E27" s="84">
        <f>'Basic T2'!AK27</f>
        <v>88.641730396561684</v>
      </c>
      <c r="F27" s="84">
        <f>'Basic T2'!AV27</f>
        <v>70.915734258897317</v>
      </c>
      <c r="G27" s="84">
        <f>'Basic T2'!BG27</f>
        <v>574.36606956604771</v>
      </c>
      <c r="H27" s="84">
        <f>'Basic T2'!BR27</f>
        <v>584.84190823122537</v>
      </c>
      <c r="I27" s="84">
        <f>'Basic T2'!CC27</f>
        <v>401.19496533342857</v>
      </c>
      <c r="J27" s="84">
        <f>'Basic T2'!CN27</f>
        <v>167.06138378475566</v>
      </c>
      <c r="K27" s="448">
        <f t="shared" si="7"/>
        <v>2232.1008314340852</v>
      </c>
      <c r="L27" s="133"/>
      <c r="M27" s="133">
        <f t="shared" si="0"/>
        <v>0.83852758986733189</v>
      </c>
      <c r="N27" s="133">
        <f t="shared" si="1"/>
        <v>1.819989416766957</v>
      </c>
      <c r="O27" s="133">
        <f t="shared" si="2"/>
        <v>3.950072052162954</v>
      </c>
      <c r="P27" s="133">
        <f t="shared" si="8"/>
        <v>4.5084430319964826</v>
      </c>
      <c r="Q27" s="133">
        <f t="shared" si="8"/>
        <v>3.7513701174523471</v>
      </c>
      <c r="R27" s="133">
        <f t="shared" si="8"/>
        <v>8.3040918752804789</v>
      </c>
      <c r="S27" s="133">
        <f t="shared" si="8"/>
        <v>8.6607694787187217</v>
      </c>
      <c r="T27" s="133">
        <f t="shared" si="8"/>
        <v>8.9616150733418181</v>
      </c>
      <c r="U27" s="133">
        <f t="shared" si="8"/>
        <v>10.39865757274457</v>
      </c>
      <c r="V27" s="133">
        <f t="shared" si="4"/>
        <v>6.4052494945306595</v>
      </c>
      <c r="W27" s="133"/>
      <c r="X27" s="133">
        <f t="shared" si="5"/>
        <v>0.20613510997237738</v>
      </c>
      <c r="Y27" s="133">
        <f t="shared" si="9"/>
        <v>3.1305293261338614</v>
      </c>
      <c r="Z27" s="133">
        <f t="shared" si="9"/>
        <v>12.123167620022784</v>
      </c>
      <c r="AA27" s="133">
        <f t="shared" si="9"/>
        <v>3.9712242900608992</v>
      </c>
      <c r="AB27" s="133">
        <f t="shared" si="9"/>
        <v>3.1770847114166978</v>
      </c>
      <c r="AC27" s="133">
        <f t="shared" si="9"/>
        <v>25.732084387828831</v>
      </c>
      <c r="AD27" s="133">
        <f t="shared" si="9"/>
        <v>26.201410796279973</v>
      </c>
      <c r="AE27" s="133">
        <f t="shared" si="9"/>
        <v>17.973872850343771</v>
      </c>
      <c r="AF27" s="133">
        <f t="shared" si="9"/>
        <v>7.4844909079408248</v>
      </c>
      <c r="AG27" s="133">
        <f t="shared" si="9"/>
        <v>100</v>
      </c>
    </row>
    <row r="28" spans="1:33" x14ac:dyDescent="0.25">
      <c r="A28" s="12" t="str">
        <f>name!D24</f>
        <v xml:space="preserve"> 72 Customer service occupations</v>
      </c>
      <c r="B28" s="84">
        <f>'Basic T2'!D28</f>
        <v>2.7763738738405435</v>
      </c>
      <c r="C28" s="84">
        <f>'Basic T2'!O28</f>
        <v>32.958083548570841</v>
      </c>
      <c r="D28" s="84">
        <f>'Basic T2'!Z28</f>
        <v>117.63107326483356</v>
      </c>
      <c r="E28" s="84">
        <f>'Basic T2'!AK28</f>
        <v>34.263771751354504</v>
      </c>
      <c r="F28" s="84">
        <f>'Basic T2'!AV28</f>
        <v>47.971068924416706</v>
      </c>
      <c r="G28" s="84">
        <f>'Basic T2'!BG28</f>
        <v>167.06371517654208</v>
      </c>
      <c r="H28" s="84">
        <f>'Basic T2'!BR28</f>
        <v>177.27947147677042</v>
      </c>
      <c r="I28" s="84">
        <f>'Basic T2'!CC28</f>
        <v>89.478287199139018</v>
      </c>
      <c r="J28" s="84">
        <f>'Basic T2'!CN28</f>
        <v>27.510914126271675</v>
      </c>
      <c r="K28" s="448">
        <f t="shared" si="7"/>
        <v>696.93275934173926</v>
      </c>
      <c r="L28" s="133"/>
      <c r="M28" s="133">
        <f t="shared" si="0"/>
        <v>0.50597554525202248</v>
      </c>
      <c r="N28" s="133">
        <f t="shared" si="1"/>
        <v>0.85841881329512038</v>
      </c>
      <c r="O28" s="133">
        <f t="shared" si="2"/>
        <v>1.717106206160117</v>
      </c>
      <c r="P28" s="133">
        <f t="shared" si="8"/>
        <v>1.7427036037227912</v>
      </c>
      <c r="Q28" s="133">
        <f t="shared" si="8"/>
        <v>2.5376206894836701</v>
      </c>
      <c r="R28" s="133">
        <f t="shared" si="8"/>
        <v>2.4153802137021341</v>
      </c>
      <c r="S28" s="133">
        <f t="shared" si="8"/>
        <v>2.6252849088960413</v>
      </c>
      <c r="T28" s="133">
        <f t="shared" si="8"/>
        <v>1.9987039633814634</v>
      </c>
      <c r="U28" s="133">
        <f t="shared" si="8"/>
        <v>1.7124039621320613</v>
      </c>
      <c r="V28" s="133">
        <f t="shared" si="4"/>
        <v>1.9999222891859569</v>
      </c>
      <c r="W28" s="133"/>
      <c r="X28" s="133">
        <f t="shared" si="5"/>
        <v>0.39837040756454895</v>
      </c>
      <c r="Y28" s="133">
        <f t="shared" si="9"/>
        <v>4.7290191351745499</v>
      </c>
      <c r="Z28" s="133">
        <f t="shared" si="9"/>
        <v>16.878396328497661</v>
      </c>
      <c r="AA28" s="133">
        <f t="shared" si="9"/>
        <v>4.9163669367066367</v>
      </c>
      <c r="AB28" s="133">
        <f t="shared" si="9"/>
        <v>6.8831703319163688</v>
      </c>
      <c r="AC28" s="133">
        <f t="shared" si="9"/>
        <v>23.97128172513165</v>
      </c>
      <c r="AD28" s="133">
        <f t="shared" si="9"/>
        <v>25.437098357123126</v>
      </c>
      <c r="AE28" s="133">
        <f t="shared" si="9"/>
        <v>12.838869460470226</v>
      </c>
      <c r="AF28" s="133">
        <f t="shared" si="9"/>
        <v>3.9474273174152468</v>
      </c>
      <c r="AG28" s="133">
        <f t="shared" si="9"/>
        <v>100</v>
      </c>
    </row>
    <row r="29" spans="1:33" x14ac:dyDescent="0.25">
      <c r="A29" s="12" t="str">
        <f>name!D25</f>
        <v xml:space="preserve"> 81 Process, plant and machine operatives</v>
      </c>
      <c r="B29" s="84">
        <f>'Basic T2'!D29</f>
        <v>1.8287993377712841</v>
      </c>
      <c r="C29" s="84">
        <f>'Basic T2'!O29</f>
        <v>13.205845090602185</v>
      </c>
      <c r="D29" s="84">
        <f>'Basic T2'!Z29</f>
        <v>32.249237396272761</v>
      </c>
      <c r="E29" s="84">
        <f>'Basic T2'!AK29</f>
        <v>14.679585874053249</v>
      </c>
      <c r="F29" s="84">
        <f>'Basic T2'!AV29</f>
        <v>35.221887378124912</v>
      </c>
      <c r="G29" s="84">
        <f>'Basic T2'!BG29</f>
        <v>217.07629018077651</v>
      </c>
      <c r="H29" s="84">
        <f>'Basic T2'!BR29</f>
        <v>275.80932508279801</v>
      </c>
      <c r="I29" s="84">
        <f>'Basic T2'!CC29</f>
        <v>220.4797964945792</v>
      </c>
      <c r="J29" s="84">
        <f>'Basic T2'!CN29</f>
        <v>99.814291306282584</v>
      </c>
      <c r="K29" s="448">
        <f t="shared" si="7"/>
        <v>910.36505814126065</v>
      </c>
      <c r="L29" s="133"/>
      <c r="M29" s="133">
        <f t="shared" si="0"/>
        <v>0.33328643191897001</v>
      </c>
      <c r="N29" s="133">
        <f t="shared" si="1"/>
        <v>0.34395646380735895</v>
      </c>
      <c r="O29" s="133">
        <f t="shared" si="2"/>
        <v>0.47075457309140822</v>
      </c>
      <c r="P29" s="133">
        <f t="shared" si="8"/>
        <v>0.74662437601778242</v>
      </c>
      <c r="Q29" s="133">
        <f t="shared" si="8"/>
        <v>1.8632019702171001</v>
      </c>
      <c r="R29" s="133">
        <f t="shared" si="8"/>
        <v>3.1384539462231</v>
      </c>
      <c r="S29" s="133">
        <f t="shared" si="8"/>
        <v>4.0843875088354524</v>
      </c>
      <c r="T29" s="133">
        <f t="shared" si="8"/>
        <v>4.9249248828211165</v>
      </c>
      <c r="U29" s="133">
        <f t="shared" si="8"/>
        <v>6.2128938037380204</v>
      </c>
      <c r="V29" s="133">
        <f t="shared" si="4"/>
        <v>2.6123888519638676</v>
      </c>
      <c r="W29" s="133"/>
      <c r="X29" s="133">
        <f t="shared" si="5"/>
        <v>0.20088637205663826</v>
      </c>
      <c r="Y29" s="133">
        <f t="shared" si="9"/>
        <v>1.4506098375046645</v>
      </c>
      <c r="Z29" s="133">
        <f t="shared" si="9"/>
        <v>3.5424511417560001</v>
      </c>
      <c r="AA29" s="133">
        <f t="shared" si="9"/>
        <v>1.6124944320716039</v>
      </c>
      <c r="AB29" s="133">
        <f t="shared" si="9"/>
        <v>3.8689849816994575</v>
      </c>
      <c r="AC29" s="133">
        <f t="shared" si="9"/>
        <v>23.844971667079619</v>
      </c>
      <c r="AD29" s="133">
        <f t="shared" si="9"/>
        <v>30.296563188171145</v>
      </c>
      <c r="AE29" s="133">
        <f t="shared" si="9"/>
        <v>24.21883337051009</v>
      </c>
      <c r="AF29" s="133">
        <f t="shared" si="9"/>
        <v>10.964205009150788</v>
      </c>
      <c r="AG29" s="133">
        <f t="shared" si="9"/>
        <v>100</v>
      </c>
    </row>
    <row r="30" spans="1:33" x14ac:dyDescent="0.25">
      <c r="A30" s="12" t="str">
        <f>name!D26</f>
        <v xml:space="preserve"> 82 Transport and mobile machine drivers and operatives</v>
      </c>
      <c r="B30" s="84">
        <f>'Basic T2'!D30</f>
        <v>3.7213465486770652</v>
      </c>
      <c r="C30" s="84">
        <f>'Basic T2'!O30</f>
        <v>23.134413881446577</v>
      </c>
      <c r="D30" s="84">
        <f>'Basic T2'!Z30</f>
        <v>61.460013107801331</v>
      </c>
      <c r="E30" s="84">
        <f>'Basic T2'!AK30</f>
        <v>29.537015683337216</v>
      </c>
      <c r="F30" s="84">
        <f>'Basic T2'!AV30</f>
        <v>48.143229726963099</v>
      </c>
      <c r="G30" s="84">
        <f>'Basic T2'!BG30</f>
        <v>254.53318107798253</v>
      </c>
      <c r="H30" s="84">
        <f>'Basic T2'!BR30</f>
        <v>381.05800115328708</v>
      </c>
      <c r="I30" s="84">
        <f>'Basic T2'!CC30</f>
        <v>326.66068064924815</v>
      </c>
      <c r="J30" s="84">
        <f>'Basic T2'!CN30</f>
        <v>141.34359871576251</v>
      </c>
      <c r="K30" s="448">
        <f t="shared" si="7"/>
        <v>1269.5914805445057</v>
      </c>
      <c r="L30" s="133"/>
      <c r="M30" s="133">
        <f t="shared" si="0"/>
        <v>0.67819048679996041</v>
      </c>
      <c r="N30" s="133">
        <f t="shared" si="1"/>
        <v>0.60255372801403906</v>
      </c>
      <c r="O30" s="133">
        <f t="shared" si="2"/>
        <v>0.89715554750138937</v>
      </c>
      <c r="P30" s="133">
        <f t="shared" si="8"/>
        <v>1.5022941446174416</v>
      </c>
      <c r="Q30" s="133">
        <f t="shared" si="8"/>
        <v>2.5467278205994721</v>
      </c>
      <c r="R30" s="133">
        <f t="shared" si="8"/>
        <v>3.6799996256323326</v>
      </c>
      <c r="S30" s="133">
        <f t="shared" si="8"/>
        <v>5.6429873775481054</v>
      </c>
      <c r="T30" s="133">
        <f t="shared" si="8"/>
        <v>7.296719880673141</v>
      </c>
      <c r="U30" s="133">
        <f t="shared" si="8"/>
        <v>8.7978660887804239</v>
      </c>
      <c r="V30" s="133">
        <f t="shared" si="4"/>
        <v>3.6432270776017899</v>
      </c>
      <c r="W30" s="133"/>
      <c r="X30" s="133">
        <f t="shared" si="5"/>
        <v>0.29311369883177257</v>
      </c>
      <c r="Y30" s="133">
        <f t="shared" si="9"/>
        <v>1.8221935351617695</v>
      </c>
      <c r="Z30" s="133">
        <f t="shared" si="9"/>
        <v>4.8409282867463954</v>
      </c>
      <c r="AA30" s="133">
        <f t="shared" si="9"/>
        <v>2.326497628250412</v>
      </c>
      <c r="AB30" s="133">
        <f t="shared" si="9"/>
        <v>3.7920252667665433</v>
      </c>
      <c r="AC30" s="133">
        <f t="shared" si="9"/>
        <v>20.048431718273481</v>
      </c>
      <c r="AD30" s="133">
        <f t="shared" si="9"/>
        <v>30.014221660487038</v>
      </c>
      <c r="AE30" s="133">
        <f t="shared" si="9"/>
        <v>25.729589844849077</v>
      </c>
      <c r="AF30" s="133">
        <f t="shared" si="9"/>
        <v>11.132998360633509</v>
      </c>
      <c r="AG30" s="133">
        <f t="shared" si="9"/>
        <v>100</v>
      </c>
    </row>
    <row r="31" spans="1:33" x14ac:dyDescent="0.25">
      <c r="A31" s="12" t="str">
        <f>name!D27</f>
        <v xml:space="preserve"> 91 Elementary trades and related occupations</v>
      </c>
      <c r="B31" s="84">
        <f>'Basic T2'!D31</f>
        <v>4.0098957654546005E-2</v>
      </c>
      <c r="C31" s="84">
        <f>'Basic T2'!O31</f>
        <v>7.6494410015002234</v>
      </c>
      <c r="D31" s="84">
        <f>'Basic T2'!Z31</f>
        <v>23.727233462255462</v>
      </c>
      <c r="E31" s="84">
        <f>'Basic T2'!AK31</f>
        <v>14.908869126711302</v>
      </c>
      <c r="F31" s="84">
        <f>'Basic T2'!AV31</f>
        <v>19.247326222919561</v>
      </c>
      <c r="G31" s="84">
        <f>'Basic T2'!BG31</f>
        <v>91.800954693682399</v>
      </c>
      <c r="H31" s="84">
        <f>'Basic T2'!BR31</f>
        <v>144.34314601582776</v>
      </c>
      <c r="I31" s="84">
        <f>'Basic T2'!CC31</f>
        <v>171.13001566927326</v>
      </c>
      <c r="J31" s="84">
        <f>'Basic T2'!CN31</f>
        <v>82.286704440152377</v>
      </c>
      <c r="K31" s="448">
        <f t="shared" si="7"/>
        <v>555.1337895899768</v>
      </c>
      <c r="L31" s="133"/>
      <c r="M31" s="133">
        <f t="shared" si="0"/>
        <v>7.3077664915607646E-3</v>
      </c>
      <c r="N31" s="133">
        <f t="shared" si="1"/>
        <v>0.19923561566320497</v>
      </c>
      <c r="O31" s="133">
        <f t="shared" si="2"/>
        <v>0.34635559042568853</v>
      </c>
      <c r="P31" s="133">
        <f t="shared" si="8"/>
        <v>0.75828604460406923</v>
      </c>
      <c r="Q31" s="133">
        <f t="shared" si="8"/>
        <v>1.0181639545593293</v>
      </c>
      <c r="R31" s="133">
        <f t="shared" si="8"/>
        <v>1.32724337736517</v>
      </c>
      <c r="S31" s="133">
        <f t="shared" si="8"/>
        <v>2.1375395570692715</v>
      </c>
      <c r="T31" s="133">
        <f t="shared" si="8"/>
        <v>3.8225836823461186</v>
      </c>
      <c r="U31" s="133">
        <f t="shared" si="8"/>
        <v>5.1218973701621202</v>
      </c>
      <c r="V31" s="133">
        <f t="shared" si="4"/>
        <v>1.5930151429958337</v>
      </c>
      <c r="W31" s="133"/>
      <c r="X31" s="133">
        <f t="shared" si="5"/>
        <v>7.2232961506744509E-3</v>
      </c>
      <c r="Y31" s="133">
        <f t="shared" si="9"/>
        <v>1.3779454871860926</v>
      </c>
      <c r="Z31" s="133">
        <f t="shared" si="9"/>
        <v>4.2741468646288769</v>
      </c>
      <c r="AA31" s="133">
        <f t="shared" si="9"/>
        <v>2.6856353200411438</v>
      </c>
      <c r="AB31" s="133">
        <f t="shared" si="9"/>
        <v>3.467150907375983</v>
      </c>
      <c r="AC31" s="133">
        <f t="shared" si="9"/>
        <v>16.536726175772294</v>
      </c>
      <c r="AD31" s="133">
        <f t="shared" si="9"/>
        <v>26.001506073416998</v>
      </c>
      <c r="AE31" s="133">
        <f t="shared" si="9"/>
        <v>30.826805876052028</v>
      </c>
      <c r="AF31" s="133">
        <f t="shared" si="9"/>
        <v>14.822859999375924</v>
      </c>
      <c r="AG31" s="133">
        <f t="shared" si="9"/>
        <v>100</v>
      </c>
    </row>
    <row r="32" spans="1:33" x14ac:dyDescent="0.25">
      <c r="A32" s="12" t="str">
        <f>name!D28</f>
        <v xml:space="preserve"> 92 Elementary administration and service occupations</v>
      </c>
      <c r="B32" s="84">
        <f>'Basic T2'!D32</f>
        <v>2.7444372232760177</v>
      </c>
      <c r="C32" s="84">
        <f>'Basic T2'!O32</f>
        <v>78.151634538648096</v>
      </c>
      <c r="D32" s="84">
        <f>'Basic T2'!Z32</f>
        <v>248.89601271662295</v>
      </c>
      <c r="E32" s="84">
        <f>'Basic T2'!AK32</f>
        <v>118.8699852323755</v>
      </c>
      <c r="F32" s="84">
        <f>'Basic T2'!AV32</f>
        <v>108.10050594291327</v>
      </c>
      <c r="G32" s="84">
        <f>'Basic T2'!BG32</f>
        <v>602.43931913088693</v>
      </c>
      <c r="H32" s="84">
        <f>'Basic T2'!BR32</f>
        <v>961.31800098250926</v>
      </c>
      <c r="I32" s="84">
        <f>'Basic T2'!CC32</f>
        <v>884.80886259990473</v>
      </c>
      <c r="J32" s="84">
        <f>'Basic T2'!CN32</f>
        <v>395.53056318736634</v>
      </c>
      <c r="K32" s="448">
        <f t="shared" si="7"/>
        <v>3400.8593215545029</v>
      </c>
      <c r="L32" s="133"/>
      <c r="M32" s="133">
        <f t="shared" si="0"/>
        <v>0.50015530456500135</v>
      </c>
      <c r="N32" s="133">
        <f t="shared" si="1"/>
        <v>2.0355198529329939</v>
      </c>
      <c r="O32" s="133">
        <f t="shared" si="2"/>
        <v>3.6332312225190622</v>
      </c>
      <c r="P32" s="133">
        <f t="shared" si="8"/>
        <v>6.0458945717424282</v>
      </c>
      <c r="Q32" s="133">
        <f t="shared" si="8"/>
        <v>5.7184066683318058</v>
      </c>
      <c r="R32" s="133">
        <f t="shared" si="8"/>
        <v>8.709970383738046</v>
      </c>
      <c r="S32" s="133">
        <f t="shared" si="8"/>
        <v>14.235904583911092</v>
      </c>
      <c r="T32" s="133">
        <f t="shared" si="8"/>
        <v>19.764247124865516</v>
      </c>
      <c r="U32" s="133">
        <f t="shared" si="8"/>
        <v>24.619614616861213</v>
      </c>
      <c r="V32" s="133">
        <f t="shared" si="4"/>
        <v>9.7591256378688964</v>
      </c>
      <c r="W32" s="133"/>
      <c r="X32" s="133">
        <f t="shared" si="5"/>
        <v>8.0698346029248857E-2</v>
      </c>
      <c r="Y32" s="133">
        <f t="shared" si="9"/>
        <v>2.2979966869939705</v>
      </c>
      <c r="Z32" s="133">
        <f t="shared" si="9"/>
        <v>7.3186212419646566</v>
      </c>
      <c r="AA32" s="133">
        <f t="shared" si="9"/>
        <v>3.4952926302767819</v>
      </c>
      <c r="AB32" s="133">
        <f t="shared" si="9"/>
        <v>3.1786232749404486</v>
      </c>
      <c r="AC32" s="133">
        <f t="shared" si="9"/>
        <v>17.714326356066891</v>
      </c>
      <c r="AD32" s="133">
        <f t="shared" si="9"/>
        <v>28.266914626245089</v>
      </c>
      <c r="AE32" s="133">
        <f t="shared" si="9"/>
        <v>26.017214443185683</v>
      </c>
      <c r="AF32" s="133">
        <f t="shared" si="9"/>
        <v>11.630312394297238</v>
      </c>
      <c r="AG32" s="133">
        <f t="shared" si="9"/>
        <v>100</v>
      </c>
    </row>
    <row r="33" spans="1:33" x14ac:dyDescent="0.25">
      <c r="B33" s="448"/>
      <c r="C33" s="448"/>
      <c r="D33" s="448"/>
      <c r="E33" s="84"/>
      <c r="F33" s="84"/>
      <c r="G33" s="84"/>
      <c r="H33" s="84"/>
      <c r="I33" s="84"/>
      <c r="J33" s="84"/>
      <c r="K33" s="448"/>
      <c r="L33" s="133"/>
      <c r="M33" s="133"/>
      <c r="N33" s="133"/>
      <c r="O33" s="133"/>
      <c r="P33" s="133"/>
      <c r="Q33" s="133"/>
      <c r="R33" s="133"/>
      <c r="S33" s="133"/>
      <c r="T33" s="133"/>
      <c r="U33" s="133"/>
      <c r="V33" s="133"/>
      <c r="W33" s="133"/>
      <c r="X33" s="133"/>
      <c r="Y33" s="133"/>
      <c r="Z33" s="133"/>
      <c r="AA33" s="133"/>
      <c r="AB33" s="133"/>
      <c r="AC33" s="133"/>
      <c r="AD33" s="133"/>
      <c r="AE33" s="133"/>
      <c r="AF33" s="133"/>
      <c r="AG33" s="133"/>
    </row>
    <row r="34" spans="1:33" x14ac:dyDescent="0.25">
      <c r="A34" s="345" t="str">
        <f>name!D3</f>
        <v>All occupations</v>
      </c>
      <c r="B34" s="449">
        <f>SUM(B8:B32)</f>
        <v>548.71700814268661</v>
      </c>
      <c r="C34" s="449">
        <f>SUM(C8:C32)</f>
        <v>3839.3943653282918</v>
      </c>
      <c r="D34" s="449">
        <f>SUM(D8:D32)</f>
        <v>6850.5415007430638</v>
      </c>
      <c r="E34" s="449">
        <f t="shared" ref="E34:J34" si="10">SUM(E8:E32)</f>
        <v>1966.1273252754909</v>
      </c>
      <c r="F34" s="449">
        <f t="shared" si="10"/>
        <v>1890.39556318314</v>
      </c>
      <c r="G34" s="449">
        <f t="shared" si="10"/>
        <v>6916.6632329275371</v>
      </c>
      <c r="H34" s="449">
        <f t="shared" si="10"/>
        <v>6752.770751701697</v>
      </c>
      <c r="I34" s="449">
        <f t="shared" si="10"/>
        <v>4476.8154183152337</v>
      </c>
      <c r="J34" s="449">
        <f t="shared" si="10"/>
        <v>1606.566834382857</v>
      </c>
      <c r="K34" s="449">
        <f>SUM(K8:K32)</f>
        <v>34847.992000000006</v>
      </c>
      <c r="L34" s="134"/>
      <c r="M34" s="134">
        <f>B34/B$34*100</f>
        <v>100</v>
      </c>
      <c r="N34" s="134">
        <f>C34/C$34*100</f>
        <v>100</v>
      </c>
      <c r="O34" s="134">
        <f>D34/D$34*100</f>
        <v>100</v>
      </c>
      <c r="P34" s="134">
        <f t="shared" ref="P34:U34" si="11">E34/E$34*100</f>
        <v>100</v>
      </c>
      <c r="Q34" s="134">
        <f t="shared" si="11"/>
        <v>100</v>
      </c>
      <c r="R34" s="134">
        <f t="shared" si="11"/>
        <v>100</v>
      </c>
      <c r="S34" s="134">
        <f t="shared" si="11"/>
        <v>100</v>
      </c>
      <c r="T34" s="134">
        <f t="shared" si="11"/>
        <v>100</v>
      </c>
      <c r="U34" s="134">
        <f t="shared" si="11"/>
        <v>100</v>
      </c>
      <c r="V34" s="134">
        <f>K34/K$34*100</f>
        <v>100</v>
      </c>
      <c r="W34" s="134"/>
      <c r="X34" s="134">
        <f>IF($K34&gt;0,B34/$K34*100,0)</f>
        <v>1.5746015097302779</v>
      </c>
      <c r="Y34" s="134">
        <f t="shared" ref="Y34:AG34" si="12">IF($K34&gt;0,C34/$K34*100,0)</f>
        <v>11.017548343469235</v>
      </c>
      <c r="Z34" s="134">
        <f t="shared" si="12"/>
        <v>19.658353631230927</v>
      </c>
      <c r="AA34" s="134">
        <f t="shared" si="12"/>
        <v>5.6420103783181847</v>
      </c>
      <c r="AB34" s="134">
        <f t="shared" si="12"/>
        <v>5.4246900744902025</v>
      </c>
      <c r="AC34" s="134">
        <f t="shared" si="12"/>
        <v>19.848096937486488</v>
      </c>
      <c r="AD34" s="134">
        <f t="shared" si="12"/>
        <v>19.377790122603606</v>
      </c>
      <c r="AE34" s="134">
        <f t="shared" si="12"/>
        <v>12.846695494865912</v>
      </c>
      <c r="AF34" s="134">
        <f t="shared" si="12"/>
        <v>4.6102135078051463</v>
      </c>
      <c r="AG34" s="134">
        <f t="shared" si="12"/>
        <v>100</v>
      </c>
    </row>
    <row r="36" spans="1:33" x14ac:dyDescent="0.25">
      <c r="A36" s="123" t="str">
        <f ca="1">CELL("filename")</f>
        <v>M:\IE\Projects\WorkingFutures\data\Results\Workbooks\UK\[UK_MainTables.Main.xlsm]Info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DP101"/>
  <sheetViews>
    <sheetView zoomScale="85" zoomScaleNormal="85" workbookViewId="0">
      <selection activeCell="J103" sqref="J103"/>
    </sheetView>
  </sheetViews>
  <sheetFormatPr defaultColWidth="9.109375" defaultRowHeight="13.2" x14ac:dyDescent="0.25"/>
  <cols>
    <col min="1" max="1" width="33.6640625" style="123" customWidth="1"/>
    <col min="2" max="2" width="5.6640625" style="123" customWidth="1"/>
    <col min="3" max="3" width="11.6640625" style="123" customWidth="1"/>
    <col min="4" max="4" width="7.88671875" style="123" customWidth="1"/>
    <col min="5" max="5" width="9.88671875" style="123" customWidth="1"/>
    <col min="6" max="6" width="10" style="123" customWidth="1"/>
    <col min="7" max="7" width="2.6640625" style="129" customWidth="1"/>
    <col min="8" max="8" width="5.6640625" style="123" customWidth="1"/>
    <col min="9" max="9" width="10.6640625" style="123" customWidth="1"/>
    <col min="10" max="12" width="8.6640625" style="123" customWidth="1"/>
    <col min="13" max="13" width="2.6640625" style="129" customWidth="1"/>
    <col min="14" max="14" width="5.6640625" style="129" customWidth="1"/>
    <col min="15" max="15" width="10.6640625" style="123" customWidth="1"/>
    <col min="16" max="18" width="8.6640625" style="123" customWidth="1"/>
    <col min="19" max="19" width="2.6640625" style="123" customWidth="1"/>
    <col min="20" max="20" width="5.6640625" style="123" customWidth="1"/>
    <col min="21" max="21" width="10.6640625" style="123" customWidth="1"/>
    <col min="22" max="24" width="8.6640625" style="123" customWidth="1"/>
    <col min="25" max="25" width="33.6640625" style="123" customWidth="1"/>
    <col min="26" max="26" width="5.6640625" style="123" customWidth="1"/>
    <col min="27" max="27" width="11.6640625" style="123" customWidth="1"/>
    <col min="28" max="28" width="7.44140625" style="123" customWidth="1"/>
    <col min="29" max="30" width="8.6640625" style="123" customWidth="1"/>
    <col min="31" max="31" width="2.6640625" style="129" customWidth="1"/>
    <col min="32" max="32" width="5.6640625" style="123" customWidth="1"/>
    <col min="33" max="33" width="10.6640625" style="123" customWidth="1"/>
    <col min="34" max="36" width="8.6640625" style="123" customWidth="1"/>
    <col min="37" max="37" width="2.6640625" style="129" customWidth="1"/>
    <col min="38" max="38" width="5.6640625" style="129" customWidth="1"/>
    <col min="39" max="39" width="10.6640625" style="123" customWidth="1"/>
    <col min="40" max="42" width="8.6640625" style="123" customWidth="1"/>
    <col min="43" max="43" width="2.6640625" style="123" customWidth="1"/>
    <col min="44" max="44" width="5.6640625" style="123" customWidth="1"/>
    <col min="45" max="45" width="10.6640625" style="123" customWidth="1"/>
    <col min="46" max="48" width="8.6640625" style="123" customWidth="1"/>
    <col min="49" max="49" width="33.6640625" style="123" customWidth="1"/>
    <col min="50" max="50" width="5.6640625" style="123" customWidth="1"/>
    <col min="51" max="51" width="11.6640625" style="123" customWidth="1"/>
    <col min="52" max="52" width="7.44140625" style="123" customWidth="1"/>
    <col min="53" max="54" width="8.6640625" style="123" customWidth="1"/>
    <col min="55" max="55" width="2.6640625" style="129" customWidth="1"/>
    <col min="56" max="56" width="5.6640625" style="123" customWidth="1"/>
    <col min="57" max="57" width="10.6640625" style="123" customWidth="1"/>
    <col min="58" max="60" width="8.6640625" style="123" customWidth="1"/>
    <col min="61" max="61" width="2.6640625" style="129" customWidth="1"/>
    <col min="62" max="62" width="5.6640625" style="129" customWidth="1"/>
    <col min="63" max="63" width="10.6640625" style="123" customWidth="1"/>
    <col min="64" max="66" width="8.6640625" style="123" customWidth="1"/>
    <col min="67" max="67" width="2.6640625" style="123" customWidth="1"/>
    <col min="68" max="68" width="5.6640625" style="123" customWidth="1"/>
    <col min="69" max="69" width="10.6640625" style="123" customWidth="1"/>
    <col min="70" max="72" width="8.6640625" style="123" customWidth="1"/>
    <col min="73" max="73" width="33.6640625" style="123" customWidth="1"/>
    <col min="74" max="74" width="5.6640625" style="123" customWidth="1"/>
    <col min="75" max="75" width="11.6640625" style="123" customWidth="1"/>
    <col min="76" max="76" width="7.44140625" style="123" customWidth="1"/>
    <col min="77" max="78" width="8.6640625" style="123" customWidth="1"/>
    <col min="79" max="79" width="2.6640625" style="129" customWidth="1"/>
    <col min="80" max="80" width="5.6640625" style="123" customWidth="1"/>
    <col min="81" max="81" width="10.6640625" style="123" customWidth="1"/>
    <col min="82" max="84" width="8.6640625" style="123" customWidth="1"/>
    <col min="85" max="85" width="2.6640625" style="129" customWidth="1"/>
    <col min="86" max="86" width="5.6640625" style="129" customWidth="1"/>
    <col min="87" max="87" width="10.6640625" style="123" customWidth="1"/>
    <col min="88" max="90" width="8.6640625" style="123" customWidth="1"/>
    <col min="91" max="91" width="2.6640625" style="123" customWidth="1"/>
    <col min="92" max="92" width="5.6640625" style="123" customWidth="1"/>
    <col min="93" max="93" width="10.6640625" style="123" customWidth="1"/>
    <col min="94" max="96" width="8.6640625" style="123" customWidth="1"/>
    <col min="97" max="97" width="33.6640625" style="123" customWidth="1"/>
    <col min="98" max="98" width="5.6640625" style="123" customWidth="1"/>
    <col min="99" max="99" width="11.6640625" style="123" customWidth="1"/>
    <col min="100" max="100" width="7.44140625" style="123" customWidth="1"/>
    <col min="101" max="102" width="8.6640625" style="123" customWidth="1"/>
    <col min="103" max="103" width="2.6640625" style="129" customWidth="1"/>
    <col min="104" max="104" width="5.6640625" style="123" customWidth="1"/>
    <col min="105" max="105" width="10.6640625" style="123" customWidth="1"/>
    <col min="106" max="108" width="8.6640625" style="123" customWidth="1"/>
    <col min="109" max="109" width="2.6640625" style="129" customWidth="1"/>
    <col min="110" max="110" width="5.6640625" style="129" customWidth="1"/>
    <col min="111" max="111" width="10.6640625" style="123" customWidth="1"/>
    <col min="112" max="114" width="8.6640625" style="123" customWidth="1"/>
    <col min="115" max="115" width="2.6640625" style="123" customWidth="1"/>
    <col min="116" max="116" width="5.6640625" style="123" customWidth="1"/>
    <col min="117" max="117" width="10.6640625" style="123" customWidth="1"/>
    <col min="118" max="120" width="8.6640625" style="123" customWidth="1"/>
    <col min="121" max="16384" width="9.109375" style="123"/>
  </cols>
  <sheetData>
    <row r="1" spans="1:120" ht="15.6" x14ac:dyDescent="0.3">
      <c r="A1" s="23" t="str">
        <f>CONCATENATE("Basic Table 5  Replacement Demand, ",A100,"-",A101,", by Industry and Qualification for ",name!$H$3)</f>
        <v>Basic Table 5  Replacement Demand, 2015-2025, by Industry and Qualification for M</v>
      </c>
      <c r="Y1" s="23" t="str">
        <f>CONCATENATE("Basic Table 5  Replacement Demand, ",A100,"-",A101,", by Industry and Qualification for ",name!$H$4)</f>
        <v>Basic Table 5  Replacement Demand, 2015-2025, by Industry and Qualification for F</v>
      </c>
      <c r="AW1" s="23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23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23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6" x14ac:dyDescent="0.3">
      <c r="A2" s="23"/>
      <c r="Y2" s="23"/>
      <c r="AW2" s="23"/>
      <c r="BU2" s="23"/>
      <c r="CS2" s="23"/>
    </row>
    <row r="3" spans="1:120" x14ac:dyDescent="0.25">
      <c r="B3" s="124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4"/>
      <c r="X3" s="157" t="s">
        <v>35</v>
      </c>
      <c r="Z3" s="124"/>
      <c r="AA3" s="124"/>
      <c r="AB3" s="124"/>
      <c r="AC3" s="124"/>
      <c r="AD3" s="124"/>
      <c r="AE3" s="124"/>
      <c r="AF3" s="124"/>
      <c r="AG3" s="124"/>
      <c r="AH3" s="124"/>
      <c r="AI3" s="124"/>
      <c r="AJ3" s="124"/>
      <c r="AK3" s="124"/>
      <c r="AL3" s="124"/>
      <c r="AM3" s="124"/>
      <c r="AN3" s="124"/>
      <c r="AO3" s="124"/>
      <c r="AP3" s="124"/>
      <c r="AQ3" s="124"/>
      <c r="AR3" s="124"/>
      <c r="AS3" s="124"/>
      <c r="AT3" s="124"/>
      <c r="AU3" s="124"/>
      <c r="AV3" s="157" t="str">
        <f>$X$3</f>
        <v>thousands</v>
      </c>
      <c r="AX3" s="124"/>
      <c r="AY3" s="124"/>
      <c r="AZ3" s="124"/>
      <c r="BA3" s="124"/>
      <c r="BB3" s="124"/>
      <c r="BC3" s="124"/>
      <c r="BD3" s="124"/>
      <c r="BE3" s="124"/>
      <c r="BF3" s="124"/>
      <c r="BG3" s="124"/>
      <c r="BH3" s="124"/>
      <c r="BI3" s="124"/>
      <c r="BJ3" s="124"/>
      <c r="BK3" s="124"/>
      <c r="BL3" s="124"/>
      <c r="BM3" s="124"/>
      <c r="BN3" s="124"/>
      <c r="BO3" s="124"/>
      <c r="BP3" s="124"/>
      <c r="BQ3" s="124"/>
      <c r="BR3" s="124"/>
      <c r="BS3" s="124"/>
      <c r="BT3" s="157" t="str">
        <f>$X$3</f>
        <v>thousands</v>
      </c>
      <c r="BV3" s="124"/>
      <c r="BW3" s="124"/>
      <c r="BX3" s="124"/>
      <c r="BY3" s="124"/>
      <c r="BZ3" s="124"/>
      <c r="CA3" s="124"/>
      <c r="CB3" s="124"/>
      <c r="CC3" s="124"/>
      <c r="CD3" s="124"/>
      <c r="CE3" s="124"/>
      <c r="CF3" s="124"/>
      <c r="CG3" s="124"/>
      <c r="CH3" s="124"/>
      <c r="CI3" s="124"/>
      <c r="CJ3" s="124"/>
      <c r="CK3" s="124"/>
      <c r="CL3" s="124"/>
      <c r="CM3" s="124"/>
      <c r="CN3" s="124"/>
      <c r="CO3" s="124"/>
      <c r="CP3" s="124"/>
      <c r="CQ3" s="124"/>
      <c r="CR3" s="157" t="str">
        <f>$X$3</f>
        <v>thousands</v>
      </c>
      <c r="CT3" s="124"/>
      <c r="CU3" s="124"/>
      <c r="CV3" s="124"/>
      <c r="CW3" s="124"/>
      <c r="CX3" s="124"/>
      <c r="CY3" s="124"/>
      <c r="CZ3" s="124"/>
      <c r="DA3" s="124"/>
      <c r="DB3" s="124"/>
      <c r="DC3" s="124"/>
      <c r="DD3" s="124"/>
      <c r="DE3" s="124"/>
      <c r="DF3" s="124"/>
      <c r="DG3" s="124"/>
      <c r="DH3" s="124"/>
      <c r="DI3" s="124"/>
      <c r="DJ3" s="124"/>
      <c r="DK3" s="124"/>
      <c r="DL3" s="124"/>
      <c r="DM3" s="124"/>
      <c r="DN3" s="124"/>
      <c r="DO3" s="124"/>
      <c r="DP3" s="157" t="str">
        <f>$X$3</f>
        <v>thousands</v>
      </c>
    </row>
    <row r="4" spans="1:120" x14ac:dyDescent="0.25">
      <c r="A4" s="132"/>
      <c r="B4" s="527" t="str">
        <f>name!F3</f>
        <v>All qualifications</v>
      </c>
      <c r="C4" s="527"/>
      <c r="D4" s="527"/>
      <c r="E4" s="527"/>
      <c r="F4" s="527"/>
      <c r="G4" s="140"/>
      <c r="H4" s="527" t="str">
        <f>name!F4</f>
        <v>RQF8 Doctorate</v>
      </c>
      <c r="I4" s="527"/>
      <c r="J4" s="527"/>
      <c r="K4" s="527"/>
      <c r="L4" s="527"/>
      <c r="N4" s="528" t="str">
        <f>name!F5</f>
        <v>RQF7 Other higher degree</v>
      </c>
      <c r="O4" s="528"/>
      <c r="P4" s="528"/>
      <c r="Q4" s="528"/>
      <c r="R4" s="528"/>
      <c r="S4" s="150"/>
      <c r="T4" s="528" t="str">
        <f>name!F6</f>
        <v>RQF6 First degree</v>
      </c>
      <c r="U4" s="528"/>
      <c r="V4" s="528"/>
      <c r="W4" s="528"/>
      <c r="X4" s="528"/>
      <c r="Y4" s="132"/>
      <c r="Z4" s="527" t="str">
        <f>$B$4</f>
        <v>All qualifications</v>
      </c>
      <c r="AA4" s="527"/>
      <c r="AB4" s="527"/>
      <c r="AC4" s="527"/>
      <c r="AD4" s="527"/>
      <c r="AE4" s="140"/>
      <c r="AF4" s="527" t="str">
        <f>$H$4</f>
        <v>RQF8 Doctorate</v>
      </c>
      <c r="AG4" s="527"/>
      <c r="AH4" s="527"/>
      <c r="AI4" s="527"/>
      <c r="AJ4" s="527"/>
      <c r="AL4" s="528" t="str">
        <f>$N$4</f>
        <v>RQF7 Other higher degree</v>
      </c>
      <c r="AM4" s="528"/>
      <c r="AN4" s="528"/>
      <c r="AO4" s="528"/>
      <c r="AP4" s="528"/>
      <c r="AQ4" s="150"/>
      <c r="AR4" s="528" t="str">
        <f>$T$4</f>
        <v>RQF6 First degree</v>
      </c>
      <c r="AS4" s="528"/>
      <c r="AT4" s="528"/>
      <c r="AU4" s="528"/>
      <c r="AV4" s="528"/>
      <c r="AW4" s="132"/>
      <c r="AX4" s="527" t="str">
        <f>$B$4</f>
        <v>All qualifications</v>
      </c>
      <c r="AY4" s="527"/>
      <c r="AZ4" s="527"/>
      <c r="BA4" s="527"/>
      <c r="BB4" s="527"/>
      <c r="BC4" s="140"/>
      <c r="BD4" s="527" t="str">
        <f>$H$4</f>
        <v>RQF8 Doctorate</v>
      </c>
      <c r="BE4" s="527"/>
      <c r="BF4" s="527"/>
      <c r="BG4" s="527"/>
      <c r="BH4" s="527"/>
      <c r="BJ4" s="528" t="str">
        <f>$N$4</f>
        <v>RQF7 Other higher degree</v>
      </c>
      <c r="BK4" s="528"/>
      <c r="BL4" s="528"/>
      <c r="BM4" s="528"/>
      <c r="BN4" s="528"/>
      <c r="BO4" s="150"/>
      <c r="BP4" s="528" t="str">
        <f>$T$4</f>
        <v>RQF6 First degree</v>
      </c>
      <c r="BQ4" s="528"/>
      <c r="BR4" s="528"/>
      <c r="BS4" s="528"/>
      <c r="BT4" s="528"/>
      <c r="BU4" s="132"/>
      <c r="BV4" s="527" t="str">
        <f>$B$4</f>
        <v>All qualifications</v>
      </c>
      <c r="BW4" s="527"/>
      <c r="BX4" s="527"/>
      <c r="BY4" s="527"/>
      <c r="BZ4" s="527"/>
      <c r="CA4" s="140"/>
      <c r="CB4" s="527" t="str">
        <f>$H$4</f>
        <v>RQF8 Doctorate</v>
      </c>
      <c r="CC4" s="527"/>
      <c r="CD4" s="527"/>
      <c r="CE4" s="527"/>
      <c r="CF4" s="527"/>
      <c r="CH4" s="528" t="str">
        <f>$N$4</f>
        <v>RQF7 Other higher degree</v>
      </c>
      <c r="CI4" s="528"/>
      <c r="CJ4" s="528"/>
      <c r="CK4" s="528"/>
      <c r="CL4" s="528"/>
      <c r="CM4" s="150"/>
      <c r="CN4" s="528" t="str">
        <f>$T$4</f>
        <v>RQF6 First degree</v>
      </c>
      <c r="CO4" s="528"/>
      <c r="CP4" s="528"/>
      <c r="CQ4" s="528"/>
      <c r="CR4" s="528"/>
      <c r="CS4" s="132"/>
      <c r="CT4" s="527" t="str">
        <f>$B$4</f>
        <v>All qualifications</v>
      </c>
      <c r="CU4" s="527"/>
      <c r="CV4" s="527"/>
      <c r="CW4" s="527"/>
      <c r="CX4" s="527"/>
      <c r="CY4" s="140"/>
      <c r="CZ4" s="527" t="str">
        <f>$H$4</f>
        <v>RQF8 Doctorate</v>
      </c>
      <c r="DA4" s="527"/>
      <c r="DB4" s="527"/>
      <c r="DC4" s="527"/>
      <c r="DD4" s="527"/>
      <c r="DF4" s="528" t="str">
        <f>$N$4</f>
        <v>RQF7 Other higher degree</v>
      </c>
      <c r="DG4" s="528"/>
      <c r="DH4" s="528"/>
      <c r="DI4" s="528"/>
      <c r="DJ4" s="528"/>
      <c r="DK4" s="150"/>
      <c r="DL4" s="528" t="str">
        <f>$T$4</f>
        <v>RQF6 First degree</v>
      </c>
      <c r="DM4" s="528"/>
      <c r="DN4" s="528"/>
      <c r="DO4" s="528"/>
      <c r="DP4" s="528"/>
    </row>
    <row r="5" spans="1:120" x14ac:dyDescent="0.25">
      <c r="A5" s="129"/>
      <c r="B5" s="129"/>
      <c r="C5" s="129"/>
      <c r="D5" s="129"/>
      <c r="E5" s="129"/>
      <c r="F5" s="129"/>
      <c r="H5" s="129"/>
      <c r="I5" s="129"/>
      <c r="J5" s="129"/>
      <c r="Y5" s="129"/>
      <c r="Z5" s="129"/>
      <c r="AA5" s="129"/>
      <c r="AB5" s="129"/>
      <c r="AC5" s="129"/>
      <c r="AD5" s="129"/>
      <c r="AF5" s="129"/>
      <c r="AG5" s="129"/>
      <c r="AH5" s="129"/>
      <c r="AW5" s="129"/>
      <c r="AX5" s="129"/>
      <c r="AY5" s="129"/>
      <c r="AZ5" s="129"/>
      <c r="BA5" s="129"/>
      <c r="BB5" s="129"/>
      <c r="BD5" s="129"/>
      <c r="BE5" s="129"/>
      <c r="BF5" s="129"/>
      <c r="BU5" s="129"/>
      <c r="BV5" s="129"/>
      <c r="BW5" s="129"/>
      <c r="BX5" s="129"/>
      <c r="BY5" s="129"/>
      <c r="BZ5" s="129"/>
      <c r="CB5" s="129"/>
      <c r="CC5" s="129"/>
      <c r="CD5" s="129"/>
      <c r="CS5" s="129"/>
      <c r="CT5" s="129"/>
      <c r="CU5" s="129"/>
      <c r="CV5" s="129"/>
      <c r="CW5" s="129"/>
      <c r="CX5" s="129"/>
      <c r="CZ5" s="129"/>
      <c r="DA5" s="129"/>
      <c r="DB5" s="129"/>
    </row>
    <row r="6" spans="1:120" s="139" customFormat="1" ht="39.6" x14ac:dyDescent="0.25">
      <c r="A6" s="138"/>
      <c r="B6" s="144" t="s">
        <v>42</v>
      </c>
      <c r="C6" s="154" t="str">
        <f>CONCATENATE($A$100," Level")</f>
        <v>2015 Level</v>
      </c>
      <c r="D6" s="143" t="s">
        <v>40</v>
      </c>
      <c r="E6" s="154" t="s">
        <v>43</v>
      </c>
      <c r="F6" s="154" t="s">
        <v>44</v>
      </c>
      <c r="G6" s="142"/>
      <c r="H6" s="143" t="str">
        <f>B6</f>
        <v>RD p.a%</v>
      </c>
      <c r="I6" s="143" t="str">
        <f>C6</f>
        <v>2015 Level</v>
      </c>
      <c r="J6" s="143" t="str">
        <f>D6</f>
        <v>Net Change</v>
      </c>
      <c r="K6" s="143" t="str">
        <f>E6</f>
        <v>Replace-ment Demand</v>
      </c>
      <c r="L6" s="143" t="str">
        <f>F6</f>
        <v>Total Require-ment</v>
      </c>
      <c r="M6" s="142"/>
      <c r="N6" s="144" t="str">
        <f>H6</f>
        <v>RD p.a%</v>
      </c>
      <c r="O6" s="144" t="str">
        <f>I6</f>
        <v>2015 Level</v>
      </c>
      <c r="P6" s="144" t="str">
        <f>J6</f>
        <v>Net Change</v>
      </c>
      <c r="Q6" s="144" t="str">
        <f>K6</f>
        <v>Replace-ment Demand</v>
      </c>
      <c r="R6" s="144" t="str">
        <f>L6</f>
        <v>Total Require-ment</v>
      </c>
      <c r="S6" s="142"/>
      <c r="T6" s="144" t="str">
        <f>N6</f>
        <v>RD p.a%</v>
      </c>
      <c r="U6" s="144" t="str">
        <f>O6</f>
        <v>2015 Level</v>
      </c>
      <c r="V6" s="144" t="str">
        <f>P6</f>
        <v>Net Change</v>
      </c>
      <c r="W6" s="144" t="str">
        <f>Q6</f>
        <v>Replace-ment Demand</v>
      </c>
      <c r="X6" s="144" t="str">
        <f>R6</f>
        <v>Total Require-ment</v>
      </c>
      <c r="Y6" s="138"/>
      <c r="Z6" s="144" t="s">
        <v>42</v>
      </c>
      <c r="AA6" s="154" t="str">
        <f>CONCATENATE($A$100," Level")</f>
        <v>2015 Level</v>
      </c>
      <c r="AB6" s="143" t="s">
        <v>40</v>
      </c>
      <c r="AC6" s="154" t="s">
        <v>43</v>
      </c>
      <c r="AD6" s="154" t="s">
        <v>44</v>
      </c>
      <c r="AE6" s="142"/>
      <c r="AF6" s="143" t="str">
        <f>Z6</f>
        <v>RD p.a%</v>
      </c>
      <c r="AG6" s="143" t="str">
        <f>AA6</f>
        <v>2015 Level</v>
      </c>
      <c r="AH6" s="143" t="str">
        <f>AB6</f>
        <v>Net Change</v>
      </c>
      <c r="AI6" s="143" t="str">
        <f>AC6</f>
        <v>Replace-ment Demand</v>
      </c>
      <c r="AJ6" s="143" t="str">
        <f>AD6</f>
        <v>Total Require-ment</v>
      </c>
      <c r="AK6" s="142"/>
      <c r="AL6" s="144" t="str">
        <f>AF6</f>
        <v>RD p.a%</v>
      </c>
      <c r="AM6" s="144" t="str">
        <f>AG6</f>
        <v>2015 Level</v>
      </c>
      <c r="AN6" s="144" t="str">
        <f>AH6</f>
        <v>Net Change</v>
      </c>
      <c r="AO6" s="144" t="str">
        <f>AI6</f>
        <v>Replace-ment Demand</v>
      </c>
      <c r="AP6" s="144" t="str">
        <f>AJ6</f>
        <v>Total Require-ment</v>
      </c>
      <c r="AQ6" s="142"/>
      <c r="AR6" s="144" t="str">
        <f>AL6</f>
        <v>RD p.a%</v>
      </c>
      <c r="AS6" s="144" t="str">
        <f>AM6</f>
        <v>2015 Level</v>
      </c>
      <c r="AT6" s="144" t="str">
        <f>AN6</f>
        <v>Net Change</v>
      </c>
      <c r="AU6" s="144" t="str">
        <f>AO6</f>
        <v>Replace-ment Demand</v>
      </c>
      <c r="AV6" s="144" t="str">
        <f>AP6</f>
        <v>Total Require-ment</v>
      </c>
      <c r="AW6" s="138"/>
      <c r="AX6" s="144" t="s">
        <v>42</v>
      </c>
      <c r="AY6" s="154" t="str">
        <f>CONCATENATE($A$100," Level")</f>
        <v>2015 Level</v>
      </c>
      <c r="AZ6" s="143" t="s">
        <v>40</v>
      </c>
      <c r="BA6" s="154" t="s">
        <v>43</v>
      </c>
      <c r="BB6" s="154" t="s">
        <v>44</v>
      </c>
      <c r="BC6" s="142"/>
      <c r="BD6" s="143" t="str">
        <f>AX6</f>
        <v>RD p.a%</v>
      </c>
      <c r="BE6" s="143" t="str">
        <f>AY6</f>
        <v>2015 Level</v>
      </c>
      <c r="BF6" s="143" t="str">
        <f>AZ6</f>
        <v>Net Change</v>
      </c>
      <c r="BG6" s="143" t="str">
        <f>BA6</f>
        <v>Replace-ment Demand</v>
      </c>
      <c r="BH6" s="143" t="str">
        <f>BB6</f>
        <v>Total Require-ment</v>
      </c>
      <c r="BI6" s="142"/>
      <c r="BJ6" s="144" t="str">
        <f>BD6</f>
        <v>RD p.a%</v>
      </c>
      <c r="BK6" s="144" t="str">
        <f>BE6</f>
        <v>2015 Level</v>
      </c>
      <c r="BL6" s="144" t="str">
        <f>BF6</f>
        <v>Net Change</v>
      </c>
      <c r="BM6" s="144" t="str">
        <f>BG6</f>
        <v>Replace-ment Demand</v>
      </c>
      <c r="BN6" s="144" t="str">
        <f>BH6</f>
        <v>Total Require-ment</v>
      </c>
      <c r="BO6" s="142"/>
      <c r="BP6" s="144" t="str">
        <f>BJ6</f>
        <v>RD p.a%</v>
      </c>
      <c r="BQ6" s="144" t="str">
        <f>BK6</f>
        <v>2015 Level</v>
      </c>
      <c r="BR6" s="144" t="str">
        <f>BL6</f>
        <v>Net Change</v>
      </c>
      <c r="BS6" s="144" t="str">
        <f>BM6</f>
        <v>Replace-ment Demand</v>
      </c>
      <c r="BT6" s="144" t="str">
        <f>BN6</f>
        <v>Total Require-ment</v>
      </c>
      <c r="BU6" s="138"/>
      <c r="BV6" s="144" t="s">
        <v>42</v>
      </c>
      <c r="BW6" s="154" t="str">
        <f>CONCATENATE($A$100," Level")</f>
        <v>2015 Level</v>
      </c>
      <c r="BX6" s="143" t="s">
        <v>40</v>
      </c>
      <c r="BY6" s="154" t="s">
        <v>43</v>
      </c>
      <c r="BZ6" s="154" t="s">
        <v>44</v>
      </c>
      <c r="CA6" s="142"/>
      <c r="CB6" s="143" t="str">
        <f>BV6</f>
        <v>RD p.a%</v>
      </c>
      <c r="CC6" s="143" t="str">
        <f>BW6</f>
        <v>2015 Level</v>
      </c>
      <c r="CD6" s="143" t="str">
        <f>BX6</f>
        <v>Net Change</v>
      </c>
      <c r="CE6" s="143" t="str">
        <f>BY6</f>
        <v>Replace-ment Demand</v>
      </c>
      <c r="CF6" s="143" t="str">
        <f>BZ6</f>
        <v>Total Require-ment</v>
      </c>
      <c r="CG6" s="142"/>
      <c r="CH6" s="144" t="str">
        <f>CB6</f>
        <v>RD p.a%</v>
      </c>
      <c r="CI6" s="144" t="str">
        <f>CC6</f>
        <v>2015 Level</v>
      </c>
      <c r="CJ6" s="144" t="str">
        <f>CD6</f>
        <v>Net Change</v>
      </c>
      <c r="CK6" s="144" t="str">
        <f>CE6</f>
        <v>Replace-ment Demand</v>
      </c>
      <c r="CL6" s="144" t="str">
        <f>CF6</f>
        <v>Total Require-ment</v>
      </c>
      <c r="CM6" s="142"/>
      <c r="CN6" s="144" t="str">
        <f>CH6</f>
        <v>RD p.a%</v>
      </c>
      <c r="CO6" s="144" t="str">
        <f>CI6</f>
        <v>2015 Level</v>
      </c>
      <c r="CP6" s="144" t="str">
        <f>CJ6</f>
        <v>Net Change</v>
      </c>
      <c r="CQ6" s="144" t="str">
        <f>CK6</f>
        <v>Replace-ment Demand</v>
      </c>
      <c r="CR6" s="144" t="str">
        <f>CL6</f>
        <v>Total Require-ment</v>
      </c>
      <c r="CS6" s="138"/>
      <c r="CT6" s="144" t="s">
        <v>42</v>
      </c>
      <c r="CU6" s="154" t="str">
        <f>CONCATENATE($A$100," Level")</f>
        <v>2015 Level</v>
      </c>
      <c r="CV6" s="143" t="s">
        <v>40</v>
      </c>
      <c r="CW6" s="154" t="s">
        <v>43</v>
      </c>
      <c r="CX6" s="154" t="s">
        <v>44</v>
      </c>
      <c r="CY6" s="142"/>
      <c r="CZ6" s="143" t="str">
        <f>CT6</f>
        <v>RD p.a%</v>
      </c>
      <c r="DA6" s="143" t="str">
        <f>CU6</f>
        <v>2015 Level</v>
      </c>
      <c r="DB6" s="143" t="str">
        <f>CV6</f>
        <v>Net Change</v>
      </c>
      <c r="DC6" s="143" t="str">
        <f>CW6</f>
        <v>Replace-ment Demand</v>
      </c>
      <c r="DD6" s="143" t="str">
        <f>CX6</f>
        <v>Total Require-ment</v>
      </c>
      <c r="DE6" s="142"/>
      <c r="DF6" s="144" t="str">
        <f>CZ6</f>
        <v>RD p.a%</v>
      </c>
      <c r="DG6" s="144" t="str">
        <f>DA6</f>
        <v>2015 Level</v>
      </c>
      <c r="DH6" s="144" t="str">
        <f>DB6</f>
        <v>Net Change</v>
      </c>
      <c r="DI6" s="144" t="str">
        <f>DC6</f>
        <v>Replace-ment Demand</v>
      </c>
      <c r="DJ6" s="144" t="str">
        <f>DD6</f>
        <v>Total Require-ment</v>
      </c>
      <c r="DK6" s="142"/>
      <c r="DL6" s="144" t="str">
        <f>DF6</f>
        <v>RD p.a%</v>
      </c>
      <c r="DM6" s="144" t="str">
        <f>DG6</f>
        <v>2015 Level</v>
      </c>
      <c r="DN6" s="144" t="str">
        <f>DH6</f>
        <v>Net Change</v>
      </c>
      <c r="DO6" s="144" t="str">
        <f>DI6</f>
        <v>Replace-ment Demand</v>
      </c>
      <c r="DP6" s="144" t="str">
        <f>DJ6</f>
        <v>Total Require-ment</v>
      </c>
    </row>
    <row r="8" spans="1:120" x14ac:dyDescent="0.25">
      <c r="A8" s="128" t="str">
        <f>name!B4</f>
        <v>Agriculture</v>
      </c>
      <c r="B8" s="155">
        <f>IF(C8&gt;0,((1+(E8/C8))^(1/($A$101-$A$100))-1)*100,0)</f>
        <v>3.6286528043839583</v>
      </c>
      <c r="C8" s="87">
        <v>55.936999999999848</v>
      </c>
      <c r="D8" s="127">
        <v>-6.9799999999999773</v>
      </c>
      <c r="E8" s="127">
        <v>23.953969842292668</v>
      </c>
      <c r="F8" s="127">
        <f>SUM(D8:E8)</f>
        <v>16.973969842292689</v>
      </c>
      <c r="G8" s="141"/>
      <c r="H8" s="155">
        <f>IF(I8&gt;0,((1+(K8/I8))^(1/($A$101-$A$100))-1)*100,0)</f>
        <v>3.5263839839017708</v>
      </c>
      <c r="I8" s="127">
        <v>17.246149343314809</v>
      </c>
      <c r="J8" s="127">
        <v>-6.8895887133768028</v>
      </c>
      <c r="K8" s="127">
        <v>7.1433335785126539</v>
      </c>
      <c r="L8" s="127">
        <f>SUM(J8:K8)</f>
        <v>0.25374486513585115</v>
      </c>
      <c r="N8" s="155">
        <f>IF(O8&gt;0,((1+(Q8/O8))^(1/($A$101-$A$100))-1)*100,0)</f>
        <v>3.688575763403712</v>
      </c>
      <c r="O8" s="127">
        <v>26.89476620234856</v>
      </c>
      <c r="P8" s="127">
        <v>-1.7755328024279793</v>
      </c>
      <c r="Q8" s="127">
        <v>11.739873371498375</v>
      </c>
      <c r="R8" s="127">
        <f>SUM(P8:Q8)</f>
        <v>9.9643405690703943</v>
      </c>
      <c r="S8" s="145"/>
      <c r="T8" s="155">
        <f>IF(U8&gt;0,((1+(W8/U8))^(1/($A$101-$A$100))-1)*100,0)</f>
        <v>3.6405249613346236</v>
      </c>
      <c r="U8" s="127">
        <v>11.79608445433648</v>
      </c>
      <c r="V8" s="127">
        <v>1.6851215158048036</v>
      </c>
      <c r="W8" s="127">
        <v>5.0707628922816417</v>
      </c>
      <c r="X8" s="127">
        <f>SUM(V8:W8)</f>
        <v>6.7558844080864455</v>
      </c>
      <c r="Y8" s="128" t="str">
        <f t="shared" ref="Y8:Y48" si="0">A8</f>
        <v>Agriculture</v>
      </c>
      <c r="Z8" s="155">
        <f>IF(AA8&gt;0,((1+(AC8/AA8))^(1/($A$101-$A$100))-1)*100,0)</f>
        <v>3.2278133961415545</v>
      </c>
      <c r="AA8" s="87">
        <v>4.3826960714462242</v>
      </c>
      <c r="AB8" s="127">
        <v>3.8928451595904385</v>
      </c>
      <c r="AC8" s="127">
        <v>1.6388586204918438</v>
      </c>
      <c r="AD8" s="127">
        <f>SUM(AB8:AC8)</f>
        <v>5.5317037800822826</v>
      </c>
      <c r="AE8" s="141"/>
      <c r="AF8" s="155">
        <f>IF(AG8&gt;0,((1+(AI8/AG8))^(1/($A$101-$A$100))-1)*100,0)</f>
        <v>3.7281488295962228</v>
      </c>
      <c r="AG8" s="127">
        <v>0.36786575366769064</v>
      </c>
      <c r="AH8" s="127">
        <v>0.72586367094203585</v>
      </c>
      <c r="AI8" s="127">
        <v>0.16259790102888269</v>
      </c>
      <c r="AJ8" s="127">
        <f>SUM(AH8:AI8)</f>
        <v>0.88846157197091857</v>
      </c>
      <c r="AL8" s="155">
        <f>IF(AM8&gt;0,((1+(AO8/AM8))^(1/($A$101-$A$100))-1)*100,0)</f>
        <v>3.4098436752145078</v>
      </c>
      <c r="AM8" s="127">
        <v>1.6324139933768864</v>
      </c>
      <c r="AN8" s="127">
        <v>2.2923856880061342</v>
      </c>
      <c r="AO8" s="127">
        <v>0.65028751093123516</v>
      </c>
      <c r="AP8" s="127">
        <f>SUM(AN8:AO8)</f>
        <v>2.9426731989373693</v>
      </c>
      <c r="AQ8" s="145"/>
      <c r="AR8" s="155">
        <f>IF(AS8&gt;0,((1+(AU8/AS8))^(1/($A$101-$A$100))-1)*100,0)</f>
        <v>3.0212804601292831</v>
      </c>
      <c r="AS8" s="127">
        <v>2.382416324401647</v>
      </c>
      <c r="AT8" s="127">
        <v>0.87459580064226849</v>
      </c>
      <c r="AU8" s="127">
        <v>0.82597320853172596</v>
      </c>
      <c r="AV8" s="127">
        <f>SUM(AT8:AU8)</f>
        <v>1.7005690091739945</v>
      </c>
      <c r="AW8" s="128" t="str">
        <f>Y8</f>
        <v>Agriculture</v>
      </c>
      <c r="AX8" s="155">
        <f>IF(AY8&gt;0,((1+(BA8/AY8))^(1/($A$101-$A$100))-1)*100,0)</f>
        <v>2.6560490695816119</v>
      </c>
      <c r="AY8" s="87">
        <v>1.9992749386487922</v>
      </c>
      <c r="AZ8" s="127">
        <v>0.50024802314102146</v>
      </c>
      <c r="BA8" s="127">
        <v>0.59919667769333007</v>
      </c>
      <c r="BB8" s="127">
        <f>SUM(AZ8:BA8)</f>
        <v>1.0994447008343515</v>
      </c>
      <c r="BC8" s="141"/>
      <c r="BD8" s="155">
        <f>IF(BE8&gt;0,((1+(BG8/BE8))^(1/($A$101-$A$100))-1)*100,0)</f>
        <v>2.5886964610706498</v>
      </c>
      <c r="BE8" s="127">
        <v>0.35374225719986674</v>
      </c>
      <c r="BF8" s="127">
        <v>0.49967527486298247</v>
      </c>
      <c r="BG8" s="127">
        <v>0.1030114256045692</v>
      </c>
      <c r="BH8" s="127">
        <f>SUM(BF8:BG8)</f>
        <v>0.60268670046755168</v>
      </c>
      <c r="BJ8" s="155">
        <f>IF(BK8&gt;0,((1+(BM8/BK8))^(1/($A$101-$A$100))-1)*100,0)</f>
        <v>2.6156756899814892</v>
      </c>
      <c r="BK8" s="127">
        <v>0.79083739900797367</v>
      </c>
      <c r="BL8" s="127">
        <v>8.9741026511377109E-2</v>
      </c>
      <c r="BM8" s="127">
        <v>0.2329842080987119</v>
      </c>
      <c r="BN8" s="127">
        <f>SUM(BL8:BM8)</f>
        <v>0.32272523461008901</v>
      </c>
      <c r="BO8" s="145"/>
      <c r="BP8" s="155">
        <f>IF(BQ8&gt;0,((1+(BS8/BQ8))^(1/($A$101-$A$100))-1)*100,0)</f>
        <v>2.7209488084197098</v>
      </c>
      <c r="BQ8" s="127">
        <v>0.85469528244095183</v>
      </c>
      <c r="BR8" s="127">
        <v>-8.91682782333382E-2</v>
      </c>
      <c r="BS8" s="127">
        <v>0.26320104399004901</v>
      </c>
      <c r="BT8" s="127">
        <f>SUM(BR8:BS8)</f>
        <v>0.17403276575671081</v>
      </c>
      <c r="BU8" s="128" t="str">
        <f>AW8</f>
        <v>Agriculture</v>
      </c>
      <c r="BV8" s="155">
        <f>IF(BW8&gt;0,((1+(BY8/BW8))^(1/($A$101-$A$100))-1)*100,0)</f>
        <v>4.0147443282656514</v>
      </c>
      <c r="BW8" s="87">
        <v>39.351032099647234</v>
      </c>
      <c r="BX8" s="127">
        <v>-10.192568070379561</v>
      </c>
      <c r="BY8" s="127">
        <v>18.980742173027217</v>
      </c>
      <c r="BZ8" s="127">
        <f>SUM(BX8:BY8)</f>
        <v>8.7881741026476554</v>
      </c>
      <c r="CA8" s="141"/>
      <c r="CB8" s="155">
        <f>IF(CC8&gt;0,((1+(CE8/CC8))^(1/($A$101-$A$100))-1)*100,0)</f>
        <v>3.9264502862225381</v>
      </c>
      <c r="CC8" s="127">
        <v>12.261822191887621</v>
      </c>
      <c r="CD8" s="127">
        <v>-6.5032966118226403</v>
      </c>
      <c r="CE8" s="127">
        <v>5.7607158890505197</v>
      </c>
      <c r="CF8" s="127">
        <f>SUM(CD8:CE8)</f>
        <v>-0.74258072277212062</v>
      </c>
      <c r="CH8" s="155">
        <f>IF(CI8&gt;0,((1+(CK8/CI8))^(1/($A$101-$A$100))-1)*100,0)</f>
        <v>3.9924360846625317</v>
      </c>
      <c r="CI8" s="127">
        <v>20.383214444648981</v>
      </c>
      <c r="CJ8" s="127">
        <v>-4.2877513599355161</v>
      </c>
      <c r="CK8" s="127">
        <v>9.7669852444241734</v>
      </c>
      <c r="CL8" s="127">
        <f>SUM(CJ8:CK8)</f>
        <v>5.4792338844886572</v>
      </c>
      <c r="CM8" s="145"/>
      <c r="CN8" s="155">
        <f>IF(CO8&gt;0,((1+(CQ8/CO8))^(1/($A$101-$A$100))-1)*100,0)</f>
        <v>4.2410858263209894</v>
      </c>
      <c r="CO8" s="127">
        <v>6.7059954631106375</v>
      </c>
      <c r="CP8" s="127">
        <v>0.59847990137859675</v>
      </c>
      <c r="CQ8" s="127">
        <v>3.4530410395525251</v>
      </c>
      <c r="CR8" s="127">
        <f>SUM(CP8:CQ8)</f>
        <v>4.0515209409311215</v>
      </c>
      <c r="CS8" s="128" t="str">
        <f>BU8</f>
        <v>Agriculture</v>
      </c>
      <c r="CT8" s="155">
        <f>IF(CU8&gt;0,((1+(CW8/CU8))^(1/($A$101-$A$100))-1)*100,0)</f>
        <v>2.4032187492160517</v>
      </c>
      <c r="CU8" s="87">
        <v>10.203996890257596</v>
      </c>
      <c r="CV8" s="127">
        <v>-1.1805251123518785</v>
      </c>
      <c r="CW8" s="127">
        <v>2.7351723710802771</v>
      </c>
      <c r="CX8" s="127">
        <f>SUM(CV8:CW8)</f>
        <v>1.5546472587283986</v>
      </c>
      <c r="CY8" s="141"/>
      <c r="CZ8" s="155">
        <f>IF(DA8&gt;0,((1+(DC8/DA8))^(1/($A$101-$A$100))-1)*100,0)</f>
        <v>2.3545977595102796</v>
      </c>
      <c r="DA8" s="127">
        <v>4.2627191405596321</v>
      </c>
      <c r="DB8" s="127">
        <v>-1.6118310473591806</v>
      </c>
      <c r="DC8" s="127">
        <v>1.1170083628286818</v>
      </c>
      <c r="DD8" s="127">
        <f>SUM(DB8:DC8)</f>
        <v>-0.49482268453049882</v>
      </c>
      <c r="DF8" s="155">
        <f>IF(DG8&gt;0,((1+(DI8/DG8))^(1/($A$101-$A$100))-1)*100,0)</f>
        <v>2.3908685473913449</v>
      </c>
      <c r="DG8" s="127">
        <v>4.088300365314721</v>
      </c>
      <c r="DH8" s="127">
        <v>0.13009184299002535</v>
      </c>
      <c r="DI8" s="127">
        <v>1.0896164080442534</v>
      </c>
      <c r="DJ8" s="127">
        <f>SUM(DH8:DI8)</f>
        <v>1.2197082510342787</v>
      </c>
      <c r="DK8" s="145"/>
      <c r="DL8" s="155">
        <f>IF(DM8&gt;0,((1+(DO8/DM8))^(1/($A$101-$A$100))-1)*100,0)</f>
        <v>2.5412252196502561</v>
      </c>
      <c r="DM8" s="127">
        <v>1.8529773843832451</v>
      </c>
      <c r="DN8" s="127">
        <v>0.30121409201727667</v>
      </c>
      <c r="DO8" s="127">
        <v>0.52854760020734193</v>
      </c>
      <c r="DP8" s="127">
        <f>SUM(DN8:DO8)</f>
        <v>0.8297616922246186</v>
      </c>
    </row>
    <row r="9" spans="1:120" x14ac:dyDescent="0.25">
      <c r="A9" s="128" t="str">
        <f>name!B5</f>
        <v>Mining and quarrying</v>
      </c>
      <c r="B9" s="155">
        <f t="shared" ref="B9:B50" si="1">IF(C9&gt;0,((1+(E9/C9))^(1/($A$101-$A$100))-1)*100,0)</f>
        <v>2.5879456250919697</v>
      </c>
      <c r="C9" s="87">
        <v>2.8879999999999906</v>
      </c>
      <c r="D9" s="127">
        <v>0.31300000000000278</v>
      </c>
      <c r="E9" s="127">
        <v>0.84072640567762824</v>
      </c>
      <c r="F9" s="127">
        <f t="shared" ref="F9:F50" si="2">SUM(D9:E9)</f>
        <v>1.1537264056776311</v>
      </c>
      <c r="G9" s="141"/>
      <c r="H9" s="155">
        <f t="shared" ref="H9:H50" si="3">IF(I9&gt;0,((1+(K9/I9))^(1/($A$101-$A$100))-1)*100,0)</f>
        <v>2.4436532378282472</v>
      </c>
      <c r="I9" s="127">
        <v>0.56134327419487429</v>
      </c>
      <c r="J9" s="127">
        <v>-0.21770904065899815</v>
      </c>
      <c r="K9" s="127">
        <v>0.15328319439040927</v>
      </c>
      <c r="L9" s="127">
        <f t="shared" ref="L9:L48" si="4">SUM(J9:K9)</f>
        <v>-6.4425846268588882E-2</v>
      </c>
      <c r="N9" s="155">
        <f t="shared" ref="N9:N50" si="5">IF(O9&gt;0,((1+(Q9/O9))^(1/($A$101-$A$100))-1)*100,0)</f>
        <v>2.5068914334568815</v>
      </c>
      <c r="O9" s="127">
        <v>1.5400906331410087</v>
      </c>
      <c r="P9" s="127">
        <v>0.28375808682996728</v>
      </c>
      <c r="Q9" s="127">
        <v>0.43268145633424426</v>
      </c>
      <c r="R9" s="127">
        <f t="shared" ref="R9:R48" si="6">SUM(P9:Q9)</f>
        <v>0.71643954316421155</v>
      </c>
      <c r="S9" s="145"/>
      <c r="T9" s="155">
        <f t="shared" ref="T9:T50" si="7">IF(U9&gt;0,((1+(W9/U9))^(1/($A$101-$A$100))-1)*100,0)</f>
        <v>2.8454839589988623</v>
      </c>
      <c r="U9" s="127">
        <v>0.78656609266410804</v>
      </c>
      <c r="V9" s="127">
        <v>0.24695095382903356</v>
      </c>
      <c r="W9" s="127">
        <v>0.25476175495297482</v>
      </c>
      <c r="X9" s="127">
        <f t="shared" ref="X9:X48" si="8">SUM(V9:W9)</f>
        <v>0.50171270878200835</v>
      </c>
      <c r="Y9" s="128" t="str">
        <f t="shared" si="0"/>
        <v>Mining and quarrying</v>
      </c>
      <c r="Z9" s="155">
        <f t="shared" ref="Z9:Z48" si="9">IF(AA9&gt;0,((1+(AC9/AA9))^(1/($A$101-$A$100))-1)*100,0)</f>
        <v>2.8484964339744012</v>
      </c>
      <c r="AA9" s="87">
        <v>0.91916274125036446</v>
      </c>
      <c r="AB9" s="127">
        <v>0.31532613098932155</v>
      </c>
      <c r="AC9" s="127">
        <v>0.29806511305958167</v>
      </c>
      <c r="AD9" s="127">
        <f t="shared" ref="AD9:AD48" si="10">SUM(AB9:AC9)</f>
        <v>0.61339124404890322</v>
      </c>
      <c r="AE9" s="141"/>
      <c r="AF9" s="155">
        <f t="shared" ref="AF9:AF48" si="11">IF(AG9&gt;0,((1+(AI9/AG9))^(1/($A$101-$A$100))-1)*100,0)</f>
        <v>2.5647482470575023</v>
      </c>
      <c r="AG9" s="127">
        <v>6.0971942881735838E-2</v>
      </c>
      <c r="AH9" s="127">
        <v>-2.5168577316816716E-2</v>
      </c>
      <c r="AI9" s="127">
        <v>1.7571732105538661E-2</v>
      </c>
      <c r="AJ9" s="127">
        <f t="shared" ref="AJ9:AJ48" si="12">SUM(AH9:AI9)</f>
        <v>-7.5968452112780555E-3</v>
      </c>
      <c r="AL9" s="155">
        <f t="shared" ref="AL9:AL48" si="13">IF(AM9&gt;0,((1+(AO9/AM9))^(1/($A$101-$A$100))-1)*100,0)</f>
        <v>2.6969613560046124</v>
      </c>
      <c r="AM9" s="127">
        <v>0.23935227172586462</v>
      </c>
      <c r="AN9" s="127">
        <v>0.14142536362746669</v>
      </c>
      <c r="AO9" s="127">
        <v>7.2977576857019638E-2</v>
      </c>
      <c r="AP9" s="127">
        <f t="shared" ref="AP9:AP48" si="14">SUM(AN9:AO9)</f>
        <v>0.21440294048448633</v>
      </c>
      <c r="AQ9" s="145"/>
      <c r="AR9" s="155">
        <f t="shared" ref="AR9:AR48" si="15">IF(AS9&gt;0,((1+(AU9/AS9))^(1/($A$101-$A$100))-1)*100,0)</f>
        <v>2.9340110632854799</v>
      </c>
      <c r="AS9" s="127">
        <v>0.61883852664276406</v>
      </c>
      <c r="AT9" s="127">
        <v>0.19906934467867154</v>
      </c>
      <c r="AU9" s="127">
        <v>0.20751580409702336</v>
      </c>
      <c r="AV9" s="127">
        <f t="shared" ref="AV9:AV48" si="16">SUM(AT9:AU9)</f>
        <v>0.4065851487756949</v>
      </c>
      <c r="AW9" s="128" t="str">
        <f t="shared" ref="AW9:AW48" si="17">Y9</f>
        <v>Mining and quarrying</v>
      </c>
      <c r="AX9" s="155">
        <f t="shared" ref="AX9:AX48" si="18">IF(AY9&gt;0,((1+(BA9/AY9))^(1/($A$101-$A$100))-1)*100,0)</f>
        <v>2.6726206587082579</v>
      </c>
      <c r="AY9" s="87">
        <v>0.3067194252346826</v>
      </c>
      <c r="AZ9" s="127">
        <v>6.8760264538259452E-2</v>
      </c>
      <c r="BA9" s="127">
        <v>9.2569950318502167E-2</v>
      </c>
      <c r="BB9" s="127">
        <f t="shared" ref="BB9:BB48" si="19">SUM(AZ9:BA9)</f>
        <v>0.16133021485676163</v>
      </c>
      <c r="BC9" s="141"/>
      <c r="BD9" s="155">
        <f t="shared" ref="BD9:BD48" si="20">IF(BE9&gt;0,((1+(BG9/BE9))^(1/($A$101-$A$100))-1)*100,0)</f>
        <v>2.5499994113037161</v>
      </c>
      <c r="BE9" s="127">
        <v>4.8330458353493297E-2</v>
      </c>
      <c r="BF9" s="127">
        <v>1.4245064889474328E-2</v>
      </c>
      <c r="BG9" s="127">
        <v>1.3839064758290531E-2</v>
      </c>
      <c r="BH9" s="127">
        <f t="shared" ref="BH9:BH48" si="21">SUM(BF9:BG9)</f>
        <v>2.8084129647764858E-2</v>
      </c>
      <c r="BJ9" s="155">
        <f t="shared" ref="BJ9:BJ48" si="22">IF(BK9&gt;0,((1+(BM9/BK9))^(1/($A$101-$A$100))-1)*100,0)</f>
        <v>2.6327433470687112</v>
      </c>
      <c r="BK9" s="127">
        <v>0.1678509941154788</v>
      </c>
      <c r="BL9" s="127">
        <v>9.5539598382306211E-3</v>
      </c>
      <c r="BM9" s="127">
        <v>4.9811346068916303E-2</v>
      </c>
      <c r="BN9" s="127">
        <f t="shared" ref="BN9:BN48" si="23">SUM(BL9:BM9)</f>
        <v>5.936530590714692E-2</v>
      </c>
      <c r="BO9" s="145"/>
      <c r="BP9" s="155">
        <f t="shared" ref="BP9:BP48" si="24">IF(BQ9&gt;0,((1+(BS9/BQ9))^(1/($A$101-$A$100))-1)*100,0)</f>
        <v>2.8106890888395686</v>
      </c>
      <c r="BQ9" s="127">
        <v>9.0537972765710545E-2</v>
      </c>
      <c r="BR9" s="127">
        <v>4.4961239810554506E-2</v>
      </c>
      <c r="BS9" s="127">
        <v>2.8919539491295328E-2</v>
      </c>
      <c r="BT9" s="127">
        <f t="shared" ref="BT9:BT48" si="25">SUM(BR9:BS9)</f>
        <v>7.388077930184983E-2</v>
      </c>
      <c r="BU9" s="128" t="str">
        <f t="shared" ref="BU9:BU48" si="26">AW9</f>
        <v>Mining and quarrying</v>
      </c>
      <c r="BV9" s="155">
        <f t="shared" ref="BV9:BV48" si="27">IF(BW9&gt;0,((1+(BY9/BW9))^(1/($A$101-$A$100))-1)*100,0)</f>
        <v>2.4107447061383347</v>
      </c>
      <c r="BW9" s="87">
        <v>1.5632668821604008</v>
      </c>
      <c r="BX9" s="127">
        <v>-0.15103332096346828</v>
      </c>
      <c r="BY9" s="127">
        <v>0.42048964990866566</v>
      </c>
      <c r="BZ9" s="127">
        <f t="shared" ref="BZ9:BZ48" si="28">SUM(BX9:BY9)</f>
        <v>0.26945632894519739</v>
      </c>
      <c r="CA9" s="141"/>
      <c r="CB9" s="155">
        <f t="shared" ref="CB9:CB48" si="29">IF(CC9&gt;0,((1+(CE9/CC9))^(1/($A$101-$A$100))-1)*100,0)</f>
        <v>2.407525741530181</v>
      </c>
      <c r="CC9" s="127">
        <v>0.42499848743780899</v>
      </c>
      <c r="CD9" s="127">
        <v>-0.17974314270981959</v>
      </c>
      <c r="CE9" s="127">
        <v>0.11414717753563779</v>
      </c>
      <c r="CF9" s="127">
        <f t="shared" ref="CF9:CF48" si="30">SUM(CD9:CE9)</f>
        <v>-6.55959651741818E-2</v>
      </c>
      <c r="CH9" s="155">
        <f t="shared" ref="CH9:CH48" si="31">IF(CI9&gt;0,((1+(CK9/CI9))^(1/($A$101-$A$100))-1)*100,0)</f>
        <v>2.4305453687403666</v>
      </c>
      <c r="CI9" s="127">
        <v>1.0610788014669583</v>
      </c>
      <c r="CJ9" s="127">
        <v>2.578945240654381E-2</v>
      </c>
      <c r="CK9" s="127">
        <v>0.28801606100837185</v>
      </c>
      <c r="CL9" s="127">
        <f t="shared" ref="CL9:CL48" si="32">SUM(CJ9:CK9)</f>
        <v>0.31380551341491564</v>
      </c>
      <c r="CM9" s="145"/>
      <c r="CN9" s="155">
        <f t="shared" ref="CN9:CN48" si="33">IF(CO9&gt;0,((1+(CQ9/CO9))^(1/($A$101-$A$100))-1)*100,0)</f>
        <v>2.1531444581060377</v>
      </c>
      <c r="CO9" s="127">
        <v>7.7189593255633515E-2</v>
      </c>
      <c r="CP9" s="127">
        <v>2.9203693398075089E-3</v>
      </c>
      <c r="CQ9" s="127">
        <v>1.8326411364656129E-2</v>
      </c>
      <c r="CR9" s="127">
        <f t="shared" ref="CR9:CR48" si="34">SUM(CP9:CQ9)</f>
        <v>2.1246780704463637E-2</v>
      </c>
      <c r="CS9" s="128" t="str">
        <f t="shared" ref="CS9:CS48" si="35">BU9</f>
        <v>Mining and quarrying</v>
      </c>
      <c r="CT9" s="155">
        <f t="shared" ref="CT9:CT48" si="36">IF(CU9&gt;0,((1+(CW9/CU9))^(1/($A$101-$A$100))-1)*100,0)</f>
        <v>2.6540810004833215</v>
      </c>
      <c r="CU9" s="87">
        <v>9.8850951354543179E-2</v>
      </c>
      <c r="CV9" s="127">
        <v>7.9946925435890021E-2</v>
      </c>
      <c r="CW9" s="127">
        <v>2.9601692390878832E-2</v>
      </c>
      <c r="CX9" s="127">
        <f t="shared" ref="CX9:CX48" si="37">SUM(CV9:CW9)</f>
        <v>0.10954861782676885</v>
      </c>
      <c r="CY9" s="141"/>
      <c r="CZ9" s="155">
        <f t="shared" ref="CZ9:CZ48" si="38">IF(DA9&gt;0,((1+(DC9/DA9))^(1/($A$101-$A$100))-1)*100,0)</f>
        <v>2.5446431599745356</v>
      </c>
      <c r="DA9" s="127">
        <v>2.7042385521836187E-2</v>
      </c>
      <c r="DB9" s="127">
        <v>-2.7042385521836187E-2</v>
      </c>
      <c r="DC9" s="127">
        <v>7.7252199909423136E-3</v>
      </c>
      <c r="DD9" s="127">
        <f t="shared" ref="DD9:DD48" si="39">SUM(DB9:DC9)</f>
        <v>-1.9317165530893875E-2</v>
      </c>
      <c r="DF9" s="155">
        <f t="shared" ref="DF9:DF48" si="40">IF(DG9&gt;0,((1+(DI9/DG9))^(1/($A$101-$A$100))-1)*100,0)</f>
        <v>2.695023478374603</v>
      </c>
      <c r="DG9" s="127">
        <v>7.1808565832706991E-2</v>
      </c>
      <c r="DH9" s="127">
        <v>0.10698931095772621</v>
      </c>
      <c r="DI9" s="127">
        <v>2.1876472399936519E-2</v>
      </c>
      <c r="DJ9" s="127">
        <f t="shared" ref="DJ9:DJ48" si="41">SUM(DH9:DI9)</f>
        <v>0.12886578335766272</v>
      </c>
      <c r="DK9" s="145"/>
      <c r="DL9" s="155">
        <f t="shared" ref="DL9:DL48" si="42">IF(DM9&gt;0,((1+(DO9/DM9))^(1/($A$101-$A$100))-1)*100,0)</f>
        <v>0</v>
      </c>
      <c r="DM9" s="127">
        <v>0</v>
      </c>
      <c r="DN9" s="127">
        <v>0</v>
      </c>
      <c r="DO9" s="127">
        <v>0</v>
      </c>
      <c r="DP9" s="127">
        <f t="shared" ref="DP9:DP48" si="43">SUM(DN9:DO9)</f>
        <v>0</v>
      </c>
    </row>
    <row r="10" spans="1:120" x14ac:dyDescent="0.25">
      <c r="A10" s="128" t="str">
        <f>name!B6</f>
        <v>Food drink and tobacco</v>
      </c>
      <c r="B10" s="155">
        <f t="shared" si="1"/>
        <v>2.4974565282579464</v>
      </c>
      <c r="C10" s="87">
        <v>95.045497362862733</v>
      </c>
      <c r="D10" s="127">
        <v>-5.3306461845042801</v>
      </c>
      <c r="E10" s="127">
        <v>26.590587472903774</v>
      </c>
      <c r="F10" s="127">
        <f t="shared" si="2"/>
        <v>21.259941288399496</v>
      </c>
      <c r="G10" s="141"/>
      <c r="H10" s="155">
        <f t="shared" si="3"/>
        <v>2.284281579929015</v>
      </c>
      <c r="I10" s="127">
        <v>28.557886141186682</v>
      </c>
      <c r="J10" s="127">
        <v>-7.0859124796803128</v>
      </c>
      <c r="K10" s="127">
        <v>7.2365107328119995</v>
      </c>
      <c r="L10" s="127">
        <f t="shared" si="4"/>
        <v>0.15059825313168673</v>
      </c>
      <c r="N10" s="155">
        <f t="shared" si="5"/>
        <v>2.4310099949182096</v>
      </c>
      <c r="O10" s="127">
        <v>47.02342038156808</v>
      </c>
      <c r="P10" s="127">
        <v>2.711005058419897</v>
      </c>
      <c r="Q10" s="127">
        <v>12.766608810353613</v>
      </c>
      <c r="R10" s="127">
        <f t="shared" si="6"/>
        <v>15.47761386877351</v>
      </c>
      <c r="S10" s="145"/>
      <c r="T10" s="155">
        <f t="shared" si="7"/>
        <v>2.9579537866369021</v>
      </c>
      <c r="U10" s="127">
        <v>19.464190840107968</v>
      </c>
      <c r="V10" s="127">
        <v>-0.95573876324386542</v>
      </c>
      <c r="W10" s="127">
        <v>6.5874679297381604</v>
      </c>
      <c r="X10" s="127">
        <f t="shared" si="8"/>
        <v>5.6317291664942948</v>
      </c>
      <c r="Y10" s="128" t="str">
        <f t="shared" si="0"/>
        <v>Food drink and tobacco</v>
      </c>
      <c r="Z10" s="155">
        <f t="shared" si="9"/>
        <v>3.1266976916814349</v>
      </c>
      <c r="AA10" s="87">
        <v>21.34292323603459</v>
      </c>
      <c r="AB10" s="127">
        <v>-5.4147809911053627E-2</v>
      </c>
      <c r="AC10" s="127">
        <v>7.6949639013979727</v>
      </c>
      <c r="AD10" s="127">
        <f t="shared" si="10"/>
        <v>7.6408160914869194</v>
      </c>
      <c r="AE10" s="141"/>
      <c r="AF10" s="155">
        <f t="shared" si="11"/>
        <v>3.009575633743844</v>
      </c>
      <c r="AG10" s="127">
        <v>1.8592043302087065</v>
      </c>
      <c r="AH10" s="127">
        <v>-0.39908371390288427</v>
      </c>
      <c r="AI10" s="127">
        <v>0.64173468922880073</v>
      </c>
      <c r="AJ10" s="127">
        <f t="shared" si="12"/>
        <v>0.24265097532591645</v>
      </c>
      <c r="AL10" s="155">
        <f t="shared" si="13"/>
        <v>3.0478152738149689</v>
      </c>
      <c r="AM10" s="127">
        <v>7.0494146420033079</v>
      </c>
      <c r="AN10" s="127">
        <v>0.77249580975616283</v>
      </c>
      <c r="AO10" s="127">
        <v>2.4684810982893786</v>
      </c>
      <c r="AP10" s="127">
        <f t="shared" si="14"/>
        <v>3.2409769080455413</v>
      </c>
      <c r="AQ10" s="145"/>
      <c r="AR10" s="155">
        <f t="shared" si="15"/>
        <v>3.1885211674371972</v>
      </c>
      <c r="AS10" s="127">
        <v>12.434304263822574</v>
      </c>
      <c r="AT10" s="127">
        <v>-0.42755990576433228</v>
      </c>
      <c r="AU10" s="127">
        <v>4.5847481138797939</v>
      </c>
      <c r="AV10" s="127">
        <f t="shared" si="16"/>
        <v>4.1571882081154614</v>
      </c>
      <c r="AW10" s="128" t="str">
        <f t="shared" si="17"/>
        <v>Food drink and tobacco</v>
      </c>
      <c r="AX10" s="155">
        <f t="shared" si="18"/>
        <v>2.5235241914950635</v>
      </c>
      <c r="AY10" s="87">
        <v>17.336358924907866</v>
      </c>
      <c r="AZ10" s="127">
        <v>-0.12728232767007444</v>
      </c>
      <c r="BA10" s="127">
        <v>4.9066304279196737</v>
      </c>
      <c r="BB10" s="127">
        <f t="shared" si="19"/>
        <v>4.7793481002495994</v>
      </c>
      <c r="BC10" s="141"/>
      <c r="BD10" s="155">
        <f t="shared" si="20"/>
        <v>2.4363702313833224</v>
      </c>
      <c r="BE10" s="127">
        <v>3.9959783673326772</v>
      </c>
      <c r="BF10" s="127">
        <v>-0.83348086360043461</v>
      </c>
      <c r="BG10" s="127">
        <v>1.0875463509002989</v>
      </c>
      <c r="BH10" s="127">
        <f t="shared" si="21"/>
        <v>0.25406548729986433</v>
      </c>
      <c r="BJ10" s="155">
        <f t="shared" si="22"/>
        <v>2.5027216432235821</v>
      </c>
      <c r="BK10" s="127">
        <v>10.073083832716854</v>
      </c>
      <c r="BL10" s="127">
        <v>1.512717786678091</v>
      </c>
      <c r="BM10" s="127">
        <v>2.8247393034036694</v>
      </c>
      <c r="BN10" s="127">
        <f t="shared" si="23"/>
        <v>4.3374570900817604</v>
      </c>
      <c r="BO10" s="145"/>
      <c r="BP10" s="155">
        <f t="shared" si="24"/>
        <v>2.6925252680388922</v>
      </c>
      <c r="BQ10" s="127">
        <v>3.2672967248583333</v>
      </c>
      <c r="BR10" s="127">
        <v>-0.80651925074773079</v>
      </c>
      <c r="BS10" s="127">
        <v>0.9943447736157055</v>
      </c>
      <c r="BT10" s="127">
        <f t="shared" si="25"/>
        <v>0.18782552286797471</v>
      </c>
      <c r="BU10" s="128" t="str">
        <f t="shared" si="26"/>
        <v>Food drink and tobacco</v>
      </c>
      <c r="BV10" s="155">
        <f t="shared" si="27"/>
        <v>2.2441836744385046</v>
      </c>
      <c r="BW10" s="87">
        <v>49.598564072912936</v>
      </c>
      <c r="BX10" s="127">
        <v>-3.6306790931946717</v>
      </c>
      <c r="BY10" s="127">
        <v>12.324896934512662</v>
      </c>
      <c r="BZ10" s="127">
        <f t="shared" si="28"/>
        <v>8.6942178413179896</v>
      </c>
      <c r="CA10" s="141"/>
      <c r="CB10" s="155">
        <f t="shared" si="29"/>
        <v>2.1888664422200721</v>
      </c>
      <c r="CC10" s="127">
        <v>19.525240563492041</v>
      </c>
      <c r="CD10" s="127">
        <v>-4.8301674544914821</v>
      </c>
      <c r="CE10" s="127">
        <v>4.7203188998071877</v>
      </c>
      <c r="CF10" s="127">
        <f t="shared" si="30"/>
        <v>-0.10984855468429444</v>
      </c>
      <c r="CH10" s="155">
        <f t="shared" si="31"/>
        <v>2.2613705769742198</v>
      </c>
      <c r="CI10" s="127">
        <v>26.537310513901321</v>
      </c>
      <c r="CJ10" s="127">
        <v>0.90730570853380754</v>
      </c>
      <c r="CK10" s="127">
        <v>6.6500717395964477</v>
      </c>
      <c r="CL10" s="127">
        <f t="shared" si="32"/>
        <v>7.5573774481302554</v>
      </c>
      <c r="CM10" s="145"/>
      <c r="CN10" s="155">
        <f t="shared" si="33"/>
        <v>2.4184670868230285</v>
      </c>
      <c r="CO10" s="127">
        <v>3.5360129955195734</v>
      </c>
      <c r="CP10" s="127">
        <v>0.29218265276300265</v>
      </c>
      <c r="CQ10" s="127">
        <v>0.95450629510902829</v>
      </c>
      <c r="CR10" s="127">
        <f t="shared" si="34"/>
        <v>1.2466889478720309</v>
      </c>
      <c r="CS10" s="128" t="str">
        <f t="shared" si="35"/>
        <v>Food drink and tobacco</v>
      </c>
      <c r="CT10" s="155">
        <f t="shared" si="36"/>
        <v>2.2228446109720412</v>
      </c>
      <c r="CU10" s="87">
        <v>6.7676511290073389</v>
      </c>
      <c r="CV10" s="127">
        <v>-1.5185369537284803</v>
      </c>
      <c r="CW10" s="127">
        <v>1.6640962090734628</v>
      </c>
      <c r="CX10" s="127">
        <f t="shared" si="37"/>
        <v>0.14555925534498249</v>
      </c>
      <c r="CY10" s="141"/>
      <c r="CZ10" s="155">
        <f t="shared" si="38"/>
        <v>2.2373089799467394</v>
      </c>
      <c r="DA10" s="127">
        <v>3.1774628801532612</v>
      </c>
      <c r="DB10" s="127">
        <v>-1.0231804476855118</v>
      </c>
      <c r="DC10" s="127">
        <v>0.78691079287571253</v>
      </c>
      <c r="DD10" s="127">
        <f t="shared" si="39"/>
        <v>-0.23626965480979922</v>
      </c>
      <c r="DF10" s="155">
        <f t="shared" si="40"/>
        <v>2.2136668085149358</v>
      </c>
      <c r="DG10" s="127">
        <v>3.3636113929465901</v>
      </c>
      <c r="DH10" s="127">
        <v>-0.48151424654816377</v>
      </c>
      <c r="DI10" s="127">
        <v>0.82331666906411805</v>
      </c>
      <c r="DJ10" s="127">
        <f t="shared" si="41"/>
        <v>0.34180242251595427</v>
      </c>
      <c r="DK10" s="145"/>
      <c r="DL10" s="155">
        <f t="shared" si="42"/>
        <v>2.1558658032539757</v>
      </c>
      <c r="DM10" s="127">
        <v>0.22657685590748641</v>
      </c>
      <c r="DN10" s="127">
        <v>-1.3842259494804953E-2</v>
      </c>
      <c r="DO10" s="127">
        <v>5.3868747133632294E-2</v>
      </c>
      <c r="DP10" s="127">
        <f t="shared" si="43"/>
        <v>4.0026487638827338E-2</v>
      </c>
    </row>
    <row r="11" spans="1:120" x14ac:dyDescent="0.25">
      <c r="A11" s="128" t="str">
        <f>name!B7</f>
        <v>Engineering</v>
      </c>
      <c r="B11" s="155">
        <f t="shared" si="1"/>
        <v>2.3974240716110096</v>
      </c>
      <c r="C11" s="87">
        <v>26.682999999999964</v>
      </c>
      <c r="D11" s="127">
        <v>2.1359999999999681</v>
      </c>
      <c r="E11" s="127">
        <v>7.1332131341977885</v>
      </c>
      <c r="F11" s="127">
        <f t="shared" si="2"/>
        <v>9.2692131341977557</v>
      </c>
      <c r="G11" s="141"/>
      <c r="H11" s="155">
        <f t="shared" si="3"/>
        <v>2.1428388473321736</v>
      </c>
      <c r="I11" s="127">
        <v>7.7290127378228242</v>
      </c>
      <c r="J11" s="127">
        <v>-0.85964814638885922</v>
      </c>
      <c r="K11" s="127">
        <v>1.8253838239565419</v>
      </c>
      <c r="L11" s="127">
        <f t="shared" si="4"/>
        <v>0.96573567756768264</v>
      </c>
      <c r="N11" s="155">
        <f t="shared" si="5"/>
        <v>2.2704847424125818</v>
      </c>
      <c r="O11" s="127">
        <v>12.694060205112665</v>
      </c>
      <c r="P11" s="127">
        <v>1.750762648197131</v>
      </c>
      <c r="Q11" s="127">
        <v>3.1952007619921963</v>
      </c>
      <c r="R11" s="127">
        <f t="shared" si="6"/>
        <v>4.9459634101893268</v>
      </c>
      <c r="S11" s="145"/>
      <c r="T11" s="155">
        <f t="shared" si="7"/>
        <v>2.9505987528880562</v>
      </c>
      <c r="U11" s="127">
        <v>6.2599270570644734</v>
      </c>
      <c r="V11" s="127">
        <v>1.2448854981916966</v>
      </c>
      <c r="W11" s="127">
        <v>2.112628548249051</v>
      </c>
      <c r="X11" s="127">
        <f t="shared" si="8"/>
        <v>3.3575140464407474</v>
      </c>
      <c r="Y11" s="128" t="str">
        <f t="shared" si="0"/>
        <v>Engineering</v>
      </c>
      <c r="Z11" s="155">
        <f t="shared" si="9"/>
        <v>2.9893837262348733</v>
      </c>
      <c r="AA11" s="87">
        <v>6.5504971882441936</v>
      </c>
      <c r="AB11" s="127">
        <v>0.7414598842641813</v>
      </c>
      <c r="AC11" s="127">
        <v>2.243753846340574</v>
      </c>
      <c r="AD11" s="127">
        <f t="shared" si="10"/>
        <v>2.9852137306047553</v>
      </c>
      <c r="AE11" s="141"/>
      <c r="AF11" s="155">
        <f t="shared" si="11"/>
        <v>2.6484123810696314</v>
      </c>
      <c r="AG11" s="127">
        <v>0.62605054755772271</v>
      </c>
      <c r="AH11" s="127">
        <v>-4.0708044204614172E-2</v>
      </c>
      <c r="AI11" s="127">
        <v>0.18702662236296508</v>
      </c>
      <c r="AJ11" s="127">
        <f t="shared" si="12"/>
        <v>0.14631857815835092</v>
      </c>
      <c r="AL11" s="155">
        <f t="shared" si="13"/>
        <v>2.8200029669356086</v>
      </c>
      <c r="AM11" s="127">
        <v>1.9725323922654858</v>
      </c>
      <c r="AN11" s="127">
        <v>5.7186726837409781E-2</v>
      </c>
      <c r="AO11" s="127">
        <v>0.63242284192617815</v>
      </c>
      <c r="AP11" s="127">
        <f t="shared" si="14"/>
        <v>0.68960956876358792</v>
      </c>
      <c r="AQ11" s="145"/>
      <c r="AR11" s="155">
        <f t="shared" si="15"/>
        <v>3.1257074628290971</v>
      </c>
      <c r="AS11" s="127">
        <v>3.9519142484209846</v>
      </c>
      <c r="AT11" s="127">
        <v>0.72498120163138557</v>
      </c>
      <c r="AU11" s="127">
        <v>1.4243043820514307</v>
      </c>
      <c r="AV11" s="127">
        <f t="shared" si="16"/>
        <v>2.1492855836828162</v>
      </c>
      <c r="AW11" s="128" t="str">
        <f t="shared" si="17"/>
        <v>Engineering</v>
      </c>
      <c r="AX11" s="155">
        <f t="shared" si="18"/>
        <v>2.6610076636430335</v>
      </c>
      <c r="AY11" s="87">
        <v>3.2443503982662985</v>
      </c>
      <c r="AZ11" s="127">
        <v>0.14772454699359541</v>
      </c>
      <c r="BA11" s="127">
        <v>0.97439173559588765</v>
      </c>
      <c r="BB11" s="127">
        <f t="shared" si="19"/>
        <v>1.122116282589483</v>
      </c>
      <c r="BC11" s="141"/>
      <c r="BD11" s="155">
        <f t="shared" si="20"/>
        <v>2.5177966298219889</v>
      </c>
      <c r="BE11" s="127">
        <v>0.76061810370622518</v>
      </c>
      <c r="BF11" s="127">
        <v>-8.6613615501482388E-2</v>
      </c>
      <c r="BG11" s="127">
        <v>0.21472921204151713</v>
      </c>
      <c r="BH11" s="127">
        <f t="shared" si="21"/>
        <v>0.12811559654003474</v>
      </c>
      <c r="BJ11" s="155">
        <f t="shared" si="22"/>
        <v>2.6414518363808703</v>
      </c>
      <c r="BK11" s="127">
        <v>1.3612202522776553</v>
      </c>
      <c r="BL11" s="127">
        <v>-9.1457270541903425E-3</v>
      </c>
      <c r="BM11" s="127">
        <v>0.40545313032121294</v>
      </c>
      <c r="BN11" s="127">
        <f t="shared" si="23"/>
        <v>0.39630740326702257</v>
      </c>
      <c r="BO11" s="145"/>
      <c r="BP11" s="155">
        <f t="shared" si="24"/>
        <v>2.7805073211446985</v>
      </c>
      <c r="BQ11" s="127">
        <v>1.122512042282418</v>
      </c>
      <c r="BR11" s="127">
        <v>0.24348388954926817</v>
      </c>
      <c r="BS11" s="127">
        <v>0.35420939323315764</v>
      </c>
      <c r="BT11" s="127">
        <f t="shared" si="25"/>
        <v>0.59769328278242584</v>
      </c>
      <c r="BU11" s="128" t="str">
        <f t="shared" si="26"/>
        <v>Engineering</v>
      </c>
      <c r="BV11" s="155">
        <f t="shared" si="27"/>
        <v>2.0986442989320508</v>
      </c>
      <c r="BW11" s="87">
        <v>15.307841962071205</v>
      </c>
      <c r="BX11" s="127">
        <v>0.41022057712335003</v>
      </c>
      <c r="BY11" s="127">
        <v>3.5335820893340286</v>
      </c>
      <c r="BZ11" s="127">
        <f t="shared" si="28"/>
        <v>3.9438026664573789</v>
      </c>
      <c r="CA11" s="141"/>
      <c r="CB11" s="155">
        <f t="shared" si="29"/>
        <v>2.0210770566263747</v>
      </c>
      <c r="CC11" s="127">
        <v>5.8033468392667986</v>
      </c>
      <c r="CD11" s="127">
        <v>-0.34664652297871712</v>
      </c>
      <c r="CE11" s="127">
        <v>1.2855322454287512</v>
      </c>
      <c r="CF11" s="127">
        <f t="shared" si="30"/>
        <v>0.9388857224500341</v>
      </c>
      <c r="CH11" s="155">
        <f t="shared" si="31"/>
        <v>2.0955416811876404</v>
      </c>
      <c r="CI11" s="127">
        <v>8.3881190579667813</v>
      </c>
      <c r="CJ11" s="127">
        <v>0.46878350843430538</v>
      </c>
      <c r="CK11" s="127">
        <v>1.9331324937867693</v>
      </c>
      <c r="CL11" s="127">
        <f t="shared" si="32"/>
        <v>2.4019160022210748</v>
      </c>
      <c r="CM11" s="145"/>
      <c r="CN11" s="155">
        <f t="shared" si="33"/>
        <v>2.5160385347847258</v>
      </c>
      <c r="CO11" s="127">
        <v>1.1163760648376253</v>
      </c>
      <c r="CP11" s="127">
        <v>0.28808359166776182</v>
      </c>
      <c r="CQ11" s="127">
        <v>0.31491735011850813</v>
      </c>
      <c r="CR11" s="127">
        <f t="shared" si="34"/>
        <v>0.60300094178626995</v>
      </c>
      <c r="CS11" s="128" t="str">
        <f t="shared" si="35"/>
        <v>Engineering</v>
      </c>
      <c r="CT11" s="155">
        <f t="shared" si="36"/>
        <v>2.1859392974191483</v>
      </c>
      <c r="CU11" s="87">
        <v>1.5803104514182647</v>
      </c>
      <c r="CV11" s="127">
        <v>0.83659499161884154</v>
      </c>
      <c r="CW11" s="127">
        <v>0.38148546292729896</v>
      </c>
      <c r="CX11" s="127">
        <f t="shared" si="37"/>
        <v>1.2180804545461406</v>
      </c>
      <c r="CY11" s="141"/>
      <c r="CZ11" s="155">
        <f t="shared" si="38"/>
        <v>2.307194889511166</v>
      </c>
      <c r="DA11" s="127">
        <v>0.53899724729207821</v>
      </c>
      <c r="DB11" s="127">
        <v>-0.3856799637040455</v>
      </c>
      <c r="DC11" s="127">
        <v>0.13809574412330866</v>
      </c>
      <c r="DD11" s="127">
        <f t="shared" si="39"/>
        <v>-0.24758421958073684</v>
      </c>
      <c r="DF11" s="155">
        <f t="shared" si="40"/>
        <v>2.0967447677556317</v>
      </c>
      <c r="DG11" s="127">
        <v>0.97218850260274148</v>
      </c>
      <c r="DH11" s="127">
        <v>1.2339381399796061</v>
      </c>
      <c r="DI11" s="127">
        <v>0.22419229595803594</v>
      </c>
      <c r="DJ11" s="127">
        <f t="shared" si="41"/>
        <v>1.4581304359376421</v>
      </c>
      <c r="DK11" s="145"/>
      <c r="DL11" s="155">
        <f t="shared" si="42"/>
        <v>2.4810635165479544</v>
      </c>
      <c r="DM11" s="127">
        <v>6.9124701523444784E-2</v>
      </c>
      <c r="DN11" s="127">
        <v>-1.1663184656719028E-2</v>
      </c>
      <c r="DO11" s="127">
        <v>1.9197422845954378E-2</v>
      </c>
      <c r="DP11" s="127">
        <f t="shared" si="43"/>
        <v>7.53423818923535E-3</v>
      </c>
    </row>
    <row r="12" spans="1:120" x14ac:dyDescent="0.25">
      <c r="A12" s="128" t="str">
        <f>name!B8</f>
        <v>Rest of manufacturing</v>
      </c>
      <c r="B12" s="155">
        <f t="shared" si="1"/>
        <v>2.6164350010096316</v>
      </c>
      <c r="C12" s="87">
        <v>42.15199999999993</v>
      </c>
      <c r="D12" s="127">
        <v>-3.3299999999999712</v>
      </c>
      <c r="E12" s="127">
        <v>12.422204390941479</v>
      </c>
      <c r="F12" s="127">
        <f t="shared" si="2"/>
        <v>9.0922043909415073</v>
      </c>
      <c r="G12" s="141"/>
      <c r="H12" s="155">
        <f t="shared" si="3"/>
        <v>2.4469808961299799</v>
      </c>
      <c r="I12" s="127">
        <v>9.6089439679508644</v>
      </c>
      <c r="J12" s="127">
        <v>-2.1975561779706503</v>
      </c>
      <c r="K12" s="127">
        <v>2.6278403106316235</v>
      </c>
      <c r="L12" s="127">
        <f t="shared" si="4"/>
        <v>0.43028413266097321</v>
      </c>
      <c r="N12" s="155">
        <f t="shared" si="5"/>
        <v>2.5333579555699037</v>
      </c>
      <c r="O12" s="127">
        <v>22.575808590792999</v>
      </c>
      <c r="P12" s="127">
        <v>-0.95500589125711122</v>
      </c>
      <c r="Q12" s="127">
        <v>6.4173226387381153</v>
      </c>
      <c r="R12" s="127">
        <f t="shared" si="6"/>
        <v>5.4623167474810037</v>
      </c>
      <c r="S12" s="145"/>
      <c r="T12" s="155">
        <f t="shared" si="7"/>
        <v>2.9608263556274439</v>
      </c>
      <c r="U12" s="127">
        <v>9.9672474412560668</v>
      </c>
      <c r="V12" s="127">
        <v>-0.17743793077220946</v>
      </c>
      <c r="W12" s="127">
        <v>3.3770414415717394</v>
      </c>
      <c r="X12" s="127">
        <f t="shared" si="8"/>
        <v>3.19960351079953</v>
      </c>
      <c r="Y12" s="128" t="str">
        <f t="shared" si="0"/>
        <v>Rest of manufacturing</v>
      </c>
      <c r="Z12" s="155">
        <f t="shared" si="9"/>
        <v>2.9763942733826543</v>
      </c>
      <c r="AA12" s="87">
        <v>10.498945664126412</v>
      </c>
      <c r="AB12" s="127">
        <v>0.34529888283838883</v>
      </c>
      <c r="AC12" s="127">
        <v>3.5784558313106598</v>
      </c>
      <c r="AD12" s="127">
        <f t="shared" si="10"/>
        <v>3.9237547141490485</v>
      </c>
      <c r="AE12" s="141"/>
      <c r="AF12" s="155">
        <f t="shared" si="11"/>
        <v>2.7040649618628176</v>
      </c>
      <c r="AG12" s="127">
        <v>0.75816764967198691</v>
      </c>
      <c r="AH12" s="127">
        <v>-0.14426412804349217</v>
      </c>
      <c r="AI12" s="127">
        <v>0.23184690614128767</v>
      </c>
      <c r="AJ12" s="127">
        <f t="shared" si="12"/>
        <v>8.7582778097795494E-2</v>
      </c>
      <c r="AL12" s="155">
        <f t="shared" si="13"/>
        <v>2.8324908960291717</v>
      </c>
      <c r="AM12" s="127">
        <v>3.7458067354035878</v>
      </c>
      <c r="AN12" s="127">
        <v>-2.1430511128079324E-2</v>
      </c>
      <c r="AO12" s="127">
        <v>1.2069719734322446</v>
      </c>
      <c r="AP12" s="127">
        <f t="shared" si="14"/>
        <v>1.1855414623041653</v>
      </c>
      <c r="AQ12" s="145"/>
      <c r="AR12" s="155">
        <f t="shared" si="15"/>
        <v>3.0991188393576063</v>
      </c>
      <c r="AS12" s="127">
        <v>5.9949712790508363</v>
      </c>
      <c r="AT12" s="127">
        <v>0.51099352200996029</v>
      </c>
      <c r="AU12" s="127">
        <v>2.1396369517371276</v>
      </c>
      <c r="AV12" s="127">
        <f t="shared" si="16"/>
        <v>2.6506304737470878</v>
      </c>
      <c r="AW12" s="128" t="str">
        <f t="shared" si="17"/>
        <v>Rest of manufacturing</v>
      </c>
      <c r="AX12" s="155">
        <f t="shared" si="18"/>
        <v>2.667464938337738</v>
      </c>
      <c r="AY12" s="87">
        <v>4.3775371772570599</v>
      </c>
      <c r="AZ12" s="127">
        <v>-1.2645538867862174</v>
      </c>
      <c r="BA12" s="127">
        <v>1.3183086935944921</v>
      </c>
      <c r="BB12" s="127">
        <f t="shared" si="19"/>
        <v>5.3754806808274713E-2</v>
      </c>
      <c r="BC12" s="141"/>
      <c r="BD12" s="155">
        <f t="shared" si="20"/>
        <v>2.5806373974742502</v>
      </c>
      <c r="BE12" s="127">
        <v>0.50445012564800362</v>
      </c>
      <c r="BF12" s="127">
        <v>-0.13667993756951582</v>
      </c>
      <c r="BG12" s="127">
        <v>0.14638677364194702</v>
      </c>
      <c r="BH12" s="127">
        <f t="shared" si="21"/>
        <v>9.7068360724311964E-3</v>
      </c>
      <c r="BJ12" s="155">
        <f t="shared" si="22"/>
        <v>2.6049115123564892</v>
      </c>
      <c r="BK12" s="127">
        <v>2.2466979729709307</v>
      </c>
      <c r="BL12" s="127">
        <v>-0.58280055442252565</v>
      </c>
      <c r="BM12" s="127">
        <v>0.65883758800710124</v>
      </c>
      <c r="BN12" s="127">
        <f t="shared" si="23"/>
        <v>7.6037033584575586E-2</v>
      </c>
      <c r="BO12" s="145"/>
      <c r="BP12" s="155">
        <f t="shared" si="24"/>
        <v>2.779912687566588</v>
      </c>
      <c r="BQ12" s="127">
        <v>1.6263890786381248</v>
      </c>
      <c r="BR12" s="127">
        <v>-0.54507339479417605</v>
      </c>
      <c r="BS12" s="127">
        <v>0.51308433194544378</v>
      </c>
      <c r="BT12" s="127">
        <f t="shared" si="25"/>
        <v>-3.1989062848732264E-2</v>
      </c>
      <c r="BU12" s="128" t="str">
        <f t="shared" si="26"/>
        <v>Rest of manufacturing</v>
      </c>
      <c r="BV12" s="155">
        <f t="shared" si="27"/>
        <v>2.4731834060013336</v>
      </c>
      <c r="BW12" s="87">
        <v>26.112763020344723</v>
      </c>
      <c r="BX12" s="127">
        <v>-1.8174984546461121</v>
      </c>
      <c r="BY12" s="127">
        <v>7.2264319158956178</v>
      </c>
      <c r="BZ12" s="127">
        <f t="shared" si="28"/>
        <v>5.4089334612495055</v>
      </c>
      <c r="CA12" s="141"/>
      <c r="CB12" s="155">
        <f t="shared" si="29"/>
        <v>2.4168124747555364</v>
      </c>
      <c r="CC12" s="127">
        <v>7.7759473470029352</v>
      </c>
      <c r="CD12" s="127">
        <v>-1.7158164744931881</v>
      </c>
      <c r="CE12" s="127">
        <v>2.0974328886080462</v>
      </c>
      <c r="CF12" s="127">
        <f t="shared" si="30"/>
        <v>0.38161641411485814</v>
      </c>
      <c r="CH12" s="155">
        <f t="shared" si="31"/>
        <v>2.4638206980051702</v>
      </c>
      <c r="CI12" s="127">
        <v>16.01397145403611</v>
      </c>
      <c r="CJ12" s="127">
        <v>5.414488253187176E-2</v>
      </c>
      <c r="CK12" s="127">
        <v>4.4130248025048795</v>
      </c>
      <c r="CL12" s="127">
        <f t="shared" si="32"/>
        <v>4.467169685036751</v>
      </c>
      <c r="CM12" s="145"/>
      <c r="CN12" s="155">
        <f t="shared" si="33"/>
        <v>2.7231827177615964</v>
      </c>
      <c r="CO12" s="127">
        <v>2.3228442193056784</v>
      </c>
      <c r="CP12" s="127">
        <v>-0.15582686268479601</v>
      </c>
      <c r="CQ12" s="127">
        <v>0.71597422478269179</v>
      </c>
      <c r="CR12" s="127">
        <f t="shared" si="34"/>
        <v>0.56014736209789584</v>
      </c>
      <c r="CS12" s="128" t="str">
        <f t="shared" si="35"/>
        <v>Rest of manufacturing</v>
      </c>
      <c r="CT12" s="155">
        <f t="shared" si="36"/>
        <v>2.3148990339762587</v>
      </c>
      <c r="CU12" s="87">
        <v>1.1627541382717359</v>
      </c>
      <c r="CV12" s="127">
        <v>-0.59324654140603028</v>
      </c>
      <c r="CW12" s="127">
        <v>0.2990079501407093</v>
      </c>
      <c r="CX12" s="127">
        <f t="shared" si="37"/>
        <v>-0.29423859126532098</v>
      </c>
      <c r="CY12" s="141"/>
      <c r="CZ12" s="155">
        <f t="shared" si="38"/>
        <v>2.3930795875785948</v>
      </c>
      <c r="DA12" s="127">
        <v>0.57037884562794017</v>
      </c>
      <c r="DB12" s="127">
        <v>-0.20079563786445448</v>
      </c>
      <c r="DC12" s="127">
        <v>0.15217374224034305</v>
      </c>
      <c r="DD12" s="127">
        <f t="shared" si="39"/>
        <v>-4.8621895624111428E-2</v>
      </c>
      <c r="DF12" s="155">
        <f t="shared" si="40"/>
        <v>2.201138550303483</v>
      </c>
      <c r="DG12" s="127">
        <v>0.56933242838237019</v>
      </c>
      <c r="DH12" s="127">
        <v>-0.40491970823837808</v>
      </c>
      <c r="DI12" s="127">
        <v>0.13848827479389025</v>
      </c>
      <c r="DJ12" s="127">
        <f t="shared" si="41"/>
        <v>-0.26643143344448783</v>
      </c>
      <c r="DK12" s="145"/>
      <c r="DL12" s="155">
        <f t="shared" si="42"/>
        <v>3.1392149650770529</v>
      </c>
      <c r="DM12" s="127">
        <v>2.3042864261425509E-2</v>
      </c>
      <c r="DN12" s="127">
        <v>1.2468804696802241E-2</v>
      </c>
      <c r="DO12" s="127">
        <v>8.3459331064760084E-3</v>
      </c>
      <c r="DP12" s="127">
        <f t="shared" si="43"/>
        <v>2.0814737803278249E-2</v>
      </c>
    </row>
    <row r="13" spans="1:120" x14ac:dyDescent="0.25">
      <c r="A13" s="128" t="str">
        <f>name!B9</f>
        <v>Electricity and gas</v>
      </c>
      <c r="B13" s="155">
        <f t="shared" si="1"/>
        <v>2.751547529508569</v>
      </c>
      <c r="C13" s="87">
        <v>5.0589999999999913</v>
      </c>
      <c r="D13" s="127">
        <v>2.0489999999999946</v>
      </c>
      <c r="E13" s="127">
        <v>1.5776420433154477</v>
      </c>
      <c r="F13" s="127">
        <f t="shared" si="2"/>
        <v>3.6266420433154423</v>
      </c>
      <c r="G13" s="141"/>
      <c r="H13" s="155">
        <f t="shared" si="3"/>
        <v>2.5733600826927994</v>
      </c>
      <c r="I13" s="127">
        <v>0.31361419735656709</v>
      </c>
      <c r="J13" s="127">
        <v>7.8773033073184756E-2</v>
      </c>
      <c r="K13" s="127">
        <v>9.0720990468516644E-2</v>
      </c>
      <c r="L13" s="127">
        <f t="shared" si="4"/>
        <v>0.1694940235417014</v>
      </c>
      <c r="N13" s="155">
        <f t="shared" si="5"/>
        <v>2.5323926518590278</v>
      </c>
      <c r="O13" s="127">
        <v>1.1279969424904663</v>
      </c>
      <c r="P13" s="127">
        <v>0.17361487914005555</v>
      </c>
      <c r="Q13" s="127">
        <v>0.32050420132079388</v>
      </c>
      <c r="R13" s="127">
        <f t="shared" si="6"/>
        <v>0.4941190804608494</v>
      </c>
      <c r="S13" s="145"/>
      <c r="T13" s="155">
        <f t="shared" si="7"/>
        <v>2.8342615174113073</v>
      </c>
      <c r="U13" s="127">
        <v>3.6173888601529574</v>
      </c>
      <c r="V13" s="127">
        <v>1.7966120877867537</v>
      </c>
      <c r="W13" s="127">
        <v>1.1664168515261377</v>
      </c>
      <c r="X13" s="127">
        <f t="shared" si="8"/>
        <v>2.9630289393128915</v>
      </c>
      <c r="Y13" s="128" t="str">
        <f t="shared" si="0"/>
        <v>Electricity and gas</v>
      </c>
      <c r="Z13" s="155">
        <f t="shared" si="9"/>
        <v>2.8458192992028453</v>
      </c>
      <c r="AA13" s="87">
        <v>3.4150679378844369</v>
      </c>
      <c r="AB13" s="127">
        <v>1.4840300025780557</v>
      </c>
      <c r="AC13" s="127">
        <v>1.1062575228637768</v>
      </c>
      <c r="AD13" s="127">
        <f t="shared" si="10"/>
        <v>2.5902875254418323</v>
      </c>
      <c r="AE13" s="141"/>
      <c r="AF13" s="155">
        <f t="shared" si="11"/>
        <v>2.7430555154363878</v>
      </c>
      <c r="AG13" s="127">
        <v>0.11612647673624334</v>
      </c>
      <c r="AH13" s="127">
        <v>0.11035323287716786</v>
      </c>
      <c r="AI13" s="127">
        <v>3.6088022100809053E-2</v>
      </c>
      <c r="AJ13" s="127">
        <f t="shared" si="12"/>
        <v>0.14644125497797691</v>
      </c>
      <c r="AL13" s="155">
        <f t="shared" si="13"/>
        <v>2.6040221070196878</v>
      </c>
      <c r="AM13" s="127">
        <v>0.78807550212350175</v>
      </c>
      <c r="AN13" s="127">
        <v>0.1640515512066609</v>
      </c>
      <c r="AO13" s="127">
        <v>0.23101248718210923</v>
      </c>
      <c r="AP13" s="127">
        <f t="shared" si="14"/>
        <v>0.39506403838877013</v>
      </c>
      <c r="AQ13" s="145"/>
      <c r="AR13" s="155">
        <f t="shared" si="15"/>
        <v>2.9253673336995467</v>
      </c>
      <c r="AS13" s="127">
        <v>2.510865959024692</v>
      </c>
      <c r="AT13" s="127">
        <v>1.2096252184942269</v>
      </c>
      <c r="AU13" s="127">
        <v>0.83915701358085859</v>
      </c>
      <c r="AV13" s="127">
        <f t="shared" si="16"/>
        <v>2.0487822320750855</v>
      </c>
      <c r="AW13" s="128" t="str">
        <f t="shared" si="17"/>
        <v>Electricity and gas</v>
      </c>
      <c r="AX13" s="155">
        <f t="shared" si="18"/>
        <v>2.7527088286745105</v>
      </c>
      <c r="AY13" s="87">
        <v>0.957602688269793</v>
      </c>
      <c r="AZ13" s="127">
        <v>0.25026458116444267</v>
      </c>
      <c r="BA13" s="127">
        <v>0.29876903958455009</v>
      </c>
      <c r="BB13" s="127">
        <f t="shared" si="19"/>
        <v>0.54903362074899276</v>
      </c>
      <c r="BC13" s="141"/>
      <c r="BD13" s="155">
        <f t="shared" si="20"/>
        <v>2.6027440742423469</v>
      </c>
      <c r="BE13" s="127">
        <v>6.6675648433861312E-2</v>
      </c>
      <c r="BF13" s="127">
        <v>1.2223965695389253E-2</v>
      </c>
      <c r="BG13" s="127">
        <v>1.953422506429308E-2</v>
      </c>
      <c r="BH13" s="127">
        <f t="shared" si="21"/>
        <v>3.1758190759682337E-2</v>
      </c>
      <c r="BJ13" s="155">
        <f t="shared" si="22"/>
        <v>2.595302754086215</v>
      </c>
      <c r="BK13" s="127">
        <v>0.10025366029317774</v>
      </c>
      <c r="BL13" s="127">
        <v>-4.2143802914000279E-2</v>
      </c>
      <c r="BM13" s="127">
        <v>2.9277725477586596E-2</v>
      </c>
      <c r="BN13" s="127">
        <f t="shared" si="23"/>
        <v>-1.2866077436413683E-2</v>
      </c>
      <c r="BO13" s="145"/>
      <c r="BP13" s="155">
        <f t="shared" si="24"/>
        <v>2.7850477621075731</v>
      </c>
      <c r="BQ13" s="127">
        <v>0.79067337954275396</v>
      </c>
      <c r="BR13" s="127">
        <v>0.28018441838305369</v>
      </c>
      <c r="BS13" s="127">
        <v>0.24995708904267042</v>
      </c>
      <c r="BT13" s="127">
        <f t="shared" si="25"/>
        <v>0.53014150742572408</v>
      </c>
      <c r="BU13" s="128" t="str">
        <f t="shared" si="26"/>
        <v>Electricity and gas</v>
      </c>
      <c r="BV13" s="155">
        <f t="shared" si="27"/>
        <v>2.30166568848158</v>
      </c>
      <c r="BW13" s="87">
        <v>0.58372112403374876</v>
      </c>
      <c r="BX13" s="127">
        <v>0.29400518186205293</v>
      </c>
      <c r="BY13" s="127">
        <v>0.14915818412575702</v>
      </c>
      <c r="BZ13" s="127">
        <f t="shared" si="28"/>
        <v>0.44316336598780992</v>
      </c>
      <c r="CA13" s="141"/>
      <c r="CB13" s="155">
        <f t="shared" si="29"/>
        <v>2.5209593858770862</v>
      </c>
      <c r="CC13" s="127">
        <v>7.9538399802440748E-2</v>
      </c>
      <c r="CD13" s="127">
        <v>-3.8996824091237468E-2</v>
      </c>
      <c r="CE13" s="127">
        <v>2.2485863083774052E-2</v>
      </c>
      <c r="CF13" s="127">
        <f t="shared" si="30"/>
        <v>-1.6510961007463416E-2</v>
      </c>
      <c r="CH13" s="155">
        <f t="shared" si="31"/>
        <v>2.2948013168675008</v>
      </c>
      <c r="CI13" s="127">
        <v>0.22333516849225249</v>
      </c>
      <c r="CJ13" s="127">
        <v>4.7374479843118752E-2</v>
      </c>
      <c r="CK13" s="127">
        <v>5.6880714680897067E-2</v>
      </c>
      <c r="CL13" s="127">
        <f t="shared" si="32"/>
        <v>0.10425519452401583</v>
      </c>
      <c r="CM13" s="145"/>
      <c r="CN13" s="155">
        <f t="shared" si="33"/>
        <v>2.2442696745849977</v>
      </c>
      <c r="CO13" s="127">
        <v>0.28084755573905562</v>
      </c>
      <c r="CP13" s="127">
        <v>0.28562752611017167</v>
      </c>
      <c r="CQ13" s="127">
        <v>6.9791606361085889E-2</v>
      </c>
      <c r="CR13" s="127">
        <f t="shared" si="34"/>
        <v>0.35541913247125756</v>
      </c>
      <c r="CS13" s="128" t="str">
        <f t="shared" si="35"/>
        <v>Electricity and gas</v>
      </c>
      <c r="CT13" s="155">
        <f t="shared" si="36"/>
        <v>2.0801766936642485</v>
      </c>
      <c r="CU13" s="87">
        <v>0.10260824981201205</v>
      </c>
      <c r="CV13" s="127">
        <v>2.0700234395443017E-2</v>
      </c>
      <c r="CW13" s="127">
        <v>2.3457296741363907E-2</v>
      </c>
      <c r="CX13" s="127">
        <f t="shared" si="37"/>
        <v>4.4157531136806927E-2</v>
      </c>
      <c r="CY13" s="141"/>
      <c r="CZ13" s="155">
        <f t="shared" si="38"/>
        <v>2.2236780417191238</v>
      </c>
      <c r="DA13" s="127">
        <v>5.1273672384021723E-2</v>
      </c>
      <c r="DB13" s="127">
        <v>-4.8073414081348711E-3</v>
      </c>
      <c r="DC13" s="127">
        <v>1.2612880219640452E-2</v>
      </c>
      <c r="DD13" s="127">
        <f t="shared" si="39"/>
        <v>7.8055388115055805E-3</v>
      </c>
      <c r="DF13" s="155">
        <f t="shared" si="40"/>
        <v>1.8745697006633089</v>
      </c>
      <c r="DG13" s="127">
        <v>1.6332611581534422E-2</v>
      </c>
      <c r="DH13" s="127">
        <v>4.3326510042762225E-3</v>
      </c>
      <c r="DI13" s="127">
        <v>3.3332739802009429E-3</v>
      </c>
      <c r="DJ13" s="127">
        <f t="shared" si="41"/>
        <v>7.6659249844771658E-3</v>
      </c>
      <c r="DK13" s="145"/>
      <c r="DL13" s="155">
        <f t="shared" si="42"/>
        <v>1.9631026785993377</v>
      </c>
      <c r="DM13" s="127">
        <v>3.5001965846455901E-2</v>
      </c>
      <c r="DN13" s="127">
        <v>2.1174924799301664E-2</v>
      </c>
      <c r="DO13" s="127">
        <v>7.5111425415225128E-3</v>
      </c>
      <c r="DP13" s="127">
        <f t="shared" si="43"/>
        <v>2.8686067340824177E-2</v>
      </c>
    </row>
    <row r="14" spans="1:120" x14ac:dyDescent="0.25">
      <c r="A14" s="128" t="str">
        <f>name!B10</f>
        <v>Water and sewerage</v>
      </c>
      <c r="B14" s="155">
        <f t="shared" si="1"/>
        <v>2.6630267727114409</v>
      </c>
      <c r="C14" s="87">
        <v>34.689999999999941</v>
      </c>
      <c r="D14" s="127">
        <v>3.4039999999999937</v>
      </c>
      <c r="E14" s="127">
        <v>10.427491197200341</v>
      </c>
      <c r="F14" s="127">
        <f t="shared" si="2"/>
        <v>13.831491197200336</v>
      </c>
      <c r="G14" s="141"/>
      <c r="H14" s="155">
        <f t="shared" si="3"/>
        <v>2.3746340922261355</v>
      </c>
      <c r="I14" s="127">
        <v>2.9582746497764263</v>
      </c>
      <c r="J14" s="127">
        <v>-1.2426718264022578</v>
      </c>
      <c r="K14" s="127">
        <v>0.78250491573356684</v>
      </c>
      <c r="L14" s="127">
        <f t="shared" si="4"/>
        <v>-0.46016691066869098</v>
      </c>
      <c r="N14" s="155">
        <f t="shared" si="5"/>
        <v>2.45146859998846</v>
      </c>
      <c r="O14" s="127">
        <v>15.931406757331569</v>
      </c>
      <c r="P14" s="127">
        <v>2.6141692288467828</v>
      </c>
      <c r="Q14" s="127">
        <v>4.3657875010183442</v>
      </c>
      <c r="R14" s="127">
        <f t="shared" si="6"/>
        <v>6.9799567298651271</v>
      </c>
      <c r="S14" s="145"/>
      <c r="T14" s="155">
        <f t="shared" si="7"/>
        <v>2.9246696914869474</v>
      </c>
      <c r="U14" s="127">
        <v>15.800318592891939</v>
      </c>
      <c r="V14" s="127">
        <v>2.0325025975554691</v>
      </c>
      <c r="W14" s="127">
        <v>5.2791987804484268</v>
      </c>
      <c r="X14" s="127">
        <f t="shared" si="8"/>
        <v>7.311701378003896</v>
      </c>
      <c r="Y14" s="128" t="str">
        <f t="shared" si="0"/>
        <v>Water and sewerage</v>
      </c>
      <c r="Z14" s="155">
        <f t="shared" si="9"/>
        <v>2.8935452968317898</v>
      </c>
      <c r="AA14" s="87">
        <v>20.179018387941738</v>
      </c>
      <c r="AB14" s="127">
        <v>3.7043393079638052</v>
      </c>
      <c r="AC14" s="127">
        <v>6.6609099076503337</v>
      </c>
      <c r="AD14" s="127">
        <f t="shared" si="10"/>
        <v>10.365249215614138</v>
      </c>
      <c r="AE14" s="141"/>
      <c r="AF14" s="155">
        <f t="shared" si="11"/>
        <v>2.7725711511966233</v>
      </c>
      <c r="AG14" s="127">
        <v>0.72465647374450293</v>
      </c>
      <c r="AH14" s="127">
        <v>-0.21196589918901296</v>
      </c>
      <c r="AI14" s="127">
        <v>0.227929964406863</v>
      </c>
      <c r="AJ14" s="127">
        <f t="shared" si="12"/>
        <v>1.5964065217850043E-2</v>
      </c>
      <c r="AL14" s="155">
        <f t="shared" si="13"/>
        <v>2.6836776039042443</v>
      </c>
      <c r="AM14" s="127">
        <v>7.1689586080821419</v>
      </c>
      <c r="AN14" s="127">
        <v>1.9626686993660245</v>
      </c>
      <c r="AO14" s="127">
        <v>2.1736943685039085</v>
      </c>
      <c r="AP14" s="127">
        <f t="shared" si="14"/>
        <v>4.136363067869933</v>
      </c>
      <c r="AQ14" s="145"/>
      <c r="AR14" s="155">
        <f t="shared" si="15"/>
        <v>3.0212745785094253</v>
      </c>
      <c r="AS14" s="127">
        <v>12.285403306115091</v>
      </c>
      <c r="AT14" s="127">
        <v>1.9536365077867941</v>
      </c>
      <c r="AU14" s="127">
        <v>4.2592855747395628</v>
      </c>
      <c r="AV14" s="127">
        <f t="shared" si="16"/>
        <v>6.2129220825263571</v>
      </c>
      <c r="AW14" s="128" t="str">
        <f t="shared" si="17"/>
        <v>Water and sewerage</v>
      </c>
      <c r="AX14" s="155">
        <f t="shared" si="18"/>
        <v>2.6934634376716282</v>
      </c>
      <c r="AY14" s="87">
        <v>3.8772019161776843</v>
      </c>
      <c r="AZ14" s="127">
        <v>-0.76962711358062519</v>
      </c>
      <c r="BA14" s="127">
        <v>1.1804208080754564</v>
      </c>
      <c r="BB14" s="127">
        <f t="shared" si="19"/>
        <v>0.41079369449483116</v>
      </c>
      <c r="BC14" s="141"/>
      <c r="BD14" s="155">
        <f t="shared" si="20"/>
        <v>2.5916879181504093</v>
      </c>
      <c r="BE14" s="127">
        <v>0.39518397605304539</v>
      </c>
      <c r="BF14" s="127">
        <v>-0.11728323585066727</v>
      </c>
      <c r="BG14" s="127">
        <v>0.11522826186981429</v>
      </c>
      <c r="BH14" s="127">
        <f t="shared" si="21"/>
        <v>-2.0549739808529838E-3</v>
      </c>
      <c r="BJ14" s="155">
        <f t="shared" si="22"/>
        <v>2.6108631762737033</v>
      </c>
      <c r="BK14" s="127">
        <v>1.6388021332720251</v>
      </c>
      <c r="BL14" s="127">
        <v>-0.45140915346675231</v>
      </c>
      <c r="BM14" s="127">
        <v>0.48180359544498619</v>
      </c>
      <c r="BN14" s="127">
        <f t="shared" si="23"/>
        <v>3.0394441978233877E-2</v>
      </c>
      <c r="BO14" s="145"/>
      <c r="BP14" s="155">
        <f t="shared" si="24"/>
        <v>2.7879692353027563</v>
      </c>
      <c r="BQ14" s="127">
        <v>1.8432158068526141</v>
      </c>
      <c r="BR14" s="127">
        <v>-0.20093472426320558</v>
      </c>
      <c r="BS14" s="127">
        <v>0.58338895076065578</v>
      </c>
      <c r="BT14" s="127">
        <f t="shared" si="25"/>
        <v>0.3824542264974502</v>
      </c>
      <c r="BU14" s="128" t="str">
        <f t="shared" si="26"/>
        <v>Water and sewerage</v>
      </c>
      <c r="BV14" s="155">
        <f t="shared" si="27"/>
        <v>2.1639959971873068</v>
      </c>
      <c r="BW14" s="87">
        <v>9.217599475239167</v>
      </c>
      <c r="BX14" s="127">
        <v>0.61442646269312895</v>
      </c>
      <c r="BY14" s="127">
        <v>2.2005716372862962</v>
      </c>
      <c r="BZ14" s="127">
        <f t="shared" si="28"/>
        <v>2.8149980999794253</v>
      </c>
      <c r="CA14" s="141"/>
      <c r="CB14" s="155">
        <f t="shared" si="29"/>
        <v>2.1322524388695197</v>
      </c>
      <c r="CC14" s="127">
        <v>1.3746236467462931</v>
      </c>
      <c r="CD14" s="127">
        <v>-0.6797332330802186</v>
      </c>
      <c r="CE14" s="127">
        <v>0.32288857798608317</v>
      </c>
      <c r="CF14" s="127">
        <f t="shared" si="30"/>
        <v>-0.35684465509413543</v>
      </c>
      <c r="CH14" s="155">
        <f t="shared" si="31"/>
        <v>2.1183476609150542</v>
      </c>
      <c r="CI14" s="127">
        <v>6.2987020393754678</v>
      </c>
      <c r="CJ14" s="127">
        <v>1.0586789669999686</v>
      </c>
      <c r="CK14" s="127">
        <v>1.4689337630531381</v>
      </c>
      <c r="CL14" s="127">
        <f t="shared" si="32"/>
        <v>2.5276127300531064</v>
      </c>
      <c r="CM14" s="145"/>
      <c r="CN14" s="155">
        <f t="shared" si="33"/>
        <v>2.3760355283215739</v>
      </c>
      <c r="CO14" s="127">
        <v>1.5442737891174063</v>
      </c>
      <c r="CP14" s="127">
        <v>0.23548072877337922</v>
      </c>
      <c r="CQ14" s="127">
        <v>0.40874929624707479</v>
      </c>
      <c r="CR14" s="127">
        <f t="shared" si="34"/>
        <v>0.64423002502045401</v>
      </c>
      <c r="CS14" s="128" t="str">
        <f t="shared" si="35"/>
        <v>Water and sewerage</v>
      </c>
      <c r="CT14" s="155">
        <f t="shared" si="36"/>
        <v>2.4372851811505392</v>
      </c>
      <c r="CU14" s="87">
        <v>1.4161802206413483</v>
      </c>
      <c r="CV14" s="127">
        <v>-0.14513865707631529</v>
      </c>
      <c r="CW14" s="127">
        <v>0.38558884418825223</v>
      </c>
      <c r="CX14" s="127">
        <f t="shared" si="37"/>
        <v>0.24045018711193694</v>
      </c>
      <c r="CY14" s="141"/>
      <c r="CZ14" s="155">
        <f t="shared" si="38"/>
        <v>2.2654301118374853</v>
      </c>
      <c r="DA14" s="127">
        <v>0.46381055323258502</v>
      </c>
      <c r="DB14" s="127">
        <v>-0.23368945828235915</v>
      </c>
      <c r="DC14" s="127">
        <v>0.11645811147080638</v>
      </c>
      <c r="DD14" s="127">
        <f t="shared" si="39"/>
        <v>-0.11723134681155277</v>
      </c>
      <c r="DF14" s="155">
        <f t="shared" si="40"/>
        <v>2.5995569001085794</v>
      </c>
      <c r="DG14" s="127">
        <v>0.82494397660193552</v>
      </c>
      <c r="DH14" s="127">
        <v>4.4230715947542278E-2</v>
      </c>
      <c r="DI14" s="127">
        <v>0.24135577401631172</v>
      </c>
      <c r="DJ14" s="127">
        <f t="shared" si="41"/>
        <v>0.285586489963854</v>
      </c>
      <c r="DK14" s="145"/>
      <c r="DL14" s="155">
        <f t="shared" si="42"/>
        <v>1.9914236116268524</v>
      </c>
      <c r="DM14" s="127">
        <v>0.12742569080682786</v>
      </c>
      <c r="DN14" s="127">
        <v>4.4320085258501563E-2</v>
      </c>
      <c r="DO14" s="127">
        <v>2.7774958701134087E-2</v>
      </c>
      <c r="DP14" s="127">
        <f t="shared" si="43"/>
        <v>7.2095043959635646E-2</v>
      </c>
    </row>
    <row r="15" spans="1:120" x14ac:dyDescent="0.25">
      <c r="A15" s="128" t="str">
        <f>name!B11</f>
        <v>Construction</v>
      </c>
      <c r="B15" s="155">
        <f t="shared" si="1"/>
        <v>2.6332713124259444</v>
      </c>
      <c r="C15" s="87">
        <v>24.70699999999993</v>
      </c>
      <c r="D15" s="127">
        <v>2.4850000000000203</v>
      </c>
      <c r="E15" s="127">
        <v>7.3336805968811847</v>
      </c>
      <c r="F15" s="127">
        <f t="shared" si="2"/>
        <v>9.8186805968812045</v>
      </c>
      <c r="G15" s="141"/>
      <c r="H15" s="155">
        <f t="shared" si="3"/>
        <v>2.4423074235861542</v>
      </c>
      <c r="I15" s="127">
        <v>2.0674298031287628</v>
      </c>
      <c r="J15" s="127">
        <v>-0.8828890757342569</v>
      </c>
      <c r="K15" s="127">
        <v>0.56419694936710085</v>
      </c>
      <c r="L15" s="127">
        <f t="shared" si="4"/>
        <v>-0.31869212636715605</v>
      </c>
      <c r="N15" s="155">
        <f t="shared" si="5"/>
        <v>2.3615173214244889</v>
      </c>
      <c r="O15" s="127">
        <v>11.395959885205716</v>
      </c>
      <c r="P15" s="127">
        <v>1.9703829749125323</v>
      </c>
      <c r="Q15" s="127">
        <v>2.9959377256495925</v>
      </c>
      <c r="R15" s="127">
        <f t="shared" si="6"/>
        <v>4.9663207005621253</v>
      </c>
      <c r="S15" s="145"/>
      <c r="T15" s="155">
        <f t="shared" si="7"/>
        <v>2.9362141326216173</v>
      </c>
      <c r="U15" s="127">
        <v>11.243610311665455</v>
      </c>
      <c r="V15" s="127">
        <v>1.3975061008217451</v>
      </c>
      <c r="W15" s="127">
        <v>3.7735459218644927</v>
      </c>
      <c r="X15" s="127">
        <f t="shared" si="8"/>
        <v>5.1710520226862382</v>
      </c>
      <c r="Y15" s="128" t="str">
        <f t="shared" si="0"/>
        <v>Construction</v>
      </c>
      <c r="Z15" s="155">
        <f t="shared" si="9"/>
        <v>2.9275517647755267</v>
      </c>
      <c r="AA15" s="87">
        <v>13.046434238680172</v>
      </c>
      <c r="AB15" s="127">
        <v>2.1329718598151204</v>
      </c>
      <c r="AC15" s="127">
        <v>4.3639460437985305</v>
      </c>
      <c r="AD15" s="127">
        <f t="shared" si="10"/>
        <v>6.4969179036136513</v>
      </c>
      <c r="AE15" s="141"/>
      <c r="AF15" s="155">
        <f t="shared" si="11"/>
        <v>2.9029598767563725</v>
      </c>
      <c r="AG15" s="127">
        <v>0.51780999831305174</v>
      </c>
      <c r="AH15" s="127">
        <v>-0.14508224440278034</v>
      </c>
      <c r="AI15" s="127">
        <v>0.17155479671456894</v>
      </c>
      <c r="AJ15" s="127">
        <f t="shared" si="12"/>
        <v>2.6472552311788605E-2</v>
      </c>
      <c r="AL15" s="155">
        <f t="shared" si="13"/>
        <v>2.7138731733564292</v>
      </c>
      <c r="AM15" s="127">
        <v>3.3696565084990735</v>
      </c>
      <c r="AN15" s="127">
        <v>0.87665708871403969</v>
      </c>
      <c r="AO15" s="127">
        <v>1.0346414621905302</v>
      </c>
      <c r="AP15" s="127">
        <f t="shared" si="14"/>
        <v>1.9112985509045699</v>
      </c>
      <c r="AQ15" s="145"/>
      <c r="AR15" s="155">
        <f t="shared" si="15"/>
        <v>3.0065508595138457</v>
      </c>
      <c r="AS15" s="127">
        <v>9.1589677318680476</v>
      </c>
      <c r="AT15" s="127">
        <v>1.4013970155038609</v>
      </c>
      <c r="AU15" s="127">
        <v>3.1577497848934315</v>
      </c>
      <c r="AV15" s="127">
        <f t="shared" si="16"/>
        <v>4.5591468003972926</v>
      </c>
      <c r="AW15" s="128" t="str">
        <f t="shared" si="17"/>
        <v>Construction</v>
      </c>
      <c r="AX15" s="155">
        <f t="shared" si="18"/>
        <v>2.6925526136312605</v>
      </c>
      <c r="AY15" s="87">
        <v>3.651919924567808</v>
      </c>
      <c r="AZ15" s="127">
        <v>-0.23040618198892773</v>
      </c>
      <c r="BA15" s="127">
        <v>1.1114108203418209</v>
      </c>
      <c r="BB15" s="127">
        <f t="shared" si="19"/>
        <v>0.88100463835289322</v>
      </c>
      <c r="BC15" s="141"/>
      <c r="BD15" s="155">
        <f t="shared" si="20"/>
        <v>2.6003566607783579</v>
      </c>
      <c r="BE15" s="127">
        <v>0.34954045938527362</v>
      </c>
      <c r="BF15" s="127">
        <v>-0.11400742632184735</v>
      </c>
      <c r="BG15" s="127">
        <v>0.10230108293418085</v>
      </c>
      <c r="BH15" s="127">
        <f t="shared" si="21"/>
        <v>-1.1706343387666504E-2</v>
      </c>
      <c r="BJ15" s="155">
        <f t="shared" si="22"/>
        <v>2.6391873139546718</v>
      </c>
      <c r="BK15" s="127">
        <v>2.0072722798125366</v>
      </c>
      <c r="BL15" s="127">
        <v>2.1946743765527334E-2</v>
      </c>
      <c r="BM15" s="127">
        <v>0.59731151369132662</v>
      </c>
      <c r="BN15" s="127">
        <f t="shared" si="23"/>
        <v>0.61925825745685392</v>
      </c>
      <c r="BO15" s="145"/>
      <c r="BP15" s="155">
        <f t="shared" si="24"/>
        <v>2.799351314050047</v>
      </c>
      <c r="BQ15" s="127">
        <v>1.2951071853699978</v>
      </c>
      <c r="BR15" s="127">
        <v>-0.13834549943260771</v>
      </c>
      <c r="BS15" s="127">
        <v>0.41179822371631336</v>
      </c>
      <c r="BT15" s="127">
        <f t="shared" si="25"/>
        <v>0.27345272428370565</v>
      </c>
      <c r="BU15" s="128" t="str">
        <f t="shared" si="26"/>
        <v>Construction</v>
      </c>
      <c r="BV15" s="155">
        <f t="shared" si="27"/>
        <v>2.0481137979190267</v>
      </c>
      <c r="BW15" s="87">
        <v>6.6723347132595512</v>
      </c>
      <c r="BX15" s="127">
        <v>0.63046525507421236</v>
      </c>
      <c r="BY15" s="127">
        <v>1.4996518315416651</v>
      </c>
      <c r="BZ15" s="127">
        <f t="shared" si="28"/>
        <v>2.1301170866158774</v>
      </c>
      <c r="CA15" s="141"/>
      <c r="CB15" s="155">
        <f t="shared" si="29"/>
        <v>1.885726525584519</v>
      </c>
      <c r="CC15" s="127">
        <v>0.79401322796632245</v>
      </c>
      <c r="CD15" s="127">
        <v>-0.42251424724113457</v>
      </c>
      <c r="CE15" s="127">
        <v>0.16309534060812603</v>
      </c>
      <c r="CF15" s="127">
        <f t="shared" si="30"/>
        <v>-0.25941890663300854</v>
      </c>
      <c r="CH15" s="155">
        <f t="shared" si="31"/>
        <v>2.0349710354922612</v>
      </c>
      <c r="CI15" s="127">
        <v>5.1117136268203991</v>
      </c>
      <c r="CJ15" s="127">
        <v>0.94026718064231962</v>
      </c>
      <c r="CK15" s="127">
        <v>1.1408334558665532</v>
      </c>
      <c r="CL15" s="127">
        <f t="shared" si="32"/>
        <v>2.0811006365088729</v>
      </c>
      <c r="CM15" s="145"/>
      <c r="CN15" s="155">
        <f t="shared" si="33"/>
        <v>2.2998780793422213</v>
      </c>
      <c r="CO15" s="127">
        <v>0.7666078584728292</v>
      </c>
      <c r="CP15" s="127">
        <v>0.11271232167302715</v>
      </c>
      <c r="CQ15" s="127">
        <v>0.19572303506698607</v>
      </c>
      <c r="CR15" s="127">
        <f t="shared" si="34"/>
        <v>0.30843535674001321</v>
      </c>
      <c r="CS15" s="128" t="str">
        <f t="shared" si="35"/>
        <v>Construction</v>
      </c>
      <c r="CT15" s="155">
        <f t="shared" si="36"/>
        <v>2.406088217429958</v>
      </c>
      <c r="CU15" s="87">
        <v>1.3363111234924001</v>
      </c>
      <c r="CV15" s="127">
        <v>-4.8030932900384203E-2</v>
      </c>
      <c r="CW15" s="127">
        <v>0.3586719011991692</v>
      </c>
      <c r="CX15" s="127">
        <f t="shared" si="37"/>
        <v>0.31064096829878501</v>
      </c>
      <c r="CY15" s="141"/>
      <c r="CZ15" s="155">
        <f t="shared" si="38"/>
        <v>2.7633959791856677</v>
      </c>
      <c r="DA15" s="127">
        <v>0.40606611746411458</v>
      </c>
      <c r="DB15" s="127">
        <v>-0.20128515776849468</v>
      </c>
      <c r="DC15" s="127">
        <v>0.12724572911022497</v>
      </c>
      <c r="DD15" s="127">
        <f t="shared" si="39"/>
        <v>-7.4039428658269707E-2</v>
      </c>
      <c r="DF15" s="155">
        <f t="shared" si="40"/>
        <v>2.2233076528841211</v>
      </c>
      <c r="DG15" s="127">
        <v>0.90731747007370689</v>
      </c>
      <c r="DH15" s="127">
        <v>0.1315119617906455</v>
      </c>
      <c r="DI15" s="127">
        <v>0.22315129390118218</v>
      </c>
      <c r="DJ15" s="127">
        <f t="shared" si="41"/>
        <v>0.35466325569182766</v>
      </c>
      <c r="DK15" s="145"/>
      <c r="DL15" s="155">
        <f t="shared" si="42"/>
        <v>3.1295401767871711</v>
      </c>
      <c r="DM15" s="127">
        <v>2.2927535954578668E-2</v>
      </c>
      <c r="DN15" s="127">
        <v>2.174226307746498E-2</v>
      </c>
      <c r="DO15" s="127">
        <v>8.2748781877620605E-3</v>
      </c>
      <c r="DP15" s="127">
        <f t="shared" si="43"/>
        <v>3.0017141265227039E-2</v>
      </c>
    </row>
    <row r="16" spans="1:120" x14ac:dyDescent="0.25">
      <c r="A16" s="128" t="str">
        <f>name!B12</f>
        <v>Wholesale and retail trade</v>
      </c>
      <c r="B16" s="155">
        <f t="shared" si="1"/>
        <v>2.48357468355489</v>
      </c>
      <c r="C16" s="87">
        <v>49.360999999999891</v>
      </c>
      <c r="D16" s="127">
        <v>-3.0089999999999963</v>
      </c>
      <c r="E16" s="127">
        <v>13.724072101712224</v>
      </c>
      <c r="F16" s="127">
        <f t="shared" si="2"/>
        <v>10.715072101712227</v>
      </c>
      <c r="G16" s="141"/>
      <c r="H16" s="155">
        <f t="shared" si="3"/>
        <v>2.319061330483807</v>
      </c>
      <c r="I16" s="127">
        <v>11.754763181562106</v>
      </c>
      <c r="J16" s="127">
        <v>-3.3383043230730345</v>
      </c>
      <c r="K16" s="127">
        <v>3.0288080072024135</v>
      </c>
      <c r="L16" s="127">
        <f t="shared" si="4"/>
        <v>-0.30949631587062099</v>
      </c>
      <c r="N16" s="155">
        <f t="shared" si="5"/>
        <v>2.3679923975928441</v>
      </c>
      <c r="O16" s="127">
        <v>27.464527750604109</v>
      </c>
      <c r="P16" s="127">
        <v>1.036637643813106</v>
      </c>
      <c r="Q16" s="127">
        <v>7.242226228936425</v>
      </c>
      <c r="R16" s="127">
        <f t="shared" si="6"/>
        <v>8.2788638727495307</v>
      </c>
      <c r="S16" s="145"/>
      <c r="T16" s="155">
        <f t="shared" si="7"/>
        <v>2.9736241479119574</v>
      </c>
      <c r="U16" s="127">
        <v>10.141709067833677</v>
      </c>
      <c r="V16" s="127">
        <v>-0.70733332074006794</v>
      </c>
      <c r="W16" s="127">
        <v>3.4530378655733838</v>
      </c>
      <c r="X16" s="127">
        <f t="shared" si="8"/>
        <v>2.7457045448333157</v>
      </c>
      <c r="Y16" s="128" t="str">
        <f t="shared" si="0"/>
        <v>Wholesale and retail trade</v>
      </c>
      <c r="Z16" s="155">
        <f t="shared" si="9"/>
        <v>2.9998517165961136</v>
      </c>
      <c r="AA16" s="87">
        <v>14.421904529312432</v>
      </c>
      <c r="AB16" s="127">
        <v>-7.9946079548302407E-2</v>
      </c>
      <c r="AC16" s="127">
        <v>4.9596501612339017</v>
      </c>
      <c r="AD16" s="127">
        <f t="shared" si="10"/>
        <v>4.879704081685599</v>
      </c>
      <c r="AE16" s="141"/>
      <c r="AF16" s="155">
        <f t="shared" si="11"/>
        <v>2.9265331251565607</v>
      </c>
      <c r="AG16" s="127">
        <v>1.7446046239912303</v>
      </c>
      <c r="AH16" s="127">
        <v>-0.27919872461291689</v>
      </c>
      <c r="AI16" s="127">
        <v>0.58332831832535181</v>
      </c>
      <c r="AJ16" s="127">
        <f t="shared" si="12"/>
        <v>0.30412959371243492</v>
      </c>
      <c r="AL16" s="155">
        <f t="shared" si="13"/>
        <v>2.8733806306549425</v>
      </c>
      <c r="AM16" s="127">
        <v>5.4383562760409712</v>
      </c>
      <c r="AN16" s="127">
        <v>0.60778084248681408</v>
      </c>
      <c r="AO16" s="127">
        <v>1.780988355750744</v>
      </c>
      <c r="AP16" s="127">
        <f t="shared" si="14"/>
        <v>2.3887691982375578</v>
      </c>
      <c r="AQ16" s="145"/>
      <c r="AR16" s="155">
        <f t="shared" si="15"/>
        <v>3.111409774959073</v>
      </c>
      <c r="AS16" s="127">
        <v>7.2389436292802296</v>
      </c>
      <c r="AT16" s="127">
        <v>-0.40852819742219959</v>
      </c>
      <c r="AU16" s="127">
        <v>2.5953334871578053</v>
      </c>
      <c r="AV16" s="127">
        <f t="shared" si="16"/>
        <v>2.1868052897356058</v>
      </c>
      <c r="AW16" s="128" t="str">
        <f t="shared" si="17"/>
        <v>Wholesale and retail trade</v>
      </c>
      <c r="AX16" s="155">
        <f t="shared" si="18"/>
        <v>2.6838321004912791</v>
      </c>
      <c r="AY16" s="87">
        <v>4.7602092359720407</v>
      </c>
      <c r="AZ16" s="127">
        <v>-1.3205133909931142</v>
      </c>
      <c r="BA16" s="127">
        <v>1.4434326816980343</v>
      </c>
      <c r="BB16" s="127">
        <f t="shared" si="19"/>
        <v>0.12291929070492014</v>
      </c>
      <c r="BC16" s="141"/>
      <c r="BD16" s="155">
        <f t="shared" si="20"/>
        <v>2.6307138684356079</v>
      </c>
      <c r="BE16" s="127">
        <v>0.55533861181731692</v>
      </c>
      <c r="BF16" s="127">
        <v>-0.19194769411417067</v>
      </c>
      <c r="BG16" s="127">
        <v>0.16465951691361003</v>
      </c>
      <c r="BH16" s="127">
        <f t="shared" si="21"/>
        <v>-2.7288177200560648E-2</v>
      </c>
      <c r="BJ16" s="155">
        <f t="shared" si="22"/>
        <v>2.6257921936491346</v>
      </c>
      <c r="BK16" s="127">
        <v>2.4972687404973635</v>
      </c>
      <c r="BL16" s="127">
        <v>-0.56905832335257489</v>
      </c>
      <c r="BM16" s="127">
        <v>0.73889514198640793</v>
      </c>
      <c r="BN16" s="127">
        <f t="shared" si="23"/>
        <v>0.16983681863383304</v>
      </c>
      <c r="BO16" s="145"/>
      <c r="BP16" s="155">
        <f t="shared" si="24"/>
        <v>2.7852790413730899</v>
      </c>
      <c r="BQ16" s="127">
        <v>1.7076018836573603</v>
      </c>
      <c r="BR16" s="127">
        <v>-0.55950737352636859</v>
      </c>
      <c r="BS16" s="127">
        <v>0.53987802279801622</v>
      </c>
      <c r="BT16" s="127">
        <f t="shared" si="25"/>
        <v>-1.9629350728352368E-2</v>
      </c>
      <c r="BU16" s="128" t="str">
        <f t="shared" si="26"/>
        <v>Wholesale and retail trade</v>
      </c>
      <c r="BV16" s="155">
        <f t="shared" si="27"/>
        <v>2.1993314042800582</v>
      </c>
      <c r="BW16" s="87">
        <v>28.021593521784599</v>
      </c>
      <c r="BX16" s="127">
        <v>-1.4714034279099568</v>
      </c>
      <c r="BY16" s="127">
        <v>6.8100025319772302</v>
      </c>
      <c r="BZ16" s="127">
        <f t="shared" si="28"/>
        <v>5.3385991040672733</v>
      </c>
      <c r="CA16" s="141"/>
      <c r="CB16" s="155">
        <f t="shared" si="29"/>
        <v>2.1988160207137231</v>
      </c>
      <c r="CC16" s="127">
        <v>8.4984348827263929</v>
      </c>
      <c r="CD16" s="127">
        <v>-2.4130544809912187</v>
      </c>
      <c r="CE16" s="127">
        <v>2.0648160354020404</v>
      </c>
      <c r="CF16" s="127">
        <f t="shared" si="30"/>
        <v>-0.34823844558917827</v>
      </c>
      <c r="CH16" s="155">
        <f t="shared" si="31"/>
        <v>2.1891934571730776</v>
      </c>
      <c r="CI16" s="127">
        <v>18.363284813948471</v>
      </c>
      <c r="CJ16" s="127">
        <v>0.79472514229380931</v>
      </c>
      <c r="CK16" s="127">
        <v>4.4401403431475641</v>
      </c>
      <c r="CL16" s="127">
        <f t="shared" si="32"/>
        <v>5.2348654854413734</v>
      </c>
      <c r="CM16" s="145"/>
      <c r="CN16" s="155">
        <f t="shared" si="33"/>
        <v>2.3623659563032362</v>
      </c>
      <c r="CO16" s="127">
        <v>1.1598738251097345</v>
      </c>
      <c r="CP16" s="127">
        <v>0.14692591078745226</v>
      </c>
      <c r="CQ16" s="127">
        <v>0.30504615342762553</v>
      </c>
      <c r="CR16" s="127">
        <f t="shared" si="34"/>
        <v>0.4519720642150778</v>
      </c>
      <c r="CS16" s="128" t="str">
        <f t="shared" si="35"/>
        <v>Wholesale and retail trade</v>
      </c>
      <c r="CT16" s="155">
        <f t="shared" si="36"/>
        <v>2.1485540302156547</v>
      </c>
      <c r="CU16" s="87">
        <v>2.1572927129308224</v>
      </c>
      <c r="CV16" s="127">
        <v>-0.13713710154862277</v>
      </c>
      <c r="CW16" s="127">
        <v>0.51098672680305779</v>
      </c>
      <c r="CX16" s="127">
        <f t="shared" si="37"/>
        <v>0.37384962525443499</v>
      </c>
      <c r="CY16" s="141"/>
      <c r="CZ16" s="155">
        <f t="shared" si="38"/>
        <v>2.0572595476436195</v>
      </c>
      <c r="DA16" s="127">
        <v>0.95638506302716597</v>
      </c>
      <c r="DB16" s="127">
        <v>-0.4541034233547282</v>
      </c>
      <c r="DC16" s="127">
        <v>0.2160041365614109</v>
      </c>
      <c r="DD16" s="127">
        <f t="shared" si="39"/>
        <v>-0.23809928679331729</v>
      </c>
      <c r="DF16" s="155">
        <f t="shared" si="40"/>
        <v>2.1917519950891196</v>
      </c>
      <c r="DG16" s="127">
        <v>1.1656179201173043</v>
      </c>
      <c r="DH16" s="127">
        <v>0.20318998238505742</v>
      </c>
      <c r="DI16" s="127">
        <v>0.28220238805171</v>
      </c>
      <c r="DJ16" s="127">
        <f t="shared" si="41"/>
        <v>0.48539237043676742</v>
      </c>
      <c r="DK16" s="145"/>
      <c r="DL16" s="155">
        <f t="shared" si="42"/>
        <v>3.1389052752660129</v>
      </c>
      <c r="DM16" s="127">
        <v>3.5289729786351975E-2</v>
      </c>
      <c r="DN16" s="127">
        <v>0.11377633942104799</v>
      </c>
      <c r="DO16" s="127">
        <v>1.2780202189936939E-2</v>
      </c>
      <c r="DP16" s="127">
        <f t="shared" si="43"/>
        <v>0.12655654161098492</v>
      </c>
    </row>
    <row r="17" spans="1:120" x14ac:dyDescent="0.25">
      <c r="A17" s="128" t="str">
        <f>name!B13</f>
        <v>Transport and storage</v>
      </c>
      <c r="B17" s="155">
        <f t="shared" si="1"/>
        <v>2.5826643707438812</v>
      </c>
      <c r="C17" s="87">
        <v>92.525231401581493</v>
      </c>
      <c r="D17" s="127">
        <v>4.8062010655220337</v>
      </c>
      <c r="E17" s="127">
        <v>26.873559144521298</v>
      </c>
      <c r="F17" s="127">
        <f t="shared" si="2"/>
        <v>31.679760210043334</v>
      </c>
      <c r="G17" s="141"/>
      <c r="H17" s="155">
        <f t="shared" si="3"/>
        <v>2.4248789617356659</v>
      </c>
      <c r="I17" s="127">
        <v>21.198729637120138</v>
      </c>
      <c r="J17" s="127">
        <v>-6.0725510822499817</v>
      </c>
      <c r="K17" s="127">
        <v>5.7392133920891153</v>
      </c>
      <c r="L17" s="127">
        <f t="shared" si="4"/>
        <v>-0.33333769016086645</v>
      </c>
      <c r="N17" s="155">
        <f t="shared" si="5"/>
        <v>2.5234952437853897</v>
      </c>
      <c r="O17" s="127">
        <v>52.658868908190932</v>
      </c>
      <c r="P17" s="127">
        <v>7.0048539847493405</v>
      </c>
      <c r="Q17" s="127">
        <v>14.903608217095815</v>
      </c>
      <c r="R17" s="127">
        <f t="shared" si="6"/>
        <v>21.908462201845154</v>
      </c>
      <c r="S17" s="145"/>
      <c r="T17" s="155">
        <f t="shared" si="7"/>
        <v>2.9219882284781784</v>
      </c>
      <c r="U17" s="127">
        <v>18.667632856270426</v>
      </c>
      <c r="V17" s="127">
        <v>3.8738981630226754</v>
      </c>
      <c r="W17" s="127">
        <v>6.230737535336365</v>
      </c>
      <c r="X17" s="127">
        <f t="shared" si="8"/>
        <v>10.10463569835904</v>
      </c>
      <c r="Y17" s="128" t="str">
        <f t="shared" si="0"/>
        <v>Transport and storage</v>
      </c>
      <c r="Z17" s="155">
        <f t="shared" si="9"/>
        <v>2.9241425329038728</v>
      </c>
      <c r="AA17" s="87">
        <v>29.870782206299452</v>
      </c>
      <c r="AB17" s="127">
        <v>4.3408339188767497</v>
      </c>
      <c r="AC17" s="127">
        <v>9.9783777687739459</v>
      </c>
      <c r="AD17" s="127">
        <f t="shared" si="10"/>
        <v>14.319211687650697</v>
      </c>
      <c r="AE17" s="141"/>
      <c r="AF17" s="155">
        <f t="shared" si="11"/>
        <v>2.7318686124567781</v>
      </c>
      <c r="AG17" s="127">
        <v>3.8081615228264192</v>
      </c>
      <c r="AH17" s="127">
        <v>-0.6689481531577417</v>
      </c>
      <c r="AI17" s="127">
        <v>1.1780102671881654</v>
      </c>
      <c r="AJ17" s="127">
        <f t="shared" si="12"/>
        <v>0.50906211403042367</v>
      </c>
      <c r="AL17" s="155">
        <f t="shared" si="13"/>
        <v>2.8609218734994002</v>
      </c>
      <c r="AM17" s="127">
        <v>13.572153033741255</v>
      </c>
      <c r="AN17" s="127">
        <v>3.0025944902352135</v>
      </c>
      <c r="AO17" s="127">
        <v>4.4228892241268012</v>
      </c>
      <c r="AP17" s="127">
        <f t="shared" si="14"/>
        <v>7.4254837143620147</v>
      </c>
      <c r="AQ17" s="145"/>
      <c r="AR17" s="155">
        <f t="shared" si="15"/>
        <v>3.0500840000298179</v>
      </c>
      <c r="AS17" s="127">
        <v>12.490467649731778</v>
      </c>
      <c r="AT17" s="127">
        <v>2.0071875817992777</v>
      </c>
      <c r="AU17" s="127">
        <v>4.3774782774589784</v>
      </c>
      <c r="AV17" s="127">
        <f t="shared" si="16"/>
        <v>6.3846658592582557</v>
      </c>
      <c r="AW17" s="128" t="str">
        <f t="shared" si="17"/>
        <v>Transport and storage</v>
      </c>
      <c r="AX17" s="155">
        <f t="shared" si="18"/>
        <v>2.6816272634551552</v>
      </c>
      <c r="AY17" s="87">
        <v>8.998417639409773</v>
      </c>
      <c r="AZ17" s="127">
        <v>0.46368333377022369</v>
      </c>
      <c r="BA17" s="127">
        <v>2.7260618724368122</v>
      </c>
      <c r="BB17" s="127">
        <f t="shared" si="19"/>
        <v>3.1897452062070357</v>
      </c>
      <c r="BC17" s="141"/>
      <c r="BD17" s="155">
        <f t="shared" si="20"/>
        <v>2.6174041078364407</v>
      </c>
      <c r="BE17" s="127">
        <v>1.0668407233699537</v>
      </c>
      <c r="BF17" s="127">
        <v>3.2513509332090844E-2</v>
      </c>
      <c r="BG17" s="127">
        <v>0.31452866341566049</v>
      </c>
      <c r="BH17" s="127">
        <f t="shared" si="21"/>
        <v>0.34704217274775134</v>
      </c>
      <c r="BJ17" s="155">
        <f t="shared" si="22"/>
        <v>2.6363264722116364</v>
      </c>
      <c r="BK17" s="127">
        <v>4.9047319312804847</v>
      </c>
      <c r="BL17" s="127">
        <v>0.14017890795839225</v>
      </c>
      <c r="BM17" s="127">
        <v>1.4577457375951082</v>
      </c>
      <c r="BN17" s="127">
        <f t="shared" si="23"/>
        <v>1.5979246455535003</v>
      </c>
      <c r="BO17" s="145"/>
      <c r="BP17" s="155">
        <f t="shared" si="24"/>
        <v>2.7770599340433355</v>
      </c>
      <c r="BQ17" s="127">
        <v>3.0268449847593342</v>
      </c>
      <c r="BR17" s="127">
        <v>0.29099091647974057</v>
      </c>
      <c r="BS17" s="127">
        <v>0.95378747142604337</v>
      </c>
      <c r="BT17" s="127">
        <f t="shared" si="25"/>
        <v>1.2447783879057839</v>
      </c>
      <c r="BU17" s="128" t="str">
        <f t="shared" si="26"/>
        <v>Transport and storage</v>
      </c>
      <c r="BV17" s="155">
        <f t="shared" si="27"/>
        <v>2.3754907319287089</v>
      </c>
      <c r="BW17" s="87">
        <v>50.110811503507264</v>
      </c>
      <c r="BX17" s="127">
        <v>0.37983071614327241</v>
      </c>
      <c r="BY17" s="127">
        <v>13.260311196398852</v>
      </c>
      <c r="BZ17" s="127">
        <f t="shared" si="28"/>
        <v>13.640141912542125</v>
      </c>
      <c r="CA17" s="141"/>
      <c r="CB17" s="155">
        <f t="shared" si="29"/>
        <v>2.3338534370635156</v>
      </c>
      <c r="CC17" s="127">
        <v>14.74166253806875</v>
      </c>
      <c r="CD17" s="127">
        <v>-4.5191002676533572</v>
      </c>
      <c r="CE17" s="127">
        <v>3.8252523053004484</v>
      </c>
      <c r="CF17" s="127">
        <f t="shared" si="30"/>
        <v>-0.6938479623529088</v>
      </c>
      <c r="CH17" s="155">
        <f t="shared" si="31"/>
        <v>2.3772663395688065</v>
      </c>
      <c r="CI17" s="127">
        <v>32.323025931939064</v>
      </c>
      <c r="CJ17" s="127">
        <v>3.459835793309614</v>
      </c>
      <c r="CK17" s="127">
        <v>8.5604017208804635</v>
      </c>
      <c r="CL17" s="127">
        <f t="shared" si="32"/>
        <v>12.020237514190077</v>
      </c>
      <c r="CM17" s="145"/>
      <c r="CN17" s="155">
        <f t="shared" si="33"/>
        <v>2.5563381424586806</v>
      </c>
      <c r="CO17" s="127">
        <v>3.0461230334994571</v>
      </c>
      <c r="CP17" s="127">
        <v>1.4390951904870155</v>
      </c>
      <c r="CQ17" s="127">
        <v>0.87465717021794065</v>
      </c>
      <c r="CR17" s="127">
        <f t="shared" si="34"/>
        <v>2.3137523607049562</v>
      </c>
      <c r="CS17" s="128" t="str">
        <f t="shared" si="35"/>
        <v>Transport and storage</v>
      </c>
      <c r="CT17" s="155">
        <f t="shared" si="36"/>
        <v>2.3083258626595438</v>
      </c>
      <c r="CU17" s="87">
        <v>3.5452200523650017</v>
      </c>
      <c r="CV17" s="127">
        <v>-0.37814690326821171</v>
      </c>
      <c r="CW17" s="127">
        <v>0.90880830691168701</v>
      </c>
      <c r="CX17" s="127">
        <f t="shared" si="37"/>
        <v>0.53066140364347536</v>
      </c>
      <c r="CY17" s="141"/>
      <c r="CZ17" s="155">
        <f t="shared" si="38"/>
        <v>2.3896892286912941</v>
      </c>
      <c r="DA17" s="127">
        <v>1.5820648528550136</v>
      </c>
      <c r="DB17" s="127">
        <v>-0.91701617077097408</v>
      </c>
      <c r="DC17" s="127">
        <v>0.42142215618484119</v>
      </c>
      <c r="DD17" s="127">
        <f t="shared" si="39"/>
        <v>-0.49559401458613289</v>
      </c>
      <c r="DF17" s="155">
        <f t="shared" si="40"/>
        <v>2.2469738978732945</v>
      </c>
      <c r="DG17" s="127">
        <v>1.8589580112301323</v>
      </c>
      <c r="DH17" s="127">
        <v>0.40224479324612111</v>
      </c>
      <c r="DI17" s="127">
        <v>0.4625715344934439</v>
      </c>
      <c r="DJ17" s="127">
        <f t="shared" si="41"/>
        <v>0.86481632773956507</v>
      </c>
      <c r="DK17" s="145"/>
      <c r="DL17" s="155">
        <f t="shared" si="42"/>
        <v>2.1591674565122787</v>
      </c>
      <c r="DM17" s="127">
        <v>0.10419718827985559</v>
      </c>
      <c r="DN17" s="127">
        <v>0.13662447425664134</v>
      </c>
      <c r="DO17" s="127">
        <v>2.4814616233402073E-2</v>
      </c>
      <c r="DP17" s="127">
        <f t="shared" si="43"/>
        <v>0.1614390904900434</v>
      </c>
    </row>
    <row r="18" spans="1:120" x14ac:dyDescent="0.25">
      <c r="A18" s="128" t="str">
        <f>name!B14</f>
        <v>Accommodation and food</v>
      </c>
      <c r="B18" s="155">
        <f t="shared" si="1"/>
        <v>2.7290326750703198</v>
      </c>
      <c r="C18" s="87">
        <v>12.952999999999982</v>
      </c>
      <c r="D18" s="127">
        <v>0.38799999999999019</v>
      </c>
      <c r="E18" s="127">
        <v>4.0021779615326993</v>
      </c>
      <c r="F18" s="127">
        <f t="shared" si="2"/>
        <v>4.3901779615326895</v>
      </c>
      <c r="G18" s="141"/>
      <c r="H18" s="155">
        <f t="shared" si="3"/>
        <v>2.439043046528111</v>
      </c>
      <c r="I18" s="127">
        <v>0.98180011788807253</v>
      </c>
      <c r="J18" s="127">
        <v>-0.31823538887421476</v>
      </c>
      <c r="K18" s="127">
        <v>0.26753287063716108</v>
      </c>
      <c r="L18" s="127">
        <f t="shared" si="4"/>
        <v>-5.0702518237053684E-2</v>
      </c>
      <c r="N18" s="155">
        <f t="shared" si="5"/>
        <v>2.4753153877203893</v>
      </c>
      <c r="O18" s="127">
        <v>4.3897999117505364</v>
      </c>
      <c r="P18" s="127">
        <v>-3.3729018992914917E-3</v>
      </c>
      <c r="Q18" s="127">
        <v>1.2159970209281907</v>
      </c>
      <c r="R18" s="127">
        <f t="shared" si="6"/>
        <v>1.2126241190288993</v>
      </c>
      <c r="S18" s="145"/>
      <c r="T18" s="155">
        <f t="shared" si="7"/>
        <v>2.9099584906887133</v>
      </c>
      <c r="U18" s="127">
        <v>7.5813999703613737</v>
      </c>
      <c r="V18" s="127">
        <v>0.70960829077349641</v>
      </c>
      <c r="W18" s="127">
        <v>2.5186480699673486</v>
      </c>
      <c r="X18" s="127">
        <f t="shared" si="8"/>
        <v>3.2282563607408452</v>
      </c>
      <c r="Y18" s="128" t="str">
        <f t="shared" si="0"/>
        <v>Accommodation and food</v>
      </c>
      <c r="Z18" s="155">
        <f t="shared" si="9"/>
        <v>2.9001988046052141</v>
      </c>
      <c r="AA18" s="87">
        <v>8.41715005869405</v>
      </c>
      <c r="AB18" s="127">
        <v>1.2401845545007941</v>
      </c>
      <c r="AC18" s="127">
        <v>2.7856660704349108</v>
      </c>
      <c r="AD18" s="127">
        <f t="shared" si="10"/>
        <v>4.0258506249357051</v>
      </c>
      <c r="AE18" s="141"/>
      <c r="AF18" s="155">
        <f t="shared" si="11"/>
        <v>2.6294544068126147</v>
      </c>
      <c r="AG18" s="127">
        <v>0.26152951231038224</v>
      </c>
      <c r="AH18" s="127">
        <v>-4.5405475739936016E-2</v>
      </c>
      <c r="AI18" s="127">
        <v>7.7502654523601097E-2</v>
      </c>
      <c r="AJ18" s="127">
        <f t="shared" si="12"/>
        <v>3.2097178783665081E-2</v>
      </c>
      <c r="AL18" s="155">
        <f t="shared" si="13"/>
        <v>2.7712915947119443</v>
      </c>
      <c r="AM18" s="127">
        <v>1.603753842229815</v>
      </c>
      <c r="AN18" s="127">
        <v>0.37014463186933377</v>
      </c>
      <c r="AO18" s="127">
        <v>0.50417456272407901</v>
      </c>
      <c r="AP18" s="127">
        <f t="shared" si="14"/>
        <v>0.87431919459341279</v>
      </c>
      <c r="AQ18" s="145"/>
      <c r="AR18" s="155">
        <f t="shared" si="15"/>
        <v>2.9421782199993585</v>
      </c>
      <c r="AS18" s="127">
        <v>6.5518667041538512</v>
      </c>
      <c r="AT18" s="127">
        <v>0.91544539837139627</v>
      </c>
      <c r="AU18" s="127">
        <v>2.2039888531872305</v>
      </c>
      <c r="AV18" s="127">
        <f t="shared" si="16"/>
        <v>3.1194342515586269</v>
      </c>
      <c r="AW18" s="128" t="str">
        <f t="shared" si="17"/>
        <v>Accommodation and food</v>
      </c>
      <c r="AX18" s="155">
        <f t="shared" si="18"/>
        <v>2.6824624047876666</v>
      </c>
      <c r="AY18" s="87">
        <v>1.5529698962248977</v>
      </c>
      <c r="AZ18" s="127">
        <v>-0.46999464299830562</v>
      </c>
      <c r="BA18" s="127">
        <v>0.47063529840578655</v>
      </c>
      <c r="BB18" s="127">
        <f t="shared" si="19"/>
        <v>6.4065540748092786E-4</v>
      </c>
      <c r="BC18" s="141"/>
      <c r="BD18" s="155">
        <f t="shared" si="20"/>
        <v>2.5523204536911814</v>
      </c>
      <c r="BE18" s="127">
        <v>0.13614442022126955</v>
      </c>
      <c r="BF18" s="127">
        <v>-6.3296157131409597E-2</v>
      </c>
      <c r="BG18" s="127">
        <v>3.9023576340022549E-2</v>
      </c>
      <c r="BH18" s="127">
        <f t="shared" si="21"/>
        <v>-2.4272580791387048E-2</v>
      </c>
      <c r="BJ18" s="155">
        <f t="shared" si="22"/>
        <v>2.6286177015529599</v>
      </c>
      <c r="BK18" s="127">
        <v>0.68908932411816504</v>
      </c>
      <c r="BL18" s="127">
        <v>-0.20218556619821521</v>
      </c>
      <c r="BM18" s="127">
        <v>0.20413453714844726</v>
      </c>
      <c r="BN18" s="127">
        <f t="shared" si="23"/>
        <v>1.948970950232054E-3</v>
      </c>
      <c r="BO18" s="145"/>
      <c r="BP18" s="155">
        <f t="shared" si="24"/>
        <v>2.7572901368161595</v>
      </c>
      <c r="BQ18" s="127">
        <v>0.72773615188546292</v>
      </c>
      <c r="BR18" s="127">
        <v>-0.20451291966868082</v>
      </c>
      <c r="BS18" s="127">
        <v>0.22747718491731678</v>
      </c>
      <c r="BT18" s="127">
        <f t="shared" si="25"/>
        <v>2.2964265248635957E-2</v>
      </c>
      <c r="BU18" s="128" t="str">
        <f t="shared" si="26"/>
        <v>Accommodation and food</v>
      </c>
      <c r="BV18" s="155">
        <f t="shared" si="27"/>
        <v>2.2597619936791435</v>
      </c>
      <c r="BW18" s="87">
        <v>2.763662773835291</v>
      </c>
      <c r="BX18" s="127">
        <v>-0.23042163432403942</v>
      </c>
      <c r="BY18" s="127">
        <v>0.69201169643440363</v>
      </c>
      <c r="BZ18" s="127">
        <f t="shared" si="28"/>
        <v>0.46159006211036424</v>
      </c>
      <c r="CA18" s="141"/>
      <c r="CB18" s="155">
        <f t="shared" si="29"/>
        <v>2.2744187655870496</v>
      </c>
      <c r="CC18" s="127">
        <v>0.53420672462394658</v>
      </c>
      <c r="CD18" s="127">
        <v>-0.18314245506199275</v>
      </c>
      <c r="CE18" s="127">
        <v>0.13472154653176011</v>
      </c>
      <c r="CF18" s="127">
        <f t="shared" si="30"/>
        <v>-4.8420908530232648E-2</v>
      </c>
      <c r="CH18" s="155">
        <f t="shared" si="31"/>
        <v>2.2063029939758838</v>
      </c>
      <c r="CI18" s="127">
        <v>1.9276589348892854</v>
      </c>
      <c r="CJ18" s="127">
        <v>-4.5954991332827419E-2</v>
      </c>
      <c r="CK18" s="127">
        <v>0.47010811803984248</v>
      </c>
      <c r="CL18" s="127">
        <f t="shared" si="32"/>
        <v>0.42415312670701505</v>
      </c>
      <c r="CM18" s="145"/>
      <c r="CN18" s="155">
        <f t="shared" si="33"/>
        <v>2.5701813988873834</v>
      </c>
      <c r="CO18" s="127">
        <v>0.30179711432205908</v>
      </c>
      <c r="CP18" s="127">
        <v>-1.3241879292192368E-3</v>
      </c>
      <c r="CQ18" s="127">
        <v>8.7182031862801102E-2</v>
      </c>
      <c r="CR18" s="127">
        <f t="shared" si="34"/>
        <v>8.5857843933581868E-2</v>
      </c>
      <c r="CS18" s="128" t="str">
        <f t="shared" si="35"/>
        <v>Accommodation and food</v>
      </c>
      <c r="CT18" s="155">
        <f t="shared" si="36"/>
        <v>2.2214077027330692</v>
      </c>
      <c r="CU18" s="87">
        <v>0.21921727124574525</v>
      </c>
      <c r="CV18" s="127">
        <v>-0.15176827717845895</v>
      </c>
      <c r="CW18" s="127">
        <v>5.386489625759925E-2</v>
      </c>
      <c r="CX18" s="127">
        <f t="shared" si="37"/>
        <v>-9.7903380920859706E-2</v>
      </c>
      <c r="CY18" s="141"/>
      <c r="CZ18" s="155">
        <f t="shared" si="38"/>
        <v>2.8636185424038896</v>
      </c>
      <c r="DA18" s="127">
        <v>4.9919460732474302E-2</v>
      </c>
      <c r="DB18" s="127">
        <v>-2.6391300940876338E-2</v>
      </c>
      <c r="DC18" s="127">
        <v>1.6285093241777283E-2</v>
      </c>
      <c r="DD18" s="127">
        <f t="shared" si="39"/>
        <v>-1.0106207699099055E-2</v>
      </c>
      <c r="DF18" s="155">
        <f t="shared" si="40"/>
        <v>2.0249088908695478</v>
      </c>
      <c r="DG18" s="127">
        <v>0.16929781051327095</v>
      </c>
      <c r="DH18" s="127">
        <v>-0.12537697623758262</v>
      </c>
      <c r="DI18" s="127">
        <v>3.7579803015821964E-2</v>
      </c>
      <c r="DJ18" s="127">
        <f t="shared" si="41"/>
        <v>-8.7797173221760658E-2</v>
      </c>
      <c r="DK18" s="145"/>
      <c r="DL18" s="155">
        <f t="shared" si="42"/>
        <v>0</v>
      </c>
      <c r="DM18" s="127">
        <v>0</v>
      </c>
      <c r="DN18" s="127">
        <v>0</v>
      </c>
      <c r="DO18" s="127">
        <v>0</v>
      </c>
      <c r="DP18" s="127">
        <f t="shared" si="43"/>
        <v>0</v>
      </c>
    </row>
    <row r="19" spans="1:120" x14ac:dyDescent="0.25">
      <c r="A19" s="128" t="str">
        <f>name!B15</f>
        <v>Media</v>
      </c>
      <c r="B19" s="155">
        <f t="shared" si="1"/>
        <v>2.650879874909351</v>
      </c>
      <c r="C19" s="87">
        <v>16.661999999999964</v>
      </c>
      <c r="D19" s="127">
        <v>-1.8919999999999957</v>
      </c>
      <c r="E19" s="127">
        <v>4.9828157385534926</v>
      </c>
      <c r="F19" s="127">
        <f t="shared" si="2"/>
        <v>3.0908157385534967</v>
      </c>
      <c r="G19" s="141"/>
      <c r="H19" s="155">
        <f t="shared" si="3"/>
        <v>2.421853726448564</v>
      </c>
      <c r="I19" s="127">
        <v>1.9434405643167627</v>
      </c>
      <c r="J19" s="127">
        <v>-0.90855133713639524</v>
      </c>
      <c r="K19" s="127">
        <v>0.52542579270375545</v>
      </c>
      <c r="L19" s="127">
        <f t="shared" si="4"/>
        <v>-0.3831255444326398</v>
      </c>
      <c r="N19" s="155">
        <f t="shared" si="5"/>
        <v>2.4061732586688978</v>
      </c>
      <c r="O19" s="127">
        <v>7.733476770699653</v>
      </c>
      <c r="P19" s="127">
        <v>-1.0294803032346584</v>
      </c>
      <c r="Q19" s="127">
        <v>2.0757813219951484</v>
      </c>
      <c r="R19" s="127">
        <f t="shared" si="6"/>
        <v>1.04630101876049</v>
      </c>
      <c r="S19" s="145"/>
      <c r="T19" s="155">
        <f t="shared" si="7"/>
        <v>2.9772916903296753</v>
      </c>
      <c r="U19" s="127">
        <v>6.9850826649835493</v>
      </c>
      <c r="V19" s="127">
        <v>4.6031640371057968E-2</v>
      </c>
      <c r="W19" s="127">
        <v>2.3816086238545888</v>
      </c>
      <c r="X19" s="127">
        <f t="shared" si="8"/>
        <v>2.4276402642256469</v>
      </c>
      <c r="Y19" s="128" t="str">
        <f t="shared" si="0"/>
        <v>Media</v>
      </c>
      <c r="Z19" s="155">
        <f t="shared" si="9"/>
        <v>2.9185657815322896</v>
      </c>
      <c r="AA19" s="87">
        <v>8.3794062941985281</v>
      </c>
      <c r="AB19" s="127">
        <v>-0.17587640052692693</v>
      </c>
      <c r="AC19" s="127">
        <v>2.7930973117040807</v>
      </c>
      <c r="AD19" s="127">
        <f t="shared" si="10"/>
        <v>2.6172209111771538</v>
      </c>
      <c r="AE19" s="141"/>
      <c r="AF19" s="155">
        <f t="shared" si="11"/>
        <v>2.7459576371490213</v>
      </c>
      <c r="AG19" s="127">
        <v>0.31243496317011898</v>
      </c>
      <c r="AH19" s="127">
        <v>-0.10738960201360218</v>
      </c>
      <c r="AI19" s="127">
        <v>9.7209482795084096E-2</v>
      </c>
      <c r="AJ19" s="127">
        <f t="shared" si="12"/>
        <v>-1.018011921851808E-2</v>
      </c>
      <c r="AL19" s="155">
        <f t="shared" si="13"/>
        <v>2.6372520747176109</v>
      </c>
      <c r="AM19" s="127">
        <v>2.000766979672798</v>
      </c>
      <c r="AN19" s="127">
        <v>-0.14537129206384908</v>
      </c>
      <c r="AO19" s="127">
        <v>0.59488625177063192</v>
      </c>
      <c r="AP19" s="127">
        <f t="shared" si="14"/>
        <v>0.44951495970678285</v>
      </c>
      <c r="AQ19" s="145"/>
      <c r="AR19" s="155">
        <f t="shared" si="15"/>
        <v>3.0186007978292295</v>
      </c>
      <c r="AS19" s="127">
        <v>6.0662043513556112</v>
      </c>
      <c r="AT19" s="127">
        <v>7.6884493550524291E-2</v>
      </c>
      <c r="AU19" s="127">
        <v>2.1010015771383648</v>
      </c>
      <c r="AV19" s="127">
        <f t="shared" si="16"/>
        <v>2.177886070688889</v>
      </c>
      <c r="AW19" s="128" t="str">
        <f t="shared" si="17"/>
        <v>Media</v>
      </c>
      <c r="AX19" s="155">
        <f t="shared" si="18"/>
        <v>2.6651859485115947</v>
      </c>
      <c r="AY19" s="87">
        <v>1.664971822536162</v>
      </c>
      <c r="AZ19" s="127">
        <v>-0.7022088254799439</v>
      </c>
      <c r="BA19" s="127">
        <v>0.50093050963156127</v>
      </c>
      <c r="BB19" s="127">
        <f t="shared" si="19"/>
        <v>-0.20127831584838263</v>
      </c>
      <c r="BC19" s="141"/>
      <c r="BD19" s="155">
        <f t="shared" si="20"/>
        <v>2.581820000482149</v>
      </c>
      <c r="BE19" s="127">
        <v>0.26372544688368038</v>
      </c>
      <c r="BF19" s="127">
        <v>-0.10831956062703628</v>
      </c>
      <c r="BG19" s="127">
        <v>7.6569920735424277E-2</v>
      </c>
      <c r="BH19" s="127">
        <f t="shared" si="21"/>
        <v>-3.1749639891612003E-2</v>
      </c>
      <c r="BJ19" s="155">
        <f t="shared" si="22"/>
        <v>2.6382225672916038</v>
      </c>
      <c r="BK19" s="127">
        <v>0.90622693590093328</v>
      </c>
      <c r="BL19" s="127">
        <v>-0.31112932759164502</v>
      </c>
      <c r="BM19" s="127">
        <v>0.26955881347514621</v>
      </c>
      <c r="BN19" s="127">
        <f t="shared" si="23"/>
        <v>-4.1570514116498813E-2</v>
      </c>
      <c r="BO19" s="145"/>
      <c r="BP19" s="155">
        <f t="shared" si="24"/>
        <v>2.7583597057282416</v>
      </c>
      <c r="BQ19" s="127">
        <v>0.4950194397515485</v>
      </c>
      <c r="BR19" s="127">
        <v>-0.28275993726126269</v>
      </c>
      <c r="BS19" s="127">
        <v>0.15480177542099077</v>
      </c>
      <c r="BT19" s="127">
        <f t="shared" si="25"/>
        <v>-0.12795816184027192</v>
      </c>
      <c r="BU19" s="128" t="str">
        <f t="shared" si="26"/>
        <v>Media</v>
      </c>
      <c r="BV19" s="155">
        <f t="shared" si="27"/>
        <v>2.301250253200271</v>
      </c>
      <c r="BW19" s="87">
        <v>5.9165033698801821</v>
      </c>
      <c r="BX19" s="127">
        <v>-1.0278366832146471</v>
      </c>
      <c r="BY19" s="127">
        <v>1.5115416978807021</v>
      </c>
      <c r="BZ19" s="127">
        <f t="shared" si="28"/>
        <v>0.48370501466605509</v>
      </c>
      <c r="CA19" s="141"/>
      <c r="CB19" s="155">
        <f t="shared" si="29"/>
        <v>2.3115008885774335</v>
      </c>
      <c r="CC19" s="127">
        <v>1.2498018824231734</v>
      </c>
      <c r="CD19" s="127">
        <v>-0.61465964280907215</v>
      </c>
      <c r="CE19" s="127">
        <v>0.32087094919664594</v>
      </c>
      <c r="CF19" s="127">
        <f t="shared" si="30"/>
        <v>-0.29378869361242621</v>
      </c>
      <c r="CH19" s="155">
        <f t="shared" si="31"/>
        <v>2.2668844506140928</v>
      </c>
      <c r="CI19" s="127">
        <v>4.2539717403366248</v>
      </c>
      <c r="CJ19" s="127">
        <v>-0.61145217832122922</v>
      </c>
      <c r="CK19" s="127">
        <v>1.0688859433031883</v>
      </c>
      <c r="CL19" s="127">
        <f t="shared" si="32"/>
        <v>0.45743376498195909</v>
      </c>
      <c r="CM19" s="145"/>
      <c r="CN19" s="155">
        <f t="shared" si="33"/>
        <v>2.6193775887513038</v>
      </c>
      <c r="CO19" s="127">
        <v>0.41272974712038374</v>
      </c>
      <c r="CP19" s="127">
        <v>0.19827513791565432</v>
      </c>
      <c r="CQ19" s="127">
        <v>0.12178480538086794</v>
      </c>
      <c r="CR19" s="127">
        <f t="shared" si="34"/>
        <v>0.32005994329652226</v>
      </c>
      <c r="CS19" s="128" t="str">
        <f t="shared" si="35"/>
        <v>Media</v>
      </c>
      <c r="CT19" s="155">
        <f t="shared" si="36"/>
        <v>2.2794409399427673</v>
      </c>
      <c r="CU19" s="87">
        <v>0.70111851338509235</v>
      </c>
      <c r="CV19" s="127">
        <v>1.3921909221522149E-2</v>
      </c>
      <c r="CW19" s="127">
        <v>0.17724621933714907</v>
      </c>
      <c r="CX19" s="127">
        <f t="shared" si="37"/>
        <v>0.19116812855867121</v>
      </c>
      <c r="CY19" s="141"/>
      <c r="CZ19" s="155">
        <f t="shared" si="38"/>
        <v>2.3539960057005649</v>
      </c>
      <c r="DA19" s="127">
        <v>0.11747827183979</v>
      </c>
      <c r="DB19" s="127">
        <v>-7.8182531686684584E-2</v>
      </c>
      <c r="DC19" s="127">
        <v>3.0775439976601052E-2</v>
      </c>
      <c r="DD19" s="127">
        <f t="shared" si="39"/>
        <v>-4.7407091710083532E-2</v>
      </c>
      <c r="DF19" s="155">
        <f t="shared" si="40"/>
        <v>2.2468339355165234</v>
      </c>
      <c r="DG19" s="127">
        <v>0.57251111478929684</v>
      </c>
      <c r="DH19" s="127">
        <v>3.8472494742064697E-2</v>
      </c>
      <c r="DI19" s="127">
        <v>0.14245031344618231</v>
      </c>
      <c r="DJ19" s="127">
        <f t="shared" si="41"/>
        <v>0.18092280818824702</v>
      </c>
      <c r="DK19" s="145"/>
      <c r="DL19" s="155">
        <f t="shared" si="42"/>
        <v>3.132129843378717</v>
      </c>
      <c r="DM19" s="127">
        <v>1.1129126756005558E-2</v>
      </c>
      <c r="DN19" s="127">
        <v>5.3631946166142037E-2</v>
      </c>
      <c r="DO19" s="127">
        <v>4.0204659143656838E-3</v>
      </c>
      <c r="DP19" s="127">
        <f t="shared" si="43"/>
        <v>5.7652412080507719E-2</v>
      </c>
    </row>
    <row r="20" spans="1:120" x14ac:dyDescent="0.25">
      <c r="A20" s="128" t="str">
        <f>name!B16</f>
        <v>Information technology</v>
      </c>
      <c r="B20" s="155">
        <f t="shared" si="1"/>
        <v>2.630000270050048</v>
      </c>
      <c r="C20" s="87">
        <v>34.601999999999876</v>
      </c>
      <c r="D20" s="127">
        <v>-3.8549999999999471</v>
      </c>
      <c r="E20" s="127">
        <v>10.256474686233423</v>
      </c>
      <c r="F20" s="127">
        <f t="shared" si="2"/>
        <v>6.4014746862334757</v>
      </c>
      <c r="G20" s="141"/>
      <c r="H20" s="155">
        <f t="shared" si="3"/>
        <v>2.4896239324975644</v>
      </c>
      <c r="I20" s="127">
        <v>6.3842523172142389</v>
      </c>
      <c r="J20" s="127">
        <v>-1.3027470433857931</v>
      </c>
      <c r="K20" s="127">
        <v>1.7798612708286927</v>
      </c>
      <c r="L20" s="127">
        <f t="shared" si="4"/>
        <v>0.47711422744289966</v>
      </c>
      <c r="N20" s="155">
        <f t="shared" si="5"/>
        <v>2.5461854565335118</v>
      </c>
      <c r="O20" s="127">
        <v>18.08880807286123</v>
      </c>
      <c r="P20" s="127">
        <v>-2.1012037936311048</v>
      </c>
      <c r="Q20" s="127">
        <v>5.1709423641740262</v>
      </c>
      <c r="R20" s="127">
        <f t="shared" si="6"/>
        <v>3.0697385705429214</v>
      </c>
      <c r="S20" s="145"/>
      <c r="T20" s="155">
        <f t="shared" si="7"/>
        <v>2.8646399549337564</v>
      </c>
      <c r="U20" s="127">
        <v>10.128939609924409</v>
      </c>
      <c r="V20" s="127">
        <v>-0.45104916298304948</v>
      </c>
      <c r="W20" s="127">
        <v>3.3056710512307044</v>
      </c>
      <c r="X20" s="127">
        <f t="shared" si="8"/>
        <v>2.8546218882476548</v>
      </c>
      <c r="Y20" s="128" t="str">
        <f t="shared" si="0"/>
        <v>Information technology</v>
      </c>
      <c r="Z20" s="155">
        <f t="shared" si="9"/>
        <v>2.8552821094793401</v>
      </c>
      <c r="AA20" s="87">
        <v>13.953182859548033</v>
      </c>
      <c r="AB20" s="127">
        <v>-1.67980428374619</v>
      </c>
      <c r="AC20" s="127">
        <v>4.5369181113981396</v>
      </c>
      <c r="AD20" s="127">
        <f t="shared" si="10"/>
        <v>2.8571138276519497</v>
      </c>
      <c r="AE20" s="141"/>
      <c r="AF20" s="155">
        <f t="shared" si="11"/>
        <v>2.798663449076022</v>
      </c>
      <c r="AG20" s="127">
        <v>1.2847958755225881</v>
      </c>
      <c r="AH20" s="127">
        <v>-0.12384047360641834</v>
      </c>
      <c r="AI20" s="127">
        <v>0.40840629030865233</v>
      </c>
      <c r="AJ20" s="127">
        <f t="shared" si="12"/>
        <v>0.28456581670223402</v>
      </c>
      <c r="AL20" s="155">
        <f t="shared" si="13"/>
        <v>2.7559320611477256</v>
      </c>
      <c r="AM20" s="127">
        <v>4.8268191334861674</v>
      </c>
      <c r="AN20" s="127">
        <v>-0.57107107367591969</v>
      </c>
      <c r="AO20" s="127">
        <v>1.5079392492593697</v>
      </c>
      <c r="AP20" s="127">
        <f t="shared" si="14"/>
        <v>0.93686817558345004</v>
      </c>
      <c r="AQ20" s="145"/>
      <c r="AR20" s="155">
        <f t="shared" si="15"/>
        <v>2.9252105333952505</v>
      </c>
      <c r="AS20" s="127">
        <v>7.8415678505392767</v>
      </c>
      <c r="AT20" s="127">
        <v>-0.98489273646385189</v>
      </c>
      <c r="AU20" s="127">
        <v>2.6205725718301167</v>
      </c>
      <c r="AV20" s="127">
        <f t="shared" si="16"/>
        <v>1.6356798353662647</v>
      </c>
      <c r="AW20" s="128" t="str">
        <f t="shared" si="17"/>
        <v>Information technology</v>
      </c>
      <c r="AX20" s="155">
        <f t="shared" si="18"/>
        <v>2.6748514920266198</v>
      </c>
      <c r="AY20" s="87">
        <v>4.2099312351777032</v>
      </c>
      <c r="AZ20" s="127">
        <v>-0.56161412539516631</v>
      </c>
      <c r="BA20" s="127">
        <v>1.2717759825285015</v>
      </c>
      <c r="BB20" s="127">
        <f t="shared" si="19"/>
        <v>0.71016185713333524</v>
      </c>
      <c r="BC20" s="141"/>
      <c r="BD20" s="155">
        <f t="shared" si="20"/>
        <v>2.5994582145060452</v>
      </c>
      <c r="BE20" s="127">
        <v>0.53565838194452042</v>
      </c>
      <c r="BF20" s="127">
        <v>-7.8618004194655866E-2</v>
      </c>
      <c r="BG20" s="127">
        <v>0.15671215650903289</v>
      </c>
      <c r="BH20" s="127">
        <f t="shared" si="21"/>
        <v>7.8094152314377024E-2</v>
      </c>
      <c r="BJ20" s="155">
        <f t="shared" si="22"/>
        <v>2.6483527756445246</v>
      </c>
      <c r="BK20" s="127">
        <v>2.2560634885597532</v>
      </c>
      <c r="BL20" s="127">
        <v>-0.30542322205299727</v>
      </c>
      <c r="BM20" s="127">
        <v>0.67396040804007895</v>
      </c>
      <c r="BN20" s="127">
        <f t="shared" si="23"/>
        <v>0.36853718598708168</v>
      </c>
      <c r="BO20" s="145"/>
      <c r="BP20" s="155">
        <f t="shared" si="24"/>
        <v>2.7451216362557762</v>
      </c>
      <c r="BQ20" s="127">
        <v>1.4182093646734297</v>
      </c>
      <c r="BR20" s="127">
        <v>-0.17757289914751315</v>
      </c>
      <c r="BS20" s="127">
        <v>0.44110341797938962</v>
      </c>
      <c r="BT20" s="127">
        <f t="shared" si="25"/>
        <v>0.2635305188318765</v>
      </c>
      <c r="BU20" s="128" t="str">
        <f t="shared" si="26"/>
        <v>Information technology</v>
      </c>
      <c r="BV20" s="155">
        <f t="shared" si="27"/>
        <v>2.4242377604531073</v>
      </c>
      <c r="BW20" s="87">
        <v>15.223628532016798</v>
      </c>
      <c r="BX20" s="127">
        <v>-1.9724996964398605</v>
      </c>
      <c r="BY20" s="127">
        <v>4.1203403348407761</v>
      </c>
      <c r="BZ20" s="127">
        <f t="shared" si="28"/>
        <v>2.1478406384009157</v>
      </c>
      <c r="CA20" s="141"/>
      <c r="CB20" s="155">
        <f t="shared" si="29"/>
        <v>2.4043230891266143</v>
      </c>
      <c r="CC20" s="127">
        <v>4.0549670831540263</v>
      </c>
      <c r="CD20" s="127">
        <v>-0.87521384736118646</v>
      </c>
      <c r="CE20" s="127">
        <v>1.0874848929554206</v>
      </c>
      <c r="CF20" s="127">
        <f t="shared" si="30"/>
        <v>0.21227104559423415</v>
      </c>
      <c r="CH20" s="155">
        <f t="shared" si="31"/>
        <v>2.4287404250380895</v>
      </c>
      <c r="CI20" s="127">
        <v>10.383652468950638</v>
      </c>
      <c r="CJ20" s="127">
        <v>-1.3016002996443403</v>
      </c>
      <c r="CK20" s="127">
        <v>2.8161814283025186</v>
      </c>
      <c r="CL20" s="127">
        <f t="shared" si="32"/>
        <v>1.5145811286581783</v>
      </c>
      <c r="CM20" s="145"/>
      <c r="CN20" s="155">
        <f t="shared" si="33"/>
        <v>2.4673648385086233</v>
      </c>
      <c r="CO20" s="127">
        <v>0.78500897991213381</v>
      </c>
      <c r="CP20" s="127">
        <v>0.20431445056566661</v>
      </c>
      <c r="CQ20" s="127">
        <v>0.21667401358283661</v>
      </c>
      <c r="CR20" s="127">
        <f t="shared" si="34"/>
        <v>0.42098846414850322</v>
      </c>
      <c r="CS20" s="128" t="str">
        <f t="shared" si="35"/>
        <v>Information technology</v>
      </c>
      <c r="CT20" s="155">
        <f t="shared" si="36"/>
        <v>2.4144541847002987</v>
      </c>
      <c r="CU20" s="87">
        <v>1.2152573732573435</v>
      </c>
      <c r="CV20" s="127">
        <v>0.35891810558126896</v>
      </c>
      <c r="CW20" s="127">
        <v>0.32744025746600702</v>
      </c>
      <c r="CX20" s="127">
        <f t="shared" si="37"/>
        <v>0.68635836304727604</v>
      </c>
      <c r="CY20" s="141"/>
      <c r="CZ20" s="155">
        <f t="shared" si="38"/>
        <v>2.2573250871402939</v>
      </c>
      <c r="DA20" s="127">
        <v>0.50883097659310417</v>
      </c>
      <c r="DB20" s="127">
        <v>-0.22507471822353237</v>
      </c>
      <c r="DC20" s="127">
        <v>0.12725793105558686</v>
      </c>
      <c r="DD20" s="127">
        <f t="shared" si="39"/>
        <v>-9.7816787167945507E-2</v>
      </c>
      <c r="DF20" s="155">
        <f t="shared" si="40"/>
        <v>2.4816129596337833</v>
      </c>
      <c r="DG20" s="127">
        <v>0.62227298186467062</v>
      </c>
      <c r="DH20" s="127">
        <v>7.6890801742152348E-2</v>
      </c>
      <c r="DI20" s="127">
        <v>0.1728612785720591</v>
      </c>
      <c r="DJ20" s="127">
        <f t="shared" si="41"/>
        <v>0.24975208031421145</v>
      </c>
      <c r="DK20" s="145"/>
      <c r="DL20" s="155">
        <f t="shared" si="42"/>
        <v>2.8514371248256065</v>
      </c>
      <c r="DM20" s="127">
        <v>8.4153414799568824E-2</v>
      </c>
      <c r="DN20" s="127">
        <v>0.50710202206264898</v>
      </c>
      <c r="DO20" s="127">
        <v>2.7321047838361107E-2</v>
      </c>
      <c r="DP20" s="127">
        <f t="shared" si="43"/>
        <v>0.53442306990101007</v>
      </c>
    </row>
    <row r="21" spans="1:120" x14ac:dyDescent="0.25">
      <c r="A21" s="128" t="str">
        <f>name!B17</f>
        <v>Finance and insurance</v>
      </c>
      <c r="B21" s="155">
        <f t="shared" si="1"/>
        <v>2.4812804219719098</v>
      </c>
      <c r="C21" s="87">
        <v>33.322999999999901</v>
      </c>
      <c r="D21" s="127">
        <v>-3.4569999999999741</v>
      </c>
      <c r="E21" s="127">
        <v>9.2554181233713848</v>
      </c>
      <c r="F21" s="127">
        <f t="shared" si="2"/>
        <v>5.7984181233714107</v>
      </c>
      <c r="G21" s="141"/>
      <c r="H21" s="155">
        <f t="shared" si="3"/>
        <v>2.3436986854765918</v>
      </c>
      <c r="I21" s="127">
        <v>7.7779668974735596</v>
      </c>
      <c r="J21" s="127">
        <v>-2.1913610207501648</v>
      </c>
      <c r="K21" s="127">
        <v>2.0277008362964004</v>
      </c>
      <c r="L21" s="127">
        <f t="shared" si="4"/>
        <v>-0.1636601844537644</v>
      </c>
      <c r="N21" s="155">
        <f t="shared" si="5"/>
        <v>2.3961637037624106</v>
      </c>
      <c r="O21" s="127">
        <v>18.946833896500934</v>
      </c>
      <c r="P21" s="127">
        <v>-1.9125527829377933</v>
      </c>
      <c r="Q21" s="127">
        <v>5.0621349318084921</v>
      </c>
      <c r="R21" s="127">
        <f t="shared" si="6"/>
        <v>3.1495821488706985</v>
      </c>
      <c r="S21" s="145"/>
      <c r="T21" s="155">
        <f t="shared" si="7"/>
        <v>2.878971077935244</v>
      </c>
      <c r="U21" s="127">
        <v>6.5981992060254084</v>
      </c>
      <c r="V21" s="127">
        <v>0.64691380368798412</v>
      </c>
      <c r="W21" s="127">
        <v>2.1655823552664915</v>
      </c>
      <c r="X21" s="127">
        <f t="shared" si="8"/>
        <v>2.8124961589544757</v>
      </c>
      <c r="Y21" s="128" t="str">
        <f t="shared" si="0"/>
        <v>Finance and insurance</v>
      </c>
      <c r="Z21" s="155">
        <f t="shared" si="9"/>
        <v>2.798959749955654</v>
      </c>
      <c r="AA21" s="87">
        <v>12.270868694716109</v>
      </c>
      <c r="AB21" s="127">
        <v>2.9764862885854111</v>
      </c>
      <c r="AC21" s="127">
        <v>3.9010857145843958</v>
      </c>
      <c r="AD21" s="127">
        <f t="shared" si="10"/>
        <v>6.8775720031698064</v>
      </c>
      <c r="AE21" s="141"/>
      <c r="AF21" s="155">
        <f t="shared" si="11"/>
        <v>2.7178804906447418</v>
      </c>
      <c r="AG21" s="127">
        <v>1.4082979674661906</v>
      </c>
      <c r="AH21" s="127">
        <v>5.2896058974020416E-2</v>
      </c>
      <c r="AI21" s="127">
        <v>0.43313132387053488</v>
      </c>
      <c r="AJ21" s="127">
        <f t="shared" si="12"/>
        <v>0.48602738284455527</v>
      </c>
      <c r="AL21" s="155">
        <f t="shared" si="13"/>
        <v>2.6905674486324749</v>
      </c>
      <c r="AM21" s="127">
        <v>5.7129298402976092</v>
      </c>
      <c r="AN21" s="127">
        <v>2.2476050941027323</v>
      </c>
      <c r="AO21" s="127">
        <v>1.737210049999393</v>
      </c>
      <c r="AP21" s="127">
        <f t="shared" si="14"/>
        <v>3.9848151441021251</v>
      </c>
      <c r="AQ21" s="145"/>
      <c r="AR21" s="155">
        <f t="shared" si="15"/>
        <v>2.939861842779945</v>
      </c>
      <c r="AS21" s="127">
        <v>5.1496408869523096</v>
      </c>
      <c r="AT21" s="127">
        <v>0.67598513550865802</v>
      </c>
      <c r="AU21" s="127">
        <v>1.7307443407144678</v>
      </c>
      <c r="AV21" s="127">
        <f t="shared" si="16"/>
        <v>2.4067294762231257</v>
      </c>
      <c r="AW21" s="128" t="str">
        <f t="shared" si="17"/>
        <v>Finance and insurance</v>
      </c>
      <c r="AX21" s="155">
        <f t="shared" si="18"/>
        <v>2.6672196716569507</v>
      </c>
      <c r="AY21" s="87">
        <v>3.1291828896233556</v>
      </c>
      <c r="AZ21" s="127">
        <v>4.7662543576286416E-2</v>
      </c>
      <c r="BA21" s="127">
        <v>0.94226572050611046</v>
      </c>
      <c r="BB21" s="127">
        <f t="shared" si="19"/>
        <v>0.98992826408239687</v>
      </c>
      <c r="BC21" s="141"/>
      <c r="BD21" s="155">
        <f t="shared" si="20"/>
        <v>2.6037899995889902</v>
      </c>
      <c r="BE21" s="127">
        <v>0.61592438154919227</v>
      </c>
      <c r="BF21" s="127">
        <v>-3.7382232284277769E-2</v>
      </c>
      <c r="BG21" s="127">
        <v>0.18053095656887813</v>
      </c>
      <c r="BH21" s="127">
        <f t="shared" si="21"/>
        <v>0.14314872428460035</v>
      </c>
      <c r="BJ21" s="155">
        <f t="shared" si="22"/>
        <v>2.6401755891724665</v>
      </c>
      <c r="BK21" s="127">
        <v>1.812577752323878</v>
      </c>
      <c r="BL21" s="127">
        <v>-1.6849737964863366E-2</v>
      </c>
      <c r="BM21" s="127">
        <v>0.53960200635034938</v>
      </c>
      <c r="BN21" s="127">
        <f t="shared" si="23"/>
        <v>0.52275226838548605</v>
      </c>
      <c r="BO21" s="145"/>
      <c r="BP21" s="155">
        <f t="shared" si="24"/>
        <v>2.7920140765933743</v>
      </c>
      <c r="BQ21" s="127">
        <v>0.70068075575028521</v>
      </c>
      <c r="BR21" s="127">
        <v>0.10189451382542755</v>
      </c>
      <c r="BS21" s="127">
        <v>0.22213275758688292</v>
      </c>
      <c r="BT21" s="127">
        <f t="shared" si="25"/>
        <v>0.32402727141231047</v>
      </c>
      <c r="BU21" s="128" t="str">
        <f t="shared" si="26"/>
        <v>Finance and insurance</v>
      </c>
      <c r="BV21" s="155">
        <f t="shared" si="27"/>
        <v>2.2225807612637372</v>
      </c>
      <c r="BW21" s="87">
        <v>17.010496310706994</v>
      </c>
      <c r="BX21" s="127">
        <v>-6.2268929517639569</v>
      </c>
      <c r="BY21" s="127">
        <v>4.1821600833902677</v>
      </c>
      <c r="BZ21" s="127">
        <f t="shared" si="28"/>
        <v>-2.0447328683736892</v>
      </c>
      <c r="CA21" s="141"/>
      <c r="CB21" s="155">
        <f t="shared" si="29"/>
        <v>2.2178133748506523</v>
      </c>
      <c r="CC21" s="127">
        <v>5.361386794682045</v>
      </c>
      <c r="CD21" s="127">
        <v>-2.3999699747148724</v>
      </c>
      <c r="CE21" s="127">
        <v>1.3150232829970165</v>
      </c>
      <c r="CF21" s="127">
        <f t="shared" si="30"/>
        <v>-1.0849466917178558</v>
      </c>
      <c r="CH21" s="155">
        <f t="shared" si="31"/>
        <v>2.2046166739490669</v>
      </c>
      <c r="CI21" s="127">
        <v>10.966559197882978</v>
      </c>
      <c r="CJ21" s="127">
        <v>-3.7501749723874718</v>
      </c>
      <c r="CK21" s="127">
        <v>2.6722208134635381</v>
      </c>
      <c r="CL21" s="127">
        <f t="shared" si="32"/>
        <v>-1.0779541589239336</v>
      </c>
      <c r="CM21" s="145"/>
      <c r="CN21" s="155">
        <f t="shared" si="33"/>
        <v>2.5438402112385017</v>
      </c>
      <c r="CO21" s="127">
        <v>0.68255031814196876</v>
      </c>
      <c r="CP21" s="127">
        <v>-7.6748004661612662E-2</v>
      </c>
      <c r="CQ21" s="127">
        <v>0.19491598692971274</v>
      </c>
      <c r="CR21" s="127">
        <f t="shared" si="34"/>
        <v>0.11816798226810007</v>
      </c>
      <c r="CS21" s="128" t="str">
        <f t="shared" si="35"/>
        <v>Finance and insurance</v>
      </c>
      <c r="CT21" s="155">
        <f t="shared" si="36"/>
        <v>2.2725870846393104</v>
      </c>
      <c r="CU21" s="87">
        <v>0.91245210495344775</v>
      </c>
      <c r="CV21" s="127">
        <v>-0.25425588039771407</v>
      </c>
      <c r="CW21" s="127">
        <v>0.22990660489061099</v>
      </c>
      <c r="CX21" s="127">
        <f t="shared" si="37"/>
        <v>-2.4349275507103085E-2</v>
      </c>
      <c r="CY21" s="141"/>
      <c r="CZ21" s="155">
        <f t="shared" si="38"/>
        <v>2.2758052007650242</v>
      </c>
      <c r="DA21" s="127">
        <v>0.3923577537761323</v>
      </c>
      <c r="DB21" s="127">
        <v>0.19309512727496547</v>
      </c>
      <c r="DC21" s="127">
        <v>9.9015272859970554E-2</v>
      </c>
      <c r="DD21" s="127">
        <f t="shared" si="39"/>
        <v>0.29211040013493605</v>
      </c>
      <c r="DF21" s="155">
        <f t="shared" si="40"/>
        <v>2.2459052950809522</v>
      </c>
      <c r="DG21" s="127">
        <v>0.4547671059964703</v>
      </c>
      <c r="DH21" s="127">
        <v>-0.3931331666881907</v>
      </c>
      <c r="DI21" s="127">
        <v>0.11310206199521274</v>
      </c>
      <c r="DJ21" s="127">
        <f t="shared" si="41"/>
        <v>-0.28003110469297798</v>
      </c>
      <c r="DK21" s="145"/>
      <c r="DL21" s="155">
        <f t="shared" si="42"/>
        <v>2.4375771949586511</v>
      </c>
      <c r="DM21" s="127">
        <v>6.5327245180845164E-2</v>
      </c>
      <c r="DN21" s="127">
        <v>-5.4217840984488806E-2</v>
      </c>
      <c r="DO21" s="127">
        <v>1.7789270035427705E-2</v>
      </c>
      <c r="DP21" s="127">
        <f t="shared" si="43"/>
        <v>-3.6428570949061101E-2</v>
      </c>
    </row>
    <row r="22" spans="1:120" x14ac:dyDescent="0.25">
      <c r="A22" s="128" t="str">
        <f>name!B18</f>
        <v>Real estate</v>
      </c>
      <c r="B22" s="155">
        <f t="shared" si="1"/>
        <v>2.6116897758494684</v>
      </c>
      <c r="C22" s="87">
        <v>6.1683349428474763</v>
      </c>
      <c r="D22" s="127">
        <v>0.196627540592925</v>
      </c>
      <c r="E22" s="127">
        <v>1.8141175570326864</v>
      </c>
      <c r="F22" s="127">
        <f t="shared" si="2"/>
        <v>2.0107450976256116</v>
      </c>
      <c r="G22" s="141"/>
      <c r="H22" s="155">
        <f t="shared" si="3"/>
        <v>2.514226030268718</v>
      </c>
      <c r="I22" s="127">
        <v>1.4414399971181822</v>
      </c>
      <c r="J22" s="127">
        <v>-0.35250015246161959</v>
      </c>
      <c r="K22" s="127">
        <v>0.40628757914793828</v>
      </c>
      <c r="L22" s="127">
        <f t="shared" si="4"/>
        <v>5.3787426686318696E-2</v>
      </c>
      <c r="N22" s="155">
        <f t="shared" si="5"/>
        <v>2.6214470082087438</v>
      </c>
      <c r="O22" s="127">
        <v>2.3753843717507803</v>
      </c>
      <c r="P22" s="127">
        <v>0.12579529520222252</v>
      </c>
      <c r="Q22" s="127">
        <v>0.701528764239294</v>
      </c>
      <c r="R22" s="127">
        <f t="shared" si="6"/>
        <v>0.82732405944151655</v>
      </c>
      <c r="S22" s="145"/>
      <c r="T22" s="155">
        <f t="shared" si="7"/>
        <v>2.6612106513108635</v>
      </c>
      <c r="U22" s="127">
        <v>2.3515105739785147</v>
      </c>
      <c r="V22" s="127">
        <v>0.42333239785232213</v>
      </c>
      <c r="W22" s="127">
        <v>0.70630121364545417</v>
      </c>
      <c r="X22" s="127">
        <f t="shared" si="8"/>
        <v>1.1296336114977763</v>
      </c>
      <c r="Y22" s="128" t="str">
        <f t="shared" si="0"/>
        <v>Real estate</v>
      </c>
      <c r="Z22" s="155">
        <f t="shared" si="9"/>
        <v>2.7183631629002836</v>
      </c>
      <c r="AA22" s="87">
        <v>3.1732901245624543</v>
      </c>
      <c r="AB22" s="127">
        <v>0.6841817025054634</v>
      </c>
      <c r="AC22" s="127">
        <v>0.97616127527036756</v>
      </c>
      <c r="AD22" s="127">
        <f t="shared" si="10"/>
        <v>1.660342977775831</v>
      </c>
      <c r="AE22" s="141"/>
      <c r="AF22" s="155">
        <f t="shared" si="11"/>
        <v>2.6131607505413434</v>
      </c>
      <c r="AG22" s="127">
        <v>0.19250680994422617</v>
      </c>
      <c r="AH22" s="127">
        <v>0.16401414967811412</v>
      </c>
      <c r="AI22" s="127">
        <v>5.6652287723932618E-2</v>
      </c>
      <c r="AJ22" s="127">
        <f t="shared" si="12"/>
        <v>0.22066643740204672</v>
      </c>
      <c r="AL22" s="155">
        <f t="shared" si="13"/>
        <v>2.8445633977957741</v>
      </c>
      <c r="AM22" s="127">
        <v>0.85860730100895899</v>
      </c>
      <c r="AN22" s="127">
        <v>4.2190547756578954E-2</v>
      </c>
      <c r="AO22" s="127">
        <v>0.27799351979985232</v>
      </c>
      <c r="AP22" s="127">
        <f t="shared" si="14"/>
        <v>0.32018406755643125</v>
      </c>
      <c r="AQ22" s="145"/>
      <c r="AR22" s="155">
        <f t="shared" si="15"/>
        <v>2.6764431790775811</v>
      </c>
      <c r="AS22" s="127">
        <v>2.1221760136092689</v>
      </c>
      <c r="AT22" s="127">
        <v>0.47797700507077023</v>
      </c>
      <c r="AU22" s="127">
        <v>0.64151546774658263</v>
      </c>
      <c r="AV22" s="127">
        <f t="shared" si="16"/>
        <v>1.119492472817353</v>
      </c>
      <c r="AW22" s="128" t="str">
        <f t="shared" si="17"/>
        <v>Real estate</v>
      </c>
      <c r="AX22" s="155">
        <f t="shared" si="18"/>
        <v>2.6817205379647824</v>
      </c>
      <c r="AY22" s="87">
        <v>0.48397528340046003</v>
      </c>
      <c r="AZ22" s="127">
        <v>-0.12994053725972496</v>
      </c>
      <c r="BA22" s="127">
        <v>0.14662556967400292</v>
      </c>
      <c r="BB22" s="127">
        <f t="shared" si="19"/>
        <v>1.6685032414277962E-2</v>
      </c>
      <c r="BC22" s="141"/>
      <c r="BD22" s="155">
        <f t="shared" si="20"/>
        <v>2.6291172026759568</v>
      </c>
      <c r="BE22" s="127">
        <v>9.4966037850212306E-2</v>
      </c>
      <c r="BF22" s="127">
        <v>-2.1192060628218386E-2</v>
      </c>
      <c r="BG22" s="127">
        <v>2.8138553500052236E-2</v>
      </c>
      <c r="BH22" s="127">
        <f t="shared" si="21"/>
        <v>6.9464928718338502E-3</v>
      </c>
      <c r="BJ22" s="155">
        <f t="shared" si="22"/>
        <v>2.6564659717416284</v>
      </c>
      <c r="BK22" s="127">
        <v>0.28934641044130943</v>
      </c>
      <c r="BL22" s="127">
        <v>-6.9725317303981571E-2</v>
      </c>
      <c r="BM22" s="127">
        <v>8.6734415154016753E-2</v>
      </c>
      <c r="BN22" s="127">
        <f t="shared" si="23"/>
        <v>1.7009097850035182E-2</v>
      </c>
      <c r="BO22" s="145"/>
      <c r="BP22" s="155">
        <f t="shared" si="24"/>
        <v>2.8043080569318812</v>
      </c>
      <c r="BQ22" s="127">
        <v>9.9662835108938322E-2</v>
      </c>
      <c r="BR22" s="127">
        <v>-3.9023159327524995E-2</v>
      </c>
      <c r="BS22" s="127">
        <v>3.1752601019933914E-2</v>
      </c>
      <c r="BT22" s="127">
        <f t="shared" si="25"/>
        <v>-7.270558307591081E-3</v>
      </c>
      <c r="BU22" s="128" t="str">
        <f t="shared" si="26"/>
        <v>Real estate</v>
      </c>
      <c r="BV22" s="155">
        <f t="shared" si="27"/>
        <v>2.4416221739186561</v>
      </c>
      <c r="BW22" s="87">
        <v>2.2997640416194169</v>
      </c>
      <c r="BX22" s="127">
        <v>-0.8033658212946152</v>
      </c>
      <c r="BY22" s="127">
        <v>0.6274046319250105</v>
      </c>
      <c r="BZ22" s="127">
        <f t="shared" si="28"/>
        <v>-0.1759611893696047</v>
      </c>
      <c r="CA22" s="141"/>
      <c r="CB22" s="155">
        <f t="shared" si="29"/>
        <v>2.4552545911513901</v>
      </c>
      <c r="CC22" s="127">
        <v>1.0388676866360598</v>
      </c>
      <c r="CD22" s="127">
        <v>-0.38022277882383149</v>
      </c>
      <c r="CE22" s="127">
        <v>0.285176888828165</v>
      </c>
      <c r="CF22" s="127">
        <f t="shared" si="30"/>
        <v>-9.5045889995666488E-2</v>
      </c>
      <c r="CH22" s="155">
        <f t="shared" si="31"/>
        <v>2.4368885305120269</v>
      </c>
      <c r="CI22" s="127">
        <v>1.1528693059881228</v>
      </c>
      <c r="CJ22" s="127">
        <v>-0.40179371550567344</v>
      </c>
      <c r="CK22" s="127">
        <v>0.31383937301156528</v>
      </c>
      <c r="CL22" s="127">
        <f t="shared" si="32"/>
        <v>-8.7954342494108162E-2</v>
      </c>
      <c r="CM22" s="145"/>
      <c r="CN22" s="155">
        <f t="shared" si="33"/>
        <v>2.3606641104796822</v>
      </c>
      <c r="CO22" s="127">
        <v>0.10802704899523392</v>
      </c>
      <c r="CP22" s="127">
        <v>-2.134932696511032E-2</v>
      </c>
      <c r="CQ22" s="127">
        <v>2.8388370085280102E-2</v>
      </c>
      <c r="CR22" s="127">
        <f t="shared" si="34"/>
        <v>7.0390431201697821E-3</v>
      </c>
      <c r="CS22" s="128" t="str">
        <f t="shared" si="35"/>
        <v>Real estate</v>
      </c>
      <c r="CT22" s="155">
        <f t="shared" si="36"/>
        <v>2.6783181831917302</v>
      </c>
      <c r="CU22" s="87">
        <v>0.21130549326514642</v>
      </c>
      <c r="CV22" s="127">
        <v>0.44575219664180188</v>
      </c>
      <c r="CW22" s="127">
        <v>6.3926080163305615E-2</v>
      </c>
      <c r="CX22" s="127">
        <f t="shared" si="37"/>
        <v>0.50967827680510747</v>
      </c>
      <c r="CY22" s="141"/>
      <c r="CZ22" s="155">
        <f t="shared" si="38"/>
        <v>2.7805168236047173</v>
      </c>
      <c r="DA22" s="127">
        <v>0.11509946268768383</v>
      </c>
      <c r="DB22" s="127">
        <v>-0.11509946268768383</v>
      </c>
      <c r="DC22" s="127">
        <v>3.6319849095788476E-2</v>
      </c>
      <c r="DD22" s="127">
        <f t="shared" si="39"/>
        <v>-7.8779613591895351E-2</v>
      </c>
      <c r="DF22" s="155">
        <f t="shared" si="40"/>
        <v>2.7210008218849335</v>
      </c>
      <c r="DG22" s="127">
        <v>7.4561354312388889E-2</v>
      </c>
      <c r="DH22" s="127">
        <v>0.55512378025529863</v>
      </c>
      <c r="DI22" s="127">
        <v>2.2961456273859673E-2</v>
      </c>
      <c r="DJ22" s="127">
        <f t="shared" si="41"/>
        <v>0.57808523652915833</v>
      </c>
      <c r="DK22" s="145"/>
      <c r="DL22" s="155">
        <f t="shared" si="42"/>
        <v>1.9631026785993377</v>
      </c>
      <c r="DM22" s="127">
        <v>2.1644676265073697E-2</v>
      </c>
      <c r="DN22" s="127">
        <v>5.7278790741871642E-3</v>
      </c>
      <c r="DO22" s="127">
        <v>4.64477479365746E-3</v>
      </c>
      <c r="DP22" s="127">
        <f t="shared" si="43"/>
        <v>1.0372653867844625E-2</v>
      </c>
    </row>
    <row r="23" spans="1:120" x14ac:dyDescent="0.25">
      <c r="A23" s="128" t="str">
        <f>name!B19</f>
        <v>Professional services</v>
      </c>
      <c r="B23" s="155">
        <f t="shared" si="1"/>
        <v>2.6743157766083714</v>
      </c>
      <c r="C23" s="87">
        <v>38.965266386568921</v>
      </c>
      <c r="D23" s="127">
        <v>11.458986137276469</v>
      </c>
      <c r="E23" s="127">
        <v>11.768350327197798</v>
      </c>
      <c r="F23" s="127">
        <f t="shared" si="2"/>
        <v>23.227336464474266</v>
      </c>
      <c r="G23" s="141"/>
      <c r="H23" s="155">
        <f t="shared" si="3"/>
        <v>2.5161455631662166</v>
      </c>
      <c r="I23" s="127">
        <v>10.746753519096059</v>
      </c>
      <c r="J23" s="127">
        <v>0.60470899426028668</v>
      </c>
      <c r="K23" s="127">
        <v>3.0316842468873038</v>
      </c>
      <c r="L23" s="127">
        <f t="shared" si="4"/>
        <v>3.6363932411475903</v>
      </c>
      <c r="N23" s="155">
        <f t="shared" si="5"/>
        <v>2.6382849635641303</v>
      </c>
      <c r="O23" s="127">
        <v>19.377813500619759</v>
      </c>
      <c r="P23" s="127">
        <v>6.3961252707032488</v>
      </c>
      <c r="Q23" s="127">
        <v>5.7641179254827515</v>
      </c>
      <c r="R23" s="127">
        <f t="shared" si="6"/>
        <v>12.160243196186</v>
      </c>
      <c r="S23" s="145"/>
      <c r="T23" s="155">
        <f t="shared" si="7"/>
        <v>2.9409728215002984</v>
      </c>
      <c r="U23" s="127">
        <v>8.8406993668531033</v>
      </c>
      <c r="V23" s="127">
        <v>4.4581518723129312</v>
      </c>
      <c r="W23" s="127">
        <v>2.972548154827741</v>
      </c>
      <c r="X23" s="127">
        <f t="shared" si="8"/>
        <v>7.4307000271406718</v>
      </c>
      <c r="Y23" s="128" t="str">
        <f t="shared" si="0"/>
        <v>Professional services</v>
      </c>
      <c r="Z23" s="155">
        <f t="shared" si="9"/>
        <v>3.0111146972381153</v>
      </c>
      <c r="AA23" s="87">
        <v>12.983727410431358</v>
      </c>
      <c r="AB23" s="127">
        <v>7.3161535468635082</v>
      </c>
      <c r="AC23" s="127">
        <v>4.4841548751658866</v>
      </c>
      <c r="AD23" s="127">
        <f t="shared" si="10"/>
        <v>11.800308422029396</v>
      </c>
      <c r="AE23" s="141"/>
      <c r="AF23" s="155">
        <f t="shared" si="11"/>
        <v>2.8731628500449968</v>
      </c>
      <c r="AG23" s="127">
        <v>1.9378479390650463</v>
      </c>
      <c r="AH23" s="127">
        <v>1.549926671508655</v>
      </c>
      <c r="AI23" s="127">
        <v>0.63456461426776711</v>
      </c>
      <c r="AJ23" s="127">
        <f t="shared" si="12"/>
        <v>2.184491285776422</v>
      </c>
      <c r="AL23" s="155">
        <f t="shared" si="13"/>
        <v>3.0369546647093459</v>
      </c>
      <c r="AM23" s="127">
        <v>4.9791010176174728</v>
      </c>
      <c r="AN23" s="127">
        <v>2.6541784276946645</v>
      </c>
      <c r="AO23" s="127">
        <v>1.7364411510950009</v>
      </c>
      <c r="AP23" s="127">
        <f t="shared" si="14"/>
        <v>4.3906195787896651</v>
      </c>
      <c r="AQ23" s="145"/>
      <c r="AR23" s="155">
        <f t="shared" si="15"/>
        <v>3.0336611731275553</v>
      </c>
      <c r="AS23" s="127">
        <v>6.0667784537488378</v>
      </c>
      <c r="AT23" s="127">
        <v>3.1120484476601886</v>
      </c>
      <c r="AU23" s="127">
        <v>2.113149109803119</v>
      </c>
      <c r="AV23" s="127">
        <f t="shared" si="16"/>
        <v>5.2251975574633072</v>
      </c>
      <c r="AW23" s="128" t="str">
        <f t="shared" si="17"/>
        <v>Professional services</v>
      </c>
      <c r="AX23" s="155">
        <f t="shared" si="18"/>
        <v>2.6662390167296435</v>
      </c>
      <c r="AY23" s="87">
        <v>4.377709221482184</v>
      </c>
      <c r="AZ23" s="127">
        <v>0.80308463988107726</v>
      </c>
      <c r="BA23" s="127">
        <v>1.3176803910698349</v>
      </c>
      <c r="BB23" s="127">
        <f t="shared" si="19"/>
        <v>2.1207650309509121</v>
      </c>
      <c r="BC23" s="141"/>
      <c r="BD23" s="155">
        <f t="shared" si="20"/>
        <v>2.5700639379084178</v>
      </c>
      <c r="BE23" s="127">
        <v>0.73699369082515398</v>
      </c>
      <c r="BF23" s="127">
        <v>8.1502387714943961E-2</v>
      </c>
      <c r="BG23" s="127">
        <v>0.21288912804948243</v>
      </c>
      <c r="BH23" s="127">
        <f t="shared" si="21"/>
        <v>0.2943915157644264</v>
      </c>
      <c r="BJ23" s="155">
        <f t="shared" si="22"/>
        <v>2.6279165568233287</v>
      </c>
      <c r="BK23" s="127">
        <v>2.307013712695364</v>
      </c>
      <c r="BL23" s="127">
        <v>0.55219489458428639</v>
      </c>
      <c r="BM23" s="127">
        <v>0.6832211463125315</v>
      </c>
      <c r="BN23" s="127">
        <f t="shared" si="23"/>
        <v>1.2354160408968178</v>
      </c>
      <c r="BO23" s="145"/>
      <c r="BP23" s="155">
        <f t="shared" si="24"/>
        <v>2.784722232207959</v>
      </c>
      <c r="BQ23" s="127">
        <v>1.3337018179616666</v>
      </c>
      <c r="BR23" s="127">
        <v>0.16938735758184675</v>
      </c>
      <c r="BS23" s="127">
        <v>0.42157011670782107</v>
      </c>
      <c r="BT23" s="127">
        <f t="shared" si="25"/>
        <v>0.59095747428966783</v>
      </c>
      <c r="BU23" s="128" t="str">
        <f t="shared" si="26"/>
        <v>Professional services</v>
      </c>
      <c r="BV23" s="155">
        <f t="shared" si="27"/>
        <v>2.4703617034511627</v>
      </c>
      <c r="BW23" s="87">
        <v>20.365934087380882</v>
      </c>
      <c r="BX23" s="127">
        <v>2.1048678580900813</v>
      </c>
      <c r="BY23" s="127">
        <v>5.6288985612392128</v>
      </c>
      <c r="BZ23" s="127">
        <f t="shared" si="28"/>
        <v>7.7337664193292941</v>
      </c>
      <c r="CA23" s="141"/>
      <c r="CB23" s="155">
        <f t="shared" si="29"/>
        <v>2.4286762007679874</v>
      </c>
      <c r="CC23" s="127">
        <v>7.4477312798356223</v>
      </c>
      <c r="CD23" s="127">
        <v>-0.68225133953011141</v>
      </c>
      <c r="CE23" s="127">
        <v>2.0198621022347334</v>
      </c>
      <c r="CF23" s="127">
        <f t="shared" si="30"/>
        <v>1.3376107627046219</v>
      </c>
      <c r="CH23" s="155">
        <f t="shared" si="31"/>
        <v>2.4720591117074919</v>
      </c>
      <c r="CI23" s="127">
        <v>11.586627461599615</v>
      </c>
      <c r="CJ23" s="127">
        <v>1.943280535192967</v>
      </c>
      <c r="CK23" s="127">
        <v>3.2048540580010663</v>
      </c>
      <c r="CL23" s="127">
        <f t="shared" si="32"/>
        <v>5.1481345931940332</v>
      </c>
      <c r="CM23" s="145"/>
      <c r="CN23" s="155">
        <f t="shared" si="33"/>
        <v>2.6862600536722958</v>
      </c>
      <c r="CO23" s="127">
        <v>1.3315753459456456</v>
      </c>
      <c r="CP23" s="127">
        <v>0.84383866242722605</v>
      </c>
      <c r="CQ23" s="127">
        <v>0.40418240100341252</v>
      </c>
      <c r="CR23" s="127">
        <f t="shared" si="34"/>
        <v>1.2480210634306386</v>
      </c>
      <c r="CS23" s="128" t="str">
        <f t="shared" si="35"/>
        <v>Professional services</v>
      </c>
      <c r="CT23" s="155">
        <f t="shared" si="36"/>
        <v>2.4409911721383182</v>
      </c>
      <c r="CU23" s="87">
        <v>1.2378956672744925</v>
      </c>
      <c r="CV23" s="127">
        <v>1.2348800924418006</v>
      </c>
      <c r="CW23" s="127">
        <v>0.33761649972286273</v>
      </c>
      <c r="CX23" s="127">
        <f t="shared" si="37"/>
        <v>1.5724965921646634</v>
      </c>
      <c r="CY23" s="141"/>
      <c r="CZ23" s="155">
        <f t="shared" si="38"/>
        <v>2.365082760893733</v>
      </c>
      <c r="DA23" s="127">
        <v>0.62418060937023667</v>
      </c>
      <c r="DB23" s="127">
        <v>-0.34446872543320101</v>
      </c>
      <c r="DC23" s="127">
        <v>0.16436840233532063</v>
      </c>
      <c r="DD23" s="127">
        <f t="shared" si="39"/>
        <v>-0.18010032309788038</v>
      </c>
      <c r="DF23" s="155">
        <f t="shared" si="40"/>
        <v>2.4704563056764162</v>
      </c>
      <c r="DG23" s="127">
        <v>0.50507130870730466</v>
      </c>
      <c r="DH23" s="127">
        <v>1.2464714132313313</v>
      </c>
      <c r="DI23" s="127">
        <v>0.13960157007415316</v>
      </c>
      <c r="DJ23" s="127">
        <f t="shared" si="41"/>
        <v>1.3860729833054843</v>
      </c>
      <c r="DK23" s="145"/>
      <c r="DL23" s="155">
        <f t="shared" si="42"/>
        <v>2.7346741769566751</v>
      </c>
      <c r="DM23" s="127">
        <v>0.10864374919695106</v>
      </c>
      <c r="DN23" s="127">
        <v>0.33287740464367022</v>
      </c>
      <c r="DO23" s="127">
        <v>3.3646527313388873E-2</v>
      </c>
      <c r="DP23" s="127">
        <f t="shared" si="43"/>
        <v>0.36652393195705907</v>
      </c>
    </row>
    <row r="24" spans="1:120" x14ac:dyDescent="0.25">
      <c r="A24" s="128" t="str">
        <f>name!B20</f>
        <v>Support services</v>
      </c>
      <c r="B24" s="155">
        <f t="shared" si="1"/>
        <v>2.784566936730104</v>
      </c>
      <c r="C24" s="87">
        <v>18.720999999999954</v>
      </c>
      <c r="D24" s="127">
        <v>-3.057999999999971</v>
      </c>
      <c r="E24" s="127">
        <v>5.9171529721011353</v>
      </c>
      <c r="F24" s="127">
        <f t="shared" si="2"/>
        <v>2.8591529721011644</v>
      </c>
      <c r="G24" s="141"/>
      <c r="H24" s="155">
        <f t="shared" si="3"/>
        <v>2.6966927781337358</v>
      </c>
      <c r="I24" s="127">
        <v>1.8191700717908714</v>
      </c>
      <c r="J24" s="127">
        <v>6.4644504245958259E-2</v>
      </c>
      <c r="K24" s="127">
        <v>0.55459579978511464</v>
      </c>
      <c r="L24" s="127">
        <f t="shared" si="4"/>
        <v>0.61924030403107289</v>
      </c>
      <c r="N24" s="155">
        <f t="shared" si="5"/>
        <v>2.6438542588397285</v>
      </c>
      <c r="O24" s="127">
        <v>7.3253420053436527</v>
      </c>
      <c r="P24" s="127">
        <v>-2.4007825753231029</v>
      </c>
      <c r="Q24" s="127">
        <v>2.1841522273672624</v>
      </c>
      <c r="R24" s="127">
        <f t="shared" si="6"/>
        <v>-0.21663034795584046</v>
      </c>
      <c r="S24" s="145"/>
      <c r="T24" s="155">
        <f t="shared" si="7"/>
        <v>2.9075064601009837</v>
      </c>
      <c r="U24" s="127">
        <v>9.5764879228654252</v>
      </c>
      <c r="V24" s="127">
        <v>-0.72186192892282663</v>
      </c>
      <c r="W24" s="127">
        <v>3.1784049449487575</v>
      </c>
      <c r="X24" s="127">
        <f t="shared" si="8"/>
        <v>2.4565430160259307</v>
      </c>
      <c r="Y24" s="128" t="str">
        <f t="shared" si="0"/>
        <v>Support services</v>
      </c>
      <c r="Z24" s="155">
        <f t="shared" si="9"/>
        <v>2.8851376822058405</v>
      </c>
      <c r="AA24" s="87">
        <v>10.861879630593116</v>
      </c>
      <c r="AB24" s="127">
        <v>-1.2989925832272919</v>
      </c>
      <c r="AC24" s="127">
        <v>3.5736065944117534</v>
      </c>
      <c r="AD24" s="127">
        <f t="shared" si="10"/>
        <v>2.2746140111844615</v>
      </c>
      <c r="AE24" s="141"/>
      <c r="AF24" s="155">
        <f t="shared" si="11"/>
        <v>2.8363041726111371</v>
      </c>
      <c r="AG24" s="127">
        <v>0.7258796023165236</v>
      </c>
      <c r="AH24" s="127">
        <v>0.20317213116103808</v>
      </c>
      <c r="AI24" s="127">
        <v>0.23424852857398526</v>
      </c>
      <c r="AJ24" s="127">
        <f t="shared" si="12"/>
        <v>0.43742065973502331</v>
      </c>
      <c r="AL24" s="155">
        <f t="shared" si="13"/>
        <v>2.7318188913306285</v>
      </c>
      <c r="AM24" s="127">
        <v>2.8702469151779071</v>
      </c>
      <c r="AN24" s="127">
        <v>-1.1155443530893807</v>
      </c>
      <c r="AO24" s="127">
        <v>0.88785915434127438</v>
      </c>
      <c r="AP24" s="127">
        <f t="shared" si="14"/>
        <v>-0.22768519874810633</v>
      </c>
      <c r="AQ24" s="145"/>
      <c r="AR24" s="155">
        <f t="shared" si="15"/>
        <v>2.949983891234198</v>
      </c>
      <c r="AS24" s="127">
        <v>7.2657531130986843</v>
      </c>
      <c r="AT24" s="127">
        <v>-0.38662036129894933</v>
      </c>
      <c r="AU24" s="127">
        <v>2.4514989114964938</v>
      </c>
      <c r="AV24" s="127">
        <f t="shared" si="16"/>
        <v>2.0648785501975446</v>
      </c>
      <c r="AW24" s="128" t="str">
        <f t="shared" si="17"/>
        <v>Support services</v>
      </c>
      <c r="AX24" s="155">
        <f t="shared" si="18"/>
        <v>2.6712682976482327</v>
      </c>
      <c r="AY24" s="87">
        <v>4.6040936604188767</v>
      </c>
      <c r="AZ24" s="127">
        <v>-0.6550004254648718</v>
      </c>
      <c r="BA24" s="127">
        <v>1.3887564948003865</v>
      </c>
      <c r="BB24" s="127">
        <f t="shared" si="19"/>
        <v>0.73375606933551474</v>
      </c>
      <c r="BC24" s="141"/>
      <c r="BD24" s="155">
        <f t="shared" si="20"/>
        <v>2.5535596624300272</v>
      </c>
      <c r="BE24" s="127">
        <v>0.37306162643140794</v>
      </c>
      <c r="BF24" s="127">
        <v>1.7209773799081063E-3</v>
      </c>
      <c r="BG24" s="127">
        <v>0.10699003130978606</v>
      </c>
      <c r="BH24" s="127">
        <f t="shared" si="21"/>
        <v>0.10871100868969416</v>
      </c>
      <c r="BJ24" s="155">
        <f t="shared" si="22"/>
        <v>2.6033003151062717</v>
      </c>
      <c r="BK24" s="127">
        <v>2.3193614224732308</v>
      </c>
      <c r="BL24" s="127">
        <v>-0.3840544144532913</v>
      </c>
      <c r="BM24" s="127">
        <v>0.67967495424035318</v>
      </c>
      <c r="BN24" s="127">
        <f t="shared" si="23"/>
        <v>0.29562053978706188</v>
      </c>
      <c r="BO24" s="145"/>
      <c r="BP24" s="155">
        <f t="shared" si="24"/>
        <v>2.7758580766296781</v>
      </c>
      <c r="BQ24" s="127">
        <v>1.9116706115142377</v>
      </c>
      <c r="BR24" s="127">
        <v>-0.27266698839148851</v>
      </c>
      <c r="BS24" s="127">
        <v>0.60209150925024713</v>
      </c>
      <c r="BT24" s="127">
        <f t="shared" si="25"/>
        <v>0.32942452085875862</v>
      </c>
      <c r="BU24" s="128" t="str">
        <f t="shared" si="26"/>
        <v>Support services</v>
      </c>
      <c r="BV24" s="155">
        <f t="shared" si="27"/>
        <v>2.5698479897015236</v>
      </c>
      <c r="BW24" s="87">
        <v>2.8786585131525628</v>
      </c>
      <c r="BX24" s="127">
        <v>-1.0291019906527104</v>
      </c>
      <c r="BY24" s="127">
        <v>0.83145560121971473</v>
      </c>
      <c r="BZ24" s="127">
        <f t="shared" si="28"/>
        <v>-0.19764638943299562</v>
      </c>
      <c r="CA24" s="141"/>
      <c r="CB24" s="155">
        <f t="shared" si="29"/>
        <v>2.5646022644531197</v>
      </c>
      <c r="CC24" s="127">
        <v>0.59910933522220677</v>
      </c>
      <c r="CD24" s="127">
        <v>-0.12449271037143683</v>
      </c>
      <c r="CE24" s="127">
        <v>0.17264857384459545</v>
      </c>
      <c r="CF24" s="127">
        <f t="shared" si="30"/>
        <v>4.8155863473158617E-2</v>
      </c>
      <c r="CH24" s="155">
        <f t="shared" si="31"/>
        <v>2.551043008047893</v>
      </c>
      <c r="CI24" s="127">
        <v>1.9475203609870202</v>
      </c>
      <c r="CJ24" s="127">
        <v>-0.84938831927492153</v>
      </c>
      <c r="CK24" s="127">
        <v>0.55791281892363431</v>
      </c>
      <c r="CL24" s="127">
        <f t="shared" si="32"/>
        <v>-0.29147550035128722</v>
      </c>
      <c r="CM24" s="145"/>
      <c r="CN24" s="155">
        <f t="shared" si="33"/>
        <v>2.6888973859664045</v>
      </c>
      <c r="CO24" s="127">
        <v>0.33202881694333602</v>
      </c>
      <c r="CP24" s="127">
        <v>-5.5220961006352098E-2</v>
      </c>
      <c r="CQ24" s="127">
        <v>0.10089420845148493</v>
      </c>
      <c r="CR24" s="127">
        <f t="shared" si="34"/>
        <v>4.5673247445132834E-2</v>
      </c>
      <c r="CS24" s="128" t="str">
        <f t="shared" si="35"/>
        <v>Support services</v>
      </c>
      <c r="CT24" s="155">
        <f t="shared" si="36"/>
        <v>2.8750024457964374</v>
      </c>
      <c r="CU24" s="87">
        <v>0.37636819583539599</v>
      </c>
      <c r="CV24" s="127">
        <v>-7.4905000655096768E-2</v>
      </c>
      <c r="CW24" s="127">
        <v>0.12333428166928057</v>
      </c>
      <c r="CX24" s="127">
        <f t="shared" si="37"/>
        <v>4.8429281014183798E-2</v>
      </c>
      <c r="CY24" s="141"/>
      <c r="CZ24" s="155">
        <f t="shared" si="38"/>
        <v>2.9399620026260287</v>
      </c>
      <c r="DA24" s="127">
        <v>0.12111950782073322</v>
      </c>
      <c r="DB24" s="127">
        <v>-1.5755893923551086E-2</v>
      </c>
      <c r="DC24" s="127">
        <v>4.0708666056747972E-2</v>
      </c>
      <c r="DD24" s="127">
        <f t="shared" si="39"/>
        <v>2.4952772133196886E-2</v>
      </c>
      <c r="DF24" s="155">
        <f t="shared" si="40"/>
        <v>2.7520154670829022</v>
      </c>
      <c r="DG24" s="127">
        <v>0.18821330670549469</v>
      </c>
      <c r="DH24" s="127">
        <v>-5.1795488505508955E-2</v>
      </c>
      <c r="DI24" s="127">
        <v>5.8705299862000827E-2</v>
      </c>
      <c r="DJ24" s="127">
        <f t="shared" si="41"/>
        <v>6.9098113564918726E-3</v>
      </c>
      <c r="DK24" s="145"/>
      <c r="DL24" s="155">
        <f t="shared" si="42"/>
        <v>3.0985559180604971</v>
      </c>
      <c r="DM24" s="127">
        <v>6.7035381309168043E-2</v>
      </c>
      <c r="DN24" s="127">
        <v>-7.3536182260367233E-3</v>
      </c>
      <c r="DO24" s="127">
        <v>2.3920315750531766E-2</v>
      </c>
      <c r="DP24" s="127">
        <f t="shared" si="43"/>
        <v>1.6566697524495043E-2</v>
      </c>
    </row>
    <row r="25" spans="1:120" x14ac:dyDescent="0.25">
      <c r="A25" s="128" t="str">
        <f>name!B21</f>
        <v>Public admin. and defence</v>
      </c>
      <c r="B25" s="155">
        <f t="shared" si="1"/>
        <v>2.7845669367305037</v>
      </c>
      <c r="C25" s="87">
        <v>1.4539999999999971</v>
      </c>
      <c r="D25" s="127">
        <v>0.21500000000000094</v>
      </c>
      <c r="E25" s="127">
        <v>0.45956628499740532</v>
      </c>
      <c r="F25" s="127">
        <f t="shared" si="2"/>
        <v>0.67456628499740623</v>
      </c>
      <c r="G25" s="141"/>
      <c r="H25" s="155">
        <f t="shared" si="3"/>
        <v>2.6966927781336025</v>
      </c>
      <c r="I25" s="127">
        <v>0.14128910231210851</v>
      </c>
      <c r="J25" s="127">
        <v>5.9444251924195786E-2</v>
      </c>
      <c r="K25" s="127">
        <v>4.3073676239935618E-2</v>
      </c>
      <c r="L25" s="127">
        <f t="shared" si="4"/>
        <v>0.10251792816413141</v>
      </c>
      <c r="N25" s="155">
        <f t="shared" si="5"/>
        <v>2.6438542588399061</v>
      </c>
      <c r="O25" s="127">
        <v>0.56893580875873839</v>
      </c>
      <c r="P25" s="127">
        <v>-4.4190249880834614E-2</v>
      </c>
      <c r="Q25" s="127">
        <v>0.1696360952189005</v>
      </c>
      <c r="R25" s="127">
        <f t="shared" si="6"/>
        <v>0.12544584533806588</v>
      </c>
      <c r="S25" s="145"/>
      <c r="T25" s="155">
        <f t="shared" si="7"/>
        <v>2.9075064601016942</v>
      </c>
      <c r="U25" s="127">
        <v>0.74377508892915023</v>
      </c>
      <c r="V25" s="127">
        <v>0.1997459979566398</v>
      </c>
      <c r="W25" s="127">
        <v>0.24685651353856922</v>
      </c>
      <c r="X25" s="127">
        <f t="shared" si="8"/>
        <v>0.44660251149520902</v>
      </c>
      <c r="Y25" s="128" t="str">
        <f t="shared" si="0"/>
        <v>Public admin. and defence</v>
      </c>
      <c r="Z25" s="155">
        <f t="shared" si="9"/>
        <v>2.8851376822067953</v>
      </c>
      <c r="AA25" s="87">
        <v>0.84360733843630331</v>
      </c>
      <c r="AB25" s="127">
        <v>0.17538381792273638</v>
      </c>
      <c r="AC25" s="127">
        <v>0.27755055757017433</v>
      </c>
      <c r="AD25" s="127">
        <f t="shared" si="10"/>
        <v>0.45293437549291071</v>
      </c>
      <c r="AE25" s="141"/>
      <c r="AF25" s="155">
        <f t="shared" si="11"/>
        <v>2.8363041726107818</v>
      </c>
      <c r="AG25" s="127">
        <v>5.6376739584906382E-2</v>
      </c>
      <c r="AH25" s="127">
        <v>4.262009008845738E-2</v>
      </c>
      <c r="AI25" s="127">
        <v>1.819333158200891E-2</v>
      </c>
      <c r="AJ25" s="127">
        <f t="shared" si="12"/>
        <v>6.0813421670466286E-2</v>
      </c>
      <c r="AL25" s="155">
        <f t="shared" si="13"/>
        <v>2.7318188913314945</v>
      </c>
      <c r="AM25" s="127">
        <v>0.2229228681509284</v>
      </c>
      <c r="AN25" s="127">
        <v>-3.594728389981916E-2</v>
      </c>
      <c r="AO25" s="127">
        <v>6.895717164724055E-2</v>
      </c>
      <c r="AP25" s="127">
        <f t="shared" si="14"/>
        <v>3.300988774742139E-2</v>
      </c>
      <c r="AQ25" s="145"/>
      <c r="AR25" s="155">
        <f t="shared" si="15"/>
        <v>2.9499838912350862</v>
      </c>
      <c r="AS25" s="127">
        <v>0.56430773070046847</v>
      </c>
      <c r="AT25" s="127">
        <v>0.16871101173409817</v>
      </c>
      <c r="AU25" s="127">
        <v>0.1904000543409248</v>
      </c>
      <c r="AV25" s="127">
        <f t="shared" si="16"/>
        <v>0.35911106607502297</v>
      </c>
      <c r="AW25" s="128" t="str">
        <f t="shared" si="17"/>
        <v>Public admin. and defence</v>
      </c>
      <c r="AX25" s="155">
        <f t="shared" si="18"/>
        <v>2.6712682976481661</v>
      </c>
      <c r="AY25" s="87">
        <v>0.35758518146798612</v>
      </c>
      <c r="AZ25" s="127">
        <v>6.3217768742032318E-2</v>
      </c>
      <c r="BA25" s="127">
        <v>0.10786026085378261</v>
      </c>
      <c r="BB25" s="127">
        <f t="shared" si="19"/>
        <v>0.17107802959581492</v>
      </c>
      <c r="BC25" s="141"/>
      <c r="BD25" s="155">
        <f t="shared" si="20"/>
        <v>2.5535596624299828</v>
      </c>
      <c r="BE25" s="127">
        <v>2.8974499483491539E-2</v>
      </c>
      <c r="BF25" s="127">
        <v>1.0961155611916022E-2</v>
      </c>
      <c r="BG25" s="127">
        <v>8.3095724333202906E-3</v>
      </c>
      <c r="BH25" s="127">
        <f t="shared" si="21"/>
        <v>1.9270728045236312E-2</v>
      </c>
      <c r="BJ25" s="155">
        <f t="shared" si="22"/>
        <v>2.6033003151064049</v>
      </c>
      <c r="BK25" s="127">
        <v>0.18013735955834875</v>
      </c>
      <c r="BL25" s="127">
        <v>2.6082866221255052E-2</v>
      </c>
      <c r="BM25" s="127">
        <v>5.2788172825711882E-2</v>
      </c>
      <c r="BN25" s="127">
        <f t="shared" si="23"/>
        <v>7.8871039046966934E-2</v>
      </c>
      <c r="BO25" s="145"/>
      <c r="BP25" s="155">
        <f t="shared" si="24"/>
        <v>2.7758580766297891</v>
      </c>
      <c r="BQ25" s="127">
        <v>0.1484733224261458</v>
      </c>
      <c r="BR25" s="127">
        <v>2.6173746908861251E-2</v>
      </c>
      <c r="BS25" s="127">
        <v>4.6762515594750455E-2</v>
      </c>
      <c r="BT25" s="127">
        <f t="shared" si="25"/>
        <v>7.293626250361171E-2</v>
      </c>
      <c r="BU25" s="128" t="str">
        <f t="shared" si="26"/>
        <v>Public admin. and defence</v>
      </c>
      <c r="BV25" s="155">
        <f t="shared" si="27"/>
        <v>2.5698479897014792</v>
      </c>
      <c r="BW25" s="87">
        <v>0.22357616997639901</v>
      </c>
      <c r="BX25" s="127">
        <v>-2.6493246139725597E-2</v>
      </c>
      <c r="BY25" s="127">
        <v>6.4576488658442441E-2</v>
      </c>
      <c r="BZ25" s="127">
        <f t="shared" si="28"/>
        <v>3.8083242518716844E-2</v>
      </c>
      <c r="CA25" s="141"/>
      <c r="CB25" s="155">
        <f t="shared" si="29"/>
        <v>2.5646022644530531</v>
      </c>
      <c r="CC25" s="127">
        <v>4.6530899706966611E-2</v>
      </c>
      <c r="CD25" s="127">
        <v>4.0427545658888358E-3</v>
      </c>
      <c r="CE25" s="127">
        <v>1.3409060753716812E-2</v>
      </c>
      <c r="CF25" s="127">
        <f t="shared" si="30"/>
        <v>1.7451815319605646E-2</v>
      </c>
      <c r="CH25" s="155">
        <f t="shared" si="31"/>
        <v>2.5510430080478264</v>
      </c>
      <c r="CI25" s="127">
        <v>0.1512576574370198</v>
      </c>
      <c r="CJ25" s="127">
        <v>-3.4244162090111052E-2</v>
      </c>
      <c r="CK25" s="127">
        <v>4.3331298473152743E-2</v>
      </c>
      <c r="CL25" s="127">
        <f t="shared" si="32"/>
        <v>9.0871363830416912E-3</v>
      </c>
      <c r="CM25" s="145"/>
      <c r="CN25" s="155">
        <f t="shared" si="33"/>
        <v>2.6888973859667598</v>
      </c>
      <c r="CO25" s="127">
        <v>2.5787612832412595E-2</v>
      </c>
      <c r="CP25" s="127">
        <v>3.7081613844966248E-3</v>
      </c>
      <c r="CQ25" s="127">
        <v>7.836129431572891E-3</v>
      </c>
      <c r="CR25" s="127">
        <f t="shared" si="34"/>
        <v>1.1544290816069516E-2</v>
      </c>
      <c r="CS25" s="128" t="str">
        <f t="shared" si="35"/>
        <v>Public admin. and defence</v>
      </c>
      <c r="CT25" s="155">
        <f t="shared" si="36"/>
        <v>2.8750024457971257</v>
      </c>
      <c r="CU25" s="87">
        <v>2.9231310119308785E-2</v>
      </c>
      <c r="CV25" s="127">
        <v>2.8916594749578122E-3</v>
      </c>
      <c r="CW25" s="127">
        <v>9.578977915005971E-3</v>
      </c>
      <c r="CX25" s="127">
        <f t="shared" si="37"/>
        <v>1.2470637389963783E-2</v>
      </c>
      <c r="CY25" s="141"/>
      <c r="CZ25" s="155">
        <f t="shared" si="38"/>
        <v>2.9399620026260287</v>
      </c>
      <c r="DA25" s="127">
        <v>9.4069635367439817E-3</v>
      </c>
      <c r="DB25" s="127">
        <v>1.8202516579335466E-3</v>
      </c>
      <c r="DC25" s="127">
        <v>3.1617114708896062E-3</v>
      </c>
      <c r="DD25" s="127">
        <f t="shared" si="39"/>
        <v>4.9819631288231525E-3</v>
      </c>
      <c r="DF25" s="155">
        <f t="shared" si="40"/>
        <v>2.7520154670842789</v>
      </c>
      <c r="DG25" s="127">
        <v>1.4617923612441512E-2</v>
      </c>
      <c r="DH25" s="127">
        <v>-8.1670112159448079E-5</v>
      </c>
      <c r="DI25" s="127">
        <v>4.5594522727953144E-3</v>
      </c>
      <c r="DJ25" s="127">
        <f t="shared" si="41"/>
        <v>4.4777821606358662E-3</v>
      </c>
      <c r="DK25" s="145"/>
      <c r="DL25" s="155">
        <f t="shared" si="42"/>
        <v>3.0985559180585875</v>
      </c>
      <c r="DM25" s="127">
        <v>5.2064229701232886E-3</v>
      </c>
      <c r="DN25" s="127">
        <v>1.1530779291837137E-3</v>
      </c>
      <c r="DO25" s="127">
        <v>1.8578141713210513E-3</v>
      </c>
      <c r="DP25" s="127">
        <f t="shared" si="43"/>
        <v>3.0108921005047649E-3</v>
      </c>
    </row>
    <row r="26" spans="1:120" x14ac:dyDescent="0.25">
      <c r="A26" s="128" t="str">
        <f>name!B22</f>
        <v>Education</v>
      </c>
      <c r="B26" s="155">
        <f t="shared" si="1"/>
        <v>2.7941946420653396</v>
      </c>
      <c r="C26" s="87">
        <v>27.519999999999932</v>
      </c>
      <c r="D26" s="127">
        <v>5.4400000000000306</v>
      </c>
      <c r="E26" s="127">
        <v>8.7321954612186001</v>
      </c>
      <c r="F26" s="127">
        <f t="shared" si="2"/>
        <v>14.172195461218632</v>
      </c>
      <c r="G26" s="141"/>
      <c r="H26" s="155">
        <f t="shared" si="3"/>
        <v>2.7029013910380817</v>
      </c>
      <c r="I26" s="127">
        <v>4.1940595367848887</v>
      </c>
      <c r="J26" s="127">
        <v>0.48827775119455635</v>
      </c>
      <c r="K26" s="127">
        <v>1.2819187642232284</v>
      </c>
      <c r="L26" s="127">
        <f t="shared" si="4"/>
        <v>1.7701965154177848</v>
      </c>
      <c r="N26" s="155">
        <f t="shared" si="5"/>
        <v>2.6641720196424856</v>
      </c>
      <c r="O26" s="127">
        <v>13.503625138933433</v>
      </c>
      <c r="P26" s="127">
        <v>0.84821921937760381</v>
      </c>
      <c r="Q26" s="127">
        <v>4.0610233469695309</v>
      </c>
      <c r="R26" s="127">
        <f t="shared" si="6"/>
        <v>4.9092425663471344</v>
      </c>
      <c r="S26" s="145"/>
      <c r="T26" s="155">
        <f t="shared" si="7"/>
        <v>3.008734431358584</v>
      </c>
      <c r="U26" s="127">
        <v>9.822315324281611</v>
      </c>
      <c r="V26" s="127">
        <v>4.1035030294278707</v>
      </c>
      <c r="W26" s="127">
        <v>3.3892533500258399</v>
      </c>
      <c r="X26" s="127">
        <f t="shared" si="8"/>
        <v>7.4927563794537111</v>
      </c>
      <c r="Y26" s="128" t="str">
        <f t="shared" si="0"/>
        <v>Education</v>
      </c>
      <c r="Z26" s="155">
        <f t="shared" si="9"/>
        <v>2.9117760664267189</v>
      </c>
      <c r="AA26" s="87">
        <v>12.395569669075353</v>
      </c>
      <c r="AB26" s="127">
        <v>5.0801062397678249</v>
      </c>
      <c r="AC26" s="127">
        <v>4.1209000120001473</v>
      </c>
      <c r="AD26" s="127">
        <f t="shared" si="10"/>
        <v>9.2010062517679714</v>
      </c>
      <c r="AE26" s="141"/>
      <c r="AF26" s="155">
        <f t="shared" si="11"/>
        <v>2.5937636321570645</v>
      </c>
      <c r="AG26" s="127">
        <v>0.81258397047140074</v>
      </c>
      <c r="AH26" s="127">
        <v>0.63966731573933144</v>
      </c>
      <c r="AI26" s="127">
        <v>0.23714666545277929</v>
      </c>
      <c r="AJ26" s="127">
        <f t="shared" si="12"/>
        <v>0.87681398119211074</v>
      </c>
      <c r="AL26" s="155">
        <f t="shared" si="13"/>
        <v>2.6939990649745837</v>
      </c>
      <c r="AM26" s="127">
        <v>4.0463139611233547</v>
      </c>
      <c r="AN26" s="127">
        <v>0.77655527040304539</v>
      </c>
      <c r="AO26" s="127">
        <v>1.2321825690004835</v>
      </c>
      <c r="AP26" s="127">
        <f t="shared" si="14"/>
        <v>2.0087378394035289</v>
      </c>
      <c r="AQ26" s="145"/>
      <c r="AR26" s="155">
        <f t="shared" si="15"/>
        <v>3.0604341026309489</v>
      </c>
      <c r="AS26" s="127">
        <v>7.5366717374805985</v>
      </c>
      <c r="AT26" s="127">
        <v>3.6638836536254487</v>
      </c>
      <c r="AU26" s="127">
        <v>2.6515707775468846</v>
      </c>
      <c r="AV26" s="127">
        <f t="shared" si="16"/>
        <v>6.3154544311723333</v>
      </c>
      <c r="AW26" s="128" t="str">
        <f t="shared" si="17"/>
        <v>Education</v>
      </c>
      <c r="AX26" s="155">
        <f t="shared" si="18"/>
        <v>2.6688337014858732</v>
      </c>
      <c r="AY26" s="87">
        <v>4.0745695684818486</v>
      </c>
      <c r="AZ26" s="127">
        <v>-0.65076923691411093</v>
      </c>
      <c r="BA26" s="127">
        <v>1.227775929825986</v>
      </c>
      <c r="BB26" s="127">
        <f t="shared" si="19"/>
        <v>0.57700669291187512</v>
      </c>
      <c r="BC26" s="141"/>
      <c r="BD26" s="155">
        <f t="shared" si="20"/>
        <v>2.5882032430875057</v>
      </c>
      <c r="BE26" s="127">
        <v>0.26691123725535981</v>
      </c>
      <c r="BF26" s="127">
        <v>-0.19380533282346687</v>
      </c>
      <c r="BG26" s="127">
        <v>7.7709251306618335E-2</v>
      </c>
      <c r="BH26" s="127">
        <f t="shared" si="21"/>
        <v>-0.11609608151684854</v>
      </c>
      <c r="BJ26" s="155">
        <f t="shared" si="22"/>
        <v>2.6104632834062169</v>
      </c>
      <c r="BK26" s="127">
        <v>2.4396136341847261</v>
      </c>
      <c r="BL26" s="127">
        <v>-0.51114595901616455</v>
      </c>
      <c r="BM26" s="127">
        <v>0.7171170827738349</v>
      </c>
      <c r="BN26" s="127">
        <f t="shared" si="23"/>
        <v>0.20597112375767035</v>
      </c>
      <c r="BO26" s="145"/>
      <c r="BP26" s="155">
        <f t="shared" si="24"/>
        <v>2.7877134101330858</v>
      </c>
      <c r="BQ26" s="127">
        <v>1.3680446970417623</v>
      </c>
      <c r="BR26" s="127">
        <v>5.4182054925520501E-2</v>
      </c>
      <c r="BS26" s="127">
        <v>0.43294959574553271</v>
      </c>
      <c r="BT26" s="127">
        <f t="shared" si="25"/>
        <v>0.48713165067105324</v>
      </c>
      <c r="BU26" s="128" t="str">
        <f t="shared" si="26"/>
        <v>Education</v>
      </c>
      <c r="BV26" s="155">
        <f t="shared" si="27"/>
        <v>2.5719174756100083</v>
      </c>
      <c r="BW26" s="87">
        <v>6.5723358416890418</v>
      </c>
      <c r="BX26" s="127">
        <v>-0.15751225654061013</v>
      </c>
      <c r="BY26" s="127">
        <v>1.9000258963583028</v>
      </c>
      <c r="BZ26" s="127">
        <f t="shared" si="28"/>
        <v>1.7425136398176926</v>
      </c>
      <c r="CA26" s="141"/>
      <c r="CB26" s="155">
        <f t="shared" si="29"/>
        <v>2.5863835000538682</v>
      </c>
      <c r="CC26" s="127">
        <v>1.6317851440554909</v>
      </c>
      <c r="CD26" s="127">
        <v>-0.43279551678413736</v>
      </c>
      <c r="CE26" s="127">
        <v>0.47470859686707906</v>
      </c>
      <c r="CF26" s="127">
        <f t="shared" si="30"/>
        <v>4.1913080082941701E-2</v>
      </c>
      <c r="CH26" s="155">
        <f t="shared" si="31"/>
        <v>2.542118825536166</v>
      </c>
      <c r="CI26" s="127">
        <v>4.3810752206434573</v>
      </c>
      <c r="CJ26" s="127">
        <v>2.5793305536142896E-2</v>
      </c>
      <c r="CK26" s="127">
        <v>1.250158852183944</v>
      </c>
      <c r="CL26" s="127">
        <f t="shared" si="32"/>
        <v>1.275952157720087</v>
      </c>
      <c r="CM26" s="145"/>
      <c r="CN26" s="155">
        <f t="shared" si="33"/>
        <v>2.7611586651374198</v>
      </c>
      <c r="CO26" s="127">
        <v>0.55947547699009315</v>
      </c>
      <c r="CP26" s="127">
        <v>0.24948995470738433</v>
      </c>
      <c r="CQ26" s="127">
        <v>0.17515844730727984</v>
      </c>
      <c r="CR26" s="127">
        <f t="shared" si="34"/>
        <v>0.42464840201466414</v>
      </c>
      <c r="CS26" s="128" t="str">
        <f t="shared" si="35"/>
        <v>Education</v>
      </c>
      <c r="CT26" s="155">
        <f t="shared" si="36"/>
        <v>2.9030497321535176</v>
      </c>
      <c r="CU26" s="87">
        <v>4.4775249207536891</v>
      </c>
      <c r="CV26" s="127">
        <v>1.168175253686927</v>
      </c>
      <c r="CW26" s="127">
        <v>1.4834936230341631</v>
      </c>
      <c r="CX26" s="127">
        <f t="shared" si="37"/>
        <v>2.6516688767210903</v>
      </c>
      <c r="CY26" s="141"/>
      <c r="CZ26" s="155">
        <f t="shared" si="38"/>
        <v>2.9086772572280095</v>
      </c>
      <c r="DA26" s="127">
        <v>1.4827791850026377</v>
      </c>
      <c r="DB26" s="127">
        <v>0.47521128506282911</v>
      </c>
      <c r="DC26" s="127">
        <v>0.4923542505967517</v>
      </c>
      <c r="DD26" s="127">
        <f t="shared" si="39"/>
        <v>0.96756553565958081</v>
      </c>
      <c r="DF26" s="155">
        <f t="shared" si="40"/>
        <v>2.8678141931647749</v>
      </c>
      <c r="DG26" s="127">
        <v>2.6366223229818955</v>
      </c>
      <c r="DH26" s="127">
        <v>0.55701660245458018</v>
      </c>
      <c r="DI26" s="127">
        <v>0.86156484301126879</v>
      </c>
      <c r="DJ26" s="127">
        <f t="shared" si="41"/>
        <v>1.418581445465849</v>
      </c>
      <c r="DK26" s="145"/>
      <c r="DL26" s="155">
        <f t="shared" si="42"/>
        <v>3.1363650139041965</v>
      </c>
      <c r="DM26" s="127">
        <v>0.35812341276915594</v>
      </c>
      <c r="DN26" s="127">
        <v>0.13594736616951764</v>
      </c>
      <c r="DO26" s="127">
        <v>0.12957452942614286</v>
      </c>
      <c r="DP26" s="127">
        <f t="shared" si="43"/>
        <v>0.26552189559566053</v>
      </c>
    </row>
    <row r="27" spans="1:120" x14ac:dyDescent="0.25">
      <c r="A27" s="128" t="str">
        <f>name!B23</f>
        <v>Health and social work</v>
      </c>
      <c r="B27" s="155">
        <f t="shared" si="1"/>
        <v>2.5950961839178666</v>
      </c>
      <c r="C27" s="87">
        <v>275.60199999999969</v>
      </c>
      <c r="D27" s="127">
        <v>-1.6730000000003524</v>
      </c>
      <c r="E27" s="127">
        <v>80.47866678861341</v>
      </c>
      <c r="F27" s="127">
        <f t="shared" si="2"/>
        <v>78.805666788613053</v>
      </c>
      <c r="G27" s="141"/>
      <c r="H27" s="155">
        <f t="shared" si="3"/>
        <v>2.4695756737683316</v>
      </c>
      <c r="I27" s="127">
        <v>81.511675089783012</v>
      </c>
      <c r="J27" s="127">
        <v>-19.797720579312639</v>
      </c>
      <c r="K27" s="127">
        <v>22.520863469623457</v>
      </c>
      <c r="L27" s="127">
        <f t="shared" si="4"/>
        <v>2.7231428903108181</v>
      </c>
      <c r="N27" s="155">
        <f t="shared" si="5"/>
        <v>2.5552337751491017</v>
      </c>
      <c r="O27" s="127">
        <v>150.28991841904894</v>
      </c>
      <c r="P27" s="127">
        <v>8.7057795230669974</v>
      </c>
      <c r="Q27" s="127">
        <v>43.133091870505552</v>
      </c>
      <c r="R27" s="127">
        <f t="shared" si="6"/>
        <v>51.838871393572546</v>
      </c>
      <c r="S27" s="145"/>
      <c r="T27" s="155">
        <f t="shared" si="7"/>
        <v>2.9581093378684198</v>
      </c>
      <c r="U27" s="127">
        <v>43.800406491167763</v>
      </c>
      <c r="V27" s="127">
        <v>9.418941056245286</v>
      </c>
      <c r="W27" s="127">
        <v>14.824711448484381</v>
      </c>
      <c r="X27" s="127">
        <f t="shared" si="8"/>
        <v>24.243652504729667</v>
      </c>
      <c r="Y27" s="128" t="str">
        <f t="shared" si="0"/>
        <v>Health and social work</v>
      </c>
      <c r="Z27" s="155">
        <f t="shared" si="9"/>
        <v>3.1186773432537507</v>
      </c>
      <c r="AA27" s="87">
        <v>64.293915126009693</v>
      </c>
      <c r="AB27" s="127">
        <v>17.722549991381833</v>
      </c>
      <c r="AC27" s="127">
        <v>23.112480454512202</v>
      </c>
      <c r="AD27" s="127">
        <f t="shared" si="10"/>
        <v>40.835030445894034</v>
      </c>
      <c r="AE27" s="141"/>
      <c r="AF27" s="155">
        <f t="shared" si="11"/>
        <v>3.0783063740929206</v>
      </c>
      <c r="AG27" s="127">
        <v>9.9195473983854772</v>
      </c>
      <c r="AH27" s="127">
        <v>1.4973424642898829</v>
      </c>
      <c r="AI27" s="127">
        <v>3.5131923201060649</v>
      </c>
      <c r="AJ27" s="127">
        <f t="shared" si="12"/>
        <v>5.010534784395948</v>
      </c>
      <c r="AL27" s="155">
        <f t="shared" si="13"/>
        <v>3.1315372831501653</v>
      </c>
      <c r="AM27" s="127">
        <v>25.525698517196087</v>
      </c>
      <c r="AN27" s="127">
        <v>10.147584573449684</v>
      </c>
      <c r="AO27" s="127">
        <v>9.2193201705336563</v>
      </c>
      <c r="AP27" s="127">
        <f t="shared" si="14"/>
        <v>19.366904743983341</v>
      </c>
      <c r="AQ27" s="145"/>
      <c r="AR27" s="155">
        <f t="shared" si="15"/>
        <v>3.121149070624285</v>
      </c>
      <c r="AS27" s="127">
        <v>28.848669210428131</v>
      </c>
      <c r="AT27" s="127">
        <v>6.0776229536422628</v>
      </c>
      <c r="AU27" s="127">
        <v>10.379967963872479</v>
      </c>
      <c r="AV27" s="127">
        <f t="shared" si="16"/>
        <v>16.457590917514743</v>
      </c>
      <c r="AW27" s="128" t="str">
        <f t="shared" si="17"/>
        <v>Health and social work</v>
      </c>
      <c r="AX27" s="155">
        <f t="shared" si="18"/>
        <v>2.6759668403012915</v>
      </c>
      <c r="AY27" s="87">
        <v>16.521747365931887</v>
      </c>
      <c r="AZ27" s="127">
        <v>-0.90533997621618789</v>
      </c>
      <c r="BA27" s="127">
        <v>4.9933832774217386</v>
      </c>
      <c r="BB27" s="127">
        <f t="shared" si="19"/>
        <v>4.088043301205551</v>
      </c>
      <c r="BC27" s="141"/>
      <c r="BD27" s="155">
        <f t="shared" si="20"/>
        <v>2.5787165892088737</v>
      </c>
      <c r="BE27" s="127">
        <v>2.1756544236878499</v>
      </c>
      <c r="BF27" s="127">
        <v>-0.17162265131127769</v>
      </c>
      <c r="BG27" s="127">
        <v>0.63082928217437373</v>
      </c>
      <c r="BH27" s="127">
        <f t="shared" si="21"/>
        <v>0.45920663086309604</v>
      </c>
      <c r="BJ27" s="155">
        <f t="shared" si="22"/>
        <v>2.6312555462310261</v>
      </c>
      <c r="BK27" s="127">
        <v>8.5774116106248197</v>
      </c>
      <c r="BL27" s="127">
        <v>-1.3110321038488253</v>
      </c>
      <c r="BM27" s="127">
        <v>2.5438144946044696</v>
      </c>
      <c r="BN27" s="127">
        <f t="shared" si="23"/>
        <v>1.2327823907556443</v>
      </c>
      <c r="BO27" s="145"/>
      <c r="BP27" s="155">
        <f t="shared" si="24"/>
        <v>2.7783786676990552</v>
      </c>
      <c r="BQ27" s="127">
        <v>5.7686813316192156</v>
      </c>
      <c r="BR27" s="127">
        <v>0.57731477894391503</v>
      </c>
      <c r="BS27" s="127">
        <v>1.8187395006428966</v>
      </c>
      <c r="BT27" s="127">
        <f t="shared" si="25"/>
        <v>2.3960542795868118</v>
      </c>
      <c r="BU27" s="128" t="str">
        <f t="shared" si="26"/>
        <v>Health and social work</v>
      </c>
      <c r="BV27" s="155">
        <f t="shared" si="27"/>
        <v>2.4185311777933372</v>
      </c>
      <c r="BW27" s="87">
        <v>185.64731569674743</v>
      </c>
      <c r="BX27" s="127">
        <v>-20.042065793695048</v>
      </c>
      <c r="BY27" s="127">
        <v>50.114846449207548</v>
      </c>
      <c r="BZ27" s="127">
        <f t="shared" si="28"/>
        <v>30.072780655512499</v>
      </c>
      <c r="CA27" s="141"/>
      <c r="CB27" s="155">
        <f t="shared" si="29"/>
        <v>2.3870453919311752</v>
      </c>
      <c r="CC27" s="127">
        <v>65.07948365464064</v>
      </c>
      <c r="CD27" s="127">
        <v>-20.422001047817911</v>
      </c>
      <c r="CE27" s="127">
        <v>17.314254108560334</v>
      </c>
      <c r="CF27" s="127">
        <f t="shared" si="30"/>
        <v>-3.1077469392575772</v>
      </c>
      <c r="CH27" s="155">
        <f t="shared" si="31"/>
        <v>2.4258065702267961</v>
      </c>
      <c r="CI27" s="127">
        <v>111.69445579336453</v>
      </c>
      <c r="CJ27" s="127">
        <v>-1.7999732059359685</v>
      </c>
      <c r="CK27" s="127">
        <v>30.252323208272195</v>
      </c>
      <c r="CL27" s="127">
        <f t="shared" si="32"/>
        <v>28.452350002336225</v>
      </c>
      <c r="CM27" s="145"/>
      <c r="CN27" s="155">
        <f t="shared" si="33"/>
        <v>2.5566857264312626</v>
      </c>
      <c r="CO27" s="127">
        <v>8.8733762487422378</v>
      </c>
      <c r="CP27" s="127">
        <v>2.1799084600588299</v>
      </c>
      <c r="CQ27" s="127">
        <v>2.5482691323750268</v>
      </c>
      <c r="CR27" s="127">
        <f t="shared" si="34"/>
        <v>4.7281775924338572</v>
      </c>
      <c r="CS27" s="128" t="str">
        <f t="shared" si="35"/>
        <v>Health and social work</v>
      </c>
      <c r="CT27" s="155">
        <f t="shared" si="36"/>
        <v>2.2325047123997521</v>
      </c>
      <c r="CU27" s="87">
        <v>9.139021811310748</v>
      </c>
      <c r="CV27" s="127">
        <v>1.5518557785290545</v>
      </c>
      <c r="CW27" s="127">
        <v>2.2579566074718973</v>
      </c>
      <c r="CX27" s="127">
        <f t="shared" si="37"/>
        <v>3.8098123860009521</v>
      </c>
      <c r="CY27" s="141"/>
      <c r="CZ27" s="155">
        <f t="shared" si="38"/>
        <v>2.2155897378276945</v>
      </c>
      <c r="DA27" s="127">
        <v>4.3369896130690391</v>
      </c>
      <c r="DB27" s="127">
        <v>-0.70143934447333278</v>
      </c>
      <c r="DC27" s="127">
        <v>1.0625877587826875</v>
      </c>
      <c r="DD27" s="127">
        <f t="shared" si="39"/>
        <v>0.36114841430935474</v>
      </c>
      <c r="DF27" s="155">
        <f t="shared" si="40"/>
        <v>2.2465820104417666</v>
      </c>
      <c r="DG27" s="127">
        <v>4.4923524978635268</v>
      </c>
      <c r="DH27" s="127">
        <v>1.6692002594021076</v>
      </c>
      <c r="DI27" s="127">
        <v>1.1176339970952323</v>
      </c>
      <c r="DJ27" s="127">
        <f t="shared" si="41"/>
        <v>2.7868342564973396</v>
      </c>
      <c r="DK27" s="145"/>
      <c r="DL27" s="155">
        <f t="shared" si="42"/>
        <v>2.2648343335861076</v>
      </c>
      <c r="DM27" s="127">
        <v>0.30967970037818215</v>
      </c>
      <c r="DN27" s="127">
        <v>0.58409486360027985</v>
      </c>
      <c r="DO27" s="127">
        <v>7.7734851593977319E-2</v>
      </c>
      <c r="DP27" s="127">
        <f t="shared" si="43"/>
        <v>0.66182971519425715</v>
      </c>
    </row>
    <row r="28" spans="1:120" x14ac:dyDescent="0.25">
      <c r="A28" s="128" t="str">
        <f>name!B24</f>
        <v>Arts and entertainment</v>
      </c>
      <c r="B28" s="155">
        <f t="shared" si="1"/>
        <v>2.6894345447805668</v>
      </c>
      <c r="C28" s="87">
        <v>583.99199872311158</v>
      </c>
      <c r="D28" s="127">
        <v>22.974992839555728</v>
      </c>
      <c r="E28" s="127">
        <v>177.49855672479771</v>
      </c>
      <c r="F28" s="127">
        <f t="shared" si="2"/>
        <v>200.47354956435345</v>
      </c>
      <c r="G28" s="141"/>
      <c r="H28" s="155">
        <f t="shared" si="3"/>
        <v>2.5241340757117703</v>
      </c>
      <c r="I28" s="127">
        <v>112.61142831364945</v>
      </c>
      <c r="J28" s="127">
        <v>-19.950461975362895</v>
      </c>
      <c r="K28" s="127">
        <v>31.880492992433172</v>
      </c>
      <c r="L28" s="127">
        <f t="shared" si="4"/>
        <v>11.930031017070277</v>
      </c>
      <c r="N28" s="155">
        <f t="shared" si="5"/>
        <v>2.5965813402446081</v>
      </c>
      <c r="O28" s="127">
        <v>322.09728549501801</v>
      </c>
      <c r="P28" s="127">
        <v>22.98072850143604</v>
      </c>
      <c r="Q28" s="127">
        <v>94.116022316887069</v>
      </c>
      <c r="R28" s="127">
        <f t="shared" si="6"/>
        <v>117.0967508183231</v>
      </c>
      <c r="S28" s="145"/>
      <c r="T28" s="155">
        <f t="shared" si="7"/>
        <v>3.0082665428908584</v>
      </c>
      <c r="U28" s="127">
        <v>149.28328491444404</v>
      </c>
      <c r="V28" s="127">
        <v>19.94472631348258</v>
      </c>
      <c r="W28" s="127">
        <v>51.5020414154775</v>
      </c>
      <c r="X28" s="127">
        <f t="shared" si="8"/>
        <v>71.446767728960083</v>
      </c>
      <c r="Y28" s="128" t="str">
        <f t="shared" si="0"/>
        <v>Arts and entertainment</v>
      </c>
      <c r="Z28" s="155">
        <f t="shared" si="9"/>
        <v>3.2588943559272998</v>
      </c>
      <c r="AA28" s="87">
        <v>161.66137310285907</v>
      </c>
      <c r="AB28" s="127">
        <v>1.3326548882882316</v>
      </c>
      <c r="AC28" s="127">
        <v>61.121073231490051</v>
      </c>
      <c r="AD28" s="127">
        <f t="shared" si="10"/>
        <v>62.453728119778283</v>
      </c>
      <c r="AE28" s="141"/>
      <c r="AF28" s="155">
        <f t="shared" si="11"/>
        <v>3.2768095159466437</v>
      </c>
      <c r="AG28" s="127">
        <v>13.303128548274954</v>
      </c>
      <c r="AH28" s="127">
        <v>-1.9338514027227476</v>
      </c>
      <c r="AI28" s="127">
        <v>5.0614902397360089</v>
      </c>
      <c r="AJ28" s="127">
        <f t="shared" si="12"/>
        <v>3.1276388370132615</v>
      </c>
      <c r="AL28" s="155">
        <f t="shared" si="13"/>
        <v>3.2222682296140004</v>
      </c>
      <c r="AM28" s="127">
        <v>61.167755464113846</v>
      </c>
      <c r="AN28" s="127">
        <v>-4.1267654969595462</v>
      </c>
      <c r="AO28" s="127">
        <v>22.827842408062001</v>
      </c>
      <c r="AP28" s="127">
        <f t="shared" si="14"/>
        <v>18.701076911102454</v>
      </c>
      <c r="AQ28" s="145"/>
      <c r="AR28" s="155">
        <f t="shared" si="15"/>
        <v>3.2817897264484586</v>
      </c>
      <c r="AS28" s="127">
        <v>87.190489090470265</v>
      </c>
      <c r="AT28" s="127">
        <v>7.3932717879705248</v>
      </c>
      <c r="AU28" s="127">
        <v>33.231740583692044</v>
      </c>
      <c r="AV28" s="127">
        <f t="shared" si="16"/>
        <v>40.625012371662571</v>
      </c>
      <c r="AW28" s="128" t="str">
        <f t="shared" si="17"/>
        <v>Arts and entertainment</v>
      </c>
      <c r="AX28" s="155">
        <f t="shared" si="18"/>
        <v>2.4581982255185597</v>
      </c>
      <c r="AY28" s="87">
        <v>274.12096692663408</v>
      </c>
      <c r="AZ28" s="127">
        <v>19.909375624336565</v>
      </c>
      <c r="BA28" s="127">
        <v>75.348629505054475</v>
      </c>
      <c r="BB28" s="127">
        <f t="shared" si="19"/>
        <v>95.258005129391037</v>
      </c>
      <c r="BC28" s="141"/>
      <c r="BD28" s="155">
        <f t="shared" si="20"/>
        <v>2.3965751535212299</v>
      </c>
      <c r="BE28" s="127">
        <v>52.434042602494252</v>
      </c>
      <c r="BF28" s="127">
        <v>-10.478560037555006</v>
      </c>
      <c r="BG28" s="127">
        <v>14.01177557326081</v>
      </c>
      <c r="BH28" s="127">
        <f t="shared" si="21"/>
        <v>3.5332155357058035</v>
      </c>
      <c r="BJ28" s="155">
        <f t="shared" si="22"/>
        <v>2.4303568044377055</v>
      </c>
      <c r="BK28" s="127">
        <v>169.82026195600062</v>
      </c>
      <c r="BL28" s="127">
        <v>22.045877770222617</v>
      </c>
      <c r="BM28" s="127">
        <v>46.091529986569107</v>
      </c>
      <c r="BN28" s="127">
        <f t="shared" si="23"/>
        <v>68.137407756791731</v>
      </c>
      <c r="BO28" s="145"/>
      <c r="BP28" s="155">
        <f t="shared" si="24"/>
        <v>2.6103523894776215</v>
      </c>
      <c r="BQ28" s="127">
        <v>51.866662368139195</v>
      </c>
      <c r="BR28" s="127">
        <v>8.3420578916689543</v>
      </c>
      <c r="BS28" s="127">
        <v>15.245323945224559</v>
      </c>
      <c r="BT28" s="127">
        <f t="shared" si="25"/>
        <v>23.587381836893513</v>
      </c>
      <c r="BU28" s="128" t="str">
        <f t="shared" si="26"/>
        <v>Arts and entertainment</v>
      </c>
      <c r="BV28" s="155">
        <f t="shared" si="27"/>
        <v>2.5546872517099084</v>
      </c>
      <c r="BW28" s="87">
        <v>107.2598983032326</v>
      </c>
      <c r="BX28" s="127">
        <v>-4.6347125764802879</v>
      </c>
      <c r="BY28" s="127">
        <v>30.776152696349076</v>
      </c>
      <c r="BZ28" s="127">
        <f t="shared" si="28"/>
        <v>26.14144011986879</v>
      </c>
      <c r="CA28" s="141"/>
      <c r="CB28" s="155">
        <f t="shared" si="29"/>
        <v>2.4937117735407188</v>
      </c>
      <c r="CC28" s="127">
        <v>30.58519142119675</v>
      </c>
      <c r="CD28" s="127">
        <v>-4.9664708583329622</v>
      </c>
      <c r="CE28" s="127">
        <v>8.5424270700257328</v>
      </c>
      <c r="CF28" s="127">
        <f t="shared" si="30"/>
        <v>3.5759562116927706</v>
      </c>
      <c r="CH28" s="155">
        <f t="shared" si="31"/>
        <v>2.5657893609980054</v>
      </c>
      <c r="CI28" s="127">
        <v>68.527793794387208</v>
      </c>
      <c r="CJ28" s="127">
        <v>-2.6111534978573356</v>
      </c>
      <c r="CK28" s="127">
        <v>19.75824225652681</v>
      </c>
      <c r="CL28" s="127">
        <f t="shared" si="32"/>
        <v>17.147088758669476</v>
      </c>
      <c r="CM28" s="145"/>
      <c r="CN28" s="155">
        <f t="shared" si="33"/>
        <v>2.6887677275016175</v>
      </c>
      <c r="CO28" s="127">
        <v>8.1469130876486417</v>
      </c>
      <c r="CP28" s="127">
        <v>2.9429117797100104</v>
      </c>
      <c r="CQ28" s="127">
        <v>2.4754833697965344</v>
      </c>
      <c r="CR28" s="127">
        <f t="shared" si="34"/>
        <v>5.4183951495065443</v>
      </c>
      <c r="CS28" s="128" t="str">
        <f t="shared" si="35"/>
        <v>Arts and entertainment</v>
      </c>
      <c r="CT28" s="155">
        <f t="shared" si="36"/>
        <v>2.2595665716523383</v>
      </c>
      <c r="CU28" s="87">
        <v>40.949760390385762</v>
      </c>
      <c r="CV28" s="127">
        <v>6.3676749034112179</v>
      </c>
      <c r="CW28" s="127">
        <v>10.252701291904129</v>
      </c>
      <c r="CX28" s="127">
        <f t="shared" si="37"/>
        <v>16.620376195315348</v>
      </c>
      <c r="CY28" s="141"/>
      <c r="CZ28" s="155">
        <f t="shared" si="38"/>
        <v>2.3528014807572273</v>
      </c>
      <c r="DA28" s="127">
        <v>16.289065741683487</v>
      </c>
      <c r="DB28" s="127">
        <v>-2.5715796767521768</v>
      </c>
      <c r="DC28" s="127">
        <v>4.264800109410622</v>
      </c>
      <c r="DD28" s="127">
        <f t="shared" si="39"/>
        <v>1.6932204326584452</v>
      </c>
      <c r="DF28" s="155">
        <f t="shared" si="40"/>
        <v>2.1812946342883111</v>
      </c>
      <c r="DG28" s="127">
        <v>22.581474280516332</v>
      </c>
      <c r="DH28" s="127">
        <v>7.6727697260303049</v>
      </c>
      <c r="DI28" s="127">
        <v>5.438407665729156</v>
      </c>
      <c r="DJ28" s="127">
        <f t="shared" si="41"/>
        <v>13.111177391759462</v>
      </c>
      <c r="DK28" s="145"/>
      <c r="DL28" s="155">
        <f t="shared" si="42"/>
        <v>2.372728806531299</v>
      </c>
      <c r="DM28" s="127">
        <v>2.0792203681859425</v>
      </c>
      <c r="DN28" s="127">
        <v>1.2664848541330906</v>
      </c>
      <c r="DO28" s="127">
        <v>0.54949351676435321</v>
      </c>
      <c r="DP28" s="127">
        <f t="shared" si="43"/>
        <v>1.8159783708974437</v>
      </c>
    </row>
    <row r="29" spans="1:120" x14ac:dyDescent="0.25">
      <c r="A29" s="128" t="str">
        <f>name!B25</f>
        <v>Other services</v>
      </c>
      <c r="B29" s="155">
        <f t="shared" si="1"/>
        <v>2.7838069142694266</v>
      </c>
      <c r="C29" s="87">
        <v>108.16125170522943</v>
      </c>
      <c r="D29" s="127">
        <v>8.1774730396989117</v>
      </c>
      <c r="E29" s="127">
        <v>34.176039083117807</v>
      </c>
      <c r="F29" s="127">
        <f t="shared" si="2"/>
        <v>42.353512122816717</v>
      </c>
      <c r="G29" s="141"/>
      <c r="H29" s="155">
        <f t="shared" si="3"/>
        <v>2.6834266880037649</v>
      </c>
      <c r="I29" s="127">
        <v>32.326959698464499</v>
      </c>
      <c r="J29" s="127">
        <v>-6.1167969801013387</v>
      </c>
      <c r="K29" s="127">
        <v>9.8008028887364027</v>
      </c>
      <c r="L29" s="127">
        <f t="shared" si="4"/>
        <v>3.6840059086350641</v>
      </c>
      <c r="N29" s="155">
        <f t="shared" si="5"/>
        <v>2.7760834170330817</v>
      </c>
      <c r="O29" s="127">
        <v>57.398886868822629</v>
      </c>
      <c r="P29" s="127">
        <v>7.6406602287910461</v>
      </c>
      <c r="Q29" s="127">
        <v>18.079760081959783</v>
      </c>
      <c r="R29" s="127">
        <f t="shared" si="6"/>
        <v>25.720420310750828</v>
      </c>
      <c r="S29" s="145"/>
      <c r="T29" s="155">
        <f t="shared" si="7"/>
        <v>2.981376043016648</v>
      </c>
      <c r="U29" s="127">
        <v>18.435405137942325</v>
      </c>
      <c r="V29" s="127">
        <v>6.6536097910092034</v>
      </c>
      <c r="W29" s="127">
        <v>6.2954761124216301</v>
      </c>
      <c r="X29" s="127">
        <f t="shared" si="8"/>
        <v>12.949085903430834</v>
      </c>
      <c r="Y29" s="128" t="str">
        <f t="shared" si="0"/>
        <v>Other services</v>
      </c>
      <c r="Z29" s="155">
        <f t="shared" si="9"/>
        <v>3.3946693153821483</v>
      </c>
      <c r="AA29" s="87">
        <v>18.73707769261355</v>
      </c>
      <c r="AB29" s="127">
        <v>3.9696712217231607</v>
      </c>
      <c r="AC29" s="127">
        <v>7.4256694078981278</v>
      </c>
      <c r="AD29" s="127">
        <f t="shared" si="10"/>
        <v>11.395340629621288</v>
      </c>
      <c r="AE29" s="141"/>
      <c r="AF29" s="155">
        <f t="shared" si="11"/>
        <v>3.6016336348735356</v>
      </c>
      <c r="AG29" s="127">
        <v>2.3415431027696858</v>
      </c>
      <c r="AH29" s="127">
        <v>0.24514900613498003</v>
      </c>
      <c r="AI29" s="127">
        <v>0.99401256180311637</v>
      </c>
      <c r="AJ29" s="127">
        <f t="shared" si="12"/>
        <v>1.2391615679380963</v>
      </c>
      <c r="AL29" s="155">
        <f t="shared" si="13"/>
        <v>3.5014338519299582</v>
      </c>
      <c r="AM29" s="127">
        <v>8.1965364975682427</v>
      </c>
      <c r="AN29" s="127">
        <v>1.8824630168780692</v>
      </c>
      <c r="AO29" s="127">
        <v>3.3670895885720658</v>
      </c>
      <c r="AP29" s="127">
        <f t="shared" si="14"/>
        <v>5.2495526054501349</v>
      </c>
      <c r="AQ29" s="145"/>
      <c r="AR29" s="155">
        <f t="shared" si="15"/>
        <v>3.2265730612790922</v>
      </c>
      <c r="AS29" s="127">
        <v>8.1989980922756232</v>
      </c>
      <c r="AT29" s="127">
        <v>1.8420591987101114</v>
      </c>
      <c r="AU29" s="127">
        <v>3.0645672575229463</v>
      </c>
      <c r="AV29" s="127">
        <f t="shared" si="16"/>
        <v>4.9066264562330577</v>
      </c>
      <c r="AW29" s="128" t="str">
        <f t="shared" si="17"/>
        <v>Other services</v>
      </c>
      <c r="AX29" s="155">
        <f t="shared" si="18"/>
        <v>2.6483238273837584</v>
      </c>
      <c r="AY29" s="87">
        <v>19.032176889267678</v>
      </c>
      <c r="AZ29" s="127">
        <v>1.0956652491419592</v>
      </c>
      <c r="BA29" s="127">
        <v>5.685467852803928</v>
      </c>
      <c r="BB29" s="127">
        <f t="shared" si="19"/>
        <v>6.7811331019458869</v>
      </c>
      <c r="BC29" s="141"/>
      <c r="BD29" s="155">
        <f t="shared" si="20"/>
        <v>2.5698311582555533</v>
      </c>
      <c r="BE29" s="127">
        <v>3.4123327833961343</v>
      </c>
      <c r="BF29" s="127">
        <v>-0.44962292514756064</v>
      </c>
      <c r="BG29" s="127">
        <v>0.9855918713750732</v>
      </c>
      <c r="BH29" s="127">
        <f t="shared" si="21"/>
        <v>0.53596894622751257</v>
      </c>
      <c r="BJ29" s="155">
        <f t="shared" si="22"/>
        <v>2.6113519594407553</v>
      </c>
      <c r="BK29" s="127">
        <v>10.441678809376455</v>
      </c>
      <c r="BL29" s="127">
        <v>0.67813132541245391</v>
      </c>
      <c r="BM29" s="127">
        <v>3.0704702368243959</v>
      </c>
      <c r="BN29" s="127">
        <f t="shared" si="23"/>
        <v>3.7486015622368498</v>
      </c>
      <c r="BO29" s="145"/>
      <c r="BP29" s="155">
        <f t="shared" si="24"/>
        <v>2.7736136732418482</v>
      </c>
      <c r="BQ29" s="127">
        <v>5.1781652964950879</v>
      </c>
      <c r="BR29" s="127">
        <v>0.86715684887706568</v>
      </c>
      <c r="BS29" s="127">
        <v>1.6294057446044583</v>
      </c>
      <c r="BT29" s="127">
        <f t="shared" si="25"/>
        <v>2.4965625934815239</v>
      </c>
      <c r="BU29" s="128" t="str">
        <f t="shared" si="26"/>
        <v>Other services</v>
      </c>
      <c r="BV29" s="155">
        <f t="shared" si="27"/>
        <v>2.6772484709001398</v>
      </c>
      <c r="BW29" s="87">
        <v>66.201397878138252</v>
      </c>
      <c r="BX29" s="127">
        <v>1.2456325163985658</v>
      </c>
      <c r="BY29" s="127">
        <v>20.01887239295467</v>
      </c>
      <c r="BZ29" s="127">
        <f t="shared" si="28"/>
        <v>21.264504909353235</v>
      </c>
      <c r="CA29" s="141"/>
      <c r="CB29" s="155">
        <f t="shared" si="29"/>
        <v>2.6461497895164943</v>
      </c>
      <c r="CC29" s="127">
        <v>24.360601420401576</v>
      </c>
      <c r="CD29" s="127">
        <v>-5.6900213912272246</v>
      </c>
      <c r="CE29" s="127">
        <v>7.2705240080694988</v>
      </c>
      <c r="CF29" s="127">
        <f t="shared" si="30"/>
        <v>1.5805026168422742</v>
      </c>
      <c r="CH29" s="155">
        <f t="shared" si="31"/>
        <v>2.6783758996457463</v>
      </c>
      <c r="CI29" s="127">
        <v>37.050128855405674</v>
      </c>
      <c r="CJ29" s="127">
        <v>3.896536363658667</v>
      </c>
      <c r="CK29" s="127">
        <v>11.209016818125267</v>
      </c>
      <c r="CL29" s="127">
        <f t="shared" si="32"/>
        <v>15.105553181783934</v>
      </c>
      <c r="CM29" s="145"/>
      <c r="CN29" s="155">
        <f t="shared" si="33"/>
        <v>2.8254837692558654</v>
      </c>
      <c r="CO29" s="127">
        <v>4.7906676023310046</v>
      </c>
      <c r="CP29" s="127">
        <v>3.0391175439671234</v>
      </c>
      <c r="CQ29" s="127">
        <v>1.5393315667599037</v>
      </c>
      <c r="CR29" s="127">
        <f t="shared" si="34"/>
        <v>4.5784491107270266</v>
      </c>
      <c r="CS29" s="128" t="str">
        <f t="shared" si="35"/>
        <v>Other services</v>
      </c>
      <c r="CT29" s="155">
        <f t="shared" si="36"/>
        <v>2.2533546481934286</v>
      </c>
      <c r="CU29" s="87">
        <v>4.1905992452099587</v>
      </c>
      <c r="CV29" s="127">
        <v>1.8665040524352257</v>
      </c>
      <c r="CW29" s="127">
        <v>1.046029429461087</v>
      </c>
      <c r="CX29" s="127">
        <f t="shared" si="37"/>
        <v>2.9125334818963129</v>
      </c>
      <c r="CY29" s="141"/>
      <c r="CZ29" s="155">
        <f t="shared" si="38"/>
        <v>2.2474701591650437</v>
      </c>
      <c r="DA29" s="127">
        <v>2.2124823918971015</v>
      </c>
      <c r="DB29" s="127">
        <v>-0.22230166986153393</v>
      </c>
      <c r="DC29" s="127">
        <v>0.55067444748871397</v>
      </c>
      <c r="DD29" s="127">
        <f t="shared" si="39"/>
        <v>0.32837277762718003</v>
      </c>
      <c r="DF29" s="155">
        <f t="shared" si="40"/>
        <v>2.2830190168655617</v>
      </c>
      <c r="DG29" s="127">
        <v>1.7105427064722503</v>
      </c>
      <c r="DH29" s="127">
        <v>1.1835295228418568</v>
      </c>
      <c r="DI29" s="127">
        <v>0.43318343843805091</v>
      </c>
      <c r="DJ29" s="127">
        <f t="shared" si="41"/>
        <v>1.6167129612799076</v>
      </c>
      <c r="DK29" s="145"/>
      <c r="DL29" s="155">
        <f t="shared" si="42"/>
        <v>2.1112277164391235</v>
      </c>
      <c r="DM29" s="127">
        <v>0.26757414684060715</v>
      </c>
      <c r="DN29" s="127">
        <v>0.90527619945490279</v>
      </c>
      <c r="DO29" s="127">
        <v>6.2171543534321853E-2</v>
      </c>
      <c r="DP29" s="127">
        <f t="shared" si="43"/>
        <v>0.96744774298922465</v>
      </c>
    </row>
    <row r="30" spans="1:120" x14ac:dyDescent="0.25">
      <c r="A30" s="128">
        <f>name!B26</f>
        <v>0</v>
      </c>
      <c r="B30" s="155">
        <f t="shared" si="1"/>
        <v>2.81853341281606</v>
      </c>
      <c r="C30" s="87">
        <v>3.6239999999999957</v>
      </c>
      <c r="D30" s="127">
        <v>0.24699999999999425</v>
      </c>
      <c r="E30" s="127">
        <v>1.161223619177874</v>
      </c>
      <c r="F30" s="127">
        <f t="shared" si="2"/>
        <v>1.4082236191778683</v>
      </c>
      <c r="G30" s="141"/>
      <c r="H30" s="155">
        <f t="shared" si="3"/>
        <v>2.6181998345442992</v>
      </c>
      <c r="I30" s="127">
        <v>0.8854137576985297</v>
      </c>
      <c r="J30" s="127">
        <v>-0.37920842251297887</v>
      </c>
      <c r="K30" s="127">
        <v>0.26112881202833382</v>
      </c>
      <c r="L30" s="127">
        <f t="shared" si="4"/>
        <v>-0.11807961048464505</v>
      </c>
      <c r="N30" s="155">
        <f t="shared" si="5"/>
        <v>2.6529788153066836</v>
      </c>
      <c r="O30" s="127">
        <v>1.3832584282800451</v>
      </c>
      <c r="P30" s="127">
        <v>0.23337200314420425</v>
      </c>
      <c r="Q30" s="127">
        <v>0.41403459662136033</v>
      </c>
      <c r="R30" s="127">
        <f t="shared" si="6"/>
        <v>0.64740659976556458</v>
      </c>
      <c r="S30" s="145"/>
      <c r="T30" s="155">
        <f t="shared" si="7"/>
        <v>3.1122102767148885</v>
      </c>
      <c r="U30" s="127">
        <v>1.3553278140214204</v>
      </c>
      <c r="V30" s="127">
        <v>0.39283641936876895</v>
      </c>
      <c r="W30" s="127">
        <v>0.48606021052817994</v>
      </c>
      <c r="X30" s="127">
        <f t="shared" si="8"/>
        <v>0.87889662989694894</v>
      </c>
      <c r="Y30" s="128">
        <f t="shared" si="0"/>
        <v>0</v>
      </c>
      <c r="Z30" s="155">
        <f t="shared" si="9"/>
        <v>2.9443653428279148</v>
      </c>
      <c r="AA30" s="87">
        <v>1.8811280324430137</v>
      </c>
      <c r="AB30" s="127">
        <v>0.12648602226143923</v>
      </c>
      <c r="AC30" s="127">
        <v>0.63332866226922047</v>
      </c>
      <c r="AD30" s="127">
        <f t="shared" si="10"/>
        <v>0.7598146845306597</v>
      </c>
      <c r="AE30" s="141"/>
      <c r="AF30" s="155">
        <f t="shared" si="11"/>
        <v>2.5616056481945648</v>
      </c>
      <c r="AG30" s="127">
        <v>0.39195326978431944</v>
      </c>
      <c r="AH30" s="127">
        <v>-0.20952388317933862</v>
      </c>
      <c r="AI30" s="127">
        <v>0.11280379340146277</v>
      </c>
      <c r="AJ30" s="127">
        <f t="shared" si="12"/>
        <v>-9.6720089777875856E-2</v>
      </c>
      <c r="AL30" s="155">
        <f t="shared" si="13"/>
        <v>2.6346340495356335</v>
      </c>
      <c r="AM30" s="127">
        <v>0.4129117991411031</v>
      </c>
      <c r="AN30" s="127">
        <v>-1.2440580648808345E-2</v>
      </c>
      <c r="AO30" s="127">
        <v>0.1226340711227917</v>
      </c>
      <c r="AP30" s="127">
        <f t="shared" si="14"/>
        <v>0.11019349047398336</v>
      </c>
      <c r="AQ30" s="145"/>
      <c r="AR30" s="155">
        <f t="shared" si="15"/>
        <v>3.1958990333170068</v>
      </c>
      <c r="AS30" s="127">
        <v>1.0762629635175913</v>
      </c>
      <c r="AT30" s="127">
        <v>0.34845048608958623</v>
      </c>
      <c r="AU30" s="127">
        <v>0.39789079774496594</v>
      </c>
      <c r="AV30" s="127">
        <f t="shared" si="16"/>
        <v>0.74634128383455223</v>
      </c>
      <c r="AW30" s="128">
        <f t="shared" si="17"/>
        <v>0</v>
      </c>
      <c r="AX30" s="155">
        <f t="shared" si="18"/>
        <v>2.6556901882889949</v>
      </c>
      <c r="AY30" s="87">
        <v>0.79016052016002847</v>
      </c>
      <c r="AZ30" s="127">
        <v>-5.5512159780558507E-3</v>
      </c>
      <c r="BA30" s="127">
        <v>0.23678073042517134</v>
      </c>
      <c r="BB30" s="127">
        <f t="shared" si="19"/>
        <v>0.23122951444711548</v>
      </c>
      <c r="BC30" s="141"/>
      <c r="BD30" s="155">
        <f t="shared" si="20"/>
        <v>2.6320188411371737</v>
      </c>
      <c r="BE30" s="127">
        <v>0.10890628043772764</v>
      </c>
      <c r="BF30" s="127">
        <v>-3.6714040606319942E-2</v>
      </c>
      <c r="BG30" s="127">
        <v>3.2308984136424024E-2</v>
      </c>
      <c r="BH30" s="127">
        <f t="shared" si="21"/>
        <v>-4.4050564698959183E-3</v>
      </c>
      <c r="BJ30" s="155">
        <f t="shared" si="22"/>
        <v>2.632798184440821</v>
      </c>
      <c r="BK30" s="127">
        <v>0.54343409949213617</v>
      </c>
      <c r="BL30" s="127">
        <v>6.5977065103502874E-2</v>
      </c>
      <c r="BM30" s="127">
        <v>0.16127289650651028</v>
      </c>
      <c r="BN30" s="127">
        <f t="shared" si="23"/>
        <v>0.22724996161001315</v>
      </c>
      <c r="BO30" s="145"/>
      <c r="BP30" s="155">
        <f t="shared" si="24"/>
        <v>2.7640342004974006</v>
      </c>
      <c r="BQ30" s="127">
        <v>0.13782014023016467</v>
      </c>
      <c r="BR30" s="127">
        <v>-3.4814240475238789E-2</v>
      </c>
      <c r="BS30" s="127">
        <v>4.319884978223705E-2</v>
      </c>
      <c r="BT30" s="127">
        <f t="shared" si="25"/>
        <v>8.3846093069982613E-3</v>
      </c>
      <c r="BU30" s="128">
        <f t="shared" si="26"/>
        <v>0</v>
      </c>
      <c r="BV30" s="155">
        <f t="shared" si="27"/>
        <v>2.7443857826882523</v>
      </c>
      <c r="BW30" s="87">
        <v>0.71149816309577474</v>
      </c>
      <c r="BX30" s="127">
        <v>0.24504437900903087</v>
      </c>
      <c r="BY30" s="127">
        <v>0.22122934558787391</v>
      </c>
      <c r="BZ30" s="127">
        <f t="shared" si="28"/>
        <v>0.46627372459690475</v>
      </c>
      <c r="CA30" s="141"/>
      <c r="CB30" s="155">
        <f t="shared" si="29"/>
        <v>2.6198589066564582</v>
      </c>
      <c r="CC30" s="127">
        <v>0.18443335988879814</v>
      </c>
      <c r="CD30" s="127">
        <v>-4.0323210155314967E-2</v>
      </c>
      <c r="CE30" s="127">
        <v>5.4432240278174497E-2</v>
      </c>
      <c r="CF30" s="127">
        <f t="shared" si="30"/>
        <v>1.410903012285953E-2</v>
      </c>
      <c r="CH30" s="155">
        <f t="shared" si="31"/>
        <v>2.782142672137855</v>
      </c>
      <c r="CI30" s="127">
        <v>0.38582009293331226</v>
      </c>
      <c r="CJ30" s="127">
        <v>0.20616741540992439</v>
      </c>
      <c r="CK30" s="127">
        <v>0.12182654230872253</v>
      </c>
      <c r="CL30" s="127">
        <f t="shared" si="32"/>
        <v>0.32799395771864692</v>
      </c>
      <c r="CM30" s="145"/>
      <c r="CN30" s="155">
        <f t="shared" si="33"/>
        <v>2.802650191366185</v>
      </c>
      <c r="CO30" s="127">
        <v>0.14124471027366434</v>
      </c>
      <c r="CP30" s="127">
        <v>7.9200173754421455E-2</v>
      </c>
      <c r="CQ30" s="127">
        <v>4.4970563000976925E-2</v>
      </c>
      <c r="CR30" s="127">
        <f t="shared" si="34"/>
        <v>0.12417073675539839</v>
      </c>
      <c r="CS30" s="128">
        <f t="shared" si="35"/>
        <v>0</v>
      </c>
      <c r="CT30" s="155">
        <f t="shared" si="36"/>
        <v>2.5769124618272299</v>
      </c>
      <c r="CU30" s="87">
        <v>0.24121328430117833</v>
      </c>
      <c r="CV30" s="127">
        <v>-0.11897918529242003</v>
      </c>
      <c r="CW30" s="127">
        <v>6.9884880895608265E-2</v>
      </c>
      <c r="CX30" s="127">
        <f t="shared" si="37"/>
        <v>-4.9094304396811769E-2</v>
      </c>
      <c r="CY30" s="141"/>
      <c r="CZ30" s="155">
        <f t="shared" si="38"/>
        <v>2.7192664271063816</v>
      </c>
      <c r="DA30" s="127">
        <v>0.20012084758768453</v>
      </c>
      <c r="DB30" s="127">
        <v>-9.2647288572005396E-2</v>
      </c>
      <c r="DC30" s="127">
        <v>6.1583794212272509E-2</v>
      </c>
      <c r="DD30" s="127">
        <f t="shared" si="39"/>
        <v>-3.1063494359732886E-2</v>
      </c>
      <c r="DF30" s="155">
        <f t="shared" si="40"/>
        <v>1.8569836908540527</v>
      </c>
      <c r="DG30" s="127">
        <v>4.1092436713493816E-2</v>
      </c>
      <c r="DH30" s="127">
        <v>-2.6331896720414642E-2</v>
      </c>
      <c r="DI30" s="127">
        <v>8.3010866833357552E-3</v>
      </c>
      <c r="DJ30" s="127">
        <f t="shared" si="41"/>
        <v>-1.8030810037078886E-2</v>
      </c>
      <c r="DK30" s="145"/>
      <c r="DL30" s="155">
        <f t="shared" si="42"/>
        <v>0</v>
      </c>
      <c r="DM30" s="127">
        <v>0</v>
      </c>
      <c r="DN30" s="127">
        <v>0</v>
      </c>
      <c r="DO30" s="127">
        <v>0</v>
      </c>
      <c r="DP30" s="127">
        <f t="shared" si="43"/>
        <v>0</v>
      </c>
    </row>
    <row r="31" spans="1:120" x14ac:dyDescent="0.25">
      <c r="A31" s="128">
        <f>name!B27</f>
        <v>0</v>
      </c>
      <c r="B31" s="155">
        <f t="shared" si="1"/>
        <v>2.6734729787020628</v>
      </c>
      <c r="C31" s="87">
        <v>5.3973840679838156</v>
      </c>
      <c r="D31" s="127">
        <v>1.1408021816129781</v>
      </c>
      <c r="E31" s="127">
        <v>1.6295494976716494</v>
      </c>
      <c r="F31" s="127">
        <f t="shared" si="2"/>
        <v>2.7703516792846274</v>
      </c>
      <c r="G31" s="141"/>
      <c r="H31" s="155">
        <f t="shared" si="3"/>
        <v>2.4242144760953321</v>
      </c>
      <c r="I31" s="127">
        <v>0.66792410715744144</v>
      </c>
      <c r="J31" s="127">
        <v>8.7081733597755159E-2</v>
      </c>
      <c r="K31" s="127">
        <v>0.18077459401533136</v>
      </c>
      <c r="L31" s="127">
        <f t="shared" si="4"/>
        <v>0.26785632761308653</v>
      </c>
      <c r="N31" s="155">
        <f t="shared" si="5"/>
        <v>2.609263332573919</v>
      </c>
      <c r="O31" s="127">
        <v>2.0775695012091084</v>
      </c>
      <c r="P31" s="127">
        <v>0.2544737074116219</v>
      </c>
      <c r="Q31" s="127">
        <v>0.6103809444492555</v>
      </c>
      <c r="R31" s="127">
        <f t="shared" si="6"/>
        <v>0.8648546518608774</v>
      </c>
      <c r="S31" s="145"/>
      <c r="T31" s="155">
        <f t="shared" si="7"/>
        <v>2.7851854419137734</v>
      </c>
      <c r="U31" s="127">
        <v>2.6518904596172663</v>
      </c>
      <c r="V31" s="127">
        <v>0.79924674060360146</v>
      </c>
      <c r="W31" s="127">
        <v>0.83839395920706195</v>
      </c>
      <c r="X31" s="127">
        <f t="shared" si="8"/>
        <v>1.6376406998106634</v>
      </c>
      <c r="Y31" s="128">
        <f t="shared" si="0"/>
        <v>0</v>
      </c>
      <c r="Z31" s="155">
        <f t="shared" si="9"/>
        <v>2.8165513572584899</v>
      </c>
      <c r="AA31" s="87">
        <v>2.214362158393115</v>
      </c>
      <c r="AB31" s="127">
        <v>0.76697330164247091</v>
      </c>
      <c r="AC31" s="127">
        <v>0.7089754858112105</v>
      </c>
      <c r="AD31" s="127">
        <f t="shared" si="10"/>
        <v>1.4759487874536814</v>
      </c>
      <c r="AE31" s="141"/>
      <c r="AF31" s="155">
        <f t="shared" si="11"/>
        <v>2.4947991741868014</v>
      </c>
      <c r="AG31" s="127">
        <v>9.3295900311954727E-2</v>
      </c>
      <c r="AH31" s="127">
        <v>7.3611029159494539E-3</v>
      </c>
      <c r="AI31" s="127">
        <v>2.6070156753053058E-2</v>
      </c>
      <c r="AJ31" s="127">
        <f t="shared" si="12"/>
        <v>3.3431259669002511E-2</v>
      </c>
      <c r="AL31" s="155">
        <f t="shared" si="13"/>
        <v>2.7753358006801676</v>
      </c>
      <c r="AM31" s="127">
        <v>0.4972447918516455</v>
      </c>
      <c r="AN31" s="127">
        <v>9.6394295735497987E-2</v>
      </c>
      <c r="AO31" s="127">
        <v>0.15657684325353696</v>
      </c>
      <c r="AP31" s="127">
        <f t="shared" si="14"/>
        <v>0.25297113898903495</v>
      </c>
      <c r="AQ31" s="145"/>
      <c r="AR31" s="155">
        <f t="shared" si="15"/>
        <v>2.8473360407721415</v>
      </c>
      <c r="AS31" s="127">
        <v>1.6238214662295147</v>
      </c>
      <c r="AT31" s="127">
        <v>0.66321790299102346</v>
      </c>
      <c r="AU31" s="127">
        <v>0.52632848580462055</v>
      </c>
      <c r="AV31" s="127">
        <f t="shared" si="16"/>
        <v>1.1895463887956441</v>
      </c>
      <c r="AW31" s="128">
        <f t="shared" si="17"/>
        <v>0</v>
      </c>
      <c r="AX31" s="155">
        <f t="shared" si="18"/>
        <v>2.6299606183572521</v>
      </c>
      <c r="AY31" s="87">
        <v>2.2783095768098032</v>
      </c>
      <c r="AZ31" s="127">
        <v>0.28087299486229567</v>
      </c>
      <c r="BA31" s="127">
        <v>0.67530864231188981</v>
      </c>
      <c r="BB31" s="127">
        <f t="shared" si="19"/>
        <v>0.95618163717418547</v>
      </c>
      <c r="BC31" s="141"/>
      <c r="BD31" s="155">
        <f t="shared" si="20"/>
        <v>2.5631080985660804</v>
      </c>
      <c r="BE31" s="127">
        <v>0.22101247964060855</v>
      </c>
      <c r="BF31" s="127">
        <v>-1.6947941898083588E-2</v>
      </c>
      <c r="BG31" s="127">
        <v>6.3648887364331108E-2</v>
      </c>
      <c r="BH31" s="127">
        <f t="shared" si="21"/>
        <v>4.670094546624752E-2</v>
      </c>
      <c r="BJ31" s="155">
        <f t="shared" si="22"/>
        <v>2.5856877347969265</v>
      </c>
      <c r="BK31" s="127">
        <v>1.1148096584511451</v>
      </c>
      <c r="BL31" s="127">
        <v>0.19268434666122614</v>
      </c>
      <c r="BM31" s="127">
        <v>0.32421576182958223</v>
      </c>
      <c r="BN31" s="127">
        <f t="shared" si="23"/>
        <v>0.51690010849080836</v>
      </c>
      <c r="BO31" s="145"/>
      <c r="BP31" s="155">
        <f t="shared" si="24"/>
        <v>2.6976564051442775</v>
      </c>
      <c r="BQ31" s="127">
        <v>0.94248743871804974</v>
      </c>
      <c r="BR31" s="127">
        <v>0.10513659009915316</v>
      </c>
      <c r="BS31" s="127">
        <v>0.28744399311797653</v>
      </c>
      <c r="BT31" s="127">
        <f t="shared" si="25"/>
        <v>0.39258058321712969</v>
      </c>
      <c r="BU31" s="128">
        <f t="shared" si="26"/>
        <v>0</v>
      </c>
      <c r="BV31" s="155">
        <f t="shared" si="27"/>
        <v>2.6073314286228833</v>
      </c>
      <c r="BW31" s="87">
        <v>0.44551231145339021</v>
      </c>
      <c r="BX31" s="127">
        <v>-8.3373030656131442E-3</v>
      </c>
      <c r="BY31" s="127">
        <v>0.13078107806231981</v>
      </c>
      <c r="BZ31" s="127">
        <f t="shared" si="28"/>
        <v>0.12244377499670667</v>
      </c>
      <c r="CA31" s="141"/>
      <c r="CB31" s="155">
        <f t="shared" si="29"/>
        <v>2.4365291604826034</v>
      </c>
      <c r="CC31" s="127">
        <v>8.6276945213152031E-2</v>
      </c>
      <c r="CD31" s="127">
        <v>-4.2074055456051036E-2</v>
      </c>
      <c r="CE31" s="127">
        <v>2.3482855274529982E-2</v>
      </c>
      <c r="CF31" s="127">
        <f t="shared" si="30"/>
        <v>-1.8591200181521054E-2</v>
      </c>
      <c r="CH31" s="155">
        <f t="shared" si="31"/>
        <v>2.6262299218310803</v>
      </c>
      <c r="CI31" s="127">
        <v>0.29498731949520918</v>
      </c>
      <c r="CJ31" s="127">
        <v>2.0855293533474064E-2</v>
      </c>
      <c r="CK31" s="127">
        <v>8.7297539162572352E-2</v>
      </c>
      <c r="CL31" s="127">
        <f t="shared" si="32"/>
        <v>0.10815283269604642</v>
      </c>
      <c r="CM31" s="145"/>
      <c r="CN31" s="155">
        <f t="shared" si="33"/>
        <v>2.7472823291570414</v>
      </c>
      <c r="CO31" s="127">
        <v>6.4248046745029E-2</v>
      </c>
      <c r="CP31" s="127">
        <v>1.2881458856963826E-2</v>
      </c>
      <c r="CQ31" s="127">
        <v>2.000068362521747E-2</v>
      </c>
      <c r="CR31" s="127">
        <f t="shared" si="34"/>
        <v>3.2882142482181298E-2</v>
      </c>
      <c r="CS31" s="128">
        <f t="shared" si="35"/>
        <v>0</v>
      </c>
      <c r="CT31" s="155">
        <f t="shared" si="36"/>
        <v>2.2508925088840614</v>
      </c>
      <c r="CU31" s="87">
        <v>0.45920002132750753</v>
      </c>
      <c r="CV31" s="127">
        <v>0.10129318817382489</v>
      </c>
      <c r="CW31" s="127">
        <v>0.11448429148622874</v>
      </c>
      <c r="CX31" s="127">
        <f t="shared" si="37"/>
        <v>0.21577747966005362</v>
      </c>
      <c r="CY31" s="141"/>
      <c r="CZ31" s="155">
        <f t="shared" si="38"/>
        <v>2.2790784934704211</v>
      </c>
      <c r="DA31" s="127">
        <v>0.26733878199172612</v>
      </c>
      <c r="DB31" s="127">
        <v>0.13874262803594034</v>
      </c>
      <c r="DC31" s="127">
        <v>6.7572694623417223E-2</v>
      </c>
      <c r="DD31" s="127">
        <f t="shared" si="39"/>
        <v>0.20631532265935756</v>
      </c>
      <c r="DF31" s="155">
        <f t="shared" si="40"/>
        <v>2.2401417134240154</v>
      </c>
      <c r="DG31" s="127">
        <v>0.17052773141110822</v>
      </c>
      <c r="DH31" s="127">
        <v>-5.5460228518576328E-2</v>
      </c>
      <c r="DI31" s="127">
        <v>4.2290800203563968E-2</v>
      </c>
      <c r="DJ31" s="127">
        <f t="shared" si="41"/>
        <v>-1.316942831501236E-2</v>
      </c>
      <c r="DK31" s="145"/>
      <c r="DL31" s="155">
        <f t="shared" si="42"/>
        <v>1.9799306613629053</v>
      </c>
      <c r="DM31" s="127">
        <v>2.1333507924673225E-2</v>
      </c>
      <c r="DN31" s="127">
        <v>1.8010788656460896E-2</v>
      </c>
      <c r="DO31" s="127">
        <v>4.6207966592475454E-3</v>
      </c>
      <c r="DP31" s="127">
        <f t="shared" si="43"/>
        <v>2.2631585315708441E-2</v>
      </c>
    </row>
    <row r="32" spans="1:120" x14ac:dyDescent="0.25">
      <c r="A32" s="128">
        <f>name!B28</f>
        <v>0</v>
      </c>
      <c r="B32" s="155">
        <f t="shared" si="1"/>
        <v>2.7212419765566098</v>
      </c>
      <c r="C32" s="87">
        <v>123.7608458367669</v>
      </c>
      <c r="D32" s="127">
        <v>13.119074771958418</v>
      </c>
      <c r="E32" s="127">
        <v>38.116429497024313</v>
      </c>
      <c r="F32" s="127">
        <f t="shared" si="2"/>
        <v>51.23550426898273</v>
      </c>
      <c r="G32" s="141"/>
      <c r="H32" s="155">
        <f t="shared" si="3"/>
        <v>2.5243885852895165</v>
      </c>
      <c r="I32" s="127">
        <v>26.847077802333636</v>
      </c>
      <c r="J32" s="127">
        <v>-7.8031435741815161</v>
      </c>
      <c r="K32" s="127">
        <v>7.6013099907891046</v>
      </c>
      <c r="L32" s="127">
        <f t="shared" si="4"/>
        <v>-0.20183358339241142</v>
      </c>
      <c r="N32" s="155">
        <f t="shared" si="5"/>
        <v>2.6624455318525975</v>
      </c>
      <c r="O32" s="127">
        <v>63.941359181744446</v>
      </c>
      <c r="P32" s="127">
        <v>7.8349731558739144</v>
      </c>
      <c r="Q32" s="127">
        <v>19.215469387990549</v>
      </c>
      <c r="R32" s="127">
        <f t="shared" si="6"/>
        <v>27.050442543864463</v>
      </c>
      <c r="S32" s="145"/>
      <c r="T32" s="155">
        <f t="shared" si="7"/>
        <v>2.9906749697417023</v>
      </c>
      <c r="U32" s="127">
        <v>32.972408852688829</v>
      </c>
      <c r="V32" s="127">
        <v>13.087245190266019</v>
      </c>
      <c r="W32" s="127">
        <v>11.299650118244649</v>
      </c>
      <c r="X32" s="127">
        <f t="shared" si="8"/>
        <v>24.386895308510667</v>
      </c>
      <c r="Y32" s="128">
        <f t="shared" si="0"/>
        <v>0</v>
      </c>
      <c r="Z32" s="155">
        <f t="shared" si="9"/>
        <v>3.0765850108950499</v>
      </c>
      <c r="AA32" s="87">
        <v>38.83635765848959</v>
      </c>
      <c r="AB32" s="127">
        <v>9.7986800365741935</v>
      </c>
      <c r="AC32" s="127">
        <v>13.745837027625093</v>
      </c>
      <c r="AD32" s="127">
        <f t="shared" si="10"/>
        <v>23.544517064199287</v>
      </c>
      <c r="AE32" s="141"/>
      <c r="AF32" s="155">
        <f t="shared" si="11"/>
        <v>3.0191901547181432</v>
      </c>
      <c r="AG32" s="127">
        <v>2.7303033528832836</v>
      </c>
      <c r="AH32" s="127">
        <v>7.5430584829441968E-2</v>
      </c>
      <c r="AI32" s="127">
        <v>0.94583812987341553</v>
      </c>
      <c r="AJ32" s="127">
        <f t="shared" si="12"/>
        <v>1.0212687147028574</v>
      </c>
      <c r="AL32" s="155">
        <f t="shared" si="13"/>
        <v>3.0173281094963533</v>
      </c>
      <c r="AM32" s="127">
        <v>15.834000720976697</v>
      </c>
      <c r="AN32" s="127">
        <v>4.2727073292572078</v>
      </c>
      <c r="AO32" s="127">
        <v>5.4813988049700901</v>
      </c>
      <c r="AP32" s="127">
        <f t="shared" si="14"/>
        <v>9.7541061342272979</v>
      </c>
      <c r="AQ32" s="145"/>
      <c r="AR32" s="155">
        <f t="shared" si="15"/>
        <v>3.1303340410858471</v>
      </c>
      <c r="AS32" s="127">
        <v>20.272053584629607</v>
      </c>
      <c r="AT32" s="127">
        <v>5.4505421224875432</v>
      </c>
      <c r="AU32" s="127">
        <v>7.3186000927815886</v>
      </c>
      <c r="AV32" s="127">
        <f t="shared" si="16"/>
        <v>12.769142215269131</v>
      </c>
      <c r="AW32" s="128">
        <f t="shared" si="17"/>
        <v>0</v>
      </c>
      <c r="AX32" s="155">
        <f t="shared" si="18"/>
        <v>2.6584881857450782</v>
      </c>
      <c r="AY32" s="87">
        <v>47.806403154901318</v>
      </c>
      <c r="AZ32" s="127">
        <v>-7.0421609841178725</v>
      </c>
      <c r="BA32" s="127">
        <v>14.342678022761262</v>
      </c>
      <c r="BB32" s="127">
        <f t="shared" si="19"/>
        <v>7.30051703864339</v>
      </c>
      <c r="BC32" s="141"/>
      <c r="BD32" s="155">
        <f t="shared" si="20"/>
        <v>2.6161806421257428</v>
      </c>
      <c r="BE32" s="127">
        <v>10.847301910693686</v>
      </c>
      <c r="BF32" s="127">
        <v>-4.5098176413100948</v>
      </c>
      <c r="BG32" s="127">
        <v>3.196354334448817</v>
      </c>
      <c r="BH32" s="127">
        <f t="shared" si="21"/>
        <v>-1.3134633068612778</v>
      </c>
      <c r="BJ32" s="155">
        <f t="shared" si="22"/>
        <v>2.6374751567947108</v>
      </c>
      <c r="BK32" s="127">
        <v>28.371369231702417</v>
      </c>
      <c r="BL32" s="127">
        <v>-3.0931884379730161</v>
      </c>
      <c r="BM32" s="127">
        <v>8.4364337781793513</v>
      </c>
      <c r="BN32" s="127">
        <f t="shared" si="23"/>
        <v>5.3432453402063356</v>
      </c>
      <c r="BO32" s="145"/>
      <c r="BP32" s="155">
        <f t="shared" si="24"/>
        <v>2.7805305911498435</v>
      </c>
      <c r="BQ32" s="127">
        <v>8.5877320125052172</v>
      </c>
      <c r="BR32" s="127">
        <v>0.56084509516523873</v>
      </c>
      <c r="BS32" s="127">
        <v>2.7098899101330933</v>
      </c>
      <c r="BT32" s="127">
        <f t="shared" si="25"/>
        <v>3.2707350052983322</v>
      </c>
      <c r="BU32" s="128">
        <f t="shared" si="26"/>
        <v>0</v>
      </c>
      <c r="BV32" s="155">
        <f t="shared" si="27"/>
        <v>2.6565095608896083</v>
      </c>
      <c r="BW32" s="87">
        <v>19.849533341962385</v>
      </c>
      <c r="BX32" s="127">
        <v>1.9836189361300114</v>
      </c>
      <c r="BY32" s="127">
        <v>5.9502012149531671</v>
      </c>
      <c r="BZ32" s="127">
        <f t="shared" si="28"/>
        <v>7.9338201510831787</v>
      </c>
      <c r="CA32" s="141"/>
      <c r="CB32" s="155">
        <f t="shared" si="29"/>
        <v>2.6205599538537738</v>
      </c>
      <c r="CC32" s="127">
        <v>6.8203543745401731</v>
      </c>
      <c r="CD32" s="127">
        <v>-1.6267924145713057</v>
      </c>
      <c r="CE32" s="127">
        <v>2.0135102832400635</v>
      </c>
      <c r="CF32" s="127">
        <f t="shared" si="30"/>
        <v>0.38671786866875779</v>
      </c>
      <c r="CH32" s="155">
        <f t="shared" si="31"/>
        <v>2.6438862721386736</v>
      </c>
      <c r="CI32" s="127">
        <v>10.586487257709154</v>
      </c>
      <c r="CJ32" s="127">
        <v>1.7602610215326151</v>
      </c>
      <c r="CK32" s="127">
        <v>3.1565507372840993</v>
      </c>
      <c r="CL32" s="127">
        <f t="shared" si="32"/>
        <v>4.9168117588167144</v>
      </c>
      <c r="CM32" s="145"/>
      <c r="CN32" s="155">
        <f t="shared" si="33"/>
        <v>2.8103646649090264</v>
      </c>
      <c r="CO32" s="127">
        <v>2.4426917097130554</v>
      </c>
      <c r="CP32" s="127">
        <v>1.850150329168702</v>
      </c>
      <c r="CQ32" s="127">
        <v>0.78014019442900417</v>
      </c>
      <c r="CR32" s="127">
        <f t="shared" si="34"/>
        <v>2.6302905235977061</v>
      </c>
      <c r="CS32" s="128">
        <f t="shared" si="35"/>
        <v>0</v>
      </c>
      <c r="CT32" s="155">
        <f t="shared" si="36"/>
        <v>2.1425269866725216</v>
      </c>
      <c r="CU32" s="87">
        <v>17.268551681413616</v>
      </c>
      <c r="CV32" s="127">
        <v>8.3789367833720867</v>
      </c>
      <c r="CW32" s="127">
        <v>4.0777132316847844</v>
      </c>
      <c r="CX32" s="127">
        <f t="shared" si="37"/>
        <v>12.456650015056871</v>
      </c>
      <c r="CY32" s="141"/>
      <c r="CZ32" s="155">
        <f t="shared" si="38"/>
        <v>2.0431060525095246</v>
      </c>
      <c r="DA32" s="127">
        <v>6.4491181642164932</v>
      </c>
      <c r="DB32" s="127">
        <v>-1.7419641031295572</v>
      </c>
      <c r="DC32" s="127">
        <v>1.4456072432268086</v>
      </c>
      <c r="DD32" s="127">
        <f t="shared" si="39"/>
        <v>-0.29635685990274863</v>
      </c>
      <c r="DF32" s="155">
        <f t="shared" si="40"/>
        <v>2.1249626362792373</v>
      </c>
      <c r="DG32" s="127">
        <v>9.1495019713561767</v>
      </c>
      <c r="DH32" s="127">
        <v>4.8951932430571077</v>
      </c>
      <c r="DI32" s="127">
        <v>2.1410860675570116</v>
      </c>
      <c r="DJ32" s="127">
        <f t="shared" si="41"/>
        <v>7.0362793106141197</v>
      </c>
      <c r="DK32" s="145"/>
      <c r="DL32" s="155">
        <f t="shared" si="42"/>
        <v>2.6111687821135154</v>
      </c>
      <c r="DM32" s="127">
        <v>1.6699315458409487</v>
      </c>
      <c r="DN32" s="127">
        <v>5.2257076434445349</v>
      </c>
      <c r="DO32" s="127">
        <v>0.49101992090096452</v>
      </c>
      <c r="DP32" s="127">
        <f t="shared" si="43"/>
        <v>5.7167275643454998</v>
      </c>
    </row>
    <row r="33" spans="1:120" x14ac:dyDescent="0.25">
      <c r="A33" s="128">
        <f>name!B29</f>
        <v>0</v>
      </c>
      <c r="B33" s="155">
        <f t="shared" si="1"/>
        <v>3.0653273318685947</v>
      </c>
      <c r="C33" s="87">
        <v>154.97099999999972</v>
      </c>
      <c r="D33" s="127">
        <v>3.3030000000000879</v>
      </c>
      <c r="E33" s="127">
        <v>54.621773436017577</v>
      </c>
      <c r="F33" s="127">
        <f t="shared" si="2"/>
        <v>57.924773436017666</v>
      </c>
      <c r="G33" s="141"/>
      <c r="H33" s="155">
        <f t="shared" si="3"/>
        <v>2.9436319407800893</v>
      </c>
      <c r="I33" s="127">
        <v>50.957790570188273</v>
      </c>
      <c r="J33" s="127">
        <v>-5.207332958391917</v>
      </c>
      <c r="K33" s="127">
        <v>17.151358481765701</v>
      </c>
      <c r="L33" s="127">
        <f t="shared" si="4"/>
        <v>11.944025523373785</v>
      </c>
      <c r="N33" s="155">
        <f t="shared" si="5"/>
        <v>3.080091904459592</v>
      </c>
      <c r="O33" s="127">
        <v>82.75191339584687</v>
      </c>
      <c r="P33" s="127">
        <v>5.6365125249630674</v>
      </c>
      <c r="Q33" s="127">
        <v>29.327542834156286</v>
      </c>
      <c r="R33" s="127">
        <f t="shared" si="6"/>
        <v>34.964055359119357</v>
      </c>
      <c r="S33" s="145"/>
      <c r="T33" s="155">
        <f t="shared" si="7"/>
        <v>3.2956222869682472</v>
      </c>
      <c r="U33" s="127">
        <v>21.261296033964598</v>
      </c>
      <c r="V33" s="127">
        <v>2.873820433428937</v>
      </c>
      <c r="W33" s="127">
        <v>8.1428721200955785</v>
      </c>
      <c r="X33" s="127">
        <f t="shared" si="8"/>
        <v>11.016692553524516</v>
      </c>
      <c r="Y33" s="128">
        <f t="shared" si="0"/>
        <v>0</v>
      </c>
      <c r="Z33" s="155">
        <f t="shared" si="9"/>
        <v>4.0504340600003408</v>
      </c>
      <c r="AA33" s="87">
        <v>43.296648877844632</v>
      </c>
      <c r="AB33" s="127">
        <v>-7.3473712231151156</v>
      </c>
      <c r="AC33" s="127">
        <v>21.104445332065058</v>
      </c>
      <c r="AD33" s="127">
        <f t="shared" si="10"/>
        <v>13.757074108949944</v>
      </c>
      <c r="AE33" s="141"/>
      <c r="AF33" s="155">
        <f t="shared" si="11"/>
        <v>4.0754800931313673</v>
      </c>
      <c r="AG33" s="127">
        <v>10.106732188154798</v>
      </c>
      <c r="AH33" s="127">
        <v>-4.7657768055697005</v>
      </c>
      <c r="AI33" s="127">
        <v>4.9626340231866539</v>
      </c>
      <c r="AJ33" s="127">
        <f t="shared" si="12"/>
        <v>0.19685721761695341</v>
      </c>
      <c r="AL33" s="155">
        <f t="shared" si="13"/>
        <v>4.032928627335286</v>
      </c>
      <c r="AM33" s="127">
        <v>24.904995907126381</v>
      </c>
      <c r="AN33" s="127">
        <v>-2.8493267756162344</v>
      </c>
      <c r="AO33" s="127">
        <v>12.077372396997415</v>
      </c>
      <c r="AP33" s="127">
        <f t="shared" si="14"/>
        <v>9.228045621381181</v>
      </c>
      <c r="AQ33" s="145"/>
      <c r="AR33" s="155">
        <f t="shared" si="15"/>
        <v>4.0724091362593917</v>
      </c>
      <c r="AS33" s="127">
        <v>8.2849207825634537</v>
      </c>
      <c r="AT33" s="127">
        <v>0.26773235807081874</v>
      </c>
      <c r="AU33" s="127">
        <v>4.0644389118809876</v>
      </c>
      <c r="AV33" s="127">
        <f t="shared" si="16"/>
        <v>4.3321712699518065</v>
      </c>
      <c r="AW33" s="128">
        <f t="shared" si="17"/>
        <v>0</v>
      </c>
      <c r="AX33" s="155">
        <f t="shared" si="18"/>
        <v>2.5547598396461035</v>
      </c>
      <c r="AY33" s="87">
        <v>78.997845710276223</v>
      </c>
      <c r="AZ33" s="127">
        <v>9.7021663700437788</v>
      </c>
      <c r="BA33" s="127">
        <v>22.667623064076533</v>
      </c>
      <c r="BB33" s="127">
        <f t="shared" si="19"/>
        <v>32.369789434120314</v>
      </c>
      <c r="BC33" s="141"/>
      <c r="BD33" s="155">
        <f t="shared" si="20"/>
        <v>2.5174195387168252</v>
      </c>
      <c r="BE33" s="127">
        <v>26.37395315468379</v>
      </c>
      <c r="BF33" s="127">
        <v>1.6686028083983007</v>
      </c>
      <c r="BG33" s="127">
        <v>7.4443560709851919</v>
      </c>
      <c r="BH33" s="127">
        <f t="shared" si="21"/>
        <v>9.112958879383493</v>
      </c>
      <c r="BJ33" s="155">
        <f t="shared" si="22"/>
        <v>2.5486671581746334</v>
      </c>
      <c r="BK33" s="127">
        <v>42.663657472306795</v>
      </c>
      <c r="BL33" s="127">
        <v>6.2773062085895344</v>
      </c>
      <c r="BM33" s="127">
        <v>12.209289576322305</v>
      </c>
      <c r="BN33" s="127">
        <f t="shared" si="23"/>
        <v>18.486595784911842</v>
      </c>
      <c r="BO33" s="145"/>
      <c r="BP33" s="155">
        <f t="shared" si="24"/>
        <v>2.6788844840362147</v>
      </c>
      <c r="BQ33" s="127">
        <v>9.9602350832856388</v>
      </c>
      <c r="BR33" s="127">
        <v>1.7562573530559429</v>
      </c>
      <c r="BS33" s="127">
        <v>3.0139774167690323</v>
      </c>
      <c r="BT33" s="127">
        <f t="shared" si="25"/>
        <v>4.7702347698249756</v>
      </c>
      <c r="BU33" s="128">
        <f t="shared" si="26"/>
        <v>0</v>
      </c>
      <c r="BV33" s="155">
        <f t="shared" si="27"/>
        <v>2.6173395636761576</v>
      </c>
      <c r="BW33" s="87">
        <v>3.1913404184740064</v>
      </c>
      <c r="BX33" s="127">
        <v>1.1226335486044625</v>
      </c>
      <c r="BY33" s="127">
        <v>0.94085301244670572</v>
      </c>
      <c r="BZ33" s="127">
        <f t="shared" si="28"/>
        <v>2.0634865610511683</v>
      </c>
      <c r="CA33" s="141"/>
      <c r="CB33" s="155">
        <f t="shared" si="29"/>
        <v>2.5929383707474774</v>
      </c>
      <c r="CC33" s="127">
        <v>1.3470262007787908</v>
      </c>
      <c r="CD33" s="127">
        <v>-0.26599294418410591</v>
      </c>
      <c r="CE33" s="127">
        <v>0.39297973448013812</v>
      </c>
      <c r="CF33" s="127">
        <f t="shared" si="30"/>
        <v>0.12698679029603221</v>
      </c>
      <c r="CH33" s="155">
        <f t="shared" si="31"/>
        <v>2.6512654768499289</v>
      </c>
      <c r="CI33" s="127">
        <v>1.6842985207880887</v>
      </c>
      <c r="CJ33" s="127">
        <v>1.2839192112138034</v>
      </c>
      <c r="CK33" s="127">
        <v>0.50377617701394806</v>
      </c>
      <c r="CL33" s="127">
        <f t="shared" si="32"/>
        <v>1.7876953882277515</v>
      </c>
      <c r="CM33" s="145"/>
      <c r="CN33" s="155">
        <f t="shared" si="33"/>
        <v>2.4638723480357561</v>
      </c>
      <c r="CO33" s="127">
        <v>0.16001569690712689</v>
      </c>
      <c r="CP33" s="127">
        <v>0.10470728157476483</v>
      </c>
      <c r="CQ33" s="127">
        <v>4.4097100952619553E-2</v>
      </c>
      <c r="CR33" s="127">
        <f t="shared" si="34"/>
        <v>0.14880438252738437</v>
      </c>
      <c r="CS33" s="128">
        <f t="shared" si="35"/>
        <v>0</v>
      </c>
      <c r="CT33" s="155">
        <f t="shared" si="36"/>
        <v>2.939646040038868</v>
      </c>
      <c r="CU33" s="87">
        <v>29.485164993404876</v>
      </c>
      <c r="CV33" s="127">
        <v>-0.17442869553303728</v>
      </c>
      <c r="CW33" s="127">
        <v>9.9088520274292744</v>
      </c>
      <c r="CX33" s="127">
        <f t="shared" si="37"/>
        <v>9.7344233318962363</v>
      </c>
      <c r="CY33" s="141"/>
      <c r="CZ33" s="155">
        <f t="shared" si="38"/>
        <v>2.9037153176336705</v>
      </c>
      <c r="DA33" s="127">
        <v>13.13007902657089</v>
      </c>
      <c r="DB33" s="127">
        <v>-1.8441660170364109</v>
      </c>
      <c r="DC33" s="127">
        <v>4.3513886531137187</v>
      </c>
      <c r="DD33" s="127">
        <f t="shared" si="39"/>
        <v>2.5072226360773078</v>
      </c>
      <c r="DF33" s="155">
        <f t="shared" si="40"/>
        <v>2.9399957923162523</v>
      </c>
      <c r="DG33" s="127">
        <v>13.498961495625606</v>
      </c>
      <c r="DH33" s="127">
        <v>0.92461388077596329</v>
      </c>
      <c r="DI33" s="127">
        <v>4.5371046838226157</v>
      </c>
      <c r="DJ33" s="127">
        <f t="shared" si="41"/>
        <v>5.4617185645985789</v>
      </c>
      <c r="DK33" s="145"/>
      <c r="DL33" s="155">
        <f t="shared" si="42"/>
        <v>3.1017595685842725</v>
      </c>
      <c r="DM33" s="127">
        <v>2.856124471208378</v>
      </c>
      <c r="DN33" s="127">
        <v>0.74512344072741044</v>
      </c>
      <c r="DO33" s="127">
        <v>1.0203586904929389</v>
      </c>
      <c r="DP33" s="127">
        <f t="shared" si="43"/>
        <v>1.7654821312203492</v>
      </c>
    </row>
    <row r="34" spans="1:120" x14ac:dyDescent="0.25">
      <c r="A34" s="128">
        <f>name!B30</f>
        <v>0</v>
      </c>
      <c r="B34" s="155">
        <f t="shared" si="1"/>
        <v>2.9160956930703641</v>
      </c>
      <c r="C34" s="87">
        <v>23.473999999999943</v>
      </c>
      <c r="D34" s="127">
        <v>1.4800000000000508</v>
      </c>
      <c r="E34" s="127">
        <v>7.8170489049169243</v>
      </c>
      <c r="F34" s="127">
        <f t="shared" si="2"/>
        <v>9.2970489049169753</v>
      </c>
      <c r="G34" s="141"/>
      <c r="H34" s="155">
        <f t="shared" si="3"/>
        <v>2.8413998152179376</v>
      </c>
      <c r="I34" s="127">
        <v>1.0959429864268337</v>
      </c>
      <c r="J34" s="127">
        <v>-0.1037259015403591</v>
      </c>
      <c r="K34" s="127">
        <v>0.35439010241011099</v>
      </c>
      <c r="L34" s="127">
        <f t="shared" si="4"/>
        <v>0.25066420086975189</v>
      </c>
      <c r="N34" s="155">
        <f t="shared" si="5"/>
        <v>2.7368083593868553</v>
      </c>
      <c r="O34" s="127">
        <v>5.7095877901633001</v>
      </c>
      <c r="P34" s="127">
        <v>-0.37327834266091714</v>
      </c>
      <c r="Q34" s="127">
        <v>1.7697896880944277</v>
      </c>
      <c r="R34" s="127">
        <f t="shared" si="6"/>
        <v>1.3965113454335105</v>
      </c>
      <c r="S34" s="145"/>
      <c r="T34" s="155">
        <f t="shared" si="7"/>
        <v>2.9817357423914226</v>
      </c>
      <c r="U34" s="127">
        <v>16.668469223409804</v>
      </c>
      <c r="V34" s="127">
        <v>1.9570042442013271</v>
      </c>
      <c r="W34" s="127">
        <v>5.6928691144123853</v>
      </c>
      <c r="X34" s="127">
        <f t="shared" si="8"/>
        <v>7.6498733586137124</v>
      </c>
      <c r="Y34" s="128">
        <f t="shared" si="0"/>
        <v>0</v>
      </c>
      <c r="Z34" s="155">
        <f t="shared" si="9"/>
        <v>2.9622047611067126</v>
      </c>
      <c r="AA34" s="87">
        <v>19.751750114413298</v>
      </c>
      <c r="AB34" s="127">
        <v>1.9847428369989049</v>
      </c>
      <c r="AC34" s="127">
        <v>6.6957068627363743</v>
      </c>
      <c r="AD34" s="127">
        <f t="shared" si="10"/>
        <v>8.6804496997352789</v>
      </c>
      <c r="AE34" s="141"/>
      <c r="AF34" s="155">
        <f t="shared" si="11"/>
        <v>2.8503434562277441</v>
      </c>
      <c r="AG34" s="127">
        <v>0.53141404120681335</v>
      </c>
      <c r="AH34" s="127">
        <v>5.7773207866578854E-3</v>
      </c>
      <c r="AI34" s="127">
        <v>0.17245277094298822</v>
      </c>
      <c r="AJ34" s="127">
        <f t="shared" si="12"/>
        <v>0.1782300917296461</v>
      </c>
      <c r="AL34" s="155">
        <f t="shared" si="13"/>
        <v>2.8052118952712313</v>
      </c>
      <c r="AM34" s="127">
        <v>3.8176590294715562</v>
      </c>
      <c r="AN34" s="127">
        <v>-9.3651610208796005E-2</v>
      </c>
      <c r="AO34" s="127">
        <v>1.2167495955135688</v>
      </c>
      <c r="AP34" s="127">
        <f t="shared" si="14"/>
        <v>1.1230979853047727</v>
      </c>
      <c r="AQ34" s="145"/>
      <c r="AR34" s="155">
        <f t="shared" si="15"/>
        <v>3.0046124829515852</v>
      </c>
      <c r="AS34" s="127">
        <v>15.402677043734929</v>
      </c>
      <c r="AT34" s="127">
        <v>2.0726171264210431</v>
      </c>
      <c r="AU34" s="127">
        <v>5.3065044962798176</v>
      </c>
      <c r="AV34" s="127">
        <f t="shared" si="16"/>
        <v>7.3791216227008611</v>
      </c>
      <c r="AW34" s="128">
        <f t="shared" si="17"/>
        <v>0</v>
      </c>
      <c r="AX34" s="155">
        <f t="shared" si="18"/>
        <v>2.6373612310459427</v>
      </c>
      <c r="AY34" s="87">
        <v>2.374731535280187</v>
      </c>
      <c r="AZ34" s="127">
        <v>-0.52610301968475415</v>
      </c>
      <c r="BA34" s="127">
        <v>0.70610956275344761</v>
      </c>
      <c r="BB34" s="127">
        <f t="shared" si="19"/>
        <v>0.18000654306869346</v>
      </c>
      <c r="BC34" s="141"/>
      <c r="BD34" s="155">
        <f t="shared" si="20"/>
        <v>2.6142974667533903</v>
      </c>
      <c r="BE34" s="127">
        <v>0.19374258077031151</v>
      </c>
      <c r="BF34" s="127">
        <v>-6.9067346278153099E-2</v>
      </c>
      <c r="BG34" s="127">
        <v>5.7043738869553398E-2</v>
      </c>
      <c r="BH34" s="127">
        <f t="shared" si="21"/>
        <v>-1.2023607408599701E-2</v>
      </c>
      <c r="BJ34" s="155">
        <f t="shared" si="22"/>
        <v>2.5779959595980673</v>
      </c>
      <c r="BK34" s="127">
        <v>1.3032102618231316</v>
      </c>
      <c r="BL34" s="127">
        <v>-0.29057782168208351</v>
      </c>
      <c r="BM34" s="127">
        <v>0.37774669225068269</v>
      </c>
      <c r="BN34" s="127">
        <f t="shared" si="23"/>
        <v>8.7168870568599177E-2</v>
      </c>
      <c r="BO34" s="145"/>
      <c r="BP34" s="155">
        <f t="shared" si="24"/>
        <v>2.7299783965388569</v>
      </c>
      <c r="BQ34" s="127">
        <v>0.87777869268674391</v>
      </c>
      <c r="BR34" s="127">
        <v>-0.16645785172451752</v>
      </c>
      <c r="BS34" s="127">
        <v>0.27131913163321136</v>
      </c>
      <c r="BT34" s="127">
        <f t="shared" si="25"/>
        <v>0.10486127990869384</v>
      </c>
      <c r="BU34" s="128">
        <f t="shared" si="26"/>
        <v>0</v>
      </c>
      <c r="BV34" s="155">
        <f t="shared" si="27"/>
        <v>2.6468617353205159</v>
      </c>
      <c r="BW34" s="87">
        <v>1.0085113638560528</v>
      </c>
      <c r="BX34" s="127">
        <v>-2.6892226884003306E-2</v>
      </c>
      <c r="BY34" s="127">
        <v>0.30108528970707676</v>
      </c>
      <c r="BZ34" s="127">
        <f t="shared" si="28"/>
        <v>0.27419306282307343</v>
      </c>
      <c r="CA34" s="141"/>
      <c r="CB34" s="155">
        <f t="shared" si="29"/>
        <v>2.9715317472071456</v>
      </c>
      <c r="CC34" s="127">
        <v>0.11005468485323042</v>
      </c>
      <c r="CD34" s="127">
        <v>-1.7792453645316623E-2</v>
      </c>
      <c r="CE34" s="127">
        <v>3.7441322944962968E-2</v>
      </c>
      <c r="CF34" s="127">
        <f t="shared" si="30"/>
        <v>1.9648869299646345E-2</v>
      </c>
      <c r="CH34" s="155">
        <f t="shared" si="31"/>
        <v>2.6078916675794428</v>
      </c>
      <c r="CI34" s="127">
        <v>0.53681981591731076</v>
      </c>
      <c r="CJ34" s="127">
        <v>-2.205025681449153E-2</v>
      </c>
      <c r="CK34" s="127">
        <v>0.1576225040625937</v>
      </c>
      <c r="CL34" s="127">
        <f t="shared" si="32"/>
        <v>0.13557224724810218</v>
      </c>
      <c r="CM34" s="145"/>
      <c r="CN34" s="155">
        <f t="shared" si="33"/>
        <v>2.604308479860018</v>
      </c>
      <c r="CO34" s="127">
        <v>0.36163686308551168</v>
      </c>
      <c r="CP34" s="127">
        <v>1.2950483575804845E-2</v>
      </c>
      <c r="CQ34" s="127">
        <v>0.10602146269952011</v>
      </c>
      <c r="CR34" s="127">
        <f t="shared" si="34"/>
        <v>0.11897194627532495</v>
      </c>
      <c r="CS34" s="128">
        <f t="shared" si="35"/>
        <v>0</v>
      </c>
      <c r="CT34" s="155">
        <f t="shared" si="36"/>
        <v>2.9446387229132842</v>
      </c>
      <c r="CU34" s="87">
        <v>0.33900698645039778</v>
      </c>
      <c r="CV34" s="127">
        <v>4.8252409569903426E-2</v>
      </c>
      <c r="CW34" s="127">
        <v>0.11414718972002513</v>
      </c>
      <c r="CX34" s="127">
        <f t="shared" si="37"/>
        <v>0.16239959928992856</v>
      </c>
      <c r="CY34" s="141"/>
      <c r="CZ34" s="155">
        <f t="shared" si="38"/>
        <v>2.9346268426516664</v>
      </c>
      <c r="DA34" s="127">
        <v>0.26073167959647875</v>
      </c>
      <c r="DB34" s="127">
        <v>-2.2643422403547261E-2</v>
      </c>
      <c r="DC34" s="127">
        <v>8.7452269652606385E-2</v>
      </c>
      <c r="DD34" s="127">
        <f t="shared" si="39"/>
        <v>6.4808847249059123E-2</v>
      </c>
      <c r="DF34" s="155">
        <f t="shared" si="40"/>
        <v>2.9736967059325492</v>
      </c>
      <c r="DG34" s="127">
        <v>5.1898682951301692E-2</v>
      </c>
      <c r="DH34" s="127">
        <v>3.3001346044453983E-2</v>
      </c>
      <c r="DI34" s="127">
        <v>1.7670896267582607E-2</v>
      </c>
      <c r="DJ34" s="127">
        <f t="shared" si="41"/>
        <v>5.067224231203659E-2</v>
      </c>
      <c r="DK34" s="145"/>
      <c r="DL34" s="155">
        <f t="shared" si="42"/>
        <v>2.986239445321015</v>
      </c>
      <c r="DM34" s="127">
        <v>2.637662390261741E-2</v>
      </c>
      <c r="DN34" s="127">
        <v>3.7894485928996711E-2</v>
      </c>
      <c r="DO34" s="127">
        <v>9.0240237998361478E-3</v>
      </c>
      <c r="DP34" s="127">
        <f t="shared" si="43"/>
        <v>4.6918509728832859E-2</v>
      </c>
    </row>
    <row r="35" spans="1:120" x14ac:dyDescent="0.25">
      <c r="A35" s="128">
        <f>name!B31</f>
        <v>0</v>
      </c>
      <c r="B35" s="155">
        <f t="shared" si="1"/>
        <v>2.8621080323697479</v>
      </c>
      <c r="C35" s="87">
        <v>28.894999999999936</v>
      </c>
      <c r="D35" s="127">
        <v>1.6460000000000381</v>
      </c>
      <c r="E35" s="127">
        <v>9.420712233917067</v>
      </c>
      <c r="F35" s="127">
        <f t="shared" si="2"/>
        <v>11.066712233917105</v>
      </c>
      <c r="G35" s="141"/>
      <c r="H35" s="155">
        <f t="shared" si="3"/>
        <v>2.6633825373017173</v>
      </c>
      <c r="I35" s="127">
        <v>1.9794220652335754</v>
      </c>
      <c r="J35" s="127">
        <v>-0.35248216003289656</v>
      </c>
      <c r="K35" s="127">
        <v>0.59508506788336712</v>
      </c>
      <c r="L35" s="127">
        <f t="shared" si="4"/>
        <v>0.24260290785047056</v>
      </c>
      <c r="N35" s="155">
        <f t="shared" si="5"/>
        <v>2.6696771260062091</v>
      </c>
      <c r="O35" s="127">
        <v>10.289648262531291</v>
      </c>
      <c r="P35" s="127">
        <v>0.71798490602012099</v>
      </c>
      <c r="Q35" s="127">
        <v>3.1016441026996522</v>
      </c>
      <c r="R35" s="127">
        <f t="shared" si="6"/>
        <v>3.8196290087197733</v>
      </c>
      <c r="S35" s="145"/>
      <c r="T35" s="155">
        <f t="shared" si="7"/>
        <v>3.0027901952621061</v>
      </c>
      <c r="U35" s="127">
        <v>16.625929672235067</v>
      </c>
      <c r="V35" s="127">
        <v>1.2804972540128137</v>
      </c>
      <c r="W35" s="127">
        <v>5.7239830633340478</v>
      </c>
      <c r="X35" s="127">
        <f t="shared" si="8"/>
        <v>7.0044803173468617</v>
      </c>
      <c r="Y35" s="128">
        <f t="shared" si="0"/>
        <v>0</v>
      </c>
      <c r="Z35" s="155">
        <f t="shared" si="9"/>
        <v>3.0215443790052143</v>
      </c>
      <c r="AA35" s="87">
        <v>17.580481963655998</v>
      </c>
      <c r="AB35" s="127">
        <v>2.8098087008328023</v>
      </c>
      <c r="AC35" s="127">
        <v>6.095681909765899</v>
      </c>
      <c r="AD35" s="127">
        <f t="shared" si="10"/>
        <v>8.9054906105987008</v>
      </c>
      <c r="AE35" s="141"/>
      <c r="AF35" s="155">
        <f t="shared" si="11"/>
        <v>2.9707695648767851</v>
      </c>
      <c r="AG35" s="127">
        <v>0.5967101275394916</v>
      </c>
      <c r="AH35" s="127">
        <v>0.21095192443473093</v>
      </c>
      <c r="AI35" s="127">
        <v>0.20294549270816775</v>
      </c>
      <c r="AJ35" s="127">
        <f t="shared" si="12"/>
        <v>0.41389741714289868</v>
      </c>
      <c r="AL35" s="155">
        <f t="shared" si="13"/>
        <v>2.828445336027241</v>
      </c>
      <c r="AM35" s="127">
        <v>4.2778021615675197</v>
      </c>
      <c r="AN35" s="127">
        <v>1.1605153808737563</v>
      </c>
      <c r="AO35" s="127">
        <v>1.3761664496642632</v>
      </c>
      <c r="AP35" s="127">
        <f t="shared" si="14"/>
        <v>2.5366818305380194</v>
      </c>
      <c r="AQ35" s="145"/>
      <c r="AR35" s="155">
        <f t="shared" si="15"/>
        <v>3.0881955582803711</v>
      </c>
      <c r="AS35" s="127">
        <v>12.705969674548985</v>
      </c>
      <c r="AT35" s="127">
        <v>1.4383413955243152</v>
      </c>
      <c r="AU35" s="127">
        <v>4.5165699673934689</v>
      </c>
      <c r="AV35" s="127">
        <f t="shared" si="16"/>
        <v>5.9549113629177839</v>
      </c>
      <c r="AW35" s="128">
        <f t="shared" si="17"/>
        <v>0</v>
      </c>
      <c r="AX35" s="155">
        <f t="shared" si="18"/>
        <v>2.6020134806948869</v>
      </c>
      <c r="AY35" s="87">
        <v>7.0600510279774715</v>
      </c>
      <c r="AZ35" s="127">
        <v>-0.82070299664328927</v>
      </c>
      <c r="BA35" s="127">
        <v>2.067760735617695</v>
      </c>
      <c r="BB35" s="127">
        <f t="shared" si="19"/>
        <v>1.2470577389744057</v>
      </c>
      <c r="BC35" s="141"/>
      <c r="BD35" s="155">
        <f t="shared" si="20"/>
        <v>2.5053318006841074</v>
      </c>
      <c r="BE35" s="127">
        <v>0.58242692656334427</v>
      </c>
      <c r="BF35" s="127">
        <v>-0.32828833435573068</v>
      </c>
      <c r="BG35" s="127">
        <v>0.16351669099146005</v>
      </c>
      <c r="BH35" s="127">
        <f t="shared" si="21"/>
        <v>-0.16477164336427064</v>
      </c>
      <c r="BJ35" s="155">
        <f t="shared" si="22"/>
        <v>2.528922957277846</v>
      </c>
      <c r="BK35" s="127">
        <v>3.4980513979754475</v>
      </c>
      <c r="BL35" s="127">
        <v>-0.21403758136916518</v>
      </c>
      <c r="BM35" s="127">
        <v>0.99240143264883662</v>
      </c>
      <c r="BN35" s="127">
        <f t="shared" si="23"/>
        <v>0.77836385127967145</v>
      </c>
      <c r="BO35" s="145"/>
      <c r="BP35" s="155">
        <f t="shared" si="24"/>
        <v>2.7058922134773455</v>
      </c>
      <c r="BQ35" s="127">
        <v>2.9795727034386803</v>
      </c>
      <c r="BR35" s="127">
        <v>-0.27837708091839342</v>
      </c>
      <c r="BS35" s="127">
        <v>0.91184261197739835</v>
      </c>
      <c r="BT35" s="127">
        <f t="shared" si="25"/>
        <v>0.63346553105900494</v>
      </c>
      <c r="BU35" s="128">
        <f t="shared" si="26"/>
        <v>0</v>
      </c>
      <c r="BV35" s="155">
        <f t="shared" si="27"/>
        <v>2.6025333799874595</v>
      </c>
      <c r="BW35" s="87">
        <v>3.9916086369088277</v>
      </c>
      <c r="BX35" s="127">
        <v>-0.36860749517507152</v>
      </c>
      <c r="BY35" s="127">
        <v>1.1693311871886336</v>
      </c>
      <c r="BZ35" s="127">
        <f t="shared" si="28"/>
        <v>0.80072369201356208</v>
      </c>
      <c r="CA35" s="141"/>
      <c r="CB35" s="155">
        <f t="shared" si="29"/>
        <v>2.5262794249925946</v>
      </c>
      <c r="CC35" s="127">
        <v>0.76479151317239202</v>
      </c>
      <c r="CD35" s="127">
        <v>-0.20773686960970486</v>
      </c>
      <c r="CE35" s="127">
        <v>0.21671918013294533</v>
      </c>
      <c r="CF35" s="127">
        <f t="shared" si="30"/>
        <v>8.9823105232404721E-3</v>
      </c>
      <c r="CH35" s="155">
        <f t="shared" si="31"/>
        <v>2.5896950806788999</v>
      </c>
      <c r="CI35" s="127">
        <v>2.4153471822787229</v>
      </c>
      <c r="CJ35" s="127">
        <v>-0.2502303844660983</v>
      </c>
      <c r="CK35" s="127">
        <v>0.70366416736616388</v>
      </c>
      <c r="CL35" s="127">
        <f t="shared" si="32"/>
        <v>0.45343378290006559</v>
      </c>
      <c r="CM35" s="145"/>
      <c r="CN35" s="155">
        <f t="shared" si="33"/>
        <v>2.7118274856430702</v>
      </c>
      <c r="CO35" s="127">
        <v>0.81146994145771245</v>
      </c>
      <c r="CP35" s="127">
        <v>8.9359758900731598E-2</v>
      </c>
      <c r="CQ35" s="127">
        <v>0.24894783968952428</v>
      </c>
      <c r="CR35" s="127">
        <f t="shared" si="34"/>
        <v>0.33830759859025589</v>
      </c>
      <c r="CS35" s="128">
        <f t="shared" si="35"/>
        <v>0</v>
      </c>
      <c r="CT35" s="155">
        <f t="shared" si="36"/>
        <v>2.9279629310322131</v>
      </c>
      <c r="CU35" s="87">
        <v>0.26285837145763702</v>
      </c>
      <c r="CV35" s="127">
        <v>2.5501790985596576E-2</v>
      </c>
      <c r="CW35" s="127">
        <v>8.7938401344838837E-2</v>
      </c>
      <c r="CX35" s="127">
        <f t="shared" si="37"/>
        <v>0.11344019233043541</v>
      </c>
      <c r="CY35" s="141"/>
      <c r="CZ35" s="155">
        <f t="shared" si="38"/>
        <v>2.9343651326463327</v>
      </c>
      <c r="DA35" s="127">
        <v>3.5493497958347456E-2</v>
      </c>
      <c r="DB35" s="127">
        <v>-2.740888050219192E-2</v>
      </c>
      <c r="DC35" s="127">
        <v>1.1903704050793999E-2</v>
      </c>
      <c r="DD35" s="127">
        <f t="shared" si="39"/>
        <v>-1.5505176451397921E-2</v>
      </c>
      <c r="DF35" s="155">
        <f t="shared" si="40"/>
        <v>2.6485565988142667</v>
      </c>
      <c r="DG35" s="127">
        <v>9.8447520709600847E-2</v>
      </c>
      <c r="DH35" s="127">
        <v>2.1737490981628024E-2</v>
      </c>
      <c r="DI35" s="127">
        <v>2.941205302038874E-2</v>
      </c>
      <c r="DJ35" s="127">
        <f t="shared" si="41"/>
        <v>5.1149544002016767E-2</v>
      </c>
      <c r="DK35" s="145"/>
      <c r="DL35" s="155">
        <f t="shared" si="42"/>
        <v>3.1350944801386671</v>
      </c>
      <c r="DM35" s="127">
        <v>0.12891735278968872</v>
      </c>
      <c r="DN35" s="127">
        <v>3.1173180506160469E-2</v>
      </c>
      <c r="DO35" s="127">
        <v>4.6622644273656109E-2</v>
      </c>
      <c r="DP35" s="127">
        <f t="shared" si="43"/>
        <v>7.7795824779816586E-2</v>
      </c>
    </row>
    <row r="36" spans="1:120" x14ac:dyDescent="0.25">
      <c r="A36" s="128">
        <f>name!B32</f>
        <v>0</v>
      </c>
      <c r="B36" s="155">
        <f t="shared" si="1"/>
        <v>2.9945367077332863</v>
      </c>
      <c r="C36" s="87">
        <v>56.486999999999881</v>
      </c>
      <c r="D36" s="127">
        <v>9.4270000000000458</v>
      </c>
      <c r="E36" s="127">
        <v>19.386548178062384</v>
      </c>
      <c r="F36" s="127">
        <f t="shared" si="2"/>
        <v>28.81354817806243</v>
      </c>
      <c r="G36" s="141"/>
      <c r="H36" s="155">
        <f t="shared" si="3"/>
        <v>2.6683655064911882</v>
      </c>
      <c r="I36" s="127">
        <v>3.0739661220094856</v>
      </c>
      <c r="J36" s="127">
        <v>1.6985913874363638</v>
      </c>
      <c r="K36" s="127">
        <v>0.92608514366015537</v>
      </c>
      <c r="L36" s="127">
        <f t="shared" si="4"/>
        <v>2.6246765310965192</v>
      </c>
      <c r="N36" s="155">
        <f t="shared" si="5"/>
        <v>2.7983270973520824</v>
      </c>
      <c r="O36" s="127">
        <v>10.80483185043264</v>
      </c>
      <c r="P36" s="127">
        <v>0.32429358730751345</v>
      </c>
      <c r="Q36" s="127">
        <v>3.4341351738504251</v>
      </c>
      <c r="R36" s="127">
        <f t="shared" si="6"/>
        <v>3.7584287611579388</v>
      </c>
      <c r="S36" s="145"/>
      <c r="T36" s="155">
        <f t="shared" si="7"/>
        <v>3.0668385216106264</v>
      </c>
      <c r="U36" s="127">
        <v>42.608202027557752</v>
      </c>
      <c r="V36" s="127">
        <v>7.4041150252561669</v>
      </c>
      <c r="W36" s="127">
        <v>15.026327860551801</v>
      </c>
      <c r="X36" s="127">
        <f t="shared" si="8"/>
        <v>22.430442885807967</v>
      </c>
      <c r="Y36" s="128">
        <f t="shared" si="0"/>
        <v>0</v>
      </c>
      <c r="Z36" s="155">
        <f t="shared" si="9"/>
        <v>3.0309771831799281</v>
      </c>
      <c r="AA36" s="87">
        <v>51.021735996170101</v>
      </c>
      <c r="AB36" s="127">
        <v>9.5647099325395999</v>
      </c>
      <c r="AC36" s="127">
        <v>17.753710691282151</v>
      </c>
      <c r="AD36" s="127">
        <f t="shared" si="10"/>
        <v>27.318420623821751</v>
      </c>
      <c r="AE36" s="141"/>
      <c r="AF36" s="155">
        <f t="shared" si="11"/>
        <v>2.7156970530987756</v>
      </c>
      <c r="AG36" s="127">
        <v>1.8966772091595998</v>
      </c>
      <c r="AH36" s="127">
        <v>1.1084660999032749</v>
      </c>
      <c r="AI36" s="127">
        <v>0.58280846211724435</v>
      </c>
      <c r="AJ36" s="127">
        <f t="shared" si="12"/>
        <v>1.6912745620205194</v>
      </c>
      <c r="AL36" s="155">
        <f t="shared" si="13"/>
        <v>2.8544377950161515</v>
      </c>
      <c r="AM36" s="127">
        <v>8.7151787782400429</v>
      </c>
      <c r="AN36" s="127">
        <v>0.37231764916359472</v>
      </c>
      <c r="AO36" s="127">
        <v>2.8328178136294691</v>
      </c>
      <c r="AP36" s="127">
        <f t="shared" si="14"/>
        <v>3.2051354627930637</v>
      </c>
      <c r="AQ36" s="145"/>
      <c r="AR36" s="155">
        <f t="shared" si="15"/>
        <v>3.0832355344662776</v>
      </c>
      <c r="AS36" s="127">
        <v>40.409880008770457</v>
      </c>
      <c r="AT36" s="127">
        <v>8.0839261834727303</v>
      </c>
      <c r="AU36" s="127">
        <v>14.338084415535439</v>
      </c>
      <c r="AV36" s="127">
        <f t="shared" si="16"/>
        <v>22.422010599008168</v>
      </c>
      <c r="AW36" s="128">
        <f t="shared" si="17"/>
        <v>0</v>
      </c>
      <c r="AX36" s="155">
        <f t="shared" si="18"/>
        <v>2.6442828612915692</v>
      </c>
      <c r="AY36" s="87">
        <v>4.1117223502687619</v>
      </c>
      <c r="AZ36" s="127">
        <v>-1.2602457015033561</v>
      </c>
      <c r="BA36" s="127">
        <v>1.2261898817352725</v>
      </c>
      <c r="BB36" s="127">
        <f t="shared" si="19"/>
        <v>-3.4055819768083584E-2</v>
      </c>
      <c r="BC36" s="141"/>
      <c r="BD36" s="155">
        <f t="shared" si="20"/>
        <v>2.5250973136344612</v>
      </c>
      <c r="BE36" s="127">
        <v>0.59212142104784216</v>
      </c>
      <c r="BF36" s="127">
        <v>5.5003227893673415E-2</v>
      </c>
      <c r="BG36" s="127">
        <v>0.1677019969682341</v>
      </c>
      <c r="BH36" s="127">
        <f t="shared" si="21"/>
        <v>0.22270522486190752</v>
      </c>
      <c r="BJ36" s="155">
        <f t="shared" si="22"/>
        <v>2.5953522288273634</v>
      </c>
      <c r="BK36" s="127">
        <v>1.6781048923637909</v>
      </c>
      <c r="BL36" s="127">
        <v>-0.50299398657548378</v>
      </c>
      <c r="BM36" s="127">
        <v>0.49007829174845352</v>
      </c>
      <c r="BN36" s="127">
        <f t="shared" si="23"/>
        <v>-1.2915694827030255E-2</v>
      </c>
      <c r="BO36" s="145"/>
      <c r="BP36" s="155">
        <f t="shared" si="24"/>
        <v>2.7266024857339533</v>
      </c>
      <c r="BQ36" s="127">
        <v>1.8414960368571291</v>
      </c>
      <c r="BR36" s="127">
        <v>-0.81225494282154564</v>
      </c>
      <c r="BS36" s="127">
        <v>0.56840959301858496</v>
      </c>
      <c r="BT36" s="127">
        <f t="shared" si="25"/>
        <v>-0.24384534980296069</v>
      </c>
      <c r="BU36" s="128">
        <f t="shared" si="26"/>
        <v>0</v>
      </c>
      <c r="BV36" s="155">
        <f t="shared" si="27"/>
        <v>2.6699286086445007</v>
      </c>
      <c r="BW36" s="87">
        <v>0.94096087042845011</v>
      </c>
      <c r="BX36" s="127">
        <v>1.0673588590067584</v>
      </c>
      <c r="BY36" s="127">
        <v>0.28366707092484866</v>
      </c>
      <c r="BZ36" s="127">
        <f t="shared" si="28"/>
        <v>1.3510259299316072</v>
      </c>
      <c r="CA36" s="141"/>
      <c r="CB36" s="155">
        <f t="shared" si="29"/>
        <v>2.4755931087015126</v>
      </c>
      <c r="CC36" s="127">
        <v>0.24637925552867021</v>
      </c>
      <c r="CD36" s="127">
        <v>0.45294770729803285</v>
      </c>
      <c r="CE36" s="127">
        <v>6.8256840443345096E-2</v>
      </c>
      <c r="CF36" s="127">
        <f t="shared" si="30"/>
        <v>0.52120454774137792</v>
      </c>
      <c r="CH36" s="155">
        <f t="shared" si="31"/>
        <v>2.5317857369329788</v>
      </c>
      <c r="CI36" s="127">
        <v>0.34250238229029917</v>
      </c>
      <c r="CJ36" s="127">
        <v>0.47722061778305425</v>
      </c>
      <c r="CK36" s="127">
        <v>9.7291120958866453E-2</v>
      </c>
      <c r="CL36" s="127">
        <f t="shared" si="32"/>
        <v>0.57451173874192074</v>
      </c>
      <c r="CM36" s="145"/>
      <c r="CN36" s="155">
        <f t="shared" si="33"/>
        <v>2.9352369214464158</v>
      </c>
      <c r="CO36" s="127">
        <v>0.35207923260948076</v>
      </c>
      <c r="CP36" s="127">
        <v>0.13719053392567115</v>
      </c>
      <c r="CQ36" s="127">
        <v>0.1181191095226371</v>
      </c>
      <c r="CR36" s="127">
        <f t="shared" si="34"/>
        <v>0.25530964344830825</v>
      </c>
      <c r="CS36" s="128">
        <f t="shared" si="35"/>
        <v>0</v>
      </c>
      <c r="CT36" s="155">
        <f t="shared" si="36"/>
        <v>2.6431615692057875</v>
      </c>
      <c r="CU36" s="87">
        <v>0.41258078313257079</v>
      </c>
      <c r="CV36" s="127">
        <v>5.5176909957042726E-2</v>
      </c>
      <c r="CW36" s="127">
        <v>0.12298053412010829</v>
      </c>
      <c r="CX36" s="127">
        <f t="shared" si="37"/>
        <v>0.17815744407715101</v>
      </c>
      <c r="CY36" s="141"/>
      <c r="CZ36" s="155">
        <f t="shared" si="38"/>
        <v>2.7900274591234453</v>
      </c>
      <c r="DA36" s="127">
        <v>0.33878823627337318</v>
      </c>
      <c r="DB36" s="127">
        <v>8.2174352341382664E-2</v>
      </c>
      <c r="DC36" s="127">
        <v>0.10731784413133177</v>
      </c>
      <c r="DD36" s="127">
        <f t="shared" si="39"/>
        <v>0.18949219647271442</v>
      </c>
      <c r="DF36" s="155">
        <f t="shared" si="40"/>
        <v>1.8569836908540527</v>
      </c>
      <c r="DG36" s="127">
        <v>6.9045797538509451E-2</v>
      </c>
      <c r="DH36" s="127">
        <v>-2.2250693063651759E-2</v>
      </c>
      <c r="DI36" s="127">
        <v>1.3947947513635921E-2</v>
      </c>
      <c r="DJ36" s="127">
        <f t="shared" si="41"/>
        <v>-8.3027455500158387E-3</v>
      </c>
      <c r="DK36" s="145"/>
      <c r="DL36" s="155">
        <f t="shared" si="42"/>
        <v>3.1320498905442085</v>
      </c>
      <c r="DM36" s="127">
        <v>4.7467493206881754E-3</v>
      </c>
      <c r="DN36" s="127">
        <v>-4.7467493206881754E-3</v>
      </c>
      <c r="DO36" s="127">
        <v>1.714742475140592E-3</v>
      </c>
      <c r="DP36" s="127">
        <f t="shared" si="43"/>
        <v>-3.0320068455475836E-3</v>
      </c>
    </row>
    <row r="37" spans="1:120" x14ac:dyDescent="0.25">
      <c r="A37" s="128">
        <f>name!B33</f>
        <v>0</v>
      </c>
      <c r="B37" s="155">
        <f t="shared" si="1"/>
        <v>3.0105219210724066</v>
      </c>
      <c r="C37" s="87">
        <v>138.06999999999971</v>
      </c>
      <c r="D37" s="127">
        <v>5.2479999999998874</v>
      </c>
      <c r="E37" s="127">
        <v>47.674174099563118</v>
      </c>
      <c r="F37" s="127">
        <f t="shared" si="2"/>
        <v>52.922174099563009</v>
      </c>
      <c r="G37" s="141"/>
      <c r="H37" s="155">
        <f t="shared" si="3"/>
        <v>2.7387217667445674</v>
      </c>
      <c r="I37" s="127">
        <v>5.0762170042485808</v>
      </c>
      <c r="J37" s="127">
        <v>-1.6886317271375544</v>
      </c>
      <c r="K37" s="127">
        <v>1.5747035569122914</v>
      </c>
      <c r="L37" s="127">
        <f t="shared" si="4"/>
        <v>-0.11392817022526303</v>
      </c>
      <c r="N37" s="155">
        <f t="shared" si="5"/>
        <v>2.8045296362573024</v>
      </c>
      <c r="O37" s="127">
        <v>28.306731283971203</v>
      </c>
      <c r="P37" s="127">
        <v>-8.2765906536960721</v>
      </c>
      <c r="Q37" s="127">
        <v>9.0193352638725663</v>
      </c>
      <c r="R37" s="127">
        <f t="shared" si="6"/>
        <v>0.74274461017649429</v>
      </c>
      <c r="S37" s="145"/>
      <c r="T37" s="155">
        <f t="shared" si="7"/>
        <v>3.078543964604763</v>
      </c>
      <c r="U37" s="127">
        <v>104.68705171177994</v>
      </c>
      <c r="V37" s="127">
        <v>15.213222380833514</v>
      </c>
      <c r="W37" s="127">
        <v>37.080135278778265</v>
      </c>
      <c r="X37" s="127">
        <f t="shared" si="8"/>
        <v>52.293357659611779</v>
      </c>
      <c r="Y37" s="128">
        <f t="shared" si="0"/>
        <v>0</v>
      </c>
      <c r="Z37" s="155">
        <f t="shared" si="9"/>
        <v>3.1854311581563932</v>
      </c>
      <c r="AA37" s="87">
        <v>84.169352157623123</v>
      </c>
      <c r="AB37" s="127">
        <v>11.293223881137797</v>
      </c>
      <c r="AC37" s="127">
        <v>31.000236702092703</v>
      </c>
      <c r="AD37" s="127">
        <f t="shared" si="10"/>
        <v>42.293460583230498</v>
      </c>
      <c r="AE37" s="141"/>
      <c r="AF37" s="155">
        <f t="shared" si="11"/>
        <v>2.8758144240809802</v>
      </c>
      <c r="AG37" s="127">
        <v>1.561209729824472</v>
      </c>
      <c r="AH37" s="127">
        <v>-0.14303116627554172</v>
      </c>
      <c r="AI37" s="127">
        <v>0.51176550062084825</v>
      </c>
      <c r="AJ37" s="127">
        <f t="shared" si="12"/>
        <v>0.36873433434530656</v>
      </c>
      <c r="AL37" s="155">
        <f t="shared" si="13"/>
        <v>3.0188955093647607</v>
      </c>
      <c r="AM37" s="127">
        <v>12.208732860551185</v>
      </c>
      <c r="AN37" s="127">
        <v>-2.5285459351532285</v>
      </c>
      <c r="AO37" s="127">
        <v>4.2289079044003817</v>
      </c>
      <c r="AP37" s="127">
        <f t="shared" si="14"/>
        <v>1.7003619692471532</v>
      </c>
      <c r="AQ37" s="145"/>
      <c r="AR37" s="155">
        <f t="shared" si="15"/>
        <v>3.2208226301510656</v>
      </c>
      <c r="AS37" s="127">
        <v>70.39940956724746</v>
      </c>
      <c r="AT37" s="127">
        <v>13.964800982566569</v>
      </c>
      <c r="AU37" s="127">
        <v>26.259563297071477</v>
      </c>
      <c r="AV37" s="127">
        <f t="shared" si="16"/>
        <v>40.224364279638046</v>
      </c>
      <c r="AW37" s="128">
        <f t="shared" si="17"/>
        <v>0</v>
      </c>
      <c r="AX37" s="155">
        <f t="shared" si="18"/>
        <v>2.7267134522667158</v>
      </c>
      <c r="AY37" s="87">
        <v>51.927409634180037</v>
      </c>
      <c r="AZ37" s="127">
        <v>-6.0856524291559531</v>
      </c>
      <c r="BA37" s="127">
        <v>16.029026927967443</v>
      </c>
      <c r="BB37" s="127">
        <f t="shared" si="19"/>
        <v>9.9433744988114903</v>
      </c>
      <c r="BC37" s="141"/>
      <c r="BD37" s="155">
        <f t="shared" si="20"/>
        <v>2.6091217857213467</v>
      </c>
      <c r="BE37" s="127">
        <v>2.7243795006504485</v>
      </c>
      <c r="BF37" s="127">
        <v>-1.1532037322243214</v>
      </c>
      <c r="BG37" s="127">
        <v>0.80036230481528592</v>
      </c>
      <c r="BH37" s="127">
        <f t="shared" si="21"/>
        <v>-0.35284142740903546</v>
      </c>
      <c r="BJ37" s="155">
        <f t="shared" si="22"/>
        <v>2.6299443244254261</v>
      </c>
      <c r="BK37" s="127">
        <v>15.359163285338358</v>
      </c>
      <c r="BL37" s="127">
        <v>-5.9558823651697637</v>
      </c>
      <c r="BM37" s="127">
        <v>4.5525435996448893</v>
      </c>
      <c r="BN37" s="127">
        <f t="shared" si="23"/>
        <v>-1.4033387655248744</v>
      </c>
      <c r="BO37" s="145"/>
      <c r="BP37" s="155">
        <f t="shared" si="24"/>
        <v>2.7797379262401334</v>
      </c>
      <c r="BQ37" s="127">
        <v>33.843866848191233</v>
      </c>
      <c r="BR37" s="127">
        <v>1.0234336682381324</v>
      </c>
      <c r="BS37" s="127">
        <v>10.676121023507269</v>
      </c>
      <c r="BT37" s="127">
        <f t="shared" si="25"/>
        <v>11.699554691745401</v>
      </c>
      <c r="BU37" s="128">
        <f t="shared" si="26"/>
        <v>0</v>
      </c>
      <c r="BV37" s="155">
        <f t="shared" si="27"/>
        <v>2.6792477491861755</v>
      </c>
      <c r="BW37" s="87">
        <v>0.56980182682378044</v>
      </c>
      <c r="BX37" s="127">
        <v>1.0313467302711063E-2</v>
      </c>
      <c r="BY37" s="127">
        <v>0.17244888032198771</v>
      </c>
      <c r="BZ37" s="127">
        <f t="shared" si="28"/>
        <v>0.18276234762469878</v>
      </c>
      <c r="CA37" s="141"/>
      <c r="CB37" s="155">
        <f t="shared" si="29"/>
        <v>2.8367883930212612</v>
      </c>
      <c r="CC37" s="127">
        <v>0.20099431010344829</v>
      </c>
      <c r="CD37" s="127">
        <v>-5.7907920738398629E-2</v>
      </c>
      <c r="CE37" s="127">
        <v>6.4875370800946713E-2</v>
      </c>
      <c r="CF37" s="127">
        <f t="shared" si="30"/>
        <v>6.9674500625480848E-3</v>
      </c>
      <c r="CH37" s="155">
        <f t="shared" si="31"/>
        <v>2.5723272891071236</v>
      </c>
      <c r="CI37" s="127">
        <v>0.24513927427280902</v>
      </c>
      <c r="CJ37" s="127">
        <v>6.3410914542454982E-2</v>
      </c>
      <c r="CK37" s="127">
        <v>7.0881032615846981E-2</v>
      </c>
      <c r="CL37" s="127">
        <f t="shared" si="32"/>
        <v>0.13429194715830195</v>
      </c>
      <c r="CM37" s="145"/>
      <c r="CN37" s="155">
        <f t="shared" si="33"/>
        <v>2.6322808837923928</v>
      </c>
      <c r="CO37" s="127">
        <v>0.12366824244752304</v>
      </c>
      <c r="CP37" s="127">
        <v>4.8104734986547104E-3</v>
      </c>
      <c r="CQ37" s="127">
        <v>3.6692476905194005E-2</v>
      </c>
      <c r="CR37" s="127">
        <f t="shared" si="34"/>
        <v>4.1502950403848715E-2</v>
      </c>
      <c r="CS37" s="128">
        <f t="shared" si="35"/>
        <v>0</v>
      </c>
      <c r="CT37" s="155">
        <f t="shared" si="36"/>
        <v>2.9441443737506567</v>
      </c>
      <c r="CU37" s="87">
        <v>1.4034363813727799</v>
      </c>
      <c r="CV37" s="127">
        <v>3.0115080715330519E-2</v>
      </c>
      <c r="CW37" s="127">
        <v>0.47246158918098952</v>
      </c>
      <c r="CX37" s="127">
        <f t="shared" si="37"/>
        <v>0.50257666989631999</v>
      </c>
      <c r="CY37" s="141"/>
      <c r="CZ37" s="155">
        <f t="shared" si="38"/>
        <v>2.9337226933785931</v>
      </c>
      <c r="DA37" s="127">
        <v>0.58963346367021108</v>
      </c>
      <c r="DB37" s="127">
        <v>-0.33448890789929281</v>
      </c>
      <c r="DC37" s="127">
        <v>0.19770038067521037</v>
      </c>
      <c r="DD37" s="127">
        <f t="shared" si="39"/>
        <v>-0.13678852722408244</v>
      </c>
      <c r="DF37" s="155">
        <f t="shared" si="40"/>
        <v>2.9566467111862726</v>
      </c>
      <c r="DG37" s="127">
        <v>0.49369586380885072</v>
      </c>
      <c r="DH37" s="127">
        <v>0.14442673208446449</v>
      </c>
      <c r="DI37" s="127">
        <v>0.16700272721144677</v>
      </c>
      <c r="DJ37" s="127">
        <f t="shared" si="41"/>
        <v>0.31142945929591126</v>
      </c>
      <c r="DK37" s="145"/>
      <c r="DL37" s="155">
        <f t="shared" si="42"/>
        <v>2.944039552625588</v>
      </c>
      <c r="DM37" s="127">
        <v>0.32010705389371841</v>
      </c>
      <c r="DN37" s="127">
        <v>0.22017725653015885</v>
      </c>
      <c r="DO37" s="127">
        <v>0.10775848129433241</v>
      </c>
      <c r="DP37" s="127">
        <f t="shared" si="43"/>
        <v>0.32793573782449126</v>
      </c>
    </row>
    <row r="38" spans="1:120" x14ac:dyDescent="0.25">
      <c r="A38" s="128">
        <f>name!B34</f>
        <v>0</v>
      </c>
      <c r="B38" s="155">
        <f t="shared" si="1"/>
        <v>2.8257154904523185</v>
      </c>
      <c r="C38" s="87">
        <v>26.81499999999993</v>
      </c>
      <c r="D38" s="127">
        <v>7.5369999999999937</v>
      </c>
      <c r="E38" s="127">
        <v>8.6169620938889029</v>
      </c>
      <c r="F38" s="127">
        <f t="shared" si="2"/>
        <v>16.153962093888897</v>
      </c>
      <c r="G38" s="141"/>
      <c r="H38" s="155">
        <f t="shared" si="3"/>
        <v>2.7595137651860391</v>
      </c>
      <c r="I38" s="127">
        <v>9.6078449399321268</v>
      </c>
      <c r="J38" s="127">
        <v>1.1945418938920125</v>
      </c>
      <c r="K38" s="127">
        <v>3.0059681556585636</v>
      </c>
      <c r="L38" s="127">
        <f t="shared" si="4"/>
        <v>4.2005100495505765</v>
      </c>
      <c r="N38" s="155">
        <f t="shared" si="5"/>
        <v>2.7341953758082793</v>
      </c>
      <c r="O38" s="127">
        <v>9.4171479489873615</v>
      </c>
      <c r="P38" s="127">
        <v>4.3258837135697759</v>
      </c>
      <c r="Q38" s="127">
        <v>2.9158776210009156</v>
      </c>
      <c r="R38" s="127">
        <f t="shared" si="6"/>
        <v>7.2417613345706915</v>
      </c>
      <c r="S38" s="145"/>
      <c r="T38" s="155">
        <f t="shared" si="7"/>
        <v>3.0157359045575483</v>
      </c>
      <c r="U38" s="127">
        <v>7.7900071110804436</v>
      </c>
      <c r="V38" s="127">
        <v>2.0165743925382058</v>
      </c>
      <c r="W38" s="127">
        <v>2.6951163172294232</v>
      </c>
      <c r="X38" s="127">
        <f t="shared" si="8"/>
        <v>4.7116907097676286</v>
      </c>
      <c r="Y38" s="128">
        <f t="shared" si="0"/>
        <v>0</v>
      </c>
      <c r="Z38" s="155">
        <f t="shared" si="9"/>
        <v>2.9620533437984875</v>
      </c>
      <c r="AA38" s="87">
        <v>14.110138053458403</v>
      </c>
      <c r="AB38" s="127">
        <v>3.9764107081502162</v>
      </c>
      <c r="AC38" s="127">
        <v>4.782961494721258</v>
      </c>
      <c r="AD38" s="127">
        <f t="shared" si="10"/>
        <v>8.7593722028714751</v>
      </c>
      <c r="AE38" s="141"/>
      <c r="AF38" s="155">
        <f t="shared" si="11"/>
        <v>3.0508290138248517</v>
      </c>
      <c r="AG38" s="127">
        <v>2.6202275395242833</v>
      </c>
      <c r="AH38" s="127">
        <v>0.73551593091479284</v>
      </c>
      <c r="AI38" s="127">
        <v>0.91855524570148372</v>
      </c>
      <c r="AJ38" s="127">
        <f t="shared" si="12"/>
        <v>1.6540711766162766</v>
      </c>
      <c r="AL38" s="155">
        <f t="shared" si="13"/>
        <v>2.7890299588156253</v>
      </c>
      <c r="AM38" s="127">
        <v>5.0463247440146821</v>
      </c>
      <c r="AN38" s="127">
        <v>1.6277822226639092</v>
      </c>
      <c r="AO38" s="127">
        <v>1.5978779135482615</v>
      </c>
      <c r="AP38" s="127">
        <f t="shared" si="14"/>
        <v>3.2256601362121708</v>
      </c>
      <c r="AQ38" s="145"/>
      <c r="AR38" s="155">
        <f t="shared" si="15"/>
        <v>3.0598777753332529</v>
      </c>
      <c r="AS38" s="127">
        <v>6.4435857699194363</v>
      </c>
      <c r="AT38" s="127">
        <v>1.6131125545715137</v>
      </c>
      <c r="AU38" s="127">
        <v>2.266528335471512</v>
      </c>
      <c r="AV38" s="127">
        <f t="shared" si="16"/>
        <v>3.8796408900430257</v>
      </c>
      <c r="AW38" s="128">
        <f t="shared" si="17"/>
        <v>0</v>
      </c>
      <c r="AX38" s="155">
        <f t="shared" si="18"/>
        <v>2.6178151526021098</v>
      </c>
      <c r="AY38" s="87">
        <v>7.6620754162084248</v>
      </c>
      <c r="AZ38" s="127">
        <v>4.1655399185813149</v>
      </c>
      <c r="BA38" s="127">
        <v>2.2593497360645594</v>
      </c>
      <c r="BB38" s="127">
        <f t="shared" si="19"/>
        <v>6.4248896546458738</v>
      </c>
      <c r="BC38" s="141"/>
      <c r="BD38" s="155">
        <f t="shared" si="20"/>
        <v>2.5608888175541633</v>
      </c>
      <c r="BE38" s="127">
        <v>3.3773615761310447</v>
      </c>
      <c r="BF38" s="127">
        <v>1.945929096670862</v>
      </c>
      <c r="BG38" s="127">
        <v>0.97169760077091438</v>
      </c>
      <c r="BH38" s="127">
        <f t="shared" si="21"/>
        <v>2.9176266974417766</v>
      </c>
      <c r="BJ38" s="155">
        <f t="shared" si="22"/>
        <v>2.6173073729337526</v>
      </c>
      <c r="BK38" s="127">
        <v>3.0704844325527145</v>
      </c>
      <c r="BL38" s="127">
        <v>1.9069257326115823</v>
      </c>
      <c r="BM38" s="127">
        <v>0.90521045953698565</v>
      </c>
      <c r="BN38" s="127">
        <f t="shared" si="23"/>
        <v>2.8121361921485679</v>
      </c>
      <c r="BO38" s="145"/>
      <c r="BP38" s="155">
        <f t="shared" si="24"/>
        <v>2.7759432511544002</v>
      </c>
      <c r="BQ38" s="127">
        <v>1.2142294075246651</v>
      </c>
      <c r="BR38" s="127">
        <v>0.31268508929887001</v>
      </c>
      <c r="BS38" s="127">
        <v>0.38244167575665899</v>
      </c>
      <c r="BT38" s="127">
        <f t="shared" si="25"/>
        <v>0.69512676505552906</v>
      </c>
      <c r="BU38" s="128">
        <f t="shared" si="26"/>
        <v>0</v>
      </c>
      <c r="BV38" s="155">
        <f t="shared" si="27"/>
        <v>2.414473236517467</v>
      </c>
      <c r="BW38" s="87">
        <v>1.7431494173157795</v>
      </c>
      <c r="BX38" s="127">
        <v>0.61248561781568023</v>
      </c>
      <c r="BY38" s="127">
        <v>0.46968017566679687</v>
      </c>
      <c r="BZ38" s="127">
        <f t="shared" si="28"/>
        <v>1.0821657934824771</v>
      </c>
      <c r="CA38" s="141"/>
      <c r="CB38" s="155">
        <f t="shared" si="29"/>
        <v>2.3405169267602499</v>
      </c>
      <c r="CC38" s="127">
        <v>1.2042700345147108</v>
      </c>
      <c r="CD38" s="127">
        <v>0.30980767932272152</v>
      </c>
      <c r="CE38" s="127">
        <v>0.31347892181305265</v>
      </c>
      <c r="CF38" s="127">
        <f t="shared" si="30"/>
        <v>0.62328660113577417</v>
      </c>
      <c r="CH38" s="155">
        <f t="shared" si="31"/>
        <v>2.5716323827520871</v>
      </c>
      <c r="CI38" s="127">
        <v>0.51030481802269645</v>
      </c>
      <c r="CJ38" s="127">
        <v>0.30519047738461286</v>
      </c>
      <c r="CK38" s="127">
        <v>0.14750801317099851</v>
      </c>
      <c r="CL38" s="127">
        <f t="shared" si="32"/>
        <v>0.4526984905556114</v>
      </c>
      <c r="CM38" s="145"/>
      <c r="CN38" s="155">
        <f t="shared" si="33"/>
        <v>2.6917180041436728</v>
      </c>
      <c r="CO38" s="127">
        <v>2.8574564778372218E-2</v>
      </c>
      <c r="CP38" s="127">
        <v>-2.5125388916541216E-3</v>
      </c>
      <c r="CQ38" s="127">
        <v>8.6932406827457485E-3</v>
      </c>
      <c r="CR38" s="127">
        <f t="shared" si="34"/>
        <v>6.1807017910916265E-3</v>
      </c>
      <c r="CS38" s="128">
        <f t="shared" si="35"/>
        <v>0</v>
      </c>
      <c r="CT38" s="155">
        <f t="shared" si="36"/>
        <v>2.930505677421591</v>
      </c>
      <c r="CU38" s="87">
        <v>3.299637113017325</v>
      </c>
      <c r="CV38" s="127">
        <v>-1.2174362445472158</v>
      </c>
      <c r="CW38" s="127">
        <v>1.1049706874362895</v>
      </c>
      <c r="CX38" s="127">
        <f t="shared" si="37"/>
        <v>-0.11246555711092632</v>
      </c>
      <c r="CY38" s="141"/>
      <c r="CZ38" s="155">
        <f t="shared" si="38"/>
        <v>2.919374445859102</v>
      </c>
      <c r="DA38" s="127">
        <v>2.4059857897620875</v>
      </c>
      <c r="DB38" s="127">
        <v>-1.7967108130163638</v>
      </c>
      <c r="DC38" s="127">
        <v>0.80223638737311287</v>
      </c>
      <c r="DD38" s="127">
        <f t="shared" si="39"/>
        <v>-0.99447442564325095</v>
      </c>
      <c r="DF38" s="155">
        <f t="shared" si="40"/>
        <v>2.937506325372885</v>
      </c>
      <c r="DG38" s="127">
        <v>0.79003395439726709</v>
      </c>
      <c r="DH38" s="127">
        <v>0.48598528090967197</v>
      </c>
      <c r="DI38" s="127">
        <v>0.26528123474467041</v>
      </c>
      <c r="DJ38" s="127">
        <f t="shared" si="41"/>
        <v>0.75126651565434233</v>
      </c>
      <c r="DK38" s="145"/>
      <c r="DL38" s="155">
        <f t="shared" si="42"/>
        <v>3.1336395897629599</v>
      </c>
      <c r="DM38" s="127">
        <v>0.10361736885797046</v>
      </c>
      <c r="DN38" s="127">
        <v>9.3289287559476172E-2</v>
      </c>
      <c r="DO38" s="127">
        <v>3.7453065318506049E-2</v>
      </c>
      <c r="DP38" s="127">
        <f t="shared" si="43"/>
        <v>0.13074235287798222</v>
      </c>
    </row>
    <row r="39" spans="1:120" x14ac:dyDescent="0.25">
      <c r="A39" s="128">
        <f>name!B35</f>
        <v>0</v>
      </c>
      <c r="B39" s="155">
        <f t="shared" si="1"/>
        <v>2.9211108203484271</v>
      </c>
      <c r="C39" s="87">
        <v>368.77606295320101</v>
      </c>
      <c r="D39" s="127">
        <v>84.761622092085645</v>
      </c>
      <c r="E39" s="127">
        <v>123.04528099391801</v>
      </c>
      <c r="F39" s="127">
        <f t="shared" si="2"/>
        <v>207.80690308600367</v>
      </c>
      <c r="G39" s="141"/>
      <c r="H39" s="155">
        <f t="shared" si="3"/>
        <v>2.7717249598931071</v>
      </c>
      <c r="I39" s="127">
        <v>32.837927119185728</v>
      </c>
      <c r="J39" s="127">
        <v>4.3237049506459986</v>
      </c>
      <c r="K39" s="127">
        <v>10.325129723137874</v>
      </c>
      <c r="L39" s="127">
        <f t="shared" si="4"/>
        <v>14.648834673783872</v>
      </c>
      <c r="N39" s="155">
        <f t="shared" si="5"/>
        <v>2.7656612940708758</v>
      </c>
      <c r="O39" s="127">
        <v>92.687769994006359</v>
      </c>
      <c r="P39" s="127">
        <v>19.710235186067983</v>
      </c>
      <c r="Q39" s="127">
        <v>29.071671128619347</v>
      </c>
      <c r="R39" s="127">
        <f t="shared" si="6"/>
        <v>48.781906314687333</v>
      </c>
      <c r="S39" s="145"/>
      <c r="T39" s="155">
        <f t="shared" si="7"/>
        <v>2.9997068221470746</v>
      </c>
      <c r="U39" s="127">
        <v>243.25036584000898</v>
      </c>
      <c r="V39" s="127">
        <v>60.727681955371672</v>
      </c>
      <c r="W39" s="127">
        <v>83.648480142160807</v>
      </c>
      <c r="X39" s="127">
        <f t="shared" si="8"/>
        <v>144.37616209753247</v>
      </c>
      <c r="Y39" s="128">
        <f t="shared" si="0"/>
        <v>0</v>
      </c>
      <c r="Z39" s="155">
        <f t="shared" si="9"/>
        <v>2.9792358460889012</v>
      </c>
      <c r="AA39" s="87">
        <v>289.04342517306725</v>
      </c>
      <c r="AB39" s="127">
        <v>66.861243610511465</v>
      </c>
      <c r="AC39" s="127">
        <v>98.624387051621596</v>
      </c>
      <c r="AD39" s="127">
        <f t="shared" si="10"/>
        <v>165.48563066213308</v>
      </c>
      <c r="AE39" s="141"/>
      <c r="AF39" s="155">
        <f t="shared" si="11"/>
        <v>2.8543057167711661</v>
      </c>
      <c r="AG39" s="127">
        <v>18.48236538854206</v>
      </c>
      <c r="AH39" s="127">
        <v>4.0960252972031945</v>
      </c>
      <c r="AI39" s="127">
        <v>6.0072701306023175</v>
      </c>
      <c r="AJ39" s="127">
        <f t="shared" si="12"/>
        <v>10.103295427805513</v>
      </c>
      <c r="AL39" s="155">
        <f t="shared" si="13"/>
        <v>2.8320236000210164</v>
      </c>
      <c r="AM39" s="127">
        <v>54.824002647872582</v>
      </c>
      <c r="AN39" s="127">
        <v>11.073850669427829</v>
      </c>
      <c r="AO39" s="127">
        <v>17.662068695155931</v>
      </c>
      <c r="AP39" s="127">
        <f t="shared" si="14"/>
        <v>28.735919364583758</v>
      </c>
      <c r="AQ39" s="145"/>
      <c r="AR39" s="155">
        <f t="shared" si="15"/>
        <v>3.0269513060553033</v>
      </c>
      <c r="AS39" s="127">
        <v>215.73705713665262</v>
      </c>
      <c r="AT39" s="127">
        <v>51.691367643880433</v>
      </c>
      <c r="AU39" s="127">
        <v>74.955048225863351</v>
      </c>
      <c r="AV39" s="127">
        <f t="shared" si="16"/>
        <v>126.64641586974378</v>
      </c>
      <c r="AW39" s="128">
        <f t="shared" si="17"/>
        <v>0</v>
      </c>
      <c r="AX39" s="155">
        <f t="shared" si="18"/>
        <v>2.6968748254135422</v>
      </c>
      <c r="AY39" s="87">
        <v>69.208761822942577</v>
      </c>
      <c r="AZ39" s="127">
        <v>17.364813908921313</v>
      </c>
      <c r="BA39" s="127">
        <v>21.100721406247324</v>
      </c>
      <c r="BB39" s="127">
        <f t="shared" si="19"/>
        <v>38.465535315168637</v>
      </c>
      <c r="BC39" s="141"/>
      <c r="BD39" s="155">
        <f t="shared" si="20"/>
        <v>2.6111478879813799</v>
      </c>
      <c r="BE39" s="127">
        <v>8.5643903989708114</v>
      </c>
      <c r="BF39" s="127">
        <v>2.5133510791903837</v>
      </c>
      <c r="BG39" s="127">
        <v>2.5182161637376153</v>
      </c>
      <c r="BH39" s="127">
        <f t="shared" si="21"/>
        <v>5.0315672429279985</v>
      </c>
      <c r="BJ39" s="155">
        <f t="shared" si="22"/>
        <v>2.646322122033018</v>
      </c>
      <c r="BK39" s="127">
        <v>33.438393051364635</v>
      </c>
      <c r="BL39" s="127">
        <v>5.8534198050841955</v>
      </c>
      <c r="BM39" s="127">
        <v>9.9805580750418521</v>
      </c>
      <c r="BN39" s="127">
        <f t="shared" si="23"/>
        <v>15.833977880126048</v>
      </c>
      <c r="BO39" s="145"/>
      <c r="BP39" s="155">
        <f t="shared" si="24"/>
        <v>2.7854120715325115</v>
      </c>
      <c r="BQ39" s="127">
        <v>27.205978372607124</v>
      </c>
      <c r="BR39" s="127">
        <v>8.9980430246467371</v>
      </c>
      <c r="BS39" s="127">
        <v>8.6019471674678574</v>
      </c>
      <c r="BT39" s="127">
        <f t="shared" si="25"/>
        <v>17.599990192114596</v>
      </c>
      <c r="BU39" s="128">
        <f t="shared" si="26"/>
        <v>0</v>
      </c>
      <c r="BV39" s="155">
        <f t="shared" si="27"/>
        <v>2.5118352045522041</v>
      </c>
      <c r="BW39" s="87">
        <v>3.8656530906609365</v>
      </c>
      <c r="BX39" s="127">
        <v>1.3479415735600602</v>
      </c>
      <c r="BY39" s="127">
        <v>1.08842630099127</v>
      </c>
      <c r="BZ39" s="127">
        <f t="shared" si="28"/>
        <v>2.4363678745513302</v>
      </c>
      <c r="CA39" s="141"/>
      <c r="CB39" s="155">
        <f t="shared" si="29"/>
        <v>2.415283547581426</v>
      </c>
      <c r="CC39" s="127">
        <v>1.9483930173046786</v>
      </c>
      <c r="CD39" s="127">
        <v>0.36760454555590533</v>
      </c>
      <c r="CE39" s="127">
        <v>0.52517741956185582</v>
      </c>
      <c r="CF39" s="127">
        <f t="shared" si="30"/>
        <v>0.89278196511776109</v>
      </c>
      <c r="CH39" s="155">
        <f t="shared" si="31"/>
        <v>2.60322084904967</v>
      </c>
      <c r="CI39" s="127">
        <v>1.6099297426070227</v>
      </c>
      <c r="CJ39" s="127">
        <v>0.94206574115965114</v>
      </c>
      <c r="CK39" s="127">
        <v>0.47176413259982158</v>
      </c>
      <c r="CL39" s="127">
        <f t="shared" si="32"/>
        <v>1.4138298737594728</v>
      </c>
      <c r="CM39" s="145"/>
      <c r="CN39" s="155">
        <f t="shared" si="33"/>
        <v>2.6399932413593952</v>
      </c>
      <c r="CO39" s="127">
        <v>0.30733033074923499</v>
      </c>
      <c r="CP39" s="127">
        <v>3.8271286844503753E-2</v>
      </c>
      <c r="CQ39" s="127">
        <v>9.148474882959258E-2</v>
      </c>
      <c r="CR39" s="127">
        <f t="shared" si="34"/>
        <v>0.12975603567409633</v>
      </c>
      <c r="CS39" s="128">
        <f t="shared" si="35"/>
        <v>0</v>
      </c>
      <c r="CT39" s="155">
        <f t="shared" si="36"/>
        <v>2.9328961439813339</v>
      </c>
      <c r="CU39" s="87">
        <v>6.6582228665302994</v>
      </c>
      <c r="CV39" s="127">
        <v>-0.81237700090717724</v>
      </c>
      <c r="CW39" s="127">
        <v>2.2317462350578254</v>
      </c>
      <c r="CX39" s="127">
        <f t="shared" si="37"/>
        <v>1.4193692341506483</v>
      </c>
      <c r="CY39" s="141"/>
      <c r="CZ39" s="155">
        <f t="shared" si="38"/>
        <v>2.9056172918835443</v>
      </c>
      <c r="DA39" s="127">
        <v>3.8427783143681786</v>
      </c>
      <c r="DB39" s="127">
        <v>-2.6532759713034841</v>
      </c>
      <c r="DC39" s="127">
        <v>1.2744660092360849</v>
      </c>
      <c r="DD39" s="127">
        <f t="shared" si="39"/>
        <v>-1.3788099620673993</v>
      </c>
      <c r="DF39" s="155">
        <f t="shared" si="40"/>
        <v>2.9700241427257357</v>
      </c>
      <c r="DG39" s="127">
        <v>2.8154445521621203</v>
      </c>
      <c r="DH39" s="127">
        <v>1.840898970396307</v>
      </c>
      <c r="DI39" s="127">
        <v>0.95728022582174022</v>
      </c>
      <c r="DJ39" s="127">
        <f t="shared" si="41"/>
        <v>2.7981791962180473</v>
      </c>
      <c r="DK39" s="145"/>
      <c r="DL39" s="155">
        <f t="shared" si="42"/>
        <v>0</v>
      </c>
      <c r="DM39" s="127">
        <v>0</v>
      </c>
      <c r="DN39" s="127">
        <v>0</v>
      </c>
      <c r="DO39" s="127">
        <v>0</v>
      </c>
      <c r="DP39" s="127">
        <f t="shared" si="43"/>
        <v>0</v>
      </c>
    </row>
    <row r="40" spans="1:120" x14ac:dyDescent="0.25">
      <c r="A40" s="128">
        <f>name!B36</f>
        <v>0</v>
      </c>
      <c r="B40" s="155">
        <f t="shared" si="1"/>
        <v>2.6156670918794589</v>
      </c>
      <c r="C40" s="87">
        <v>59.103598741996336</v>
      </c>
      <c r="D40" s="127">
        <v>10.931351340026987</v>
      </c>
      <c r="E40" s="127">
        <v>17.412118425033665</v>
      </c>
      <c r="F40" s="127">
        <f t="shared" si="2"/>
        <v>28.343469765060654</v>
      </c>
      <c r="G40" s="141"/>
      <c r="H40" s="155">
        <f t="shared" si="3"/>
        <v>2.9162137159606694</v>
      </c>
      <c r="I40" s="127">
        <v>7.0907516731659292</v>
      </c>
      <c r="J40" s="127">
        <v>1.9187056475680879</v>
      </c>
      <c r="K40" s="127">
        <v>2.3613912018919283</v>
      </c>
      <c r="L40" s="127">
        <f t="shared" si="4"/>
        <v>4.2800968494600165</v>
      </c>
      <c r="N40" s="155">
        <f t="shared" si="5"/>
        <v>2.7970408811855085</v>
      </c>
      <c r="O40" s="127">
        <v>18.191156691215305</v>
      </c>
      <c r="P40" s="127">
        <v>8.022238906562599</v>
      </c>
      <c r="Q40" s="127">
        <v>5.7787557135900602</v>
      </c>
      <c r="R40" s="127">
        <f t="shared" si="6"/>
        <v>13.800994620152659</v>
      </c>
      <c r="S40" s="145"/>
      <c r="T40" s="155">
        <f t="shared" si="7"/>
        <v>2.4523227678848292</v>
      </c>
      <c r="U40" s="127">
        <v>33.821690377615099</v>
      </c>
      <c r="V40" s="127">
        <v>0.99040678589629894</v>
      </c>
      <c r="W40" s="127">
        <v>9.2719715095516726</v>
      </c>
      <c r="X40" s="127">
        <f t="shared" si="8"/>
        <v>10.262378295447972</v>
      </c>
      <c r="Y40" s="128">
        <f t="shared" si="0"/>
        <v>0</v>
      </c>
      <c r="Z40" s="155">
        <f t="shared" si="9"/>
        <v>2.484409578072122</v>
      </c>
      <c r="AA40" s="87">
        <v>44.995646288457721</v>
      </c>
      <c r="AB40" s="127">
        <v>0.7961289357498379</v>
      </c>
      <c r="AC40" s="127">
        <v>12.515037145045216</v>
      </c>
      <c r="AD40" s="127">
        <f t="shared" si="10"/>
        <v>13.311166080795054</v>
      </c>
      <c r="AE40" s="141"/>
      <c r="AF40" s="155">
        <f t="shared" si="11"/>
        <v>2.5511173362787742</v>
      </c>
      <c r="AG40" s="127">
        <v>2.5406257516550319</v>
      </c>
      <c r="AH40" s="127">
        <v>0.3259075522826399</v>
      </c>
      <c r="AI40" s="127">
        <v>0.72784543832994497</v>
      </c>
      <c r="AJ40" s="127">
        <f t="shared" si="12"/>
        <v>1.0537529906125849</v>
      </c>
      <c r="AL40" s="155">
        <f t="shared" si="13"/>
        <v>2.6421330232528906</v>
      </c>
      <c r="AM40" s="127">
        <v>11.02643601927363</v>
      </c>
      <c r="AN40" s="127">
        <v>-0.16285332189494414</v>
      </c>
      <c r="AO40" s="127">
        <v>3.2852845394032442</v>
      </c>
      <c r="AP40" s="127">
        <f t="shared" si="14"/>
        <v>3.1224312175083</v>
      </c>
      <c r="AQ40" s="145"/>
      <c r="AR40" s="155">
        <f t="shared" si="15"/>
        <v>2.4231158731658597</v>
      </c>
      <c r="AS40" s="127">
        <v>31.42858451752906</v>
      </c>
      <c r="AT40" s="127">
        <v>0.63307470536214216</v>
      </c>
      <c r="AU40" s="127">
        <v>8.5019071673120266</v>
      </c>
      <c r="AV40" s="127">
        <f t="shared" si="16"/>
        <v>9.1349818726741692</v>
      </c>
      <c r="AW40" s="128">
        <f t="shared" si="17"/>
        <v>0</v>
      </c>
      <c r="AX40" s="155">
        <f t="shared" si="18"/>
        <v>2.675817093692956</v>
      </c>
      <c r="AY40" s="87">
        <v>5.0502971452334489</v>
      </c>
      <c r="AZ40" s="127">
        <v>0.88079477764455349</v>
      </c>
      <c r="BA40" s="127">
        <v>1.5262601500564552</v>
      </c>
      <c r="BB40" s="127">
        <f t="shared" si="19"/>
        <v>2.4070549277010089</v>
      </c>
      <c r="BC40" s="141"/>
      <c r="BD40" s="155">
        <f t="shared" si="20"/>
        <v>2.6176394496400412</v>
      </c>
      <c r="BE40" s="127">
        <v>0.56332121807974112</v>
      </c>
      <c r="BF40" s="127">
        <v>6.7884082218324399E-2</v>
      </c>
      <c r="BG40" s="127">
        <v>0.16609650552913752</v>
      </c>
      <c r="BH40" s="127">
        <f t="shared" si="21"/>
        <v>0.23398058774746192</v>
      </c>
      <c r="BJ40" s="155">
        <f t="shared" si="22"/>
        <v>2.6168774278747309</v>
      </c>
      <c r="BK40" s="127">
        <v>2.8001519292734307</v>
      </c>
      <c r="BL40" s="127">
        <v>0.57994096053429567</v>
      </c>
      <c r="BM40" s="127">
        <v>0.8253617461934516</v>
      </c>
      <c r="BN40" s="127">
        <f t="shared" si="23"/>
        <v>1.4053027067277473</v>
      </c>
      <c r="BO40" s="145"/>
      <c r="BP40" s="155">
        <f t="shared" si="24"/>
        <v>2.7921892804910087</v>
      </c>
      <c r="BQ40" s="127">
        <v>1.6868239978802764</v>
      </c>
      <c r="BR40" s="127">
        <v>0.23296973489193351</v>
      </c>
      <c r="BS40" s="127">
        <v>0.53480189833386615</v>
      </c>
      <c r="BT40" s="127">
        <f t="shared" si="25"/>
        <v>0.76777163322579967</v>
      </c>
      <c r="BU40" s="128">
        <f t="shared" si="26"/>
        <v>0</v>
      </c>
      <c r="BV40" s="155">
        <f t="shared" si="27"/>
        <v>3.3032406781256851</v>
      </c>
      <c r="BW40" s="87">
        <v>7.5734451294849583</v>
      </c>
      <c r="BX40" s="127">
        <v>9.9445968505973621</v>
      </c>
      <c r="BY40" s="127">
        <v>2.9082842096564585</v>
      </c>
      <c r="BZ40" s="127">
        <f t="shared" si="28"/>
        <v>12.852881060253821</v>
      </c>
      <c r="CA40" s="141"/>
      <c r="CB40" s="155">
        <f t="shared" si="29"/>
        <v>3.3739759257654933</v>
      </c>
      <c r="CC40" s="127">
        <v>2.7837448344029059</v>
      </c>
      <c r="CD40" s="127">
        <v>2.278224621913898</v>
      </c>
      <c r="CE40" s="127">
        <v>1.0954503018874868</v>
      </c>
      <c r="CF40" s="127">
        <f t="shared" si="30"/>
        <v>3.373674923801385</v>
      </c>
      <c r="CH40" s="155">
        <f t="shared" si="31"/>
        <v>3.3175945471649371</v>
      </c>
      <c r="CI40" s="127">
        <v>4.0993032054196004</v>
      </c>
      <c r="CJ40" s="127">
        <v>7.5439376770551005</v>
      </c>
      <c r="CK40" s="127">
        <v>1.582064592612429</v>
      </c>
      <c r="CL40" s="127">
        <f t="shared" si="32"/>
        <v>9.1260022696675289</v>
      </c>
      <c r="CM40" s="145"/>
      <c r="CN40" s="155">
        <f t="shared" si="33"/>
        <v>2.9257200385051085</v>
      </c>
      <c r="CO40" s="127">
        <v>0.69039708966245217</v>
      </c>
      <c r="CP40" s="127">
        <v>0.1224345516283623</v>
      </c>
      <c r="CQ40" s="127">
        <v>0.23076931515654289</v>
      </c>
      <c r="CR40" s="127">
        <f t="shared" si="34"/>
        <v>0.35320386678490517</v>
      </c>
      <c r="CS40" s="128">
        <f t="shared" si="35"/>
        <v>0</v>
      </c>
      <c r="CT40" s="155">
        <f t="shared" si="36"/>
        <v>2.7499012245735921</v>
      </c>
      <c r="CU40" s="87">
        <v>1.4842101788202127</v>
      </c>
      <c r="CV40" s="127">
        <v>-0.69016922396476632</v>
      </c>
      <c r="CW40" s="127">
        <v>0.46253692027553084</v>
      </c>
      <c r="CX40" s="127">
        <f t="shared" si="37"/>
        <v>-0.22763230368923548</v>
      </c>
      <c r="CY40" s="141"/>
      <c r="CZ40" s="155">
        <f t="shared" si="38"/>
        <v>2.7308671095884973</v>
      </c>
      <c r="DA40" s="127">
        <v>1.2030598690282495</v>
      </c>
      <c r="DB40" s="127">
        <v>-0.75331060884677437</v>
      </c>
      <c r="DC40" s="127">
        <v>0.37199895614535888</v>
      </c>
      <c r="DD40" s="127">
        <f t="shared" si="39"/>
        <v>-0.38131165270141548</v>
      </c>
      <c r="DF40" s="155">
        <f t="shared" si="40"/>
        <v>2.8492227911662393</v>
      </c>
      <c r="DG40" s="127">
        <v>0.26526553724864882</v>
      </c>
      <c r="DH40" s="127">
        <v>6.1213590868147122E-2</v>
      </c>
      <c r="DI40" s="127">
        <v>8.6044835380935866E-2</v>
      </c>
      <c r="DJ40" s="127">
        <f t="shared" si="41"/>
        <v>0.14725842624908297</v>
      </c>
      <c r="DK40" s="145"/>
      <c r="DL40" s="155">
        <f t="shared" si="42"/>
        <v>2.5221830839160519</v>
      </c>
      <c r="DM40" s="127">
        <v>1.5884772543314236E-2</v>
      </c>
      <c r="DN40" s="127">
        <v>1.9277940138610408E-3</v>
      </c>
      <c r="DO40" s="127">
        <v>4.4931287492361305E-3</v>
      </c>
      <c r="DP40" s="127">
        <f t="shared" si="43"/>
        <v>6.4209227630971713E-3</v>
      </c>
    </row>
    <row r="41" spans="1:120" x14ac:dyDescent="0.25">
      <c r="A41" s="128">
        <f>name!B37</f>
        <v>0</v>
      </c>
      <c r="B41" s="155">
        <f t="shared" si="1"/>
        <v>2.6219584526235851</v>
      </c>
      <c r="C41" s="87">
        <v>9.5199829855549893</v>
      </c>
      <c r="D41" s="127">
        <v>1.2808958930051737</v>
      </c>
      <c r="E41" s="127">
        <v>2.8121772094303279</v>
      </c>
      <c r="F41" s="127">
        <f t="shared" si="2"/>
        <v>4.0930731024355014</v>
      </c>
      <c r="G41" s="141"/>
      <c r="H41" s="155">
        <f t="shared" si="3"/>
        <v>2.4658199500782629</v>
      </c>
      <c r="I41" s="127">
        <v>0.81619786230081037</v>
      </c>
      <c r="J41" s="127">
        <v>0.237585138792064</v>
      </c>
      <c r="K41" s="127">
        <v>0.22512559128548079</v>
      </c>
      <c r="L41" s="127">
        <f t="shared" si="4"/>
        <v>0.46271073007754482</v>
      </c>
      <c r="N41" s="155">
        <f t="shared" si="5"/>
        <v>2.6634862095569645</v>
      </c>
      <c r="O41" s="127">
        <v>2.0711276399167695</v>
      </c>
      <c r="P41" s="127">
        <v>0.44161042637100889</v>
      </c>
      <c r="Q41" s="127">
        <v>0.62268224619976209</v>
      </c>
      <c r="R41" s="127">
        <f t="shared" si="6"/>
        <v>1.0642926725707711</v>
      </c>
      <c r="S41" s="145"/>
      <c r="T41" s="155">
        <f t="shared" si="7"/>
        <v>2.628048625603352</v>
      </c>
      <c r="U41" s="127">
        <v>6.6326574833374119</v>
      </c>
      <c r="V41" s="127">
        <v>0.60170032784210092</v>
      </c>
      <c r="W41" s="127">
        <v>1.9643693719450848</v>
      </c>
      <c r="X41" s="127">
        <f t="shared" si="8"/>
        <v>2.5660696997871857</v>
      </c>
      <c r="Y41" s="128">
        <f t="shared" si="0"/>
        <v>0</v>
      </c>
      <c r="Z41" s="155">
        <f t="shared" si="9"/>
        <v>2.6231625982701789</v>
      </c>
      <c r="AA41" s="87">
        <v>7.8178668346409639</v>
      </c>
      <c r="AB41" s="127">
        <v>0.85873650454850714</v>
      </c>
      <c r="AC41" s="127">
        <v>2.3105650783484251</v>
      </c>
      <c r="AD41" s="127">
        <f t="shared" si="10"/>
        <v>3.1693015828969324</v>
      </c>
      <c r="AE41" s="141"/>
      <c r="AF41" s="155">
        <f t="shared" si="11"/>
        <v>2.4078323200257934</v>
      </c>
      <c r="AG41" s="127">
        <v>0.42302413000387928</v>
      </c>
      <c r="AH41" s="127">
        <v>0.33710538828897285</v>
      </c>
      <c r="AI41" s="127">
        <v>0.11363296527709778</v>
      </c>
      <c r="AJ41" s="127">
        <f t="shared" si="12"/>
        <v>0.45073835356607062</v>
      </c>
      <c r="AL41" s="155">
        <f t="shared" si="13"/>
        <v>2.7256227849607129</v>
      </c>
      <c r="AM41" s="127">
        <v>1.0976496509709948</v>
      </c>
      <c r="AN41" s="127">
        <v>1.0248190705673856E-3</v>
      </c>
      <c r="AO41" s="127">
        <v>0.33867155545083699</v>
      </c>
      <c r="AP41" s="127">
        <f t="shared" si="14"/>
        <v>0.33969637452140439</v>
      </c>
      <c r="AQ41" s="145"/>
      <c r="AR41" s="155">
        <f t="shared" si="15"/>
        <v>2.6195513042214014</v>
      </c>
      <c r="AS41" s="127">
        <v>6.2971930536660903</v>
      </c>
      <c r="AT41" s="127">
        <v>0.52060629718896689</v>
      </c>
      <c r="AU41" s="127">
        <v>1.8582605576204905</v>
      </c>
      <c r="AV41" s="127">
        <f t="shared" si="16"/>
        <v>2.3788668548094574</v>
      </c>
      <c r="AW41" s="128">
        <f t="shared" si="17"/>
        <v>0</v>
      </c>
      <c r="AX41" s="155">
        <f t="shared" si="18"/>
        <v>2.6785764491621844</v>
      </c>
      <c r="AY41" s="87">
        <v>0.96217009441048162</v>
      </c>
      <c r="AZ41" s="127">
        <v>0.19915521880321993</v>
      </c>
      <c r="BA41" s="127">
        <v>0.29111606469515938</v>
      </c>
      <c r="BB41" s="127">
        <f t="shared" si="19"/>
        <v>0.49027128349837934</v>
      </c>
      <c r="BC41" s="141"/>
      <c r="BD41" s="155">
        <f t="shared" si="20"/>
        <v>2.6372048618027666</v>
      </c>
      <c r="BE41" s="127">
        <v>0.12023971653791019</v>
      </c>
      <c r="BF41" s="127">
        <v>4.7709276205164207E-3</v>
      </c>
      <c r="BG41" s="127">
        <v>3.5750049535400286E-2</v>
      </c>
      <c r="BH41" s="127">
        <f t="shared" si="21"/>
        <v>4.052097715591671E-2</v>
      </c>
      <c r="BJ41" s="155">
        <f t="shared" si="22"/>
        <v>2.6370907343919114</v>
      </c>
      <c r="BK41" s="127">
        <v>0.59167940202908853</v>
      </c>
      <c r="BL41" s="127">
        <v>0.15764745541630559</v>
      </c>
      <c r="BM41" s="127">
        <v>0.17591143975903728</v>
      </c>
      <c r="BN41" s="127">
        <f t="shared" si="23"/>
        <v>0.33355889517534287</v>
      </c>
      <c r="BO41" s="145"/>
      <c r="BP41" s="155">
        <f t="shared" si="24"/>
        <v>2.7957236007542408</v>
      </c>
      <c r="BQ41" s="127">
        <v>0.25025097584348277</v>
      </c>
      <c r="BR41" s="127">
        <v>3.6736835766397878E-2</v>
      </c>
      <c r="BS41" s="127">
        <v>7.945457540072183E-2</v>
      </c>
      <c r="BT41" s="127">
        <f t="shared" si="25"/>
        <v>0.1161914111671197</v>
      </c>
      <c r="BU41" s="128">
        <f t="shared" si="26"/>
        <v>0</v>
      </c>
      <c r="BV41" s="155">
        <f t="shared" si="27"/>
        <v>2.5508183926929773</v>
      </c>
      <c r="BW41" s="87">
        <v>0.50584005818189604</v>
      </c>
      <c r="BX41" s="127">
        <v>0.32238456824668921</v>
      </c>
      <c r="BY41" s="127">
        <v>0.1448954785012399</v>
      </c>
      <c r="BZ41" s="127">
        <f t="shared" si="28"/>
        <v>0.46728004674792911</v>
      </c>
      <c r="CA41" s="141"/>
      <c r="CB41" s="155">
        <f t="shared" si="29"/>
        <v>2.5367449852401247</v>
      </c>
      <c r="CC41" s="127">
        <v>9.1589573227019994E-2</v>
      </c>
      <c r="CD41" s="127">
        <v>-4.2808638867016524E-3</v>
      </c>
      <c r="CE41" s="127">
        <v>2.6073802070792795E-2</v>
      </c>
      <c r="CF41" s="127">
        <f t="shared" si="30"/>
        <v>2.1792938184091143E-2</v>
      </c>
      <c r="CH41" s="155">
        <f t="shared" si="31"/>
        <v>2.5204548632431933</v>
      </c>
      <c r="CI41" s="127">
        <v>0.33966700342259021</v>
      </c>
      <c r="CJ41" s="127">
        <v>0.28850292379729831</v>
      </c>
      <c r="CK41" s="127">
        <v>9.6003947721158597E-2</v>
      </c>
      <c r="CL41" s="127">
        <f t="shared" si="32"/>
        <v>0.38450687151845692</v>
      </c>
      <c r="CM41" s="145"/>
      <c r="CN41" s="155">
        <f t="shared" si="33"/>
        <v>2.7051379124598762</v>
      </c>
      <c r="CO41" s="127">
        <v>7.458348153228582E-2</v>
      </c>
      <c r="CP41" s="127">
        <v>3.8162508336092499E-2</v>
      </c>
      <c r="CQ41" s="127">
        <v>2.2817728709288516E-2</v>
      </c>
      <c r="CR41" s="127">
        <f t="shared" si="34"/>
        <v>6.0980237045381011E-2</v>
      </c>
      <c r="CS41" s="128">
        <f t="shared" si="35"/>
        <v>0</v>
      </c>
      <c r="CT41" s="155">
        <f t="shared" si="36"/>
        <v>2.5010642333554323</v>
      </c>
      <c r="CU41" s="87">
        <v>0.23410599832164924</v>
      </c>
      <c r="CV41" s="127">
        <v>-9.9380398593242464E-2</v>
      </c>
      <c r="CW41" s="127">
        <v>6.5600587885503062E-2</v>
      </c>
      <c r="CX41" s="127">
        <f t="shared" si="37"/>
        <v>-3.3779810707739402E-2</v>
      </c>
      <c r="CY41" s="141"/>
      <c r="CZ41" s="155">
        <f t="shared" si="38"/>
        <v>2.4503054838948435</v>
      </c>
      <c r="DA41" s="127">
        <v>0.18134444253200094</v>
      </c>
      <c r="DB41" s="127">
        <v>-0.10001031323072365</v>
      </c>
      <c r="DC41" s="127">
        <v>4.9668774402189947E-2</v>
      </c>
      <c r="DD41" s="127">
        <f t="shared" si="39"/>
        <v>-5.0341538828533705E-2</v>
      </c>
      <c r="DF41" s="155">
        <f t="shared" si="40"/>
        <v>2.5559091493363884</v>
      </c>
      <c r="DG41" s="127">
        <v>4.2131583494095966E-2</v>
      </c>
      <c r="DH41" s="127">
        <v>-5.5647719131624168E-3</v>
      </c>
      <c r="DI41" s="127">
        <v>1.2095303268729192E-2</v>
      </c>
      <c r="DJ41" s="127">
        <f t="shared" si="41"/>
        <v>6.5305313555667748E-3</v>
      </c>
      <c r="DK41" s="145"/>
      <c r="DL41" s="155">
        <f t="shared" si="42"/>
        <v>3.1295401767871711</v>
      </c>
      <c r="DM41" s="127">
        <v>1.0629972295552376E-2</v>
      </c>
      <c r="DN41" s="127">
        <v>6.1946865506436119E-3</v>
      </c>
      <c r="DO41" s="127">
        <v>3.8365102145839292E-3</v>
      </c>
      <c r="DP41" s="127">
        <f t="shared" si="43"/>
        <v>1.003119676522754E-2</v>
      </c>
    </row>
    <row r="42" spans="1:120" x14ac:dyDescent="0.25">
      <c r="A42" s="128">
        <f>name!B38</f>
        <v>0</v>
      </c>
      <c r="B42" s="155">
        <f t="shared" si="1"/>
        <v>2.7659066814350819</v>
      </c>
      <c r="C42" s="87">
        <v>41.327917877507424</v>
      </c>
      <c r="D42" s="127">
        <v>5.5428905332373821</v>
      </c>
      <c r="E42" s="127">
        <v>12.963865628503205</v>
      </c>
      <c r="F42" s="127">
        <f t="shared" si="2"/>
        <v>18.506756161740586</v>
      </c>
      <c r="G42" s="141"/>
      <c r="H42" s="155">
        <f t="shared" si="3"/>
        <v>2.5883895459776651</v>
      </c>
      <c r="I42" s="127">
        <v>6.6477909633603698</v>
      </c>
      <c r="J42" s="127">
        <v>0.46903863547743174</v>
      </c>
      <c r="K42" s="127">
        <v>1.9356115118566004</v>
      </c>
      <c r="L42" s="127">
        <f t="shared" si="4"/>
        <v>2.4046501473340323</v>
      </c>
      <c r="N42" s="155">
        <f t="shared" si="5"/>
        <v>2.6369495607399429</v>
      </c>
      <c r="O42" s="127">
        <v>13.326579267199337</v>
      </c>
      <c r="P42" s="127">
        <v>1.877839557749986</v>
      </c>
      <c r="Q42" s="127">
        <v>3.9618702925814446</v>
      </c>
      <c r="R42" s="127">
        <f t="shared" si="6"/>
        <v>5.8397098503314311</v>
      </c>
      <c r="S42" s="145"/>
      <c r="T42" s="155">
        <f t="shared" si="7"/>
        <v>2.8999820012332478</v>
      </c>
      <c r="U42" s="127">
        <v>21.35354764694771</v>
      </c>
      <c r="V42" s="127">
        <v>3.1960123400099647</v>
      </c>
      <c r="W42" s="127">
        <v>7.0663838240651593</v>
      </c>
      <c r="X42" s="127">
        <f t="shared" si="8"/>
        <v>10.262396164075124</v>
      </c>
      <c r="Y42" s="128">
        <f t="shared" si="0"/>
        <v>0</v>
      </c>
      <c r="Z42" s="155">
        <f t="shared" si="9"/>
        <v>2.8515281797403702</v>
      </c>
      <c r="AA42" s="87">
        <v>28.851400371214467</v>
      </c>
      <c r="AB42" s="127">
        <v>2.9117941769720685</v>
      </c>
      <c r="AC42" s="127">
        <v>9.3671654902328125</v>
      </c>
      <c r="AD42" s="127">
        <f t="shared" si="10"/>
        <v>12.27895966720488</v>
      </c>
      <c r="AE42" s="141"/>
      <c r="AF42" s="155">
        <f t="shared" si="11"/>
        <v>2.7312978006911237</v>
      </c>
      <c r="AG42" s="127">
        <v>2.3074493769266002</v>
      </c>
      <c r="AH42" s="127">
        <v>8.8154748807107802E-2</v>
      </c>
      <c r="AI42" s="127">
        <v>0.7136146359797787</v>
      </c>
      <c r="AJ42" s="127">
        <f t="shared" si="12"/>
        <v>0.80176938478688653</v>
      </c>
      <c r="AL42" s="155">
        <f t="shared" si="13"/>
        <v>2.6978647455589311</v>
      </c>
      <c r="AM42" s="127">
        <v>7.996889456722271</v>
      </c>
      <c r="AN42" s="127">
        <v>0.23978644928801202</v>
      </c>
      <c r="AO42" s="127">
        <v>2.4391384738532835</v>
      </c>
      <c r="AP42" s="127">
        <f t="shared" si="14"/>
        <v>2.6789249231412957</v>
      </c>
      <c r="AQ42" s="145"/>
      <c r="AR42" s="155">
        <f t="shared" si="15"/>
        <v>2.9319352041224489</v>
      </c>
      <c r="AS42" s="127">
        <v>18.547061537565593</v>
      </c>
      <c r="AT42" s="127">
        <v>2.5838529788769486</v>
      </c>
      <c r="AU42" s="127">
        <v>6.2144123803997511</v>
      </c>
      <c r="AV42" s="127">
        <f t="shared" si="16"/>
        <v>8.7982653592766997</v>
      </c>
      <c r="AW42" s="128">
        <f t="shared" si="17"/>
        <v>0</v>
      </c>
      <c r="AX42" s="155">
        <f t="shared" si="18"/>
        <v>2.5785306073743852</v>
      </c>
      <c r="AY42" s="87">
        <v>6.5037812929444394</v>
      </c>
      <c r="AZ42" s="127">
        <v>1.0757665767010658</v>
      </c>
      <c r="BA42" s="127">
        <v>1.8856141436015186</v>
      </c>
      <c r="BB42" s="127">
        <f t="shared" si="19"/>
        <v>2.9613807203025844</v>
      </c>
      <c r="BC42" s="141"/>
      <c r="BD42" s="155">
        <f t="shared" si="20"/>
        <v>2.4818332070334348</v>
      </c>
      <c r="BE42" s="127">
        <v>1.8237775728680967</v>
      </c>
      <c r="BF42" s="127">
        <v>0.40035255591572777</v>
      </c>
      <c r="BG42" s="127">
        <v>0.50667745232067052</v>
      </c>
      <c r="BH42" s="127">
        <f t="shared" si="21"/>
        <v>0.90703000823639823</v>
      </c>
      <c r="BJ42" s="155">
        <f t="shared" si="22"/>
        <v>2.5440839893432932</v>
      </c>
      <c r="BK42" s="127">
        <v>2.6329814450846953</v>
      </c>
      <c r="BL42" s="127">
        <v>0.36645710610714699</v>
      </c>
      <c r="BM42" s="127">
        <v>0.75198133827523139</v>
      </c>
      <c r="BN42" s="127">
        <f t="shared" si="23"/>
        <v>1.1184384443823783</v>
      </c>
      <c r="BO42" s="145"/>
      <c r="BP42" s="155">
        <f t="shared" si="24"/>
        <v>2.7078220766586059</v>
      </c>
      <c r="BQ42" s="127">
        <v>2.0470222749916469</v>
      </c>
      <c r="BR42" s="127">
        <v>0.30895691467819097</v>
      </c>
      <c r="BS42" s="127">
        <v>0.62695535300561678</v>
      </c>
      <c r="BT42" s="127">
        <f t="shared" si="25"/>
        <v>0.93591226768380775</v>
      </c>
      <c r="BU42" s="128">
        <f t="shared" si="26"/>
        <v>0</v>
      </c>
      <c r="BV42" s="155">
        <f t="shared" si="27"/>
        <v>2.4352549002091939</v>
      </c>
      <c r="BW42" s="87">
        <v>3.9926676757116213</v>
      </c>
      <c r="BX42" s="127">
        <v>1.3942061283114771</v>
      </c>
      <c r="BY42" s="127">
        <v>1.0860923018676825</v>
      </c>
      <c r="BZ42" s="127">
        <f t="shared" si="28"/>
        <v>2.4802984301791593</v>
      </c>
      <c r="CA42" s="141"/>
      <c r="CB42" s="155">
        <f t="shared" si="29"/>
        <v>2.3820319758712349</v>
      </c>
      <c r="CC42" s="127">
        <v>1.5804510737327937</v>
      </c>
      <c r="CD42" s="127">
        <v>0.54763313458440666</v>
      </c>
      <c r="CE42" s="127">
        <v>0.41949600254904829</v>
      </c>
      <c r="CF42" s="127">
        <f t="shared" si="30"/>
        <v>0.96712913713345494</v>
      </c>
      <c r="CH42" s="155">
        <f t="shared" si="31"/>
        <v>2.4397967914120189</v>
      </c>
      <c r="CI42" s="127">
        <v>1.8177774091588061</v>
      </c>
      <c r="CJ42" s="127">
        <v>0.71493905267938562</v>
      </c>
      <c r="CK42" s="127">
        <v>0.49550036268130071</v>
      </c>
      <c r="CL42" s="127">
        <f t="shared" si="32"/>
        <v>1.2104394153606863</v>
      </c>
      <c r="CM42" s="145"/>
      <c r="CN42" s="155">
        <f t="shared" si="33"/>
        <v>2.5618317898631338</v>
      </c>
      <c r="CO42" s="127">
        <v>0.59443919282002144</v>
      </c>
      <c r="CP42" s="127">
        <v>0.13163394104768467</v>
      </c>
      <c r="CQ42" s="127">
        <v>0.1710959366373333</v>
      </c>
      <c r="CR42" s="127">
        <f t="shared" si="34"/>
        <v>0.30272987768501797</v>
      </c>
      <c r="CS42" s="128">
        <f t="shared" si="35"/>
        <v>0</v>
      </c>
      <c r="CT42" s="155">
        <f t="shared" si="36"/>
        <v>2.7812246199814927</v>
      </c>
      <c r="CU42" s="87">
        <v>1.9800685376368916</v>
      </c>
      <c r="CV42" s="127">
        <v>0.16112365125277109</v>
      </c>
      <c r="CW42" s="127">
        <v>0.62499369280119021</v>
      </c>
      <c r="CX42" s="127">
        <f t="shared" si="37"/>
        <v>0.78611734405396128</v>
      </c>
      <c r="CY42" s="141"/>
      <c r="CZ42" s="155">
        <f t="shared" si="38"/>
        <v>2.7841153979467625</v>
      </c>
      <c r="DA42" s="127">
        <v>0.93611293983287924</v>
      </c>
      <c r="DB42" s="127">
        <v>-0.56710180382981035</v>
      </c>
      <c r="DC42" s="127">
        <v>0.29582342100710285</v>
      </c>
      <c r="DD42" s="127">
        <f t="shared" si="39"/>
        <v>-0.2712783828227075</v>
      </c>
      <c r="DF42" s="155">
        <f t="shared" si="40"/>
        <v>2.7618510900035087</v>
      </c>
      <c r="DG42" s="127">
        <v>0.87893095623356221</v>
      </c>
      <c r="DH42" s="127">
        <v>0.55665694967544133</v>
      </c>
      <c r="DI42" s="127">
        <v>0.275250117771629</v>
      </c>
      <c r="DJ42" s="127">
        <f t="shared" si="41"/>
        <v>0.83190706744707033</v>
      </c>
      <c r="DK42" s="145"/>
      <c r="DL42" s="155">
        <f t="shared" si="42"/>
        <v>2.8675941660104565</v>
      </c>
      <c r="DM42" s="127">
        <v>0.16502464157045005</v>
      </c>
      <c r="DN42" s="127">
        <v>0.17156850540714014</v>
      </c>
      <c r="DO42" s="127">
        <v>5.3920154022458346E-2</v>
      </c>
      <c r="DP42" s="127">
        <f t="shared" si="43"/>
        <v>0.22548865942959848</v>
      </c>
    </row>
    <row r="43" spans="1:120" x14ac:dyDescent="0.25">
      <c r="A43" s="128">
        <f>name!B39</f>
        <v>0</v>
      </c>
      <c r="B43" s="155">
        <f t="shared" si="1"/>
        <v>2.964323205894126</v>
      </c>
      <c r="C43" s="87">
        <v>366.60612974536059</v>
      </c>
      <c r="D43" s="127">
        <v>59.276568078745363</v>
      </c>
      <c r="E43" s="127">
        <v>124.37795424368858</v>
      </c>
      <c r="F43" s="127">
        <f t="shared" si="2"/>
        <v>183.65452232243393</v>
      </c>
      <c r="G43" s="141"/>
      <c r="H43" s="155">
        <f t="shared" si="3"/>
        <v>2.8629023744369153</v>
      </c>
      <c r="I43" s="127">
        <v>60.29612584772859</v>
      </c>
      <c r="J43" s="127">
        <v>6.2659503707421011</v>
      </c>
      <c r="K43" s="127">
        <v>19.664677844879822</v>
      </c>
      <c r="L43" s="127">
        <f t="shared" si="4"/>
        <v>25.930628215621923</v>
      </c>
      <c r="N43" s="155">
        <f t="shared" si="5"/>
        <v>2.910542307155306</v>
      </c>
      <c r="O43" s="127">
        <v>109.06467888707947</v>
      </c>
      <c r="P43" s="127">
        <v>29.524424023904043</v>
      </c>
      <c r="Q43" s="127">
        <v>36.241068661330416</v>
      </c>
      <c r="R43" s="127">
        <f t="shared" si="6"/>
        <v>65.765492685234463</v>
      </c>
      <c r="S43" s="145"/>
      <c r="T43" s="155">
        <f t="shared" si="7"/>
        <v>3.0246977932693042</v>
      </c>
      <c r="U43" s="127">
        <v>197.24532501055251</v>
      </c>
      <c r="V43" s="127">
        <v>23.486193684099216</v>
      </c>
      <c r="W43" s="127">
        <v>68.472207737478328</v>
      </c>
      <c r="X43" s="127">
        <f t="shared" si="8"/>
        <v>91.958401421577548</v>
      </c>
      <c r="Y43" s="128">
        <f t="shared" si="0"/>
        <v>0</v>
      </c>
      <c r="Z43" s="155">
        <f t="shared" si="9"/>
        <v>3.067775138448714</v>
      </c>
      <c r="AA43" s="87">
        <v>128.40645062723203</v>
      </c>
      <c r="AB43" s="127">
        <v>11.85508119620458</v>
      </c>
      <c r="AC43" s="127">
        <v>45.299963238210964</v>
      </c>
      <c r="AD43" s="127">
        <f t="shared" si="10"/>
        <v>57.155044434415544</v>
      </c>
      <c r="AE43" s="141"/>
      <c r="AF43" s="155">
        <f t="shared" si="11"/>
        <v>2.9973382412868288</v>
      </c>
      <c r="AG43" s="127">
        <v>2.355165456214976</v>
      </c>
      <c r="AH43" s="127">
        <v>0.9637811048672672</v>
      </c>
      <c r="AI43" s="127">
        <v>0.80916212463532233</v>
      </c>
      <c r="AJ43" s="127">
        <f t="shared" si="12"/>
        <v>1.7729432295025895</v>
      </c>
      <c r="AL43" s="155">
        <f t="shared" si="13"/>
        <v>2.9883483560949609</v>
      </c>
      <c r="AM43" s="127">
        <v>12.753554522103531</v>
      </c>
      <c r="AN43" s="127">
        <v>-1.189686119892166</v>
      </c>
      <c r="AO43" s="127">
        <v>4.3667772486974572</v>
      </c>
      <c r="AP43" s="127">
        <f t="shared" si="14"/>
        <v>3.1770911288052912</v>
      </c>
      <c r="AQ43" s="145"/>
      <c r="AR43" s="155">
        <f t="shared" si="15"/>
        <v>3.0781400233887757</v>
      </c>
      <c r="AS43" s="127">
        <v>113.29773064891354</v>
      </c>
      <c r="AT43" s="127">
        <v>12.080986211229478</v>
      </c>
      <c r="AU43" s="127">
        <v>40.124023864878183</v>
      </c>
      <c r="AV43" s="127">
        <f t="shared" si="16"/>
        <v>52.205010076107662</v>
      </c>
      <c r="AW43" s="128">
        <f t="shared" si="17"/>
        <v>0</v>
      </c>
      <c r="AX43" s="155">
        <f t="shared" si="18"/>
        <v>2.6535599438878954</v>
      </c>
      <c r="AY43" s="87">
        <v>85.340941379457291</v>
      </c>
      <c r="AZ43" s="127">
        <v>21.654635101028848</v>
      </c>
      <c r="BA43" s="127">
        <v>25.550385149909442</v>
      </c>
      <c r="BB43" s="127">
        <f t="shared" si="19"/>
        <v>47.20502025093829</v>
      </c>
      <c r="BC43" s="141"/>
      <c r="BD43" s="155">
        <f t="shared" si="20"/>
        <v>2.5369749451499946</v>
      </c>
      <c r="BE43" s="127">
        <v>7.9924706336224665</v>
      </c>
      <c r="BF43" s="127">
        <v>4.6323396613046155</v>
      </c>
      <c r="BG43" s="127">
        <v>2.275534005888348</v>
      </c>
      <c r="BH43" s="127">
        <f t="shared" si="21"/>
        <v>6.9078736671929635</v>
      </c>
      <c r="BJ43" s="155">
        <f t="shared" si="22"/>
        <v>2.5624762152512082</v>
      </c>
      <c r="BK43" s="127">
        <v>27.005268580631853</v>
      </c>
      <c r="BL43" s="127">
        <v>10.223864247757708</v>
      </c>
      <c r="BM43" s="127">
        <v>7.7750437532035859</v>
      </c>
      <c r="BN43" s="127">
        <f t="shared" si="23"/>
        <v>17.998908000961293</v>
      </c>
      <c r="BO43" s="145"/>
      <c r="BP43" s="155">
        <f t="shared" si="24"/>
        <v>2.7204430066313234</v>
      </c>
      <c r="BQ43" s="127">
        <v>50.343202165202975</v>
      </c>
      <c r="BR43" s="127">
        <v>6.7984311919665235</v>
      </c>
      <c r="BS43" s="127">
        <v>15.499807390817509</v>
      </c>
      <c r="BT43" s="127">
        <f t="shared" si="25"/>
        <v>22.29823858278403</v>
      </c>
      <c r="BU43" s="128">
        <f t="shared" si="26"/>
        <v>0</v>
      </c>
      <c r="BV43" s="155">
        <f t="shared" si="27"/>
        <v>3.5825178625260357</v>
      </c>
      <c r="BW43" s="87">
        <v>28.783589754031564</v>
      </c>
      <c r="BX43" s="127">
        <v>9.0490542940407099</v>
      </c>
      <c r="BY43" s="127">
        <v>12.143380105807763</v>
      </c>
      <c r="BZ43" s="127">
        <f t="shared" si="28"/>
        <v>21.192434399848473</v>
      </c>
      <c r="CA43" s="141"/>
      <c r="CB43" s="155">
        <f t="shared" si="29"/>
        <v>3.2872271423685318</v>
      </c>
      <c r="CC43" s="127">
        <v>6.0845432642854735</v>
      </c>
      <c r="CD43" s="127">
        <v>4.4133646639922466</v>
      </c>
      <c r="CE43" s="127">
        <v>2.3234851029341566</v>
      </c>
      <c r="CF43" s="127">
        <f t="shared" si="30"/>
        <v>6.7368497669264027</v>
      </c>
      <c r="CH43" s="155">
        <f t="shared" si="31"/>
        <v>3.5081488727088939</v>
      </c>
      <c r="CI43" s="127">
        <v>13.730317697403695</v>
      </c>
      <c r="CJ43" s="127">
        <v>4.0524808534125691</v>
      </c>
      <c r="CK43" s="127">
        <v>5.6529058299467811</v>
      </c>
      <c r="CL43" s="127">
        <f t="shared" si="32"/>
        <v>9.7053866833593503</v>
      </c>
      <c r="CM43" s="145"/>
      <c r="CN43" s="155">
        <f t="shared" si="33"/>
        <v>3.8896522062592975</v>
      </c>
      <c r="CO43" s="127">
        <v>8.9687287923423913</v>
      </c>
      <c r="CP43" s="127">
        <v>0.58320877663589499</v>
      </c>
      <c r="CQ43" s="127">
        <v>4.1669891729268249</v>
      </c>
      <c r="CR43" s="127">
        <f t="shared" si="34"/>
        <v>4.75019794956272</v>
      </c>
      <c r="CS43" s="128">
        <f t="shared" si="35"/>
        <v>0</v>
      </c>
      <c r="CT43" s="155">
        <f t="shared" si="36"/>
        <v>2.9202085195014771</v>
      </c>
      <c r="CU43" s="87">
        <v>124.07514798463968</v>
      </c>
      <c r="CV43" s="127">
        <v>16.717797487471227</v>
      </c>
      <c r="CW43" s="127">
        <v>41.384225749760404</v>
      </c>
      <c r="CX43" s="127">
        <f t="shared" si="37"/>
        <v>58.102023237231634</v>
      </c>
      <c r="CY43" s="141"/>
      <c r="CZ43" s="155">
        <f t="shared" si="38"/>
        <v>2.8542214955234568</v>
      </c>
      <c r="DA43" s="127">
        <v>43.863946493605674</v>
      </c>
      <c r="DB43" s="127">
        <v>-3.7435350594220274</v>
      </c>
      <c r="DC43" s="127">
        <v>14.256496611421996</v>
      </c>
      <c r="DD43" s="127">
        <f t="shared" si="39"/>
        <v>10.512961551999968</v>
      </c>
      <c r="DF43" s="155">
        <f t="shared" si="40"/>
        <v>2.9076458934621296</v>
      </c>
      <c r="DG43" s="127">
        <v>55.575538086940398</v>
      </c>
      <c r="DH43" s="127">
        <v>16.43776504262593</v>
      </c>
      <c r="DI43" s="127">
        <v>18.446341829482595</v>
      </c>
      <c r="DJ43" s="127">
        <f t="shared" si="41"/>
        <v>34.884106872108525</v>
      </c>
      <c r="DK43" s="145"/>
      <c r="DL43" s="155">
        <f t="shared" si="42"/>
        <v>3.0647677202802814</v>
      </c>
      <c r="DM43" s="127">
        <v>24.635663404093616</v>
      </c>
      <c r="DN43" s="127">
        <v>4.0235675042673211</v>
      </c>
      <c r="DO43" s="127">
        <v>8.6813873088558129</v>
      </c>
      <c r="DP43" s="127">
        <f t="shared" si="43"/>
        <v>12.704954813123134</v>
      </c>
    </row>
    <row r="44" spans="1:120" x14ac:dyDescent="0.25">
      <c r="A44" s="128">
        <f>name!B40</f>
        <v>0</v>
      </c>
      <c r="B44" s="155">
        <f t="shared" si="1"/>
        <v>2.8357475835989687</v>
      </c>
      <c r="C44" s="87">
        <v>393.35784380285861</v>
      </c>
      <c r="D44" s="127">
        <v>-15.846501627171115</v>
      </c>
      <c r="E44" s="127">
        <v>126.91230773625192</v>
      </c>
      <c r="F44" s="127">
        <f t="shared" si="2"/>
        <v>111.0658061090808</v>
      </c>
      <c r="G44" s="141"/>
      <c r="H44" s="155">
        <f t="shared" si="3"/>
        <v>2.7516949963118487</v>
      </c>
      <c r="I44" s="127">
        <v>59.61461044933764</v>
      </c>
      <c r="J44" s="127">
        <v>-20.900434984544614</v>
      </c>
      <c r="K44" s="127">
        <v>18.591854917813837</v>
      </c>
      <c r="L44" s="127">
        <f t="shared" si="4"/>
        <v>-2.3085800667307765</v>
      </c>
      <c r="N44" s="155">
        <f t="shared" si="5"/>
        <v>2.7239499243143506</v>
      </c>
      <c r="O44" s="127">
        <v>173.18501469973404</v>
      </c>
      <c r="P44" s="127">
        <v>-1.7972543490150141</v>
      </c>
      <c r="Q44" s="127">
        <v>53.398033728841654</v>
      </c>
      <c r="R44" s="127">
        <f t="shared" si="6"/>
        <v>51.600779379826641</v>
      </c>
      <c r="S44" s="145"/>
      <c r="T44" s="155">
        <f t="shared" si="7"/>
        <v>2.9858531510617459</v>
      </c>
      <c r="U44" s="127">
        <v>160.55821865378698</v>
      </c>
      <c r="V44" s="127">
        <v>6.8511877063885063</v>
      </c>
      <c r="W44" s="127">
        <v>54.922419089596445</v>
      </c>
      <c r="X44" s="127">
        <f t="shared" si="8"/>
        <v>61.773606795984954</v>
      </c>
      <c r="Y44" s="128">
        <f t="shared" si="0"/>
        <v>0</v>
      </c>
      <c r="Z44" s="155">
        <f t="shared" si="9"/>
        <v>2.9519471351278748</v>
      </c>
      <c r="AA44" s="87">
        <v>193.55143168230654</v>
      </c>
      <c r="AB44" s="127">
        <v>39.567328495072999</v>
      </c>
      <c r="AC44" s="127">
        <v>65.354521617917186</v>
      </c>
      <c r="AD44" s="127">
        <f t="shared" si="10"/>
        <v>104.92185011299019</v>
      </c>
      <c r="AE44" s="141"/>
      <c r="AF44" s="155">
        <f t="shared" si="11"/>
        <v>2.732765888214872</v>
      </c>
      <c r="AG44" s="127">
        <v>8.9496893108903919</v>
      </c>
      <c r="AH44" s="127">
        <v>-0.38086275940552278</v>
      </c>
      <c r="AI44" s="127">
        <v>2.7695053307141997</v>
      </c>
      <c r="AJ44" s="127">
        <f t="shared" si="12"/>
        <v>2.3886425713086767</v>
      </c>
      <c r="AL44" s="155">
        <f t="shared" si="13"/>
        <v>2.7942517550996859</v>
      </c>
      <c r="AM44" s="127">
        <v>63.890128782218703</v>
      </c>
      <c r="AN44" s="127">
        <v>26.216367345241078</v>
      </c>
      <c r="AO44" s="127">
        <v>20.273036384531288</v>
      </c>
      <c r="AP44" s="127">
        <f t="shared" si="14"/>
        <v>46.489403729772363</v>
      </c>
      <c r="AQ44" s="145"/>
      <c r="AR44" s="155">
        <f t="shared" si="15"/>
        <v>3.0505088630622845</v>
      </c>
      <c r="AS44" s="127">
        <v>120.71161358919746</v>
      </c>
      <c r="AT44" s="127">
        <v>13.731823909237447</v>
      </c>
      <c r="AU44" s="127">
        <v>42.311979902671695</v>
      </c>
      <c r="AV44" s="127">
        <f t="shared" si="16"/>
        <v>56.043803811909143</v>
      </c>
      <c r="AW44" s="128">
        <f t="shared" si="17"/>
        <v>0</v>
      </c>
      <c r="AX44" s="155">
        <f t="shared" si="18"/>
        <v>2.6545992493075765</v>
      </c>
      <c r="AY44" s="87">
        <v>136.55603857187839</v>
      </c>
      <c r="AZ44" s="127">
        <v>-43.002314866399423</v>
      </c>
      <c r="BA44" s="127">
        <v>40.901735073909045</v>
      </c>
      <c r="BB44" s="127">
        <f t="shared" si="19"/>
        <v>-2.1005797924903788</v>
      </c>
      <c r="BC44" s="141"/>
      <c r="BD44" s="155">
        <f t="shared" si="20"/>
        <v>2.5646880453044751</v>
      </c>
      <c r="BE44" s="127">
        <v>18.059085654406232</v>
      </c>
      <c r="BF44" s="127">
        <v>-9.0180538971045241</v>
      </c>
      <c r="BG44" s="127">
        <v>5.2043788432435791</v>
      </c>
      <c r="BH44" s="127">
        <f t="shared" si="21"/>
        <v>-3.813675053860945</v>
      </c>
      <c r="BJ44" s="155">
        <f t="shared" si="22"/>
        <v>2.6194787613104564</v>
      </c>
      <c r="BK44" s="127">
        <v>81.562939535953078</v>
      </c>
      <c r="BL44" s="127">
        <v>-26.535125434477635</v>
      </c>
      <c r="BM44" s="127">
        <v>24.06794423722156</v>
      </c>
      <c r="BN44" s="127">
        <f t="shared" si="23"/>
        <v>-2.4671811972560747</v>
      </c>
      <c r="BO44" s="145"/>
      <c r="BP44" s="155">
        <f t="shared" si="24"/>
        <v>2.775188253093952</v>
      </c>
      <c r="BQ44" s="127">
        <v>36.93401338151908</v>
      </c>
      <c r="BR44" s="127">
        <v>-7.4491355348172679</v>
      </c>
      <c r="BS44" s="127">
        <v>11.629411993443906</v>
      </c>
      <c r="BT44" s="127">
        <f t="shared" si="25"/>
        <v>4.1802764586266381</v>
      </c>
      <c r="BU44" s="128">
        <f t="shared" si="26"/>
        <v>0</v>
      </c>
      <c r="BV44" s="155">
        <f t="shared" si="27"/>
        <v>2.8583954213786456</v>
      </c>
      <c r="BW44" s="87">
        <v>20.489593186295824</v>
      </c>
      <c r="BX44" s="127">
        <v>-3.6169124626271385</v>
      </c>
      <c r="BY44" s="127">
        <v>6.6704706699605909</v>
      </c>
      <c r="BZ44" s="127">
        <f t="shared" si="28"/>
        <v>3.0535582073334524</v>
      </c>
      <c r="CA44" s="141"/>
      <c r="CB44" s="155">
        <f t="shared" si="29"/>
        <v>2.886706102007186</v>
      </c>
      <c r="CC44" s="127">
        <v>8.3246385618980643</v>
      </c>
      <c r="CD44" s="127">
        <v>-2.3561745304099531</v>
      </c>
      <c r="CE44" s="127">
        <v>2.7405296991725199</v>
      </c>
      <c r="CF44" s="127">
        <f t="shared" si="30"/>
        <v>0.38435516876256681</v>
      </c>
      <c r="CH44" s="155">
        <f t="shared" si="31"/>
        <v>2.8369795300950962</v>
      </c>
      <c r="CI44" s="127">
        <v>10.970091359887151</v>
      </c>
      <c r="CJ44" s="127">
        <v>-1.2157453343966669</v>
      </c>
      <c r="CK44" s="127">
        <v>3.541109966200767</v>
      </c>
      <c r="CL44" s="127">
        <f t="shared" si="32"/>
        <v>2.3253646318041001</v>
      </c>
      <c r="CM44" s="145"/>
      <c r="CN44" s="155">
        <f t="shared" si="33"/>
        <v>2.8573458698798015</v>
      </c>
      <c r="CO44" s="127">
        <v>1.1948632645106076</v>
      </c>
      <c r="CP44" s="127">
        <v>-4.4992597820518516E-2</v>
      </c>
      <c r="CQ44" s="127">
        <v>0.38883100458730496</v>
      </c>
      <c r="CR44" s="127">
        <f t="shared" si="34"/>
        <v>0.34383840676678645</v>
      </c>
      <c r="CS44" s="128">
        <f t="shared" si="35"/>
        <v>0</v>
      </c>
      <c r="CT44" s="155">
        <f t="shared" si="36"/>
        <v>2.8701182898648092</v>
      </c>
      <c r="CU44" s="87">
        <v>42.760780362377908</v>
      </c>
      <c r="CV44" s="127">
        <v>-8.7946027932175515</v>
      </c>
      <c r="CW44" s="127">
        <v>13.985580374465099</v>
      </c>
      <c r="CX44" s="127">
        <f t="shared" si="37"/>
        <v>5.190977581247548</v>
      </c>
      <c r="CY44" s="141"/>
      <c r="CZ44" s="155">
        <f t="shared" si="38"/>
        <v>2.8496351806148512</v>
      </c>
      <c r="DA44" s="127">
        <v>24.281196922142954</v>
      </c>
      <c r="DB44" s="127">
        <v>-9.1453437976246104</v>
      </c>
      <c r="DC44" s="127">
        <v>7.8774410446835388</v>
      </c>
      <c r="DD44" s="127">
        <f t="shared" si="39"/>
        <v>-1.2679027529410716</v>
      </c>
      <c r="DF44" s="155">
        <f t="shared" si="40"/>
        <v>2.8857004199172476</v>
      </c>
      <c r="DG44" s="127">
        <v>16.761855021675107</v>
      </c>
      <c r="DH44" s="127">
        <v>-0.26275092538178862</v>
      </c>
      <c r="DI44" s="127">
        <v>5.5159431408880319</v>
      </c>
      <c r="DJ44" s="127">
        <f t="shared" si="41"/>
        <v>5.2531922155062434</v>
      </c>
      <c r="DK44" s="145"/>
      <c r="DL44" s="155">
        <f t="shared" si="42"/>
        <v>3.0064287710700022</v>
      </c>
      <c r="DM44" s="127">
        <v>1.7177284185598474</v>
      </c>
      <c r="DN44" s="127">
        <v>0.61349192978884681</v>
      </c>
      <c r="DO44" s="127">
        <v>0.59219618889352987</v>
      </c>
      <c r="DP44" s="127">
        <f t="shared" si="43"/>
        <v>1.2056881186823767</v>
      </c>
    </row>
    <row r="45" spans="1:120" x14ac:dyDescent="0.25">
      <c r="A45" s="128">
        <f>name!B41</f>
        <v>0</v>
      </c>
      <c r="B45" s="155">
        <f t="shared" si="1"/>
        <v>2.5589515569040877</v>
      </c>
      <c r="C45" s="87">
        <v>378.65361093918506</v>
      </c>
      <c r="D45" s="127">
        <v>36.796399092126755</v>
      </c>
      <c r="E45" s="127">
        <v>108.84998948408384</v>
      </c>
      <c r="F45" s="127">
        <f t="shared" si="2"/>
        <v>145.6463885762106</v>
      </c>
      <c r="G45" s="141"/>
      <c r="H45" s="155">
        <f t="shared" si="3"/>
        <v>2.6970336356285651</v>
      </c>
      <c r="I45" s="127">
        <v>21.232264083662649</v>
      </c>
      <c r="J45" s="127">
        <v>5.5608874318156268E-2</v>
      </c>
      <c r="K45" s="127">
        <v>6.4738297499487887</v>
      </c>
      <c r="L45" s="127">
        <f t="shared" si="4"/>
        <v>6.5294386242669447</v>
      </c>
      <c r="N45" s="155">
        <f t="shared" si="5"/>
        <v>2.6178307858164995</v>
      </c>
      <c r="O45" s="127">
        <v>54.055750144900642</v>
      </c>
      <c r="P45" s="127">
        <v>7.7932985015424325</v>
      </c>
      <c r="Q45" s="127">
        <v>15.939762430606391</v>
      </c>
      <c r="R45" s="127">
        <f t="shared" si="6"/>
        <v>23.733060932148824</v>
      </c>
      <c r="S45" s="145"/>
      <c r="T45" s="155">
        <f t="shared" si="7"/>
        <v>2.5386919147606823</v>
      </c>
      <c r="U45" s="127">
        <v>303.36559671062184</v>
      </c>
      <c r="V45" s="127">
        <v>28.947491716266153</v>
      </c>
      <c r="W45" s="127">
        <v>86.436397303528679</v>
      </c>
      <c r="X45" s="127">
        <f t="shared" si="8"/>
        <v>115.38388901979484</v>
      </c>
      <c r="Y45" s="128">
        <f t="shared" si="0"/>
        <v>0</v>
      </c>
      <c r="Z45" s="155">
        <f t="shared" si="9"/>
        <v>2.5199611178011505</v>
      </c>
      <c r="AA45" s="87">
        <v>312.18144659946984</v>
      </c>
      <c r="AB45" s="127">
        <v>28.895682554218279</v>
      </c>
      <c r="AC45" s="127">
        <v>88.21610831482117</v>
      </c>
      <c r="AD45" s="127">
        <f t="shared" si="10"/>
        <v>117.11179086903945</v>
      </c>
      <c r="AE45" s="141"/>
      <c r="AF45" s="155">
        <f t="shared" si="11"/>
        <v>2.4310222459994479</v>
      </c>
      <c r="AG45" s="127">
        <v>3.9811352808305944</v>
      </c>
      <c r="AH45" s="127">
        <v>4.5008812227039625</v>
      </c>
      <c r="AI45" s="127">
        <v>1.0808631323162383</v>
      </c>
      <c r="AJ45" s="127">
        <f t="shared" si="12"/>
        <v>5.5817443550202004</v>
      </c>
      <c r="AL45" s="155">
        <f t="shared" si="13"/>
        <v>2.4685169170641119</v>
      </c>
      <c r="AM45" s="127">
        <v>20.509890701227175</v>
      </c>
      <c r="AN45" s="127">
        <v>4.1191890490955583</v>
      </c>
      <c r="AO45" s="127">
        <v>5.6639738538481845</v>
      </c>
      <c r="AP45" s="127">
        <f t="shared" si="14"/>
        <v>9.7831629029437437</v>
      </c>
      <c r="AQ45" s="145"/>
      <c r="AR45" s="155">
        <f t="shared" si="15"/>
        <v>2.524845301627332</v>
      </c>
      <c r="AS45" s="127">
        <v>287.69042061741203</v>
      </c>
      <c r="AT45" s="127">
        <v>20.275612282418756</v>
      </c>
      <c r="AU45" s="127">
        <v>81.471271328656755</v>
      </c>
      <c r="AV45" s="127">
        <f t="shared" si="16"/>
        <v>101.7468836110755</v>
      </c>
      <c r="AW45" s="128">
        <f t="shared" si="17"/>
        <v>0</v>
      </c>
      <c r="AX45" s="155">
        <f t="shared" si="18"/>
        <v>2.6549442218402941</v>
      </c>
      <c r="AY45" s="87">
        <v>41.892929155094187</v>
      </c>
      <c r="AZ45" s="127">
        <v>9.2492751468853793</v>
      </c>
      <c r="BA45" s="127">
        <v>12.549743972538471</v>
      </c>
      <c r="BB45" s="127">
        <f t="shared" si="19"/>
        <v>21.79901911942385</v>
      </c>
      <c r="BC45" s="141"/>
      <c r="BD45" s="155">
        <f t="shared" si="20"/>
        <v>2.5532327548231981</v>
      </c>
      <c r="BE45" s="127">
        <v>6.2009149306433597</v>
      </c>
      <c r="BF45" s="127">
        <v>-0.93789945412547293</v>
      </c>
      <c r="BG45" s="127">
        <v>1.7781008484106056</v>
      </c>
      <c r="BH45" s="127">
        <f t="shared" si="21"/>
        <v>0.84020139428513263</v>
      </c>
      <c r="BJ45" s="155">
        <f t="shared" si="22"/>
        <v>2.603317774412961</v>
      </c>
      <c r="BK45" s="127">
        <v>21.307415275332314</v>
      </c>
      <c r="BL45" s="127">
        <v>2.2423318572234603</v>
      </c>
      <c r="BM45" s="127">
        <v>6.2440571353848382</v>
      </c>
      <c r="BN45" s="127">
        <f t="shared" si="23"/>
        <v>8.4863889926082976</v>
      </c>
      <c r="BO45" s="145"/>
      <c r="BP45" s="155">
        <f t="shared" si="24"/>
        <v>2.7742686070164835</v>
      </c>
      <c r="BQ45" s="127">
        <v>14.384598949118512</v>
      </c>
      <c r="BR45" s="127">
        <v>7.9448427437873912</v>
      </c>
      <c r="BS45" s="127">
        <v>4.5275859887430272</v>
      </c>
      <c r="BT45" s="127">
        <f t="shared" si="25"/>
        <v>12.472428732530418</v>
      </c>
      <c r="BU45" s="128">
        <f t="shared" si="26"/>
        <v>0</v>
      </c>
      <c r="BV45" s="155">
        <f t="shared" si="27"/>
        <v>2.6192743149682007</v>
      </c>
      <c r="BW45" s="87">
        <v>2.9857552680997586</v>
      </c>
      <c r="BX45" s="127">
        <v>0.29752966440157663</v>
      </c>
      <c r="BY45" s="127">
        <v>0.88097251477732141</v>
      </c>
      <c r="BZ45" s="127">
        <f t="shared" si="28"/>
        <v>1.1785021791788981</v>
      </c>
      <c r="CA45" s="141"/>
      <c r="CB45" s="155">
        <f t="shared" si="29"/>
        <v>2.6102783759339943</v>
      </c>
      <c r="CC45" s="127">
        <v>1.0704246420939711</v>
      </c>
      <c r="CD45" s="127">
        <v>-0.11337152429818138</v>
      </c>
      <c r="CE45" s="127">
        <v>0.31462314152439591</v>
      </c>
      <c r="CF45" s="127">
        <f t="shared" si="30"/>
        <v>0.20125161722621454</v>
      </c>
      <c r="CH45" s="155">
        <f t="shared" si="31"/>
        <v>2.6315936742941082</v>
      </c>
      <c r="CI45" s="127">
        <v>1.5955005485136557</v>
      </c>
      <c r="CJ45" s="127">
        <v>0.30848080422027463</v>
      </c>
      <c r="CK45" s="127">
        <v>0.47324789856842298</v>
      </c>
      <c r="CL45" s="127">
        <f t="shared" si="32"/>
        <v>0.78172870278869766</v>
      </c>
      <c r="CM45" s="145"/>
      <c r="CN45" s="155">
        <f t="shared" si="33"/>
        <v>2.5878378150158365</v>
      </c>
      <c r="CO45" s="127">
        <v>0.31983007749213199</v>
      </c>
      <c r="CP45" s="127">
        <v>0.10242038447948336</v>
      </c>
      <c r="CQ45" s="127">
        <v>9.3101474684502514E-2</v>
      </c>
      <c r="CR45" s="127">
        <f t="shared" si="34"/>
        <v>0.19552185916398587</v>
      </c>
      <c r="CS45" s="128">
        <f t="shared" si="35"/>
        <v>0</v>
      </c>
      <c r="CT45" s="155">
        <f t="shared" si="36"/>
        <v>2.9205088963651926</v>
      </c>
      <c r="CU45" s="87">
        <v>21.593479916521417</v>
      </c>
      <c r="CV45" s="127">
        <v>-1.6460882733784852</v>
      </c>
      <c r="CW45" s="127">
        <v>7.2031646819468875</v>
      </c>
      <c r="CX45" s="127">
        <f t="shared" si="37"/>
        <v>5.5570764085684026</v>
      </c>
      <c r="CY45" s="141"/>
      <c r="CZ45" s="155">
        <f t="shared" si="38"/>
        <v>2.8981993026460096</v>
      </c>
      <c r="DA45" s="127">
        <v>9.979789230094724</v>
      </c>
      <c r="DB45" s="127">
        <v>-3.3940013699621523</v>
      </c>
      <c r="DC45" s="127">
        <v>3.3002426276975489</v>
      </c>
      <c r="DD45" s="127">
        <f t="shared" si="39"/>
        <v>-9.3758742264603345E-2</v>
      </c>
      <c r="DF45" s="155">
        <f t="shared" si="40"/>
        <v>2.9264568687984216</v>
      </c>
      <c r="DG45" s="127">
        <v>10.642943619827502</v>
      </c>
      <c r="DH45" s="127">
        <v>1.1232967910031393</v>
      </c>
      <c r="DI45" s="127">
        <v>3.5584835428049475</v>
      </c>
      <c r="DJ45" s="127">
        <f t="shared" si="41"/>
        <v>4.6817803338080868</v>
      </c>
      <c r="DK45" s="145"/>
      <c r="DL45" s="155">
        <f t="shared" si="42"/>
        <v>3.0832482448727161</v>
      </c>
      <c r="DM45" s="127">
        <v>0.97074706659919119</v>
      </c>
      <c r="DN45" s="127">
        <v>0.62461630558052772</v>
      </c>
      <c r="DO45" s="127">
        <v>0.34443851144439169</v>
      </c>
      <c r="DP45" s="127">
        <f t="shared" si="43"/>
        <v>0.96905481702491936</v>
      </c>
    </row>
    <row r="46" spans="1:120" x14ac:dyDescent="0.25">
      <c r="A46" s="128">
        <f>name!B42</f>
        <v>0</v>
      </c>
      <c r="B46" s="155">
        <f t="shared" si="1"/>
        <v>2.890259729191258</v>
      </c>
      <c r="C46" s="87">
        <v>596.16075467408132</v>
      </c>
      <c r="D46" s="127">
        <v>130.76412576439193</v>
      </c>
      <c r="E46" s="127">
        <v>196.53406172763593</v>
      </c>
      <c r="F46" s="127">
        <f t="shared" si="2"/>
        <v>327.29818749202786</v>
      </c>
      <c r="G46" s="141"/>
      <c r="H46" s="155">
        <f t="shared" si="3"/>
        <v>2.6788795437322488</v>
      </c>
      <c r="I46" s="127">
        <v>75.585819538445264</v>
      </c>
      <c r="J46" s="127">
        <v>4.2136979795279563</v>
      </c>
      <c r="K46" s="127">
        <v>22.872299636804904</v>
      </c>
      <c r="L46" s="127">
        <f t="shared" si="4"/>
        <v>27.085997616332861</v>
      </c>
      <c r="N46" s="155">
        <f t="shared" si="5"/>
        <v>2.706098654684097</v>
      </c>
      <c r="O46" s="127">
        <v>212.25679919065291</v>
      </c>
      <c r="P46" s="127">
        <v>64.236584035540048</v>
      </c>
      <c r="Q46" s="127">
        <v>64.962803722137807</v>
      </c>
      <c r="R46" s="127">
        <f t="shared" si="6"/>
        <v>129.19938775767787</v>
      </c>
      <c r="S46" s="145"/>
      <c r="T46" s="155">
        <f t="shared" si="7"/>
        <v>3.0660135882804918</v>
      </c>
      <c r="U46" s="127">
        <v>308.31813594498311</v>
      </c>
      <c r="V46" s="127">
        <v>62.313843749323915</v>
      </c>
      <c r="W46" s="127">
        <v>108.69895836869323</v>
      </c>
      <c r="X46" s="127">
        <f t="shared" si="8"/>
        <v>171.01280211801713</v>
      </c>
      <c r="Y46" s="128">
        <f t="shared" si="0"/>
        <v>0</v>
      </c>
      <c r="Z46" s="155">
        <f t="shared" si="9"/>
        <v>3.0502708921622101</v>
      </c>
      <c r="AA46" s="87">
        <v>335.93921919202376</v>
      </c>
      <c r="AB46" s="127">
        <v>65.992763386883993</v>
      </c>
      <c r="AC46" s="127">
        <v>117.74334207940043</v>
      </c>
      <c r="AD46" s="127">
        <f t="shared" si="10"/>
        <v>183.73610546628441</v>
      </c>
      <c r="AE46" s="141"/>
      <c r="AF46" s="155">
        <f t="shared" si="11"/>
        <v>2.772118894951725</v>
      </c>
      <c r="AG46" s="127">
        <v>6.0163041652184992</v>
      </c>
      <c r="AH46" s="127">
        <v>1.3292953942067818</v>
      </c>
      <c r="AI46" s="127">
        <v>1.8919913793244785</v>
      </c>
      <c r="AJ46" s="127">
        <f t="shared" si="12"/>
        <v>3.2212867735312605</v>
      </c>
      <c r="AL46" s="155">
        <f t="shared" si="13"/>
        <v>2.8305616396997912</v>
      </c>
      <c r="AM46" s="127">
        <v>54.066211981632996</v>
      </c>
      <c r="AN46" s="127">
        <v>15.192793130377611</v>
      </c>
      <c r="AO46" s="127">
        <v>17.40777706255945</v>
      </c>
      <c r="AP46" s="127">
        <f t="shared" si="14"/>
        <v>32.600570192937063</v>
      </c>
      <c r="AQ46" s="145"/>
      <c r="AR46" s="155">
        <f t="shared" si="15"/>
        <v>3.0988119312854945</v>
      </c>
      <c r="AS46" s="127">
        <v>275.85670304517225</v>
      </c>
      <c r="AT46" s="127">
        <v>49.470674862299603</v>
      </c>
      <c r="AU46" s="127">
        <v>98.443573637516494</v>
      </c>
      <c r="AV46" s="127">
        <f t="shared" si="16"/>
        <v>147.9142484998161</v>
      </c>
      <c r="AW46" s="128">
        <f t="shared" si="17"/>
        <v>0</v>
      </c>
      <c r="AX46" s="155">
        <f t="shared" si="18"/>
        <v>2.6039196652279051</v>
      </c>
      <c r="AY46" s="87">
        <v>159.03458473919616</v>
      </c>
      <c r="AZ46" s="127">
        <v>40.296222391531657</v>
      </c>
      <c r="BA46" s="127">
        <v>46.616544654725452</v>
      </c>
      <c r="BB46" s="127">
        <f t="shared" si="19"/>
        <v>86.912767046257102</v>
      </c>
      <c r="BC46" s="141"/>
      <c r="BD46" s="155">
        <f t="shared" si="20"/>
        <v>2.5452433226490934</v>
      </c>
      <c r="BE46" s="127">
        <v>21.770784421414771</v>
      </c>
      <c r="BF46" s="127">
        <v>-0.58525794672168419</v>
      </c>
      <c r="BG46" s="127">
        <v>6.2209156872515399</v>
      </c>
      <c r="BH46" s="127">
        <f t="shared" si="21"/>
        <v>5.6356577405298554</v>
      </c>
      <c r="BJ46" s="155">
        <f t="shared" si="22"/>
        <v>2.5795517536157053</v>
      </c>
      <c r="BK46" s="127">
        <v>109.52927387637574</v>
      </c>
      <c r="BL46" s="127">
        <v>30.843442039124554</v>
      </c>
      <c r="BM46" s="127">
        <v>31.769430063648457</v>
      </c>
      <c r="BN46" s="127">
        <f t="shared" si="23"/>
        <v>62.612872102773011</v>
      </c>
      <c r="BO46" s="145"/>
      <c r="BP46" s="155">
        <f t="shared" si="24"/>
        <v>2.7451139967111571</v>
      </c>
      <c r="BQ46" s="127">
        <v>27.734526441405688</v>
      </c>
      <c r="BR46" s="127">
        <v>10.038038299128784</v>
      </c>
      <c r="BS46" s="127">
        <v>8.6261989038254558</v>
      </c>
      <c r="BT46" s="127">
        <f t="shared" si="25"/>
        <v>18.66423720295424</v>
      </c>
      <c r="BU46" s="128">
        <f t="shared" si="26"/>
        <v>0</v>
      </c>
      <c r="BV46" s="155">
        <f t="shared" si="27"/>
        <v>2.4641512026180035</v>
      </c>
      <c r="BW46" s="87">
        <v>12.81458334002725</v>
      </c>
      <c r="BX46" s="127">
        <v>4.3895704257866655</v>
      </c>
      <c r="BY46" s="127">
        <v>3.5318857518426356</v>
      </c>
      <c r="BZ46" s="127">
        <f t="shared" si="28"/>
        <v>7.9214561776293007</v>
      </c>
      <c r="CA46" s="141"/>
      <c r="CB46" s="155">
        <f t="shared" si="29"/>
        <v>2.3360812858931101</v>
      </c>
      <c r="CC46" s="127">
        <v>6.0632147564116732</v>
      </c>
      <c r="CD46" s="127">
        <v>2.5684165487773454</v>
      </c>
      <c r="CE46" s="127">
        <v>1.5749808838887966</v>
      </c>
      <c r="CF46" s="127">
        <f t="shared" si="30"/>
        <v>4.1433974326661422</v>
      </c>
      <c r="CH46" s="155">
        <f t="shared" si="31"/>
        <v>2.5656844346393592</v>
      </c>
      <c r="CI46" s="127">
        <v>5.7160556182605653</v>
      </c>
      <c r="CJ46" s="127">
        <v>1.556033629424588</v>
      </c>
      <c r="CK46" s="127">
        <v>1.6480035734914502</v>
      </c>
      <c r="CL46" s="127">
        <f t="shared" si="32"/>
        <v>3.2040372029160382</v>
      </c>
      <c r="CM46" s="145"/>
      <c r="CN46" s="155">
        <f t="shared" si="33"/>
        <v>2.645445634877297</v>
      </c>
      <c r="CO46" s="127">
        <v>1.0353129653550115</v>
      </c>
      <c r="CP46" s="127">
        <v>0.26512024758473196</v>
      </c>
      <c r="CQ46" s="127">
        <v>0.30890129446238906</v>
      </c>
      <c r="CR46" s="127">
        <f t="shared" si="34"/>
        <v>0.57402154204712108</v>
      </c>
      <c r="CS46" s="128">
        <f t="shared" si="35"/>
        <v>0</v>
      </c>
      <c r="CT46" s="155">
        <f t="shared" si="36"/>
        <v>2.8471774384655868</v>
      </c>
      <c r="CU46" s="87">
        <v>88.372367402834058</v>
      </c>
      <c r="CV46" s="127">
        <v>20.085569560189615</v>
      </c>
      <c r="CW46" s="127">
        <v>28.642289241667434</v>
      </c>
      <c r="CX46" s="127">
        <f t="shared" si="37"/>
        <v>48.727858801857053</v>
      </c>
      <c r="CY46" s="141"/>
      <c r="CZ46" s="155">
        <f t="shared" si="38"/>
        <v>2.7832667945406842</v>
      </c>
      <c r="DA46" s="127">
        <v>41.735516195400322</v>
      </c>
      <c r="DB46" s="127">
        <v>0.90124398326551358</v>
      </c>
      <c r="DC46" s="127">
        <v>13.184411686340088</v>
      </c>
      <c r="DD46" s="127">
        <f t="shared" si="39"/>
        <v>14.085655669605602</v>
      </c>
      <c r="DF46" s="155">
        <f t="shared" si="40"/>
        <v>2.8866540918025541</v>
      </c>
      <c r="DG46" s="127">
        <v>42.945257714383601</v>
      </c>
      <c r="DH46" s="127">
        <v>16.644315236613298</v>
      </c>
      <c r="DI46" s="127">
        <v>14.137593022438447</v>
      </c>
      <c r="DJ46" s="127">
        <f t="shared" si="41"/>
        <v>30.781908259051747</v>
      </c>
      <c r="DK46" s="145"/>
      <c r="DL46" s="155">
        <f t="shared" si="42"/>
        <v>3.1047472891351457</v>
      </c>
      <c r="DM46" s="127">
        <v>3.6915934930501404</v>
      </c>
      <c r="DN46" s="127">
        <v>2.5400103403108023</v>
      </c>
      <c r="DO46" s="127">
        <v>1.320284532888897</v>
      </c>
      <c r="DP46" s="127">
        <f t="shared" si="43"/>
        <v>3.8602948731996993</v>
      </c>
    </row>
    <row r="47" spans="1:120" x14ac:dyDescent="0.25">
      <c r="A47" s="128">
        <f>name!B43</f>
        <v>0</v>
      </c>
      <c r="B47" s="155">
        <f t="shared" si="1"/>
        <v>2.865344899385458</v>
      </c>
      <c r="C47" s="87">
        <v>40.376210097149027</v>
      </c>
      <c r="D47" s="127">
        <v>12.806927196821107</v>
      </c>
      <c r="E47" s="127">
        <v>13.180811533634204</v>
      </c>
      <c r="F47" s="127">
        <f t="shared" si="2"/>
        <v>25.987738730455312</v>
      </c>
      <c r="G47" s="141"/>
      <c r="H47" s="155">
        <f t="shared" si="3"/>
        <v>2.7751718770929079</v>
      </c>
      <c r="I47" s="127">
        <v>9.3187758939343261</v>
      </c>
      <c r="J47" s="127">
        <v>1.4740755938305261</v>
      </c>
      <c r="K47" s="127">
        <v>2.934183240230555</v>
      </c>
      <c r="L47" s="127">
        <f t="shared" si="4"/>
        <v>4.4082588340610815</v>
      </c>
      <c r="N47" s="155">
        <f t="shared" si="5"/>
        <v>2.8011029016640654</v>
      </c>
      <c r="O47" s="127">
        <v>15.51970188832003</v>
      </c>
      <c r="P47" s="127">
        <v>4.6916947620293463</v>
      </c>
      <c r="Q47" s="127">
        <v>4.9382011045192602</v>
      </c>
      <c r="R47" s="127">
        <f t="shared" si="6"/>
        <v>9.6298958665486065</v>
      </c>
      <c r="S47" s="145"/>
      <c r="T47" s="155">
        <f t="shared" si="7"/>
        <v>2.9825975993459597</v>
      </c>
      <c r="U47" s="127">
        <v>15.537732314894669</v>
      </c>
      <c r="V47" s="127">
        <v>6.6411568409612336</v>
      </c>
      <c r="W47" s="127">
        <v>5.3084271888843881</v>
      </c>
      <c r="X47" s="127">
        <f t="shared" si="8"/>
        <v>11.949584029845621</v>
      </c>
      <c r="Y47" s="128">
        <f t="shared" si="0"/>
        <v>0</v>
      </c>
      <c r="Z47" s="155">
        <f t="shared" si="9"/>
        <v>3.0248158548996429</v>
      </c>
      <c r="AA47" s="87">
        <v>21.444049548280258</v>
      </c>
      <c r="AB47" s="127">
        <v>6.4637391240695505</v>
      </c>
      <c r="AC47" s="127">
        <v>7.4444690278107304</v>
      </c>
      <c r="AD47" s="127">
        <f t="shared" si="10"/>
        <v>13.908208151880281</v>
      </c>
      <c r="AE47" s="141"/>
      <c r="AF47" s="155">
        <f t="shared" si="11"/>
        <v>3.0872958603731293</v>
      </c>
      <c r="AG47" s="127">
        <v>2.7651222683057175</v>
      </c>
      <c r="AH47" s="127">
        <v>0.53339249467469196</v>
      </c>
      <c r="AI47" s="127">
        <v>0.98258633136794948</v>
      </c>
      <c r="AJ47" s="127">
        <f t="shared" si="12"/>
        <v>1.5159788260426414</v>
      </c>
      <c r="AL47" s="155">
        <f t="shared" si="13"/>
        <v>2.9781314195511888</v>
      </c>
      <c r="AM47" s="127">
        <v>6.7043000761876437</v>
      </c>
      <c r="AN47" s="127">
        <v>0.72118551121563768</v>
      </c>
      <c r="AO47" s="127">
        <v>2.286607135241129</v>
      </c>
      <c r="AP47" s="127">
        <f t="shared" si="14"/>
        <v>3.0077926464567666</v>
      </c>
      <c r="AQ47" s="145"/>
      <c r="AR47" s="155">
        <f t="shared" si="15"/>
        <v>3.0364271872712179</v>
      </c>
      <c r="AS47" s="127">
        <v>11.974627203786897</v>
      </c>
      <c r="AT47" s="127">
        <v>5.209161118179221</v>
      </c>
      <c r="AU47" s="127">
        <v>4.1752755612016514</v>
      </c>
      <c r="AV47" s="127">
        <f t="shared" si="16"/>
        <v>9.3844366793808724</v>
      </c>
      <c r="AW47" s="128">
        <f t="shared" si="17"/>
        <v>0</v>
      </c>
      <c r="AX47" s="155">
        <f t="shared" si="18"/>
        <v>2.6056938584245515</v>
      </c>
      <c r="AY47" s="87">
        <v>11.013605155901349</v>
      </c>
      <c r="AZ47" s="127">
        <v>1.0299128541872438</v>
      </c>
      <c r="BA47" s="127">
        <v>3.2307934614555975</v>
      </c>
      <c r="BB47" s="127">
        <f t="shared" si="19"/>
        <v>4.2607063156428415</v>
      </c>
      <c r="BC47" s="141"/>
      <c r="BD47" s="155">
        <f t="shared" si="20"/>
        <v>2.5171144014275004</v>
      </c>
      <c r="BE47" s="127">
        <v>2.5657167308459536</v>
      </c>
      <c r="BF47" s="127">
        <v>-2.0249829680665472E-2</v>
      </c>
      <c r="BG47" s="127">
        <v>0.72410556877585575</v>
      </c>
      <c r="BH47" s="127">
        <f t="shared" si="21"/>
        <v>0.70385573909519028</v>
      </c>
      <c r="BJ47" s="155">
        <f t="shared" si="22"/>
        <v>2.564691401725705</v>
      </c>
      <c r="BK47" s="127">
        <v>5.4392446032435906</v>
      </c>
      <c r="BL47" s="127">
        <v>0.51504624411421973</v>
      </c>
      <c r="BM47" s="127">
        <v>1.5675173974350798</v>
      </c>
      <c r="BN47" s="127">
        <f t="shared" si="23"/>
        <v>2.0825636415492994</v>
      </c>
      <c r="BO47" s="145"/>
      <c r="BP47" s="155">
        <f t="shared" si="24"/>
        <v>2.7539661724697684</v>
      </c>
      <c r="BQ47" s="127">
        <v>3.0086438218118041</v>
      </c>
      <c r="BR47" s="127">
        <v>0.53511643975368939</v>
      </c>
      <c r="BS47" s="127">
        <v>0.93917049524466201</v>
      </c>
      <c r="BT47" s="127">
        <f t="shared" si="25"/>
        <v>1.4742869349983514</v>
      </c>
      <c r="BU47" s="128">
        <f t="shared" si="26"/>
        <v>0</v>
      </c>
      <c r="BV47" s="155">
        <f t="shared" si="27"/>
        <v>2.7769349895925721</v>
      </c>
      <c r="BW47" s="87">
        <v>2.8680773838859954</v>
      </c>
      <c r="BX47" s="127">
        <v>1.8124842888357913</v>
      </c>
      <c r="BY47" s="127">
        <v>0.90371244599220335</v>
      </c>
      <c r="BZ47" s="127">
        <f t="shared" si="28"/>
        <v>2.7161967348279945</v>
      </c>
      <c r="CA47" s="141"/>
      <c r="CB47" s="155">
        <f t="shared" si="29"/>
        <v>2.6526063565382341</v>
      </c>
      <c r="CC47" s="127">
        <v>1.133194068533085</v>
      </c>
      <c r="CD47" s="127">
        <v>0.1263303128615518</v>
      </c>
      <c r="CE47" s="127">
        <v>0.33913232926021469</v>
      </c>
      <c r="CF47" s="127">
        <f t="shared" si="30"/>
        <v>0.46546264212176647</v>
      </c>
      <c r="CH47" s="155">
        <f t="shared" si="31"/>
        <v>2.7982733108218305</v>
      </c>
      <c r="CI47" s="127">
        <v>1.5036570788687731</v>
      </c>
      <c r="CJ47" s="127">
        <v>1.358746094911804</v>
      </c>
      <c r="CK47" s="127">
        <v>0.47790189710881065</v>
      </c>
      <c r="CL47" s="127">
        <f t="shared" si="32"/>
        <v>1.8366479920206147</v>
      </c>
      <c r="CM47" s="145"/>
      <c r="CN47" s="155">
        <f t="shared" si="33"/>
        <v>3.2347595318199085</v>
      </c>
      <c r="CO47" s="127">
        <v>0.23122623648413734</v>
      </c>
      <c r="CP47" s="127">
        <v>0.32740788106243529</v>
      </c>
      <c r="CQ47" s="127">
        <v>8.6678219623177913E-2</v>
      </c>
      <c r="CR47" s="127">
        <f t="shared" si="34"/>
        <v>0.41408610068561319</v>
      </c>
      <c r="CS47" s="128">
        <f t="shared" si="35"/>
        <v>0</v>
      </c>
      <c r="CT47" s="155">
        <f t="shared" si="36"/>
        <v>2.7931156217943398</v>
      </c>
      <c r="CU47" s="87">
        <v>5.0504780090814236</v>
      </c>
      <c r="CV47" s="127">
        <v>3.5007909297285211</v>
      </c>
      <c r="CW47" s="127">
        <v>1.6018365983756719</v>
      </c>
      <c r="CX47" s="127">
        <f t="shared" si="37"/>
        <v>5.1026275281041933</v>
      </c>
      <c r="CY47" s="141"/>
      <c r="CZ47" s="155">
        <f t="shared" si="38"/>
        <v>2.74636478298389</v>
      </c>
      <c r="DA47" s="127">
        <v>2.8547428262495687</v>
      </c>
      <c r="DB47" s="127">
        <v>0.83460261597494789</v>
      </c>
      <c r="DC47" s="127">
        <v>0.88835901082653501</v>
      </c>
      <c r="DD47" s="127">
        <f t="shared" si="39"/>
        <v>1.7229616268014829</v>
      </c>
      <c r="DF47" s="155">
        <f t="shared" si="40"/>
        <v>2.8441917872239486</v>
      </c>
      <c r="DG47" s="127">
        <v>1.8725001300200237</v>
      </c>
      <c r="DH47" s="127">
        <v>2.0967169117876856</v>
      </c>
      <c r="DI47" s="127">
        <v>0.60617467473424025</v>
      </c>
      <c r="DJ47" s="127">
        <f t="shared" si="41"/>
        <v>2.7028915865219258</v>
      </c>
      <c r="DK47" s="145"/>
      <c r="DL47" s="155">
        <f t="shared" si="42"/>
        <v>2.9080384999745856</v>
      </c>
      <c r="DM47" s="127">
        <v>0.32323505281183162</v>
      </c>
      <c r="DN47" s="127">
        <v>0.5694714019658873</v>
      </c>
      <c r="DO47" s="127">
        <v>0.10730291281489671</v>
      </c>
      <c r="DP47" s="127">
        <f t="shared" si="43"/>
        <v>0.67677431478078398</v>
      </c>
    </row>
    <row r="48" spans="1:120" x14ac:dyDescent="0.25">
      <c r="A48" s="128">
        <f>name!B44</f>
        <v>0</v>
      </c>
      <c r="B48" s="155">
        <f t="shared" si="1"/>
        <v>2.8169915417421754</v>
      </c>
      <c r="C48" s="87">
        <v>158.75130574877755</v>
      </c>
      <c r="D48" s="127">
        <v>31.053175488358242</v>
      </c>
      <c r="E48" s="127">
        <v>50.836604439456309</v>
      </c>
      <c r="F48" s="127">
        <f t="shared" si="2"/>
        <v>81.889779927814544</v>
      </c>
      <c r="G48" s="141"/>
      <c r="H48" s="155">
        <f t="shared" si="3"/>
        <v>2.7131406842493488</v>
      </c>
      <c r="I48" s="127">
        <v>37.269430586923946</v>
      </c>
      <c r="J48" s="127">
        <v>2.0080357660646397</v>
      </c>
      <c r="K48" s="127">
        <v>11.439976930786587</v>
      </c>
      <c r="L48" s="127">
        <f t="shared" si="4"/>
        <v>13.448012696851226</v>
      </c>
      <c r="N48" s="155">
        <f t="shared" si="5"/>
        <v>2.6835187325179533</v>
      </c>
      <c r="O48" s="127">
        <v>64.168727676686729</v>
      </c>
      <c r="P48" s="127">
        <v>9.648746828409589</v>
      </c>
      <c r="Q48" s="127">
        <v>19.45525621806194</v>
      </c>
      <c r="R48" s="127">
        <f t="shared" si="6"/>
        <v>29.104003046471529</v>
      </c>
      <c r="S48" s="145"/>
      <c r="T48" s="155">
        <f t="shared" si="7"/>
        <v>3.0307741956072665</v>
      </c>
      <c r="U48" s="127">
        <v>57.313147485166859</v>
      </c>
      <c r="V48" s="127">
        <v>19.396392893884016</v>
      </c>
      <c r="W48" s="127">
        <v>19.941371290607766</v>
      </c>
      <c r="X48" s="127">
        <f t="shared" si="8"/>
        <v>39.337764184491782</v>
      </c>
      <c r="Y48" s="128">
        <f t="shared" si="0"/>
        <v>0</v>
      </c>
      <c r="Z48" s="155">
        <f t="shared" si="9"/>
        <v>3.0844034831169376</v>
      </c>
      <c r="AA48" s="87">
        <v>54.043501876163091</v>
      </c>
      <c r="AB48" s="127">
        <v>16.838248878570081</v>
      </c>
      <c r="AC48" s="127">
        <v>19.18381203425853</v>
      </c>
      <c r="AD48" s="127">
        <f t="shared" si="10"/>
        <v>36.022060912828607</v>
      </c>
      <c r="AE48" s="141"/>
      <c r="AF48" s="155">
        <f t="shared" si="11"/>
        <v>3.0687126992563263</v>
      </c>
      <c r="AG48" s="127">
        <v>2.872339077635929</v>
      </c>
      <c r="AH48" s="127">
        <v>0.88105911598627318</v>
      </c>
      <c r="AI48" s="127">
        <v>1.0136737094918047</v>
      </c>
      <c r="AJ48" s="127">
        <f t="shared" si="12"/>
        <v>1.8947328254780778</v>
      </c>
      <c r="AL48" s="155">
        <f t="shared" si="13"/>
        <v>2.9854531104971826</v>
      </c>
      <c r="AM48" s="127">
        <v>8.4616752757594771</v>
      </c>
      <c r="AN48" s="127">
        <v>0.5129240985808613</v>
      </c>
      <c r="AO48" s="127">
        <v>2.8940583365838495</v>
      </c>
      <c r="AP48" s="127">
        <f t="shared" si="14"/>
        <v>3.4069824351647107</v>
      </c>
      <c r="AQ48" s="145"/>
      <c r="AR48" s="155">
        <f t="shared" si="15"/>
        <v>3.1049593059016889</v>
      </c>
      <c r="AS48" s="127">
        <v>42.709487522767688</v>
      </c>
      <c r="AT48" s="127">
        <v>15.444265664002945</v>
      </c>
      <c r="AU48" s="127">
        <v>15.276079988182877</v>
      </c>
      <c r="AV48" s="127">
        <f t="shared" si="16"/>
        <v>30.72034565218582</v>
      </c>
      <c r="AW48" s="128">
        <f t="shared" si="17"/>
        <v>0</v>
      </c>
      <c r="AX48" s="155">
        <f t="shared" si="18"/>
        <v>2.6049805214462873</v>
      </c>
      <c r="AY48" s="87">
        <v>67.279720597550053</v>
      </c>
      <c r="AZ48" s="127">
        <v>-1.7061260839949342</v>
      </c>
      <c r="BA48" s="127">
        <v>19.73016584504331</v>
      </c>
      <c r="BB48" s="127">
        <f t="shared" si="19"/>
        <v>18.024039761048375</v>
      </c>
      <c r="BC48" s="141"/>
      <c r="BD48" s="155">
        <f t="shared" si="20"/>
        <v>2.5409532368865007</v>
      </c>
      <c r="BE48" s="127">
        <v>14.926976334729311</v>
      </c>
      <c r="BF48" s="127">
        <v>-1.3830273865244627</v>
      </c>
      <c r="BG48" s="127">
        <v>4.2572967639145958</v>
      </c>
      <c r="BH48" s="127">
        <f t="shared" si="21"/>
        <v>2.8742693773901333</v>
      </c>
      <c r="BJ48" s="155">
        <f t="shared" si="22"/>
        <v>2.5796718808031471</v>
      </c>
      <c r="BK48" s="127">
        <v>40.385319730226364</v>
      </c>
      <c r="BL48" s="127">
        <v>-0.75084702548436888</v>
      </c>
      <c r="BM48" s="127">
        <v>11.714543255967428</v>
      </c>
      <c r="BN48" s="127">
        <f t="shared" si="23"/>
        <v>10.963696230483059</v>
      </c>
      <c r="BO48" s="145"/>
      <c r="BP48" s="155">
        <f t="shared" si="24"/>
        <v>2.7687485385664345</v>
      </c>
      <c r="BQ48" s="127">
        <v>11.967424532594377</v>
      </c>
      <c r="BR48" s="127">
        <v>0.42774832801389723</v>
      </c>
      <c r="BS48" s="127">
        <v>3.7583258251612852</v>
      </c>
      <c r="BT48" s="127">
        <f t="shared" si="25"/>
        <v>4.1860741531751824</v>
      </c>
      <c r="BU48" s="128">
        <f t="shared" si="26"/>
        <v>0</v>
      </c>
      <c r="BV48" s="155">
        <f t="shared" si="27"/>
        <v>2.518201489640326</v>
      </c>
      <c r="BW48" s="87">
        <v>11.027664527945932</v>
      </c>
      <c r="BX48" s="127">
        <v>1.3879359269084375</v>
      </c>
      <c r="BY48" s="127">
        <v>3.1137656010156576</v>
      </c>
      <c r="BZ48" s="127">
        <f t="shared" si="28"/>
        <v>4.5017015279240953</v>
      </c>
      <c r="CA48" s="141"/>
      <c r="CB48" s="155">
        <f t="shared" si="29"/>
        <v>2.4600010102901804</v>
      </c>
      <c r="CC48" s="127">
        <v>4.6043551889988352</v>
      </c>
      <c r="CD48" s="127">
        <v>-9.4762721156135488E-2</v>
      </c>
      <c r="CE48" s="127">
        <v>1.2666488182504458</v>
      </c>
      <c r="CF48" s="127">
        <f t="shared" si="30"/>
        <v>1.1718860970943104</v>
      </c>
      <c r="CH48" s="155">
        <f t="shared" si="31"/>
        <v>2.5135092689739569</v>
      </c>
      <c r="CI48" s="127">
        <v>5.3897928205850842</v>
      </c>
      <c r="CJ48" s="127">
        <v>0.93986804735963958</v>
      </c>
      <c r="CK48" s="127">
        <v>1.5186963016257615</v>
      </c>
      <c r="CL48" s="127">
        <f t="shared" si="32"/>
        <v>2.458564348985401</v>
      </c>
      <c r="CM48" s="145"/>
      <c r="CN48" s="155">
        <f t="shared" si="33"/>
        <v>2.7978329732376128</v>
      </c>
      <c r="CO48" s="127">
        <v>1.0335165183620134</v>
      </c>
      <c r="CP48" s="127">
        <v>0.5428306007049335</v>
      </c>
      <c r="CQ48" s="127">
        <v>0.32842048113944977</v>
      </c>
      <c r="CR48" s="127">
        <f t="shared" si="34"/>
        <v>0.87125108184438327</v>
      </c>
      <c r="CS48" s="128">
        <f t="shared" si="35"/>
        <v>0</v>
      </c>
      <c r="CT48" s="155">
        <f t="shared" si="36"/>
        <v>2.9211505487475975</v>
      </c>
      <c r="CU48" s="87">
        <v>26.400418747118454</v>
      </c>
      <c r="CV48" s="127">
        <v>14.533116766874658</v>
      </c>
      <c r="CW48" s="127">
        <v>8.8088609591388032</v>
      </c>
      <c r="CX48" s="127">
        <f t="shared" si="37"/>
        <v>23.341977726013461</v>
      </c>
      <c r="CY48" s="141"/>
      <c r="CZ48" s="155">
        <f t="shared" si="38"/>
        <v>2.8911023071172881</v>
      </c>
      <c r="DA48" s="127">
        <v>14.865759985559873</v>
      </c>
      <c r="DB48" s="127">
        <v>2.6047667577589646</v>
      </c>
      <c r="DC48" s="127">
        <v>4.9023576391297414</v>
      </c>
      <c r="DD48" s="127">
        <f t="shared" si="39"/>
        <v>7.507124396888706</v>
      </c>
      <c r="DF48" s="155">
        <f t="shared" si="40"/>
        <v>2.9320472834624356</v>
      </c>
      <c r="DG48" s="127">
        <v>9.9319398501158016</v>
      </c>
      <c r="DH48" s="127">
        <v>8.9468017079534565</v>
      </c>
      <c r="DI48" s="127">
        <v>3.3279583238849022</v>
      </c>
      <c r="DJ48" s="127">
        <f t="shared" si="41"/>
        <v>12.274760031838358</v>
      </c>
      <c r="DK48" s="145"/>
      <c r="DL48" s="155">
        <f t="shared" si="42"/>
        <v>3.1300160142738953</v>
      </c>
      <c r="DM48" s="127">
        <v>1.6027189114427818</v>
      </c>
      <c r="DN48" s="127">
        <v>2.981548301162237</v>
      </c>
      <c r="DO48" s="127">
        <v>0.57854499612415899</v>
      </c>
      <c r="DP48" s="127">
        <f t="shared" si="43"/>
        <v>3.5600932972863961</v>
      </c>
    </row>
    <row r="49" spans="1:120" x14ac:dyDescent="0.25">
      <c r="A49" s="128"/>
      <c r="B49" s="155"/>
      <c r="C49" s="141"/>
      <c r="D49" s="141"/>
      <c r="E49" s="141"/>
      <c r="F49" s="141"/>
      <c r="G49" s="141"/>
      <c r="H49" s="155"/>
      <c r="I49" s="127"/>
      <c r="J49" s="127"/>
      <c r="K49" s="127"/>
      <c r="L49" s="127"/>
      <c r="N49" s="155"/>
      <c r="O49" s="127"/>
      <c r="P49" s="127"/>
      <c r="Q49" s="127"/>
      <c r="R49" s="127"/>
      <c r="S49" s="145"/>
      <c r="T49" s="155"/>
      <c r="U49" s="127"/>
      <c r="V49" s="127"/>
      <c r="W49" s="127"/>
      <c r="X49" s="127"/>
      <c r="Y49" s="128"/>
      <c r="Z49" s="155"/>
      <c r="AA49" s="141"/>
      <c r="AB49" s="141"/>
      <c r="AC49" s="141"/>
      <c r="AD49" s="141"/>
      <c r="AE49" s="141"/>
      <c r="AF49" s="155"/>
      <c r="AG49" s="127"/>
      <c r="AH49" s="127"/>
      <c r="AI49" s="127"/>
      <c r="AJ49" s="127"/>
      <c r="AL49" s="155"/>
      <c r="AM49" s="127"/>
      <c r="AN49" s="127"/>
      <c r="AO49" s="127"/>
      <c r="AP49" s="127"/>
      <c r="AQ49" s="145"/>
      <c r="AR49" s="155"/>
      <c r="AS49" s="127"/>
      <c r="AT49" s="127"/>
      <c r="AU49" s="127"/>
      <c r="AV49" s="127"/>
      <c r="AW49" s="128"/>
      <c r="AX49" s="155"/>
      <c r="AY49" s="141"/>
      <c r="AZ49" s="141"/>
      <c r="BA49" s="141"/>
      <c r="BB49" s="141"/>
      <c r="BC49" s="141"/>
      <c r="BD49" s="155"/>
      <c r="BE49" s="127"/>
      <c r="BF49" s="127"/>
      <c r="BG49" s="127"/>
      <c r="BH49" s="127"/>
      <c r="BJ49" s="155"/>
      <c r="BK49" s="127"/>
      <c r="BL49" s="127"/>
      <c r="BM49" s="127"/>
      <c r="BN49" s="127"/>
      <c r="BO49" s="145"/>
      <c r="BP49" s="155"/>
      <c r="BQ49" s="127"/>
      <c r="BR49" s="127"/>
      <c r="BS49" s="127"/>
      <c r="BT49" s="127"/>
      <c r="BU49" s="128"/>
      <c r="BV49" s="155"/>
      <c r="BW49" s="141"/>
      <c r="BX49" s="141"/>
      <c r="BY49" s="141"/>
      <c r="BZ49" s="141"/>
      <c r="CA49" s="141"/>
      <c r="CB49" s="155"/>
      <c r="CC49" s="127"/>
      <c r="CD49" s="127"/>
      <c r="CE49" s="127"/>
      <c r="CF49" s="127"/>
      <c r="CH49" s="155"/>
      <c r="CI49" s="127"/>
      <c r="CJ49" s="127"/>
      <c r="CK49" s="127"/>
      <c r="CL49" s="127"/>
      <c r="CM49" s="145"/>
      <c r="CN49" s="155"/>
      <c r="CO49" s="127"/>
      <c r="CP49" s="127"/>
      <c r="CQ49" s="127"/>
      <c r="CR49" s="127"/>
      <c r="CS49" s="128"/>
      <c r="CT49" s="155"/>
      <c r="CU49" s="141"/>
      <c r="CV49" s="141"/>
      <c r="CW49" s="141"/>
      <c r="CX49" s="141"/>
      <c r="CY49" s="141"/>
      <c r="CZ49" s="155"/>
      <c r="DA49" s="127"/>
      <c r="DB49" s="127"/>
      <c r="DC49" s="127"/>
      <c r="DD49" s="127"/>
      <c r="DF49" s="155"/>
      <c r="DG49" s="127"/>
      <c r="DH49" s="127"/>
      <c r="DI49" s="127"/>
      <c r="DJ49" s="127"/>
      <c r="DK49" s="145"/>
      <c r="DL49" s="155"/>
      <c r="DM49" s="127"/>
      <c r="DN49" s="127"/>
      <c r="DO49" s="127"/>
      <c r="DP49" s="127"/>
    </row>
    <row r="50" spans="1:120" x14ac:dyDescent="0.25">
      <c r="A50" s="146" t="str">
        <f>name!B3</f>
        <v>All industries</v>
      </c>
      <c r="B50" s="156">
        <f t="shared" si="1"/>
        <v>2.7912372459239387</v>
      </c>
      <c r="C50" s="125">
        <v>4561.2992279926211</v>
      </c>
      <c r="D50" s="125">
        <v>431.97496524334053</v>
      </c>
      <c r="E50" s="125">
        <v>1445.5882710202891</v>
      </c>
      <c r="F50" s="125">
        <f t="shared" si="2"/>
        <v>1877.5632362636297</v>
      </c>
      <c r="G50" s="125"/>
      <c r="H50" s="156">
        <f t="shared" si="3"/>
        <v>2.6517730789267446</v>
      </c>
      <c r="I50" s="125">
        <v>774.77767553257945</v>
      </c>
      <c r="J50" s="125">
        <v>-90.9176985646708</v>
      </c>
      <c r="K50" s="125">
        <v>231.78692033646578</v>
      </c>
      <c r="L50" s="125">
        <f>SUM(J50:K50)</f>
        <v>140.86922177179497</v>
      </c>
      <c r="M50" s="124"/>
      <c r="N50" s="156">
        <f t="shared" si="5"/>
        <v>2.6893242464146816</v>
      </c>
      <c r="O50" s="125">
        <v>1810.6123702397726</v>
      </c>
      <c r="P50" s="125">
        <v>208.84741372398935</v>
      </c>
      <c r="Q50" s="125">
        <v>550.29225403969679</v>
      </c>
      <c r="R50" s="125">
        <f>SUM(P50:Q50)</f>
        <v>759.13966776368613</v>
      </c>
      <c r="S50" s="147"/>
      <c r="T50" s="156">
        <f t="shared" si="7"/>
        <v>2.9376202991175049</v>
      </c>
      <c r="U50" s="125">
        <v>1975.9091822202711</v>
      </c>
      <c r="V50" s="125">
        <v>314.04525008402186</v>
      </c>
      <c r="W50" s="125">
        <v>663.50909664412427</v>
      </c>
      <c r="X50" s="125">
        <f>SUM(V50:W50)</f>
        <v>977.55434672814613</v>
      </c>
      <c r="Y50" s="146" t="str">
        <f>A50</f>
        <v>All industries</v>
      </c>
      <c r="Z50" s="156">
        <f>IF(AA50&gt;0,((1+(AC50/AA50))^(1/($A$101-$A$100))-1)*100,0)</f>
        <v>2.9771972098236787</v>
      </c>
      <c r="AA50" s="125">
        <v>2141.7348734083043</v>
      </c>
      <c r="AB50" s="125">
        <v>328.18012130131888</v>
      </c>
      <c r="AC50" s="125">
        <v>730.21185757939747</v>
      </c>
      <c r="AD50" s="125">
        <f>SUM(AB50:AC50)</f>
        <v>1058.3919788807164</v>
      </c>
      <c r="AE50" s="125"/>
      <c r="AF50" s="156">
        <f>IF(AG50&gt;0,((1+(AI50/AG50))^(1/($A$101-$A$100))-1)*100,0)</f>
        <v>3.0280155732974823</v>
      </c>
      <c r="AG50" s="125">
        <v>114.36183531349347</v>
      </c>
      <c r="AH50" s="125">
        <v>10.806009020856356</v>
      </c>
      <c r="AI50" s="125">
        <v>39.749458273691218</v>
      </c>
      <c r="AJ50" s="125">
        <f>SUM(AH50:AI50)</f>
        <v>50.555467294547576</v>
      </c>
      <c r="AK50" s="124"/>
      <c r="AL50" s="156">
        <f>IF(AM50&gt;0,((1+(AO50/AM50))^(1/($A$101-$A$100))-1)*100,0)</f>
        <v>2.9663353480916088</v>
      </c>
      <c r="AM50" s="125">
        <v>484.03376220781502</v>
      </c>
      <c r="AN50" s="125">
        <v>80.752171418150368</v>
      </c>
      <c r="AO50" s="125">
        <v>164.34415782441963</v>
      </c>
      <c r="AP50" s="125">
        <f>SUM(AN50:AO50)</f>
        <v>245.09632924256999</v>
      </c>
      <c r="AQ50" s="147"/>
      <c r="AR50" s="156">
        <f>IF(AS50&gt;0,((1+(AU50/AS50))^(1/($A$101-$A$100))-1)*100,0)</f>
        <v>2.9768281396108875</v>
      </c>
      <c r="AS50" s="125">
        <v>1543.3392758869961</v>
      </c>
      <c r="AT50" s="125">
        <v>236.62194086231219</v>
      </c>
      <c r="AU50" s="125">
        <v>526.11824148128676</v>
      </c>
      <c r="AV50" s="125">
        <f>SUM(AT50:AU50)</f>
        <v>762.74018234359892</v>
      </c>
      <c r="AW50" s="146" t="str">
        <f>Y50</f>
        <v>All industries</v>
      </c>
      <c r="AX50" s="156">
        <f>IF(AY50&gt;0,((1+(BA50/AY50))^(1/($A$101-$A$100))-1)*100,0)</f>
        <v>2.5960689907792656</v>
      </c>
      <c r="AY50" s="125">
        <v>1169.4910110900296</v>
      </c>
      <c r="AZ50" s="125">
        <v>61.012733866251224</v>
      </c>
      <c r="BA50" s="125">
        <v>341.64688672572964</v>
      </c>
      <c r="BB50" s="125">
        <f>SUM(AZ50:BA50)</f>
        <v>402.65962059198085</v>
      </c>
      <c r="BC50" s="125"/>
      <c r="BD50" s="156">
        <f>IF(BE50&gt;0,((1+(BG50/BE50))^(1/($A$101-$A$100))-1)*100,0)</f>
        <v>2.5108134589674425</v>
      </c>
      <c r="BE50" s="125">
        <v>196.77997170605971</v>
      </c>
      <c r="BF50" s="125">
        <v>-19.19988351079143</v>
      </c>
      <c r="BG50" s="125">
        <v>55.380896948664599</v>
      </c>
      <c r="BH50" s="125">
        <f>SUM(BF50:BG50)</f>
        <v>36.181013437873169</v>
      </c>
      <c r="BI50" s="124"/>
      <c r="BJ50" s="156">
        <f>IF(BK50&gt;0,((1+(BM50/BK50))^(1/($A$101-$A$100))-1)*100,0)</f>
        <v>2.5531077119064882</v>
      </c>
      <c r="BK50" s="125">
        <v>650.12175377402275</v>
      </c>
      <c r="BL50" s="125">
        <v>42.192712487148434</v>
      </c>
      <c r="BM50" s="125">
        <v>186.41100647521165</v>
      </c>
      <c r="BN50" s="125">
        <f>SUM(BL50:BM50)</f>
        <v>228.60371896236009</v>
      </c>
      <c r="BO50" s="147"/>
      <c r="BP50" s="156">
        <f>IF(BQ50&gt;0,((1+(BS50/BQ50))^(1/($A$101-$A$100))-1)*100,0)</f>
        <v>2.7334678665663192</v>
      </c>
      <c r="BQ50" s="125">
        <v>322.58928560994713</v>
      </c>
      <c r="BR50" s="125">
        <v>38.019904889894228</v>
      </c>
      <c r="BS50" s="125">
        <v>99.854983301853494</v>
      </c>
      <c r="BT50" s="125">
        <f>SUM(BR50:BS50)</f>
        <v>137.87488819174771</v>
      </c>
      <c r="BU50" s="146" t="str">
        <f>AW50</f>
        <v>All industries</v>
      </c>
      <c r="BV50" s="156">
        <f>IF(BW50&gt;0,((1+(BY50/BW50))^(1/($A$101-$A$100))-1)*100,0)</f>
        <v>2.5889208699682698</v>
      </c>
      <c r="BW50" s="125">
        <v>786.26148565798121</v>
      </c>
      <c r="BX50" s="125">
        <v>-16.768227409449015</v>
      </c>
      <c r="BY50" s="125">
        <v>228.98528730973825</v>
      </c>
      <c r="BZ50" s="125">
        <f>SUM(BX50:BY50)</f>
        <v>212.21705990028923</v>
      </c>
      <c r="CA50" s="125"/>
      <c r="CB50" s="156">
        <f>IF(CC50&gt;0,((1+(CE50/CC50))^(1/($A$101-$A$100))-1)*100,0)</f>
        <v>2.5278948366694864</v>
      </c>
      <c r="CC50" s="125">
        <v>257.91842111045776</v>
      </c>
      <c r="CD50" s="125">
        <v>-52.179148361626908</v>
      </c>
      <c r="CE50" s="125">
        <v>73.138570554183204</v>
      </c>
      <c r="CF50" s="125">
        <f>SUM(CD50:CE50)</f>
        <v>20.959422192556296</v>
      </c>
      <c r="CG50" s="124"/>
      <c r="CH50" s="156">
        <f>IF(CI50&gt;0,((1+(CK50/CI50))^(1/($A$101-$A$100))-1)*100,0)</f>
        <v>2.5655949055339189</v>
      </c>
      <c r="CI50" s="125">
        <v>462.50112579230256</v>
      </c>
      <c r="CJ50" s="125">
        <v>18.263082416840735</v>
      </c>
      <c r="CK50" s="125">
        <v>133.33911166207648</v>
      </c>
      <c r="CL50" s="125">
        <f>SUM(CJ50:CK50)</f>
        <v>151.60219407891722</v>
      </c>
      <c r="CM50" s="147"/>
      <c r="CN50" s="156">
        <f>IF(CO50&gt;0,((1+(CQ50/CO50))^(1/($A$101-$A$100))-1)*100,0)</f>
        <v>2.9840981402702971</v>
      </c>
      <c r="CO50" s="125">
        <v>65.841938755220539</v>
      </c>
      <c r="CP50" s="125">
        <v>17.147838535337179</v>
      </c>
      <c r="CQ50" s="125">
        <v>22.507605093478684</v>
      </c>
      <c r="CR50" s="125">
        <f>SUM(CP50:CQ50)</f>
        <v>39.65544362881586</v>
      </c>
      <c r="CS50" s="146" t="str">
        <f>BU50</f>
        <v>All industries</v>
      </c>
      <c r="CT50" s="156">
        <f>IF(CU50&gt;0,((1+(CW50/CU50))^(1/($A$101-$A$100))-1)*100,0)</f>
        <v>2.7533233225370157</v>
      </c>
      <c r="CU50" s="125">
        <v>463.81185783630696</v>
      </c>
      <c r="CV50" s="125">
        <v>59.550337485219423</v>
      </c>
      <c r="CW50" s="125">
        <v>144.74423940542175</v>
      </c>
      <c r="CX50" s="125">
        <f>SUM(CV50:CW50)</f>
        <v>204.29457689064117</v>
      </c>
      <c r="CY50" s="125"/>
      <c r="CZ50" s="156">
        <f>IF(DA50&gt;0,((1+(DC50/DA50))^(1/($A$101-$A$100))-1)*100,0)</f>
        <v>2.7273559755584653</v>
      </c>
      <c r="DA50" s="125">
        <v>205.71744740256855</v>
      </c>
      <c r="DB50" s="125">
        <v>-30.344675713108767</v>
      </c>
      <c r="DC50" s="125">
        <v>63.517994559926827</v>
      </c>
      <c r="DD50" s="125">
        <f>SUM(DB50:DC50)</f>
        <v>33.173318846818063</v>
      </c>
      <c r="DE50" s="124"/>
      <c r="DF50" s="156">
        <f>IF(DG50&gt;0,((1+(DI50/DG50))^(1/($A$101-$A$100))-1)*100,0)</f>
        <v>2.7323553670193235</v>
      </c>
      <c r="DG50" s="125">
        <v>213.95572846563186</v>
      </c>
      <c r="DH50" s="125">
        <v>67.639447401849822</v>
      </c>
      <c r="DI50" s="125">
        <v>66.197978077989319</v>
      </c>
      <c r="DJ50" s="125">
        <f>SUM(DH50:DI50)</f>
        <v>133.83742547983914</v>
      </c>
      <c r="DK50" s="147"/>
      <c r="DL50" s="156">
        <f>IF(DM50&gt;0,((1+(DO50/DM50))^(1/($A$101-$A$100))-1)*100,0)</f>
        <v>2.9736201868302725</v>
      </c>
      <c r="DM50" s="125">
        <v>44.13868196810671</v>
      </c>
      <c r="DN50" s="125">
        <v>22.25556579647839</v>
      </c>
      <c r="DO50" s="125">
        <v>15.028266767505601</v>
      </c>
      <c r="DP50" s="125">
        <f>SUM(DN50:DO50)</f>
        <v>37.283832563983992</v>
      </c>
    </row>
    <row r="51" spans="1:120" x14ac:dyDescent="0.25">
      <c r="A51" s="128"/>
      <c r="B51" s="141"/>
      <c r="C51" s="141"/>
      <c r="D51" s="141"/>
      <c r="E51" s="141"/>
      <c r="F51" s="141"/>
      <c r="G51" s="141"/>
      <c r="H51" s="129"/>
      <c r="I51" s="129"/>
      <c r="J51" s="129"/>
      <c r="K51" s="129"/>
      <c r="Y51" s="128"/>
      <c r="Z51" s="141"/>
      <c r="AA51" s="141"/>
      <c r="AB51" s="141"/>
      <c r="AC51" s="141"/>
      <c r="AD51" s="141"/>
      <c r="AE51" s="141"/>
      <c r="AF51" s="129"/>
      <c r="AG51" s="129"/>
      <c r="AH51" s="129"/>
      <c r="AI51" s="129"/>
      <c r="AW51" s="128"/>
      <c r="AX51" s="141"/>
      <c r="AY51" s="141"/>
      <c r="AZ51" s="141"/>
      <c r="BA51" s="141"/>
      <c r="BB51" s="141"/>
      <c r="BC51" s="141"/>
      <c r="BD51" s="129"/>
      <c r="BE51" s="129"/>
      <c r="BF51" s="129"/>
      <c r="BG51" s="129"/>
      <c r="BU51" s="128"/>
      <c r="BV51" s="141"/>
      <c r="BW51" s="141"/>
      <c r="BX51" s="141"/>
      <c r="BY51" s="141"/>
      <c r="BZ51" s="141"/>
      <c r="CA51" s="141"/>
      <c r="CB51" s="129"/>
      <c r="CC51" s="129"/>
      <c r="CD51" s="129"/>
      <c r="CE51" s="129"/>
      <c r="CS51" s="128"/>
      <c r="CT51" s="141"/>
      <c r="CU51" s="141"/>
      <c r="CV51" s="141"/>
      <c r="CW51" s="141"/>
      <c r="CX51" s="141"/>
      <c r="CY51" s="141"/>
      <c r="CZ51" s="129"/>
      <c r="DA51" s="129"/>
      <c r="DB51" s="129"/>
      <c r="DC51" s="129"/>
    </row>
    <row r="52" spans="1:120" x14ac:dyDescent="0.25">
      <c r="A52" s="123" t="str">
        <f ca="1">CELL("filename")</f>
        <v>M:\IE\Projects\WorkingFutures\data\Results\Workbooks\UK\[UK_MainTables.Main.xlsm]Info</v>
      </c>
      <c r="B52" s="141"/>
      <c r="C52" s="141"/>
      <c r="D52" s="141"/>
      <c r="E52" s="141"/>
      <c r="F52" s="141"/>
      <c r="G52" s="141"/>
      <c r="H52" s="129"/>
      <c r="I52" s="129"/>
      <c r="J52" s="129"/>
      <c r="K52" s="129"/>
      <c r="Y52" s="123" t="str">
        <f ca="1">CELL("filename")</f>
        <v>M:\IE\Projects\WorkingFutures\data\Results\Workbooks\UK\[UK_MainTables.Main.xlsm]Info</v>
      </c>
      <c r="Z52" s="141"/>
      <c r="AA52" s="141"/>
      <c r="AB52" s="141"/>
      <c r="AC52" s="141"/>
      <c r="AD52" s="141"/>
      <c r="AE52" s="141"/>
      <c r="AF52" s="129"/>
      <c r="AG52" s="129"/>
      <c r="AH52" s="129"/>
      <c r="AI52" s="129"/>
      <c r="AW52" s="123" t="str">
        <f ca="1">CELL("filename")</f>
        <v>M:\IE\Projects\WorkingFutures\data\Results\Workbooks\UK\[UK_MainTables.Main.xlsm]Info</v>
      </c>
      <c r="AX52" s="141"/>
      <c r="AY52" s="141"/>
      <c r="AZ52" s="141"/>
      <c r="BA52" s="141"/>
      <c r="BB52" s="141"/>
      <c r="BC52" s="141"/>
      <c r="BD52" s="129"/>
      <c r="BE52" s="129"/>
      <c r="BF52" s="129"/>
      <c r="BG52" s="129"/>
      <c r="BU52" s="123" t="str">
        <f ca="1">CELL("filename")</f>
        <v>M:\IE\Projects\WorkingFutures\data\Results\Workbooks\UK\[UK_MainTables.Main.xlsm]Info</v>
      </c>
      <c r="BV52" s="141"/>
      <c r="BW52" s="141"/>
      <c r="BX52" s="141"/>
      <c r="BY52" s="141"/>
      <c r="BZ52" s="141"/>
      <c r="CA52" s="141"/>
      <c r="CB52" s="129"/>
      <c r="CC52" s="129"/>
      <c r="CD52" s="129"/>
      <c r="CE52" s="129"/>
      <c r="CS52" s="123" t="str">
        <f ca="1">CELL("filename")</f>
        <v>M:\IE\Projects\WorkingFutures\data\Results\Workbooks\UK\[UK_MainTables.Main.xlsm]Info</v>
      </c>
      <c r="CT52" s="141"/>
      <c r="CU52" s="141"/>
      <c r="CV52" s="141"/>
      <c r="CW52" s="141"/>
      <c r="CX52" s="141"/>
      <c r="CY52" s="141"/>
      <c r="CZ52" s="129"/>
      <c r="DA52" s="129"/>
      <c r="DB52" s="129"/>
      <c r="DC52" s="129"/>
    </row>
    <row r="53" spans="1:120" ht="15.6" x14ac:dyDescent="0.3">
      <c r="A53" s="23" t="str">
        <f>CONCATENATE("Basic Table 5  Replacement Demand, ",A100,"-",A101,", by Industry Group and Qualification for ",name!$H$3)</f>
        <v>Basic Table 5  Replacement Demand, 2015-2025, by Industry Group and Qualification for M</v>
      </c>
      <c r="G53" s="123"/>
      <c r="M53" s="123"/>
      <c r="N53" s="123"/>
      <c r="Y53" s="23" t="str">
        <f>CONCATENATE("Basic Table 5  Replacement Demand, ",A100,"-",A101,", by Industry Group and Qualification for ",name!$H$4)</f>
        <v>Basic Table 5  Replacement Demand, 2015-2025, by Industry Group and Qualification for F</v>
      </c>
      <c r="AE53" s="123"/>
      <c r="AK53" s="123"/>
      <c r="AL53" s="123"/>
      <c r="AW53" s="23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C53" s="123"/>
      <c r="BI53" s="123"/>
      <c r="BJ53" s="123"/>
      <c r="BU53" s="23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A53" s="123"/>
      <c r="CG53" s="123"/>
      <c r="CH53" s="123"/>
      <c r="CS53" s="23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  <c r="CY53" s="123"/>
      <c r="DE53" s="123"/>
      <c r="DF53" s="123"/>
    </row>
    <row r="54" spans="1:120" x14ac:dyDescent="0.25">
      <c r="G54" s="123"/>
      <c r="M54" s="123"/>
      <c r="N54" s="123"/>
      <c r="AE54" s="123"/>
      <c r="AK54" s="123"/>
      <c r="AL54" s="123"/>
      <c r="BC54" s="123"/>
      <c r="BI54" s="123"/>
      <c r="BJ54" s="123"/>
      <c r="CA54" s="123"/>
      <c r="CG54" s="123"/>
      <c r="CH54" s="123"/>
      <c r="CY54" s="123"/>
      <c r="DE54" s="123"/>
      <c r="DF54" s="123"/>
    </row>
    <row r="55" spans="1:120" x14ac:dyDescent="0.25">
      <c r="A55" s="124"/>
      <c r="B55" s="124"/>
      <c r="C55" s="124"/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124"/>
      <c r="U55" s="124"/>
      <c r="V55" s="124"/>
      <c r="W55" s="124"/>
      <c r="X55" s="157" t="str">
        <f>$X$3</f>
        <v>thousands</v>
      </c>
      <c r="Y55" s="124"/>
      <c r="Z55" s="124"/>
      <c r="AA55" s="124"/>
      <c r="AB55" s="124"/>
      <c r="AC55" s="124"/>
      <c r="AD55" s="124"/>
      <c r="AE55" s="124"/>
      <c r="AF55" s="124"/>
      <c r="AG55" s="124"/>
      <c r="AH55" s="124"/>
      <c r="AI55" s="124"/>
      <c r="AJ55" s="124"/>
      <c r="AK55" s="124"/>
      <c r="AL55" s="124"/>
      <c r="AM55" s="124"/>
      <c r="AN55" s="124"/>
      <c r="AO55" s="124"/>
      <c r="AP55" s="124"/>
      <c r="AQ55" s="124"/>
      <c r="AR55" s="124"/>
      <c r="AS55" s="124"/>
      <c r="AT55" s="124"/>
      <c r="AU55" s="124"/>
      <c r="AV55" s="157" t="str">
        <f>$X$3</f>
        <v>thousands</v>
      </c>
      <c r="AW55" s="124"/>
      <c r="AX55" s="124"/>
      <c r="AY55" s="124"/>
      <c r="AZ55" s="124"/>
      <c r="BA55" s="124"/>
      <c r="BB55" s="124"/>
      <c r="BC55" s="124"/>
      <c r="BD55" s="124"/>
      <c r="BE55" s="124"/>
      <c r="BF55" s="124"/>
      <c r="BG55" s="124"/>
      <c r="BH55" s="124"/>
      <c r="BI55" s="124"/>
      <c r="BJ55" s="124"/>
      <c r="BK55" s="124"/>
      <c r="BL55" s="124"/>
      <c r="BM55" s="124"/>
      <c r="BN55" s="124"/>
      <c r="BO55" s="124"/>
      <c r="BP55" s="124"/>
      <c r="BQ55" s="124"/>
      <c r="BR55" s="124"/>
      <c r="BS55" s="124"/>
      <c r="BT55" s="157" t="str">
        <f>$X$3</f>
        <v>thousands</v>
      </c>
      <c r="BU55" s="124"/>
      <c r="BV55" s="124"/>
      <c r="BW55" s="124"/>
      <c r="BX55" s="124"/>
      <c r="BY55" s="124"/>
      <c r="BZ55" s="124"/>
      <c r="CA55" s="124"/>
      <c r="CB55" s="124"/>
      <c r="CC55" s="124"/>
      <c r="CD55" s="124"/>
      <c r="CE55" s="124"/>
      <c r="CF55" s="124"/>
      <c r="CG55" s="124"/>
      <c r="CH55" s="124"/>
      <c r="CI55" s="124"/>
      <c r="CJ55" s="124"/>
      <c r="CK55" s="124"/>
      <c r="CL55" s="124"/>
      <c r="CM55" s="124"/>
      <c r="CN55" s="124"/>
      <c r="CO55" s="124"/>
      <c r="CP55" s="124"/>
      <c r="CQ55" s="124"/>
      <c r="CR55" s="157" t="str">
        <f>$X$3</f>
        <v>thousands</v>
      </c>
      <c r="CS55" s="124"/>
      <c r="CT55" s="124"/>
      <c r="CU55" s="124"/>
      <c r="CV55" s="124"/>
      <c r="CW55" s="124"/>
      <c r="CX55" s="124"/>
      <c r="CY55" s="124"/>
      <c r="CZ55" s="124"/>
      <c r="DA55" s="124"/>
      <c r="DB55" s="124"/>
      <c r="DC55" s="124"/>
      <c r="DD55" s="124"/>
      <c r="DE55" s="124"/>
      <c r="DF55" s="124"/>
      <c r="DG55" s="124"/>
      <c r="DH55" s="124"/>
      <c r="DI55" s="124"/>
      <c r="DJ55" s="124"/>
      <c r="DK55" s="124"/>
      <c r="DL55" s="124"/>
      <c r="DM55" s="124"/>
      <c r="DN55" s="124"/>
      <c r="DO55" s="124"/>
      <c r="DP55" s="157" t="str">
        <f>$X$3</f>
        <v>thousands</v>
      </c>
    </row>
    <row r="56" spans="1:120" s="129" customFormat="1" x14ac:dyDescent="0.25">
      <c r="B56" s="527" t="str">
        <f>B4</f>
        <v>All qualifications</v>
      </c>
      <c r="C56" s="527"/>
      <c r="D56" s="527"/>
      <c r="E56" s="527"/>
      <c r="F56" s="527"/>
      <c r="G56" s="153"/>
      <c r="H56" s="527" t="str">
        <f>H4</f>
        <v>RQF8 Doctorate</v>
      </c>
      <c r="I56" s="527"/>
      <c r="J56" s="527"/>
      <c r="K56" s="527"/>
      <c r="L56" s="527"/>
      <c r="M56" s="153"/>
      <c r="N56" s="528" t="str">
        <f>N4</f>
        <v>RQF7 Other higher degree</v>
      </c>
      <c r="O56" s="528"/>
      <c r="P56" s="528"/>
      <c r="Q56" s="528"/>
      <c r="R56" s="528"/>
      <c r="S56" s="150"/>
      <c r="T56" s="528" t="str">
        <f>T4</f>
        <v>RQF6 First degree</v>
      </c>
      <c r="U56" s="528"/>
      <c r="V56" s="528"/>
      <c r="W56" s="528"/>
      <c r="X56" s="528"/>
      <c r="Z56" s="527" t="str">
        <f>Z4</f>
        <v>All qualifications</v>
      </c>
      <c r="AA56" s="527"/>
      <c r="AB56" s="527"/>
      <c r="AC56" s="527"/>
      <c r="AD56" s="527"/>
      <c r="AE56" s="153"/>
      <c r="AF56" s="527" t="str">
        <f>AF4</f>
        <v>RQF8 Doctorate</v>
      </c>
      <c r="AG56" s="527"/>
      <c r="AH56" s="527"/>
      <c r="AI56" s="527"/>
      <c r="AJ56" s="527"/>
      <c r="AK56" s="153"/>
      <c r="AL56" s="528" t="str">
        <f>AL4</f>
        <v>RQF7 Other higher degree</v>
      </c>
      <c r="AM56" s="528"/>
      <c r="AN56" s="528"/>
      <c r="AO56" s="528"/>
      <c r="AP56" s="528"/>
      <c r="AQ56" s="150"/>
      <c r="AR56" s="528" t="str">
        <f>AR4</f>
        <v>RQF6 First degree</v>
      </c>
      <c r="AS56" s="528"/>
      <c r="AT56" s="528"/>
      <c r="AU56" s="528"/>
      <c r="AV56" s="528"/>
      <c r="AX56" s="527" t="str">
        <f>AX4</f>
        <v>All qualifications</v>
      </c>
      <c r="AY56" s="527"/>
      <c r="AZ56" s="527"/>
      <c r="BA56" s="527"/>
      <c r="BB56" s="527"/>
      <c r="BC56" s="153"/>
      <c r="BD56" s="527" t="str">
        <f>BD4</f>
        <v>RQF8 Doctorate</v>
      </c>
      <c r="BE56" s="527"/>
      <c r="BF56" s="527"/>
      <c r="BG56" s="527"/>
      <c r="BH56" s="527"/>
      <c r="BI56" s="153"/>
      <c r="BJ56" s="528" t="str">
        <f>BJ4</f>
        <v>RQF7 Other higher degree</v>
      </c>
      <c r="BK56" s="528"/>
      <c r="BL56" s="528"/>
      <c r="BM56" s="528"/>
      <c r="BN56" s="528"/>
      <c r="BO56" s="150"/>
      <c r="BP56" s="528" t="str">
        <f>BP4</f>
        <v>RQF6 First degree</v>
      </c>
      <c r="BQ56" s="528"/>
      <c r="BR56" s="528"/>
      <c r="BS56" s="528"/>
      <c r="BT56" s="528"/>
      <c r="BV56" s="527" t="str">
        <f>BV4</f>
        <v>All qualifications</v>
      </c>
      <c r="BW56" s="527"/>
      <c r="BX56" s="527"/>
      <c r="BY56" s="527"/>
      <c r="BZ56" s="527"/>
      <c r="CA56" s="153"/>
      <c r="CB56" s="527" t="str">
        <f>CB4</f>
        <v>RQF8 Doctorate</v>
      </c>
      <c r="CC56" s="527"/>
      <c r="CD56" s="527"/>
      <c r="CE56" s="527"/>
      <c r="CF56" s="527"/>
      <c r="CG56" s="153"/>
      <c r="CH56" s="528" t="str">
        <f>CH4</f>
        <v>RQF7 Other higher degree</v>
      </c>
      <c r="CI56" s="528"/>
      <c r="CJ56" s="528"/>
      <c r="CK56" s="528"/>
      <c r="CL56" s="528"/>
      <c r="CM56" s="150"/>
      <c r="CN56" s="528" t="str">
        <f>CN4</f>
        <v>RQF6 First degree</v>
      </c>
      <c r="CO56" s="528"/>
      <c r="CP56" s="528"/>
      <c r="CQ56" s="528"/>
      <c r="CR56" s="528"/>
      <c r="CT56" s="527" t="str">
        <f>CT4</f>
        <v>All qualifications</v>
      </c>
      <c r="CU56" s="527"/>
      <c r="CV56" s="527"/>
      <c r="CW56" s="527"/>
      <c r="CX56" s="527"/>
      <c r="CY56" s="153"/>
      <c r="CZ56" s="527" t="str">
        <f>CZ4</f>
        <v>RQF8 Doctorate</v>
      </c>
      <c r="DA56" s="527"/>
      <c r="DB56" s="527"/>
      <c r="DC56" s="527"/>
      <c r="DD56" s="527"/>
      <c r="DE56" s="153"/>
      <c r="DF56" s="528" t="str">
        <f>DF4</f>
        <v>RQF7 Other higher degree</v>
      </c>
      <c r="DG56" s="528"/>
      <c r="DH56" s="528"/>
      <c r="DI56" s="528"/>
      <c r="DJ56" s="528"/>
      <c r="DK56" s="150"/>
      <c r="DL56" s="528" t="str">
        <f>DL4</f>
        <v>RQF6 First degree</v>
      </c>
      <c r="DM56" s="528"/>
      <c r="DN56" s="528"/>
      <c r="DO56" s="528"/>
      <c r="DP56" s="528"/>
    </row>
    <row r="57" spans="1:120" x14ac:dyDescent="0.25">
      <c r="A57" s="129"/>
      <c r="B57" s="129"/>
      <c r="C57" s="129"/>
      <c r="D57" s="129"/>
      <c r="E57" s="129"/>
      <c r="F57" s="129"/>
      <c r="H57" s="129"/>
      <c r="I57" s="129"/>
      <c r="J57" s="129"/>
      <c r="Y57" s="129"/>
      <c r="Z57" s="129"/>
      <c r="AA57" s="129"/>
      <c r="AB57" s="129"/>
      <c r="AC57" s="129"/>
      <c r="AD57" s="129"/>
      <c r="AF57" s="129"/>
      <c r="AG57" s="129"/>
      <c r="AH57" s="129"/>
      <c r="AW57" s="129"/>
      <c r="AX57" s="129"/>
      <c r="AY57" s="129"/>
      <c r="AZ57" s="129"/>
      <c r="BA57" s="129"/>
      <c r="BB57" s="129"/>
      <c r="BD57" s="129"/>
      <c r="BE57" s="129"/>
      <c r="BF57" s="129"/>
      <c r="BU57" s="129"/>
      <c r="BV57" s="129"/>
      <c r="BW57" s="129"/>
      <c r="BX57" s="129"/>
      <c r="BY57" s="129"/>
      <c r="BZ57" s="129"/>
      <c r="CB57" s="129"/>
      <c r="CC57" s="129"/>
      <c r="CD57" s="129"/>
      <c r="CS57" s="129"/>
      <c r="CT57" s="129"/>
      <c r="CU57" s="129"/>
      <c r="CV57" s="129"/>
      <c r="CW57" s="129"/>
      <c r="CX57" s="129"/>
      <c r="CZ57" s="129"/>
      <c r="DA57" s="129"/>
      <c r="DB57" s="129"/>
    </row>
    <row r="58" spans="1:120" ht="39.6" x14ac:dyDescent="0.25">
      <c r="A58" s="152"/>
      <c r="B58" s="149" t="str">
        <f>B6</f>
        <v>RD p.a%</v>
      </c>
      <c r="C58" s="149" t="str">
        <f>C6</f>
        <v>2015 Level</v>
      </c>
      <c r="D58" s="149" t="str">
        <f>D6</f>
        <v>Net Change</v>
      </c>
      <c r="E58" s="149" t="str">
        <f>E6</f>
        <v>Replace-ment Demand</v>
      </c>
      <c r="F58" s="149" t="str">
        <f>F6</f>
        <v>Total Require-ment</v>
      </c>
      <c r="G58" s="148"/>
      <c r="H58" s="143" t="str">
        <f>B58</f>
        <v>RD p.a%</v>
      </c>
      <c r="I58" s="143" t="str">
        <f>C58</f>
        <v>2015 Level</v>
      </c>
      <c r="J58" s="143" t="str">
        <f>D58</f>
        <v>Net Change</v>
      </c>
      <c r="K58" s="143" t="str">
        <f>E58</f>
        <v>Replace-ment Demand</v>
      </c>
      <c r="L58" s="143" t="str">
        <f>F58</f>
        <v>Total Require-ment</v>
      </c>
      <c r="M58" s="142"/>
      <c r="N58" s="144" t="str">
        <f>H58</f>
        <v>RD p.a%</v>
      </c>
      <c r="O58" s="144" t="str">
        <f>I58</f>
        <v>2015 Level</v>
      </c>
      <c r="P58" s="144" t="str">
        <f>J58</f>
        <v>Net Change</v>
      </c>
      <c r="Q58" s="144" t="str">
        <f>K58</f>
        <v>Replace-ment Demand</v>
      </c>
      <c r="R58" s="144" t="str">
        <f>L58</f>
        <v>Total Require-ment</v>
      </c>
      <c r="S58" s="142"/>
      <c r="T58" s="144" t="str">
        <f>N58</f>
        <v>RD p.a%</v>
      </c>
      <c r="U58" s="144" t="str">
        <f>O58</f>
        <v>2015 Level</v>
      </c>
      <c r="V58" s="144" t="str">
        <f>P58</f>
        <v>Net Change</v>
      </c>
      <c r="W58" s="144" t="str">
        <f>Q58</f>
        <v>Replace-ment Demand</v>
      </c>
      <c r="X58" s="144" t="str">
        <f>R58</f>
        <v>Total Require-ment</v>
      </c>
      <c r="Y58" s="152"/>
      <c r="Z58" s="149" t="str">
        <f>Z6</f>
        <v>RD p.a%</v>
      </c>
      <c r="AA58" s="149" t="str">
        <f>AA6</f>
        <v>2015 Level</v>
      </c>
      <c r="AB58" s="149" t="str">
        <f>AB6</f>
        <v>Net Change</v>
      </c>
      <c r="AC58" s="149" t="str">
        <f>AC6</f>
        <v>Replace-ment Demand</v>
      </c>
      <c r="AD58" s="149" t="str">
        <f>AD6</f>
        <v>Total Require-ment</v>
      </c>
      <c r="AE58" s="148"/>
      <c r="AF58" s="143" t="str">
        <f>Z58</f>
        <v>RD p.a%</v>
      </c>
      <c r="AG58" s="143" t="str">
        <f>AA58</f>
        <v>2015 Level</v>
      </c>
      <c r="AH58" s="143" t="str">
        <f>AB58</f>
        <v>Net Change</v>
      </c>
      <c r="AI58" s="143" t="str">
        <f>AC58</f>
        <v>Replace-ment Demand</v>
      </c>
      <c r="AJ58" s="143" t="str">
        <f>AD58</f>
        <v>Total Require-ment</v>
      </c>
      <c r="AK58" s="142"/>
      <c r="AL58" s="144" t="str">
        <f>AF58</f>
        <v>RD p.a%</v>
      </c>
      <c r="AM58" s="144" t="str">
        <f>AG58</f>
        <v>2015 Level</v>
      </c>
      <c r="AN58" s="144" t="str">
        <f>AH58</f>
        <v>Net Change</v>
      </c>
      <c r="AO58" s="144" t="str">
        <f>AI58</f>
        <v>Replace-ment Demand</v>
      </c>
      <c r="AP58" s="144" t="str">
        <f>AJ58</f>
        <v>Total Require-ment</v>
      </c>
      <c r="AQ58" s="142"/>
      <c r="AR58" s="144" t="str">
        <f>AL58</f>
        <v>RD p.a%</v>
      </c>
      <c r="AS58" s="144" t="str">
        <f>AM58</f>
        <v>2015 Level</v>
      </c>
      <c r="AT58" s="144" t="str">
        <f>AN58</f>
        <v>Net Change</v>
      </c>
      <c r="AU58" s="144" t="str">
        <f>AO58</f>
        <v>Replace-ment Demand</v>
      </c>
      <c r="AV58" s="144" t="str">
        <f>AP58</f>
        <v>Total Require-ment</v>
      </c>
      <c r="AW58" s="152"/>
      <c r="AX58" s="149" t="str">
        <f>AX6</f>
        <v>RD p.a%</v>
      </c>
      <c r="AY58" s="149" t="str">
        <f>AY6</f>
        <v>2015 Level</v>
      </c>
      <c r="AZ58" s="149" t="str">
        <f>AZ6</f>
        <v>Net Change</v>
      </c>
      <c r="BA58" s="149" t="str">
        <f>BA6</f>
        <v>Replace-ment Demand</v>
      </c>
      <c r="BB58" s="149" t="str">
        <f>BB6</f>
        <v>Total Require-ment</v>
      </c>
      <c r="BC58" s="148"/>
      <c r="BD58" s="143" t="str">
        <f>AX58</f>
        <v>RD p.a%</v>
      </c>
      <c r="BE58" s="143" t="str">
        <f>AY58</f>
        <v>2015 Level</v>
      </c>
      <c r="BF58" s="143" t="str">
        <f>AZ58</f>
        <v>Net Change</v>
      </c>
      <c r="BG58" s="143" t="str">
        <f>BA58</f>
        <v>Replace-ment Demand</v>
      </c>
      <c r="BH58" s="143" t="str">
        <f>BB58</f>
        <v>Total Require-ment</v>
      </c>
      <c r="BI58" s="142"/>
      <c r="BJ58" s="144" t="str">
        <f>BD58</f>
        <v>RD p.a%</v>
      </c>
      <c r="BK58" s="144" t="str">
        <f>BE58</f>
        <v>2015 Level</v>
      </c>
      <c r="BL58" s="144" t="str">
        <f>BF58</f>
        <v>Net Change</v>
      </c>
      <c r="BM58" s="144" t="str">
        <f>BG58</f>
        <v>Replace-ment Demand</v>
      </c>
      <c r="BN58" s="144" t="str">
        <f>BH58</f>
        <v>Total Require-ment</v>
      </c>
      <c r="BO58" s="142"/>
      <c r="BP58" s="144" t="str">
        <f>BJ58</f>
        <v>RD p.a%</v>
      </c>
      <c r="BQ58" s="144" t="str">
        <f>BK58</f>
        <v>2015 Level</v>
      </c>
      <c r="BR58" s="144" t="str">
        <f>BL58</f>
        <v>Net Change</v>
      </c>
      <c r="BS58" s="144" t="str">
        <f>BM58</f>
        <v>Replace-ment Demand</v>
      </c>
      <c r="BT58" s="144" t="str">
        <f>BN58</f>
        <v>Total Require-ment</v>
      </c>
      <c r="BU58" s="152"/>
      <c r="BV58" s="149" t="str">
        <f>BV6</f>
        <v>RD p.a%</v>
      </c>
      <c r="BW58" s="149" t="str">
        <f>BW6</f>
        <v>2015 Level</v>
      </c>
      <c r="BX58" s="149" t="str">
        <f>BX6</f>
        <v>Net Change</v>
      </c>
      <c r="BY58" s="149" t="str">
        <f>BY6</f>
        <v>Replace-ment Demand</v>
      </c>
      <c r="BZ58" s="149" t="str">
        <f>BZ6</f>
        <v>Total Require-ment</v>
      </c>
      <c r="CA58" s="148"/>
      <c r="CB58" s="143" t="str">
        <f>BV58</f>
        <v>RD p.a%</v>
      </c>
      <c r="CC58" s="143" t="str">
        <f>BW58</f>
        <v>2015 Level</v>
      </c>
      <c r="CD58" s="143" t="str">
        <f>BX58</f>
        <v>Net Change</v>
      </c>
      <c r="CE58" s="143" t="str">
        <f>BY58</f>
        <v>Replace-ment Demand</v>
      </c>
      <c r="CF58" s="143" t="str">
        <f>BZ58</f>
        <v>Total Require-ment</v>
      </c>
      <c r="CG58" s="142"/>
      <c r="CH58" s="144" t="str">
        <f>CB58</f>
        <v>RD p.a%</v>
      </c>
      <c r="CI58" s="144" t="str">
        <f>CC58</f>
        <v>2015 Level</v>
      </c>
      <c r="CJ58" s="144" t="str">
        <f>CD58</f>
        <v>Net Change</v>
      </c>
      <c r="CK58" s="144" t="str">
        <f>CE58</f>
        <v>Replace-ment Demand</v>
      </c>
      <c r="CL58" s="144" t="str">
        <f>CF58</f>
        <v>Total Require-ment</v>
      </c>
      <c r="CM58" s="142"/>
      <c r="CN58" s="144" t="str">
        <f>CH58</f>
        <v>RD p.a%</v>
      </c>
      <c r="CO58" s="144" t="str">
        <f>CI58</f>
        <v>2015 Level</v>
      </c>
      <c r="CP58" s="144" t="str">
        <f>CJ58</f>
        <v>Net Change</v>
      </c>
      <c r="CQ58" s="144" t="str">
        <f>CK58</f>
        <v>Replace-ment Demand</v>
      </c>
      <c r="CR58" s="144" t="str">
        <f>CL58</f>
        <v>Total Require-ment</v>
      </c>
      <c r="CS58" s="152"/>
      <c r="CT58" s="149" t="str">
        <f>CT6</f>
        <v>RD p.a%</v>
      </c>
      <c r="CU58" s="149" t="str">
        <f>CU6</f>
        <v>2015 Level</v>
      </c>
      <c r="CV58" s="149" t="str">
        <f>CV6</f>
        <v>Net Change</v>
      </c>
      <c r="CW58" s="149" t="str">
        <f>CW6</f>
        <v>Replace-ment Demand</v>
      </c>
      <c r="CX58" s="149" t="str">
        <f>CX6</f>
        <v>Total Require-ment</v>
      </c>
      <c r="CY58" s="148"/>
      <c r="CZ58" s="143" t="str">
        <f>CT58</f>
        <v>RD p.a%</v>
      </c>
      <c r="DA58" s="143" t="str">
        <f>CU58</f>
        <v>2015 Level</v>
      </c>
      <c r="DB58" s="143" t="str">
        <f>CV58</f>
        <v>Net Change</v>
      </c>
      <c r="DC58" s="143" t="str">
        <f>CW58</f>
        <v>Replace-ment Demand</v>
      </c>
      <c r="DD58" s="143" t="str">
        <f>CX58</f>
        <v>Total Require-ment</v>
      </c>
      <c r="DE58" s="142"/>
      <c r="DF58" s="144" t="str">
        <f>CZ58</f>
        <v>RD p.a%</v>
      </c>
      <c r="DG58" s="144" t="str">
        <f>DA58</f>
        <v>2015 Level</v>
      </c>
      <c r="DH58" s="144" t="str">
        <f>DB58</f>
        <v>Net Change</v>
      </c>
      <c r="DI58" s="144" t="str">
        <f>DC58</f>
        <v>Replace-ment Demand</v>
      </c>
      <c r="DJ58" s="144" t="str">
        <f>DD58</f>
        <v>Total Require-ment</v>
      </c>
      <c r="DK58" s="142"/>
      <c r="DL58" s="144" t="str">
        <f>DF58</f>
        <v>RD p.a%</v>
      </c>
      <c r="DM58" s="144" t="str">
        <f>DG58</f>
        <v>2015 Level</v>
      </c>
      <c r="DN58" s="144" t="str">
        <f>DH58</f>
        <v>Net Change</v>
      </c>
      <c r="DO58" s="144" t="str">
        <f>DI58</f>
        <v>Replace-ment Demand</v>
      </c>
      <c r="DP58" s="144" t="str">
        <f>DJ58</f>
        <v>Total Require-ment</v>
      </c>
    </row>
    <row r="59" spans="1:120" x14ac:dyDescent="0.25">
      <c r="G59" s="123"/>
      <c r="M59" s="123"/>
      <c r="N59" s="123"/>
      <c r="AE59" s="123"/>
      <c r="AK59" s="123"/>
      <c r="AL59" s="123"/>
      <c r="BC59" s="123"/>
      <c r="BI59" s="123"/>
      <c r="BJ59" s="123"/>
      <c r="CA59" s="123"/>
      <c r="CG59" s="123"/>
      <c r="CH59" s="123"/>
      <c r="CY59" s="123"/>
      <c r="DE59" s="123"/>
      <c r="DF59" s="123"/>
    </row>
    <row r="60" spans="1:120" x14ac:dyDescent="0.25">
      <c r="A60" s="123" t="e">
        <f>name!#REF!</f>
        <v>#REF!</v>
      </c>
      <c r="B60" s="155">
        <f t="shared" ref="B60:B77" si="44">IF(C60&gt;0,((1+(E60/C60))^(1/($A$101-$A$100))-1)*100,0)</f>
        <v>3.0200371662758352</v>
      </c>
      <c r="C60" s="127">
        <f t="array" ref="C60:C75">MMULT(aggregation!$B$28:$AP$33,C8:C48)</f>
        <v>366.4282299047502</v>
      </c>
      <c r="D60" s="127">
        <f t="array" ref="D60:D75">MMULT(aggregation!$B$28:$AP$33,D8:D48)</f>
        <v>12.375876953571559</v>
      </c>
      <c r="E60" s="127">
        <f t="array" ref="E60:E75">MMULT(aggregation!$B$28:$AP$33,E8:E48)</f>
        <v>126.97949758360076</v>
      </c>
      <c r="F60" s="127">
        <f t="array" ref="F60:F75">MMULT(aggregation!$B$28:$AP$33,F8:F48)</f>
        <v>139.35537453717231</v>
      </c>
      <c r="G60" s="123"/>
      <c r="H60" s="155">
        <f t="shared" ref="H60:H77" si="45">IF(I60&gt;0,((1+(K60/I60))^(1/($A$101-$A$100))-1)*100,0)</f>
        <v>2.9285612180755871</v>
      </c>
      <c r="I60" s="127">
        <f t="array" ref="I60:I75">MMULT(aggregation!$B$28:$AP$33,I8:I48)</f>
        <v>97.376228083615871</v>
      </c>
      <c r="J60" s="127">
        <f t="array" ref="J60:J75">MMULT(aggregation!$B$28:$AP$33,J8:J48)</f>
        <v>-20.134418454551835</v>
      </c>
      <c r="K60" s="127">
        <f t="array" ref="K60:K75">MMULT(aggregation!$B$28:$AP$33,K8:K48)</f>
        <v>32.584449941883307</v>
      </c>
      <c r="L60" s="127">
        <f t="array" ref="L60:L75">MMULT(aggregation!$B$28:$AP$33,L8:L48)</f>
        <v>12.450031487331474</v>
      </c>
      <c r="M60" s="123"/>
      <c r="N60" s="155">
        <f t="shared" ref="N60:N77" si="46">IF(O60&gt;0,((1+(Q60/O60))^(1/($A$101-$A$100))-1)*100,0)</f>
        <v>3.0078818163740584</v>
      </c>
      <c r="O60" s="127">
        <f t="array" ref="O60:O75">MMULT(aggregation!$B$28:$AP$33,O8:O48)</f>
        <v>182.91528670445331</v>
      </c>
      <c r="P60" s="127">
        <f t="array" ref="P60:P75">MMULT(aggregation!$B$28:$AP$33,P8:P48)</f>
        <v>11.860906329989675</v>
      </c>
      <c r="Q60" s="127">
        <f t="array" ref="Q60:Q75">MMULT(aggregation!$B$28:$AP$33,Q8:Q48)</f>
        <v>63.095737682523136</v>
      </c>
      <c r="R60" s="127">
        <f t="array" ref="R60:R75">MMULT(aggregation!$B$28:$AP$33,R8:R48)</f>
        <v>74.956644012512811</v>
      </c>
      <c r="S60" s="127"/>
      <c r="T60" s="155">
        <f t="shared" ref="T60:T77" si="47">IF(U60&gt;0,((1+(W60/U60))^(1/($A$101-$A$100))-1)*100,0)</f>
        <v>3.1481168893008116</v>
      </c>
      <c r="U60" s="127">
        <f t="array" ref="U60:U75">MMULT(aggregation!$B$28:$AP$33,U8:U48)</f>
        <v>86.136715116681074</v>
      </c>
      <c r="V60" s="127">
        <f t="array" ref="V60:V75">MMULT(aggregation!$B$28:$AP$33,V8:V48)</f>
        <v>20.649389078133723</v>
      </c>
      <c r="W60" s="127">
        <f t="array" ref="W60:W75">MMULT(aggregation!$B$28:$AP$33,W8:W48)</f>
        <v>31.299309959194293</v>
      </c>
      <c r="X60" s="127">
        <f t="array" ref="X60:X75">MMULT(aggregation!$B$28:$AP$33,X8:X48)</f>
        <v>51.948699037328012</v>
      </c>
      <c r="Y60" s="123" t="e">
        <f>A60</f>
        <v>#REF!</v>
      </c>
      <c r="Z60" s="155">
        <f t="shared" ref="Z60:Z75" si="48">IF(AA60&gt;0,((1+(AC60/AA60))^(1/($A$101-$A$100))-1)*100,0)</f>
        <v>3.4510693323820618</v>
      </c>
      <c r="AA60" s="127">
        <f t="array" ref="AA60:AA75">MMULT(aggregation!$B$28:$AP$33,AA8:AA48)</f>
        <v>109.40097762183721</v>
      </c>
      <c r="AB60" s="127">
        <f t="array" ref="AB60:AB75">MMULT(aggregation!$B$28:$AP$33,AB8:AB48)</f>
        <v>9.4111962426802158</v>
      </c>
      <c r="AC60" s="127">
        <f t="array" ref="AC60:AC75">MMULT(aggregation!$B$28:$AP$33,AC8:AC48)</f>
        <v>44.19188844178916</v>
      </c>
      <c r="AD60" s="127">
        <f t="array" ref="AD60:AD75">MMULT(aggregation!$B$28:$AP$33,AD8:AD48)</f>
        <v>53.603084684469373</v>
      </c>
      <c r="AE60" s="123"/>
      <c r="AF60" s="155">
        <f t="shared" ref="AF60:AF75" si="49">IF(AG60&gt;0,((1+(AI60/AG60))^(1/($A$101-$A$100))-1)*100,0)</f>
        <v>3.8042706160036355</v>
      </c>
      <c r="AG60" s="127">
        <f t="array" ref="AG60:AG75">MMULT(aggregation!$B$28:$AP$33,AG8:AG48)</f>
        <v>13.890583179106276</v>
      </c>
      <c r="AH60" s="127">
        <f t="array" ref="AH60:AH75">MMULT(aggregation!$B$28:$AP$33,AH8:AH48)</f>
        <v>-3.9765127034124319</v>
      </c>
      <c r="AI60" s="127">
        <f t="array" ref="AI60:AI75">MMULT(aggregation!$B$28:$AP$33,AI8:AI48)</f>
        <v>6.2871647138905322</v>
      </c>
      <c r="AJ60" s="127">
        <f t="array" ref="AJ60:AJ75">MMULT(aggregation!$B$28:$AP$33,AJ8:AJ48)</f>
        <v>2.3106520104781003</v>
      </c>
      <c r="AK60" s="123"/>
      <c r="AL60" s="155">
        <f t="shared" ref="AL60:AL75" si="50">IF(AM60&gt;0,((1+(AO60/AM60))^(1/($A$101-$A$100))-1)*100,0)</f>
        <v>3.5604682409842825</v>
      </c>
      <c r="AM60" s="127">
        <f t="array" ref="AM60:AM75">MMULT(aggregation!$B$28:$AP$33,AM8:AM48)</f>
        <v>46.925666714529029</v>
      </c>
      <c r="AN60" s="127">
        <f t="array" ref="AN60:AN75">MMULT(aggregation!$B$28:$AP$33,AN8:AN48)</f>
        <v>3.8599342908012759</v>
      </c>
      <c r="AO60" s="127">
        <f t="array" ref="AO60:AO75">MMULT(aggregation!$B$28:$AP$33,AO8:AO48)</f>
        <v>19.655362728522867</v>
      </c>
      <c r="AP60" s="127">
        <f t="array" ref="AP60:AP75">MMULT(aggregation!$B$28:$AP$33,AP8:AP48)</f>
        <v>23.515297019324144</v>
      </c>
      <c r="AQ60" s="127"/>
      <c r="AR60" s="155">
        <f t="shared" ref="AR60:AR75" si="51">IF(AS60&gt;0,((1+(AU60/AS60))^(1/($A$101-$A$100))-1)*100,0)</f>
        <v>3.2404350006200788</v>
      </c>
      <c r="AS60" s="127">
        <f t="array" ref="AS60:AS75">MMULT(aggregation!$B$28:$AP$33,AS8:AS48)</f>
        <v>48.584727728201912</v>
      </c>
      <c r="AT60" s="127">
        <f t="array" ref="AT60:AT75">MMULT(aggregation!$B$28:$AP$33,AT8:AT48)</f>
        <v>9.5277746552913687</v>
      </c>
      <c r="AU60" s="127">
        <f t="array" ref="AU60:AU75">MMULT(aggregation!$B$28:$AP$33,AU8:AU48)</f>
        <v>18.249360999375764</v>
      </c>
      <c r="AV60" s="127">
        <f t="array" ref="AV60:AV75">MMULT(aggregation!$B$28:$AP$33,AV8:AV48)</f>
        <v>27.777135654667134</v>
      </c>
      <c r="AW60" s="123" t="e">
        <f>Y60</f>
        <v>#REF!</v>
      </c>
      <c r="AX60" s="155">
        <f t="shared" ref="AX60:AX75" si="52">IF(AY60&gt;0,((1+(BA60/AY60))^(1/($A$101-$A$100))-1)*100,0)</f>
        <v>2.5964738060617387</v>
      </c>
      <c r="AY60" s="127">
        <f t="array" ref="AY60:AY75">MMULT(aggregation!$B$28:$AP$33,AY8:AY48)</f>
        <v>133.76328434115098</v>
      </c>
      <c r="AZ60" s="127">
        <f t="array" ref="AZ60:AZ75">MMULT(aggregation!$B$28:$AP$33,AZ8:AZ48)</f>
        <v>2.9837836487827287</v>
      </c>
      <c r="BA60" s="127">
        <f t="array" ref="BA60:BA75">MMULT(aggregation!$B$28:$AP$33,BA8:BA48)</f>
        <v>39.083485919914963</v>
      </c>
      <c r="BB60" s="127">
        <f t="array" ref="BB60:BB75">MMULT(aggregation!$B$28:$AP$33,BB8:BB48)</f>
        <v>42.067269568697697</v>
      </c>
      <c r="BC60" s="123"/>
      <c r="BD60" s="155">
        <f t="shared" ref="BD60:BD75" si="53">IF(BE60&gt;0,((1+(BG60/BE60))^(1/($A$101-$A$100))-1)*100,0)</f>
        <v>2.547134735934975</v>
      </c>
      <c r="BE60" s="127">
        <f t="array" ref="BE60:BE75">MMULT(aggregation!$B$28:$AP$33,BE8:BE48)</f>
        <v>38.038082841341755</v>
      </c>
      <c r="BF60" s="127">
        <f t="array" ref="BF60:BF75">MMULT(aggregation!$B$28:$AP$33,BF8:BF48)</f>
        <v>-2.4133097813355744</v>
      </c>
      <c r="BG60" s="127">
        <f t="array" ref="BG60:BG75">MMULT(aggregation!$B$28:$AP$33,BG8:BG48)</f>
        <v>10.878253522030754</v>
      </c>
      <c r="BH60" s="127">
        <f t="array" ref="BH60:BH75">MMULT(aggregation!$B$28:$AP$33,BH8:BH48)</f>
        <v>8.4649437406951797</v>
      </c>
      <c r="BI60" s="123"/>
      <c r="BJ60" s="155">
        <f t="shared" ref="BJ60:BJ75" si="54">IF(BK60&gt;0,((1+(BM60/BK60))^(1/($A$101-$A$100))-1)*100,0)</f>
        <v>2.5845775387473902</v>
      </c>
      <c r="BK60" s="127">
        <f t="array" ref="BK60:BK75">MMULT(aggregation!$B$28:$AP$33,BK8:BK48)</f>
        <v>74.411735017406926</v>
      </c>
      <c r="BL60" s="127">
        <f t="array" ref="BL60:BL75">MMULT(aggregation!$B$28:$AP$33,BL8:BL48)</f>
        <v>3.1855192819452687</v>
      </c>
      <c r="BM60" s="127">
        <f t="array" ref="BM60:BM75">MMULT(aggregation!$B$28:$AP$33,BM8:BM48)</f>
        <v>21.630481362749549</v>
      </c>
      <c r="BN60" s="127">
        <f t="array" ref="BN60:BN75">MMULT(aggregation!$B$28:$AP$33,BN8:BN48)</f>
        <v>24.816000644694821</v>
      </c>
      <c r="BO60" s="127"/>
      <c r="BP60" s="155">
        <f t="shared" ref="BP60:BP75" si="55">IF(BQ60&gt;0,((1+(BS60/BQ60))^(1/($A$101-$A$100))-1)*100,0)</f>
        <v>2.7251222269226272</v>
      </c>
      <c r="BQ60" s="127">
        <f t="array" ref="BQ60:BQ75">MMULT(aggregation!$B$28:$AP$33,BQ8:BQ48)</f>
        <v>21.313466482402312</v>
      </c>
      <c r="BR60" s="127">
        <f t="array" ref="BR60:BR75">MMULT(aggregation!$B$28:$AP$33,BR8:BR48)</f>
        <v>2.2115741481730335</v>
      </c>
      <c r="BS60" s="127">
        <f t="array" ref="BS60:BS75">MMULT(aggregation!$B$28:$AP$33,BS8:BS48)</f>
        <v>6.5747510351346579</v>
      </c>
      <c r="BT60" s="127">
        <f t="array" ref="BT60:BT75">MMULT(aggregation!$B$28:$AP$33,BT8:BT48)</f>
        <v>8.7863251833076923</v>
      </c>
      <c r="BU60" s="123" t="e">
        <f>AW60</f>
        <v>#REF!</v>
      </c>
      <c r="BV60" s="155">
        <f t="shared" ref="BV60:BV75" si="56">IF(BW60&gt;0,((1+(BY60/BW60))^(1/($A$101-$A$100))-1)*100,0)</f>
        <v>3.485095393773241</v>
      </c>
      <c r="BW60" s="127">
        <f t="array" ref="BW60:BW75">MMULT(aggregation!$B$28:$AP$33,BW8:BW48)</f>
        <v>65.409196417553474</v>
      </c>
      <c r="BX60" s="127">
        <f t="array" ref="BX60:BX75">MMULT(aggregation!$B$28:$AP$33,BX8:BX48)</f>
        <v>-7.2725784365581729</v>
      </c>
      <c r="BY60" s="127">
        <f t="array" ref="BY60:BY75">MMULT(aggregation!$B$28:$AP$33,BY8:BY48)</f>
        <v>26.724152418105156</v>
      </c>
      <c r="BZ60" s="127">
        <f t="array" ref="BZ60:BZ75">MMULT(aggregation!$B$28:$AP$33,BZ8:BZ48)</f>
        <v>19.451573981546982</v>
      </c>
      <c r="CA60" s="123"/>
      <c r="CB60" s="155">
        <f t="shared" ref="CB60:CB75" si="57">IF(CC60&gt;0,((1+(CE60/CC60))^(1/($A$101-$A$100))-1)*100,0)</f>
        <v>3.3945866942973302</v>
      </c>
      <c r="CC60" s="127">
        <f t="array" ref="CC60:CC75">MMULT(aggregation!$B$28:$AP$33,CC8:CC48)</f>
        <v>21.05053288471078</v>
      </c>
      <c r="CD60" s="127">
        <f t="array" ref="CD60:CD75">MMULT(aggregation!$B$28:$AP$33,CD8:CD48)</f>
        <v>-8.6356916223892384</v>
      </c>
      <c r="CE60" s="127">
        <f t="array" ref="CE60:CE75">MMULT(aggregation!$B$28:$AP$33,CE8:CE48)</f>
        <v>8.342277262525851</v>
      </c>
      <c r="CF60" s="127">
        <f t="array" ref="CF60:CF75">MMULT(aggregation!$B$28:$AP$33,CF8:CF48)</f>
        <v>-0.2934143598633871</v>
      </c>
      <c r="CG60" s="123"/>
      <c r="CH60" s="155">
        <f t="shared" ref="CH60:CH75" si="58">IF(CI60&gt;0,((1+(CK60/CI60))^(1/($A$101-$A$100))-1)*100,0)</f>
        <v>3.4521857773551767</v>
      </c>
      <c r="CI60" s="127">
        <f t="array" ref="CI60:CI75">MMULT(aggregation!$B$28:$AP$33,CI8:CI48)</f>
        <v>34.546886160025707</v>
      </c>
      <c r="CJ60" s="127">
        <f t="array" ref="CJ60:CJ75">MMULT(aggregation!$B$28:$AP$33,CJ8:CJ48)</f>
        <v>-1.2189766380635714</v>
      </c>
      <c r="CK60" s="127">
        <f t="array" ref="CK60:CK75">MMULT(aggregation!$B$28:$AP$33,CK8:CK48)</f>
        <v>13.96024826295576</v>
      </c>
      <c r="CL60" s="127">
        <f t="array" ref="CL60:CL75">MMULT(aggregation!$B$28:$AP$33,CL8:CL48)</f>
        <v>12.741271624892187</v>
      </c>
      <c r="CM60" s="127"/>
      <c r="CN60" s="155">
        <f t="shared" ref="CN60:CN75" si="59">IF(CO60&gt;0,((1+(CQ60/CO60))^(1/($A$101-$A$100))-1)*100,0)</f>
        <v>3.7901429015048116</v>
      </c>
      <c r="CO60" s="127">
        <f t="array" ref="CO60:CO75">MMULT(aggregation!$B$28:$AP$33,CO8:CO48)</f>
        <v>9.8117773728169944</v>
      </c>
      <c r="CP60" s="127">
        <f t="array" ref="CP60:CP75">MMULT(aggregation!$B$28:$AP$33,CP8:CP48)</f>
        <v>2.5820898238946395</v>
      </c>
      <c r="CQ60" s="127">
        <f t="array" ref="CQ60:CQ75">MMULT(aggregation!$B$28:$AP$33,CQ8:CQ48)</f>
        <v>4.421626892623542</v>
      </c>
      <c r="CR60" s="127">
        <f t="array" ref="CR60:CR75">MMULT(aggregation!$B$28:$AP$33,CR8:CR48)</f>
        <v>7.0037167165181815</v>
      </c>
      <c r="CS60" s="123" t="e">
        <f>BU60</f>
        <v>#REF!</v>
      </c>
      <c r="CT60" s="155">
        <f t="shared" ref="CT60:CT75" si="60">IF(CU60&gt;0,((1+(CW60/CU60))^(1/($A$101-$A$100))-1)*100,0)</f>
        <v>2.6068626107773829</v>
      </c>
      <c r="CU60" s="127">
        <f t="array" ref="CU60:CU75">MMULT(aggregation!$B$28:$AP$33,CU8:CU48)</f>
        <v>57.854771524208537</v>
      </c>
      <c r="CV60" s="127">
        <f t="array" ref="CV60:CV75">MMULT(aggregation!$B$28:$AP$33,CV8:CV48)</f>
        <v>7.2534754986667886</v>
      </c>
      <c r="CW60" s="127">
        <f t="array" ref="CW60:CW75">MMULT(aggregation!$B$28:$AP$33,CW8:CW48)</f>
        <v>16.979970803791471</v>
      </c>
      <c r="CX60" s="127">
        <f t="array" ref="CX60:CX75">MMULT(aggregation!$B$28:$AP$33,CX8:CX48)</f>
        <v>24.233446302458258</v>
      </c>
      <c r="CY60" s="123"/>
      <c r="CZ60" s="155">
        <f t="shared" ref="CZ60:CZ75" si="61">IF(DA60&gt;0,((1+(DC60/DA60))^(1/($A$101-$A$100))-1)*100,0)</f>
        <v>2.5796471633499296</v>
      </c>
      <c r="DA60" s="127">
        <f t="array" ref="DA60:DA75">MMULT(aggregation!$B$28:$AP$33,DA8:DA48)</f>
        <v>24.397029178457057</v>
      </c>
      <c r="DB60" s="127">
        <f t="array" ref="DB60:DB75">MMULT(aggregation!$B$28:$AP$33,DB8:DB48)</f>
        <v>-5.1089043474145921</v>
      </c>
      <c r="DC60" s="127">
        <f t="array" ref="DC60:DC75">MMULT(aggregation!$B$28:$AP$33,DC8:DC48)</f>
        <v>7.0767544434361751</v>
      </c>
      <c r="DD60" s="127">
        <f t="array" ref="DD60:DD75">MMULT(aggregation!$B$28:$AP$33,DD8:DD48)</f>
        <v>1.967850096021583</v>
      </c>
      <c r="DE60" s="123"/>
      <c r="DF60" s="155">
        <f t="shared" ref="DF60:DF75" si="62">IF(DG60&gt;0,((1+(DI60/DG60))^(1/($A$101-$A$100))-1)*100,0)</f>
        <v>2.5822546806152147</v>
      </c>
      <c r="DG60" s="127">
        <f t="array" ref="DG60:DG75">MMULT(aggregation!$B$28:$AP$33,DG8:DG48)</f>
        <v>27.030998812491621</v>
      </c>
      <c r="DH60" s="127">
        <f t="array" ref="DH60:DH75">MMULT(aggregation!$B$28:$AP$33,DH8:DH48)</f>
        <v>6.0344293953067005</v>
      </c>
      <c r="DI60" s="127">
        <f t="array" ref="DI60:DI75">MMULT(aggregation!$B$28:$AP$33,DI8:DI48)</f>
        <v>7.8496453282949643</v>
      </c>
      <c r="DJ60" s="127">
        <f t="array" ref="DJ60:DJ75">MMULT(aggregation!$B$28:$AP$33,DJ8:DJ48)</f>
        <v>13.884074723601664</v>
      </c>
      <c r="DK60" s="127"/>
      <c r="DL60" s="155">
        <f t="shared" ref="DL60:DL75" si="63">IF(DM60&gt;0,((1+(DO60/DM60))^(1/($A$101-$A$100))-1)*100,0)</f>
        <v>2.8115955969045814</v>
      </c>
      <c r="DM60" s="127">
        <f t="array" ref="DM60:DM75">MMULT(aggregation!$B$28:$AP$33,DM8:DM48)</f>
        <v>6.426743533259863</v>
      </c>
      <c r="DN60" s="127">
        <f t="array" ref="DN60:DN75">MMULT(aggregation!$B$28:$AP$33,DN8:DN48)</f>
        <v>6.3279504507746802</v>
      </c>
      <c r="DO60" s="127">
        <f t="array" ref="DO60:DO75">MMULT(aggregation!$B$28:$AP$33,DO8:DO48)</f>
        <v>2.0535710320603289</v>
      </c>
      <c r="DP60" s="127">
        <f t="array" ref="DP60:DP75">MMULT(aggregation!$B$28:$AP$33,DP8:DP48)</f>
        <v>8.3815214828350086</v>
      </c>
    </row>
    <row r="61" spans="1:120" x14ac:dyDescent="0.25">
      <c r="A61" s="123" t="e">
        <f>name!#REF!</f>
        <v>#REF!</v>
      </c>
      <c r="B61" s="155">
        <f t="shared" si="44"/>
        <v>2.6428578302956751</v>
      </c>
      <c r="C61" s="127">
        <v>1531.9705805222009</v>
      </c>
      <c r="D61" s="127">
        <v>38.373634438141572</v>
      </c>
      <c r="E61" s="127">
        <v>456.58520540961894</v>
      </c>
      <c r="F61" s="127">
        <v>494.95883984776049</v>
      </c>
      <c r="G61" s="123"/>
      <c r="H61" s="155">
        <f t="shared" si="45"/>
        <v>2.4792103651163355</v>
      </c>
      <c r="I61" s="127">
        <v>346.9543032994946</v>
      </c>
      <c r="J61" s="127">
        <v>-71.701267476699215</v>
      </c>
      <c r="K61" s="127">
        <v>96.27654812183178</v>
      </c>
      <c r="L61" s="127">
        <v>24.575280645132562</v>
      </c>
      <c r="M61" s="123"/>
      <c r="N61" s="155">
        <f t="shared" si="46"/>
        <v>2.5614670093909275</v>
      </c>
      <c r="O61" s="127">
        <v>814.35141810968503</v>
      </c>
      <c r="P61" s="127">
        <v>55.745517961636317</v>
      </c>
      <c r="Q61" s="127">
        <v>234.35541894926229</v>
      </c>
      <c r="R61" s="127">
        <v>290.10093691089861</v>
      </c>
      <c r="S61" s="127"/>
      <c r="T61" s="155">
        <f t="shared" si="47"/>
        <v>2.9684351632191186</v>
      </c>
      <c r="U61" s="127">
        <v>370.66485911302107</v>
      </c>
      <c r="V61" s="127">
        <v>54.329383953204463</v>
      </c>
      <c r="W61" s="127">
        <v>125.95323833852494</v>
      </c>
      <c r="X61" s="127">
        <v>180.28262229172944</v>
      </c>
      <c r="Y61" s="123" t="e">
        <f t="shared" ref="Y61:Y75" si="64">A61</f>
        <v>#REF!</v>
      </c>
      <c r="Z61" s="155">
        <f t="shared" si="48"/>
        <v>3.09935723132575</v>
      </c>
      <c r="AA61" s="127">
        <v>449.17774942270398</v>
      </c>
      <c r="AB61" s="127">
        <v>50.084024973176945</v>
      </c>
      <c r="AC61" s="127">
        <v>160.32800726207913</v>
      </c>
      <c r="AD61" s="127">
        <v>210.41203223525608</v>
      </c>
      <c r="AE61" s="123"/>
      <c r="AF61" s="155">
        <f t="shared" si="49"/>
        <v>3.0553735251015013</v>
      </c>
      <c r="AG61" s="127">
        <v>43.103207322115679</v>
      </c>
      <c r="AH61" s="127">
        <v>0.19587937567616226</v>
      </c>
      <c r="AI61" s="127">
        <v>15.136073680613812</v>
      </c>
      <c r="AJ61" s="127">
        <v>15.331953056289972</v>
      </c>
      <c r="AK61" s="123"/>
      <c r="AL61" s="155">
        <f t="shared" si="50"/>
        <v>3.0511586415955083</v>
      </c>
      <c r="AM61" s="127">
        <v>165.52931783494364</v>
      </c>
      <c r="AN61" s="127">
        <v>19.535586179291034</v>
      </c>
      <c r="AO61" s="127">
        <v>58.035631729329729</v>
      </c>
      <c r="AP61" s="127">
        <v>77.571217908620767</v>
      </c>
      <c r="AQ61" s="127"/>
      <c r="AR61" s="155">
        <f t="shared" si="51"/>
        <v>3.1402482773775109</v>
      </c>
      <c r="AS61" s="127">
        <v>240.54522426564475</v>
      </c>
      <c r="AT61" s="127">
        <v>30.35255941820974</v>
      </c>
      <c r="AU61" s="127">
        <v>87.156301852135613</v>
      </c>
      <c r="AV61" s="127">
        <v>117.50886127034535</v>
      </c>
      <c r="AW61" s="123" t="e">
        <f t="shared" ref="AW61:AW75" si="65">Y61</f>
        <v>#REF!</v>
      </c>
      <c r="AX61" s="155">
        <f t="shared" si="52"/>
        <v>2.5119602836049859</v>
      </c>
      <c r="AY61" s="127">
        <v>382.12363836563554</v>
      </c>
      <c r="AZ61" s="127">
        <v>14.987876400880856</v>
      </c>
      <c r="BA61" s="127">
        <v>107.597993602248</v>
      </c>
      <c r="BB61" s="127">
        <v>122.58587000312885</v>
      </c>
      <c r="BC61" s="123"/>
      <c r="BD61" s="155">
        <f t="shared" si="53"/>
        <v>2.4324488727566429</v>
      </c>
      <c r="BE61" s="127">
        <v>68.87792182820661</v>
      </c>
      <c r="BF61" s="127">
        <v>-12.980223779533098</v>
      </c>
      <c r="BG61" s="127">
        <v>18.712292944480623</v>
      </c>
      <c r="BH61" s="127">
        <v>5.7320691649475206</v>
      </c>
      <c r="BI61" s="123"/>
      <c r="BJ61" s="155">
        <f t="shared" si="54"/>
        <v>2.4743901795061252</v>
      </c>
      <c r="BK61" s="127">
        <v>227.41154731887079</v>
      </c>
      <c r="BL61" s="127">
        <v>20.277004150306102</v>
      </c>
      <c r="BM61" s="127">
        <v>62.967942886752354</v>
      </c>
      <c r="BN61" s="127">
        <v>83.244947037058452</v>
      </c>
      <c r="BO61" s="127"/>
      <c r="BP61" s="155">
        <f t="shared" si="55"/>
        <v>2.6737634790460207</v>
      </c>
      <c r="BQ61" s="127">
        <v>85.834169218558088</v>
      </c>
      <c r="BR61" s="127">
        <v>7.6910960301078566</v>
      </c>
      <c r="BS61" s="127">
        <v>25.917757771015022</v>
      </c>
      <c r="BT61" s="127">
        <v>33.608853801122876</v>
      </c>
      <c r="BU61" s="123" t="e">
        <f t="shared" ref="BU61:BU75" si="66">AW61</f>
        <v>#REF!</v>
      </c>
      <c r="BV61" s="155">
        <f t="shared" si="56"/>
        <v>2.4273686289485896</v>
      </c>
      <c r="BW61" s="127">
        <v>618.6998990746248</v>
      </c>
      <c r="BX61" s="127">
        <v>-37.145990679902553</v>
      </c>
      <c r="BY61" s="127">
        <v>167.69412219711813</v>
      </c>
      <c r="BZ61" s="127">
        <v>130.54813151721558</v>
      </c>
      <c r="CA61" s="123"/>
      <c r="CB61" s="155">
        <f t="shared" si="57"/>
        <v>2.3908219482846826</v>
      </c>
      <c r="CC61" s="127">
        <v>200.76690413153926</v>
      </c>
      <c r="CD61" s="127">
        <v>-51.773551523444716</v>
      </c>
      <c r="CE61" s="127">
        <v>53.507365477367323</v>
      </c>
      <c r="CF61" s="127">
        <v>1.7338139539226114</v>
      </c>
      <c r="CG61" s="123"/>
      <c r="CH61" s="155">
        <f t="shared" si="58"/>
        <v>2.4281776316902093</v>
      </c>
      <c r="CI61" s="127">
        <v>377.66885349128535</v>
      </c>
      <c r="CJ61" s="127">
        <v>2.3971579400366365</v>
      </c>
      <c r="CK61" s="127">
        <v>102.40232056245216</v>
      </c>
      <c r="CL61" s="127">
        <v>104.79947850248878</v>
      </c>
      <c r="CM61" s="127"/>
      <c r="CN61" s="155">
        <f t="shared" si="59"/>
        <v>2.6003972395548303</v>
      </c>
      <c r="CO61" s="127">
        <v>40.264141451800178</v>
      </c>
      <c r="CP61" s="127">
        <v>12.230402903505531</v>
      </c>
      <c r="CQ61" s="127">
        <v>11.78443615729863</v>
      </c>
      <c r="CR61" s="127">
        <v>24.014839060804167</v>
      </c>
      <c r="CS61" s="123" t="e">
        <f t="shared" ref="CS61:CS75" si="67">BU61</f>
        <v>#REF!</v>
      </c>
      <c r="CT61" s="155">
        <f t="shared" si="60"/>
        <v>2.3036018395404811</v>
      </c>
      <c r="CU61" s="127">
        <v>81.969293659236243</v>
      </c>
      <c r="CV61" s="127">
        <v>10.447723743986325</v>
      </c>
      <c r="CW61" s="127">
        <v>20.965082348173706</v>
      </c>
      <c r="CX61" s="127">
        <v>31.412806092160039</v>
      </c>
      <c r="CY61" s="123"/>
      <c r="CZ61" s="155">
        <f t="shared" si="61"/>
        <v>2.3444837267214247</v>
      </c>
      <c r="DA61" s="127">
        <v>34.206270017633031</v>
      </c>
      <c r="DB61" s="127">
        <v>-7.1433715493975534</v>
      </c>
      <c r="DC61" s="127">
        <v>8.920816019370017</v>
      </c>
      <c r="DD61" s="127">
        <v>1.7774444699724654</v>
      </c>
      <c r="DE61" s="123"/>
      <c r="DF61" s="155">
        <f t="shared" si="62"/>
        <v>2.2591547110890398</v>
      </c>
      <c r="DG61" s="127">
        <v>43.741699464585146</v>
      </c>
      <c r="DH61" s="127">
        <v>13.535769692002548</v>
      </c>
      <c r="DI61" s="127">
        <v>10.949523770728023</v>
      </c>
      <c r="DJ61" s="127">
        <v>24.485293462730571</v>
      </c>
      <c r="DK61" s="127"/>
      <c r="DL61" s="155">
        <f t="shared" si="63"/>
        <v>2.4369670928403142</v>
      </c>
      <c r="DM61" s="127">
        <v>4.0213241770180499</v>
      </c>
      <c r="DN61" s="127">
        <v>4.055325601381333</v>
      </c>
      <c r="DO61" s="127">
        <v>1.0947425580756691</v>
      </c>
      <c r="DP61" s="127">
        <v>5.1500681594570024</v>
      </c>
    </row>
    <row r="62" spans="1:120" x14ac:dyDescent="0.25">
      <c r="A62" s="123" t="e">
        <f>name!#REF!</f>
        <v>#REF!</v>
      </c>
      <c r="B62" s="155">
        <f t="shared" si="44"/>
        <v>2.9873927143805101</v>
      </c>
      <c r="C62" s="127">
        <v>223.45199999999954</v>
      </c>
      <c r="D62" s="127">
        <v>16.32099999999997</v>
      </c>
      <c r="E62" s="127">
        <v>76.481434511542574</v>
      </c>
      <c r="F62" s="127">
        <v>92.802434511542543</v>
      </c>
      <c r="G62" s="123"/>
      <c r="H62" s="155">
        <f t="shared" si="45"/>
        <v>2.7027065972447861</v>
      </c>
      <c r="I62" s="127">
        <v>10.129605191491642</v>
      </c>
      <c r="J62" s="127">
        <v>-0.34252249973408699</v>
      </c>
      <c r="K62" s="127">
        <v>3.0958737684558137</v>
      </c>
      <c r="L62" s="127">
        <v>2.753351268721727</v>
      </c>
      <c r="M62" s="123"/>
      <c r="N62" s="155">
        <f t="shared" si="46"/>
        <v>2.7752129639048606</v>
      </c>
      <c r="O62" s="127">
        <v>49.401211396935132</v>
      </c>
      <c r="P62" s="127">
        <v>-7.2343121603684377</v>
      </c>
      <c r="Q62" s="127">
        <v>15.555114540422643</v>
      </c>
      <c r="R62" s="127">
        <v>8.3208023800542072</v>
      </c>
      <c r="S62" s="127"/>
      <c r="T62" s="155">
        <f t="shared" si="47"/>
        <v>3.0678398412407049</v>
      </c>
      <c r="U62" s="127">
        <v>163.92118341157277</v>
      </c>
      <c r="V62" s="127">
        <v>23.897834660102497</v>
      </c>
      <c r="W62" s="127">
        <v>57.830446202664113</v>
      </c>
      <c r="X62" s="127">
        <v>81.72828086276661</v>
      </c>
      <c r="Y62" s="123" t="e">
        <f t="shared" si="64"/>
        <v>#REF!</v>
      </c>
      <c r="Z62" s="155">
        <f t="shared" si="48"/>
        <v>3.115253870350565</v>
      </c>
      <c r="AA62" s="127">
        <v>152.77157011744924</v>
      </c>
      <c r="AB62" s="127">
        <v>23.667742514510199</v>
      </c>
      <c r="AC62" s="127">
        <v>54.849629303140759</v>
      </c>
      <c r="AD62" s="127">
        <v>78.517371817650954</v>
      </c>
      <c r="AE62" s="123"/>
      <c r="AF62" s="155">
        <f t="shared" si="49"/>
        <v>2.8153091738603475</v>
      </c>
      <c r="AG62" s="127">
        <v>4.0545970665235638</v>
      </c>
      <c r="AH62" s="127">
        <v>1.1763868580624641</v>
      </c>
      <c r="AI62" s="127">
        <v>1.2975194554462604</v>
      </c>
      <c r="AJ62" s="127">
        <v>2.4739063135087247</v>
      </c>
      <c r="AK62" s="123"/>
      <c r="AL62" s="155">
        <f t="shared" si="50"/>
        <v>2.9300260019708757</v>
      </c>
      <c r="AM62" s="127">
        <v>25.201713800358746</v>
      </c>
      <c r="AN62" s="127">
        <v>-0.99571290511587751</v>
      </c>
      <c r="AO62" s="127">
        <v>8.4378921676941143</v>
      </c>
      <c r="AP62" s="127">
        <v>7.4421792625782359</v>
      </c>
      <c r="AQ62" s="127"/>
      <c r="AR62" s="155">
        <f t="shared" si="51"/>
        <v>3.162364541262197</v>
      </c>
      <c r="AS62" s="127">
        <v>123.5152592505669</v>
      </c>
      <c r="AT62" s="127">
        <v>23.487068561563614</v>
      </c>
      <c r="AU62" s="127">
        <v>45.11421768000038</v>
      </c>
      <c r="AV62" s="127">
        <v>68.601286241563997</v>
      </c>
      <c r="AW62" s="123" t="e">
        <f t="shared" si="65"/>
        <v>#REF!</v>
      </c>
      <c r="AX62" s="155">
        <f t="shared" si="52"/>
        <v>2.7074686991907182</v>
      </c>
      <c r="AY62" s="127">
        <v>63.099183012426266</v>
      </c>
      <c r="AZ62" s="127">
        <v>-8.1666011273025987</v>
      </c>
      <c r="BA62" s="127">
        <v>19.322977545320413</v>
      </c>
      <c r="BB62" s="127">
        <v>11.156376418017812</v>
      </c>
      <c r="BC62" s="123"/>
      <c r="BD62" s="155">
        <f t="shared" si="53"/>
        <v>2.5809393895366073</v>
      </c>
      <c r="BE62" s="127">
        <v>3.8989278482616347</v>
      </c>
      <c r="BF62" s="127">
        <v>-1.4264888386863785</v>
      </c>
      <c r="BG62" s="127">
        <v>1.13158099277498</v>
      </c>
      <c r="BH62" s="127">
        <v>-0.29490784591139857</v>
      </c>
      <c r="BI62" s="123"/>
      <c r="BJ62" s="155">
        <f t="shared" si="54"/>
        <v>2.6099720549441985</v>
      </c>
      <c r="BK62" s="127">
        <v>20.535319575677597</v>
      </c>
      <c r="BL62" s="127">
        <v>-6.6729139331144127</v>
      </c>
      <c r="BM62" s="127">
        <v>6.0350233240421796</v>
      </c>
      <c r="BN62" s="127">
        <v>-0.63789060907223316</v>
      </c>
      <c r="BO62" s="127"/>
      <c r="BP62" s="155">
        <f t="shared" si="55"/>
        <v>2.7715378913155231</v>
      </c>
      <c r="BQ62" s="127">
        <v>38.66493558848704</v>
      </c>
      <c r="BR62" s="127">
        <v>-6.719835550180675E-2</v>
      </c>
      <c r="BS62" s="127">
        <v>12.156373228503252</v>
      </c>
      <c r="BT62" s="127">
        <v>12.089174873001445</v>
      </c>
      <c r="BU62" s="123" t="e">
        <f t="shared" si="66"/>
        <v>#REF!</v>
      </c>
      <c r="BV62" s="155">
        <f t="shared" si="56"/>
        <v>2.6220470512831273</v>
      </c>
      <c r="BW62" s="127">
        <v>5.5023713341610581</v>
      </c>
      <c r="BX62" s="127">
        <v>0.709064831134398</v>
      </c>
      <c r="BY62" s="127">
        <v>1.6254471384354698</v>
      </c>
      <c r="BZ62" s="127">
        <v>2.334511969569868</v>
      </c>
      <c r="CA62" s="123"/>
      <c r="CB62" s="155">
        <f t="shared" si="57"/>
        <v>2.5681173483516284</v>
      </c>
      <c r="CC62" s="127">
        <v>1.2121650788045106</v>
      </c>
      <c r="CD62" s="127">
        <v>0.18730291694992937</v>
      </c>
      <c r="CE62" s="127">
        <v>0.3498513913772372</v>
      </c>
      <c r="CF62" s="127">
        <v>0.53715430832716649</v>
      </c>
      <c r="CG62" s="123"/>
      <c r="CH62" s="155">
        <f t="shared" si="58"/>
        <v>2.5816875541381901</v>
      </c>
      <c r="CI62" s="127">
        <v>3.0029888388418309</v>
      </c>
      <c r="CJ62" s="127">
        <v>0.29040114785941096</v>
      </c>
      <c r="CK62" s="127">
        <v>0.87183632094087737</v>
      </c>
      <c r="CL62" s="127">
        <v>1.1622374688002883</v>
      </c>
      <c r="CM62" s="127"/>
      <c r="CN62" s="155">
        <f t="shared" si="59"/>
        <v>2.765792391549815</v>
      </c>
      <c r="CO62" s="127">
        <v>1.2872174165147163</v>
      </c>
      <c r="CP62" s="127">
        <v>0.23136076632505748</v>
      </c>
      <c r="CQ62" s="127">
        <v>0.40375942611735538</v>
      </c>
      <c r="CR62" s="127">
        <v>0.6351201924424128</v>
      </c>
      <c r="CS62" s="123" t="e">
        <f t="shared" si="67"/>
        <v>#REF!</v>
      </c>
      <c r="CT62" s="155">
        <f t="shared" si="60"/>
        <v>2.882982269596579</v>
      </c>
      <c r="CU62" s="127">
        <v>2.0788755359629878</v>
      </c>
      <c r="CV62" s="127">
        <v>0.11079378165796983</v>
      </c>
      <c r="CW62" s="127">
        <v>0.68338052464593657</v>
      </c>
      <c r="CX62" s="127">
        <v>0.7941743063039064</v>
      </c>
      <c r="CY62" s="123"/>
      <c r="CZ62" s="155">
        <f t="shared" si="61"/>
        <v>2.8834473778163394</v>
      </c>
      <c r="DA62" s="127">
        <v>0.9639151979019317</v>
      </c>
      <c r="DB62" s="127">
        <v>-0.27972343606010208</v>
      </c>
      <c r="DC62" s="127">
        <v>0.31692192885733617</v>
      </c>
      <c r="DD62" s="127">
        <v>3.7198492797234056E-2</v>
      </c>
      <c r="DE62" s="123"/>
      <c r="DF62" s="155">
        <f t="shared" si="62"/>
        <v>2.8008609727499634</v>
      </c>
      <c r="DG62" s="127">
        <v>0.66118918205696109</v>
      </c>
      <c r="DH62" s="127">
        <v>0.14391353000244075</v>
      </c>
      <c r="DI62" s="127">
        <v>0.21036272774547143</v>
      </c>
      <c r="DJ62" s="127">
        <v>0.35427625774791216</v>
      </c>
      <c r="DK62" s="127"/>
      <c r="DL62" s="155">
        <f t="shared" si="63"/>
        <v>3.0006170576280633</v>
      </c>
      <c r="DM62" s="127">
        <v>0.45377115600409529</v>
      </c>
      <c r="DN62" s="127">
        <v>0.24660368771563115</v>
      </c>
      <c r="DO62" s="127">
        <v>0.15609586804312911</v>
      </c>
      <c r="DP62" s="127">
        <v>0.40269955575876026</v>
      </c>
    </row>
    <row r="63" spans="1:120" x14ac:dyDescent="0.25">
      <c r="A63" s="123" t="e">
        <f>name!#REF!</f>
        <v>#REF!</v>
      </c>
      <c r="B63" s="155">
        <f t="shared" si="44"/>
        <v>2.8318785937824886</v>
      </c>
      <c r="C63" s="127">
        <v>2280.697111816894</v>
      </c>
      <c r="D63" s="127">
        <v>333.85127836326922</v>
      </c>
      <c r="E63" s="127">
        <v>734.70552907606873</v>
      </c>
      <c r="F63" s="127">
        <v>1068.5568074393379</v>
      </c>
      <c r="G63" s="123"/>
      <c r="H63" s="155">
        <f t="shared" si="45"/>
        <v>2.7549207370162865</v>
      </c>
      <c r="I63" s="127">
        <v>283.04810837105344</v>
      </c>
      <c r="J63" s="127">
        <v>-0.74752589975027828</v>
      </c>
      <c r="K63" s="127">
        <v>88.390071573508365</v>
      </c>
      <c r="L63" s="127">
        <v>87.642545673758079</v>
      </c>
      <c r="M63" s="123"/>
      <c r="N63" s="155">
        <f t="shared" si="46"/>
        <v>2.7471439144256316</v>
      </c>
      <c r="O63" s="127">
        <v>699.77572635201216</v>
      </c>
      <c r="P63" s="127">
        <v>138.82655476432222</v>
      </c>
      <c r="Q63" s="127">
        <v>217.83072664942705</v>
      </c>
      <c r="R63" s="127">
        <v>356.65728141374927</v>
      </c>
      <c r="S63" s="127"/>
      <c r="T63" s="155">
        <f t="shared" si="47"/>
        <v>2.8939541756485054</v>
      </c>
      <c r="U63" s="127">
        <v>1297.8732770938286</v>
      </c>
      <c r="V63" s="127">
        <v>195.77224949869728</v>
      </c>
      <c r="W63" s="127">
        <v>428.48473085313316</v>
      </c>
      <c r="X63" s="127">
        <v>624.25698035183052</v>
      </c>
      <c r="Y63" s="123" t="e">
        <f t="shared" si="64"/>
        <v>#REF!</v>
      </c>
      <c r="Z63" s="155">
        <f t="shared" si="48"/>
        <v>2.8785897697706897</v>
      </c>
      <c r="AA63" s="127">
        <v>1376.3410743701511</v>
      </c>
      <c r="AB63" s="127">
        <v>228.17890869238147</v>
      </c>
      <c r="AC63" s="127">
        <v>451.65852053812984</v>
      </c>
      <c r="AD63" s="127">
        <v>679.83742923051125</v>
      </c>
      <c r="AE63" s="123"/>
      <c r="AF63" s="155">
        <f t="shared" si="49"/>
        <v>2.7957231009731576</v>
      </c>
      <c r="AG63" s="127">
        <v>50.44110866811203</v>
      </c>
      <c r="AH63" s="127">
        <v>12.529196374543888</v>
      </c>
      <c r="AI63" s="127">
        <v>16.015026714248812</v>
      </c>
      <c r="AJ63" s="127">
        <v>28.544223088792698</v>
      </c>
      <c r="AK63" s="123"/>
      <c r="AL63" s="155">
        <f t="shared" si="50"/>
        <v>2.7886108998469661</v>
      </c>
      <c r="AM63" s="127">
        <v>237.91538858222418</v>
      </c>
      <c r="AN63" s="127">
        <v>57.839439754593094</v>
      </c>
      <c r="AO63" s="127">
        <v>75.321212862289059</v>
      </c>
      <c r="AP63" s="127">
        <v>133.16065261688217</v>
      </c>
      <c r="AQ63" s="127"/>
      <c r="AR63" s="155">
        <f t="shared" si="51"/>
        <v>2.9019926640608151</v>
      </c>
      <c r="AS63" s="127">
        <v>1087.984577119815</v>
      </c>
      <c r="AT63" s="127">
        <v>157.81027256324452</v>
      </c>
      <c r="AU63" s="127">
        <v>360.32228096159196</v>
      </c>
      <c r="AV63" s="127">
        <v>518.13255352483634</v>
      </c>
      <c r="AW63" s="123" t="e">
        <f t="shared" si="65"/>
        <v>#REF!</v>
      </c>
      <c r="AX63" s="155">
        <f t="shared" si="52"/>
        <v>2.6424249686811008</v>
      </c>
      <c r="AY63" s="127">
        <v>523.22518477326673</v>
      </c>
      <c r="AZ63" s="127">
        <v>52.913801027885178</v>
      </c>
      <c r="BA63" s="127">
        <v>155.91226381320303</v>
      </c>
      <c r="BB63" s="127">
        <v>208.82606484108817</v>
      </c>
      <c r="BC63" s="123"/>
      <c r="BD63" s="155">
        <f t="shared" si="53"/>
        <v>2.5567595525065601</v>
      </c>
      <c r="BE63" s="127">
        <v>71.038062853520373</v>
      </c>
      <c r="BF63" s="127">
        <v>-0.99683372471191745</v>
      </c>
      <c r="BG63" s="127">
        <v>20.401472725463666</v>
      </c>
      <c r="BH63" s="127">
        <v>19.40463900075175</v>
      </c>
      <c r="BI63" s="123"/>
      <c r="BJ63" s="155">
        <f t="shared" si="54"/>
        <v>2.5991209312550723</v>
      </c>
      <c r="BK63" s="127">
        <v>287.37783213184116</v>
      </c>
      <c r="BL63" s="127">
        <v>26.153950013495834</v>
      </c>
      <c r="BM63" s="127">
        <v>84.063015645700077</v>
      </c>
      <c r="BN63" s="127">
        <v>110.21696565919591</v>
      </c>
      <c r="BO63" s="127"/>
      <c r="BP63" s="155">
        <f t="shared" si="55"/>
        <v>2.7540294923941611</v>
      </c>
      <c r="BQ63" s="127">
        <v>164.80928978790524</v>
      </c>
      <c r="BR63" s="127">
        <v>27.756684739101249</v>
      </c>
      <c r="BS63" s="127">
        <v>51.44777544203928</v>
      </c>
      <c r="BT63" s="127">
        <v>79.204460181140519</v>
      </c>
      <c r="BU63" s="123" t="e">
        <f t="shared" si="66"/>
        <v>#REF!</v>
      </c>
      <c r="BV63" s="155">
        <f t="shared" si="56"/>
        <v>3.0340414804767457</v>
      </c>
      <c r="BW63" s="127">
        <v>85.622354303695573</v>
      </c>
      <c r="BX63" s="127">
        <v>25.553340948968874</v>
      </c>
      <c r="BY63" s="127">
        <v>29.827799955063963</v>
      </c>
      <c r="BZ63" s="127">
        <v>55.38114090403284</v>
      </c>
      <c r="CA63" s="123"/>
      <c r="CB63" s="155">
        <f t="shared" si="57"/>
        <v>2.8104311558199369</v>
      </c>
      <c r="CC63" s="127">
        <v>30.284463826404377</v>
      </c>
      <c r="CD63" s="127">
        <v>8.1375545884132379</v>
      </c>
      <c r="CE63" s="127">
        <v>9.6724276046623192</v>
      </c>
      <c r="CF63" s="127">
        <v>17.809982193075562</v>
      </c>
      <c r="CG63" s="123"/>
      <c r="CH63" s="155">
        <f t="shared" si="58"/>
        <v>3.032601937255075</v>
      </c>
      <c r="CI63" s="127">
        <v>41.892604481564547</v>
      </c>
      <c r="CJ63" s="127">
        <v>15.854631919648618</v>
      </c>
      <c r="CK63" s="127">
        <v>14.586010214101943</v>
      </c>
      <c r="CL63" s="127">
        <v>30.440642133750558</v>
      </c>
      <c r="CM63" s="127"/>
      <c r="CN63" s="155">
        <f t="shared" si="59"/>
        <v>3.5265698752577679</v>
      </c>
      <c r="CO63" s="127">
        <v>13.445285995726644</v>
      </c>
      <c r="CP63" s="127">
        <v>1.5611544409070162</v>
      </c>
      <c r="CQ63" s="127">
        <v>5.569362136299703</v>
      </c>
      <c r="CR63" s="127">
        <v>7.1305165772067181</v>
      </c>
      <c r="CS63" s="123" t="e">
        <f t="shared" si="67"/>
        <v>#REF!</v>
      </c>
      <c r="CT63" s="155">
        <f t="shared" si="60"/>
        <v>2.8873206920158934</v>
      </c>
      <c r="CU63" s="127">
        <v>295.50849836978091</v>
      </c>
      <c r="CV63" s="127">
        <v>27.205227694033695</v>
      </c>
      <c r="CW63" s="127">
        <v>97.30694476967183</v>
      </c>
      <c r="CX63" s="127">
        <v>124.51217246370554</v>
      </c>
      <c r="CY63" s="123"/>
      <c r="CZ63" s="155">
        <f t="shared" si="61"/>
        <v>2.8324154996547835</v>
      </c>
      <c r="DA63" s="127">
        <v>131.28447302301666</v>
      </c>
      <c r="DB63" s="127">
        <v>-20.417443137995487</v>
      </c>
      <c r="DC63" s="127">
        <v>42.301144529133552</v>
      </c>
      <c r="DD63" s="127">
        <v>21.883701391138072</v>
      </c>
      <c r="DE63" s="123"/>
      <c r="DF63" s="155">
        <f t="shared" si="62"/>
        <v>2.8990149638167262</v>
      </c>
      <c r="DG63" s="127">
        <v>132.58990115638235</v>
      </c>
      <c r="DH63" s="127">
        <v>38.978533076584675</v>
      </c>
      <c r="DI63" s="127">
        <v>43.860487927335967</v>
      </c>
      <c r="DJ63" s="127">
        <v>82.839021003920635</v>
      </c>
      <c r="DK63" s="127"/>
      <c r="DL63" s="155">
        <f t="shared" si="63"/>
        <v>3.0642208582672747</v>
      </c>
      <c r="DM63" s="127">
        <v>31.634124190381911</v>
      </c>
      <c r="DN63" s="127">
        <v>8.6441377554445076</v>
      </c>
      <c r="DO63" s="127">
        <v>11.145312313202311</v>
      </c>
      <c r="DP63" s="127">
        <v>19.789450068646818</v>
      </c>
    </row>
    <row r="64" spans="1:120" x14ac:dyDescent="0.25">
      <c r="A64" s="123" t="e">
        <f>name!#REF!</f>
        <v>#REF!</v>
      </c>
      <c r="B64" s="155">
        <f t="shared" si="44"/>
        <v>2.8169915417421754</v>
      </c>
      <c r="C64" s="127">
        <v>158.75130574877755</v>
      </c>
      <c r="D64" s="127">
        <v>31.053175488358242</v>
      </c>
      <c r="E64" s="127">
        <v>50.836604439456309</v>
      </c>
      <c r="F64" s="127">
        <v>81.889779927814544</v>
      </c>
      <c r="G64" s="123"/>
      <c r="H64" s="155">
        <f t="shared" si="45"/>
        <v>2.7131406842493488</v>
      </c>
      <c r="I64" s="127">
        <v>37.269430586923946</v>
      </c>
      <c r="J64" s="127">
        <v>2.0080357660646397</v>
      </c>
      <c r="K64" s="127">
        <v>11.439976930786587</v>
      </c>
      <c r="L64" s="127">
        <v>13.448012696851226</v>
      </c>
      <c r="M64" s="123"/>
      <c r="N64" s="155">
        <f t="shared" si="46"/>
        <v>2.6835187325179533</v>
      </c>
      <c r="O64" s="127">
        <v>64.168727676686729</v>
      </c>
      <c r="P64" s="127">
        <v>9.648746828409589</v>
      </c>
      <c r="Q64" s="127">
        <v>19.45525621806194</v>
      </c>
      <c r="R64" s="127">
        <v>29.104003046471529</v>
      </c>
      <c r="S64" s="127"/>
      <c r="T64" s="155">
        <f t="shared" si="47"/>
        <v>3.0307741956072665</v>
      </c>
      <c r="U64" s="127">
        <v>57.313147485166859</v>
      </c>
      <c r="V64" s="127">
        <v>19.396392893884016</v>
      </c>
      <c r="W64" s="127">
        <v>19.941371290607766</v>
      </c>
      <c r="X64" s="127">
        <v>39.337764184491782</v>
      </c>
      <c r="Y64" s="123" t="e">
        <f t="shared" si="64"/>
        <v>#REF!</v>
      </c>
      <c r="Z64" s="155">
        <f t="shared" si="48"/>
        <v>3.0844034831169376</v>
      </c>
      <c r="AA64" s="127">
        <v>54.043501876163091</v>
      </c>
      <c r="AB64" s="127">
        <v>16.838248878570081</v>
      </c>
      <c r="AC64" s="127">
        <v>19.18381203425853</v>
      </c>
      <c r="AD64" s="127">
        <v>36.022060912828607</v>
      </c>
      <c r="AE64" s="123"/>
      <c r="AF64" s="155">
        <f t="shared" si="49"/>
        <v>3.0687126992563263</v>
      </c>
      <c r="AG64" s="127">
        <v>2.872339077635929</v>
      </c>
      <c r="AH64" s="127">
        <v>0.88105911598627318</v>
      </c>
      <c r="AI64" s="127">
        <v>1.0136737094918047</v>
      </c>
      <c r="AJ64" s="127">
        <v>1.8947328254780778</v>
      </c>
      <c r="AK64" s="123"/>
      <c r="AL64" s="155">
        <f t="shared" si="50"/>
        <v>2.9854531104971826</v>
      </c>
      <c r="AM64" s="127">
        <v>8.4616752757594771</v>
      </c>
      <c r="AN64" s="127">
        <v>0.5129240985808613</v>
      </c>
      <c r="AO64" s="127">
        <v>2.8940583365838495</v>
      </c>
      <c r="AP64" s="127">
        <v>3.4069824351647107</v>
      </c>
      <c r="AQ64" s="127"/>
      <c r="AR64" s="155">
        <f t="shared" si="51"/>
        <v>3.1049593059016889</v>
      </c>
      <c r="AS64" s="127">
        <v>42.709487522767688</v>
      </c>
      <c r="AT64" s="127">
        <v>15.444265664002945</v>
      </c>
      <c r="AU64" s="127">
        <v>15.276079988182877</v>
      </c>
      <c r="AV64" s="127">
        <v>30.72034565218582</v>
      </c>
      <c r="AW64" s="123" t="e">
        <f t="shared" si="65"/>
        <v>#REF!</v>
      </c>
      <c r="AX64" s="155">
        <f t="shared" si="52"/>
        <v>2.6049805214462873</v>
      </c>
      <c r="AY64" s="127">
        <v>67.279720597550053</v>
      </c>
      <c r="AZ64" s="127">
        <v>-1.7061260839949342</v>
      </c>
      <c r="BA64" s="127">
        <v>19.73016584504331</v>
      </c>
      <c r="BB64" s="127">
        <v>18.024039761048375</v>
      </c>
      <c r="BC64" s="123"/>
      <c r="BD64" s="155">
        <f t="shared" si="53"/>
        <v>2.5409532368865007</v>
      </c>
      <c r="BE64" s="127">
        <v>14.926976334729311</v>
      </c>
      <c r="BF64" s="127">
        <v>-1.3830273865244627</v>
      </c>
      <c r="BG64" s="127">
        <v>4.2572967639145958</v>
      </c>
      <c r="BH64" s="127">
        <v>2.8742693773901333</v>
      </c>
      <c r="BI64" s="123"/>
      <c r="BJ64" s="155">
        <f t="shared" si="54"/>
        <v>2.5796718808031471</v>
      </c>
      <c r="BK64" s="127">
        <v>40.385319730226364</v>
      </c>
      <c r="BL64" s="127">
        <v>-0.75084702548436888</v>
      </c>
      <c r="BM64" s="127">
        <v>11.714543255967428</v>
      </c>
      <c r="BN64" s="127">
        <v>10.963696230483059</v>
      </c>
      <c r="BO64" s="127"/>
      <c r="BP64" s="155">
        <f t="shared" si="55"/>
        <v>2.7687485385664345</v>
      </c>
      <c r="BQ64" s="127">
        <v>11.967424532594377</v>
      </c>
      <c r="BR64" s="127">
        <v>0.42774832801389723</v>
      </c>
      <c r="BS64" s="127">
        <v>3.7583258251612852</v>
      </c>
      <c r="BT64" s="127">
        <v>4.1860741531751824</v>
      </c>
      <c r="BU64" s="123" t="e">
        <f t="shared" si="66"/>
        <v>#REF!</v>
      </c>
      <c r="BV64" s="155">
        <f t="shared" si="56"/>
        <v>2.518201489640326</v>
      </c>
      <c r="BW64" s="127">
        <v>11.027664527945932</v>
      </c>
      <c r="BX64" s="127">
        <v>1.3879359269084375</v>
      </c>
      <c r="BY64" s="127">
        <v>3.1137656010156576</v>
      </c>
      <c r="BZ64" s="127">
        <v>4.5017015279240953</v>
      </c>
      <c r="CA64" s="123"/>
      <c r="CB64" s="155">
        <f t="shared" si="57"/>
        <v>2.4600010102901804</v>
      </c>
      <c r="CC64" s="127">
        <v>4.6043551889988352</v>
      </c>
      <c r="CD64" s="127">
        <v>-9.4762721156135488E-2</v>
      </c>
      <c r="CE64" s="127">
        <v>1.2666488182504458</v>
      </c>
      <c r="CF64" s="127">
        <v>1.1718860970943104</v>
      </c>
      <c r="CG64" s="123"/>
      <c r="CH64" s="155">
        <f t="shared" si="58"/>
        <v>2.5135092689739569</v>
      </c>
      <c r="CI64" s="127">
        <v>5.3897928205850842</v>
      </c>
      <c r="CJ64" s="127">
        <v>0.93986804735963958</v>
      </c>
      <c r="CK64" s="127">
        <v>1.5186963016257615</v>
      </c>
      <c r="CL64" s="127">
        <v>2.458564348985401</v>
      </c>
      <c r="CM64" s="127"/>
      <c r="CN64" s="155">
        <f t="shared" si="59"/>
        <v>2.7978329732376128</v>
      </c>
      <c r="CO64" s="127">
        <v>1.0335165183620134</v>
      </c>
      <c r="CP64" s="127">
        <v>0.5428306007049335</v>
      </c>
      <c r="CQ64" s="127">
        <v>0.32842048113944977</v>
      </c>
      <c r="CR64" s="127">
        <v>0.87125108184438327</v>
      </c>
      <c r="CS64" s="123" t="e">
        <f t="shared" si="67"/>
        <v>#REF!</v>
      </c>
      <c r="CT64" s="155">
        <f t="shared" si="60"/>
        <v>2.9211505487475975</v>
      </c>
      <c r="CU64" s="127">
        <v>26.400418747118454</v>
      </c>
      <c r="CV64" s="127">
        <v>14.533116766874658</v>
      </c>
      <c r="CW64" s="127">
        <v>8.8088609591388032</v>
      </c>
      <c r="CX64" s="127">
        <v>23.341977726013461</v>
      </c>
      <c r="CY64" s="123"/>
      <c r="CZ64" s="155">
        <f t="shared" si="61"/>
        <v>2.8911023071172881</v>
      </c>
      <c r="DA64" s="127">
        <v>14.865759985559873</v>
      </c>
      <c r="DB64" s="127">
        <v>2.6047667577589646</v>
      </c>
      <c r="DC64" s="127">
        <v>4.9023576391297414</v>
      </c>
      <c r="DD64" s="127">
        <v>7.507124396888706</v>
      </c>
      <c r="DE64" s="123"/>
      <c r="DF64" s="155">
        <f t="shared" si="62"/>
        <v>2.9320472834624356</v>
      </c>
      <c r="DG64" s="127">
        <v>9.9319398501158016</v>
      </c>
      <c r="DH64" s="127">
        <v>8.9468017079534565</v>
      </c>
      <c r="DI64" s="127">
        <v>3.3279583238849022</v>
      </c>
      <c r="DJ64" s="127">
        <v>12.274760031838358</v>
      </c>
      <c r="DK64" s="127"/>
      <c r="DL64" s="155">
        <f t="shared" si="63"/>
        <v>3.1300160142738953</v>
      </c>
      <c r="DM64" s="127">
        <v>1.6027189114427818</v>
      </c>
      <c r="DN64" s="127">
        <v>2.981548301162237</v>
      </c>
      <c r="DO64" s="127">
        <v>0.57854499612415899</v>
      </c>
      <c r="DP64" s="127">
        <v>3.5600932972863961</v>
      </c>
    </row>
    <row r="65" spans="1:120" x14ac:dyDescent="0.25">
      <c r="A65" s="123" t="e">
        <f>name!#REF!</f>
        <v>#REF!</v>
      </c>
      <c r="B65" s="155">
        <f t="shared" si="44"/>
        <v>0</v>
      </c>
      <c r="C65" s="127">
        <v>0</v>
      </c>
      <c r="D65" s="127">
        <v>0</v>
      </c>
      <c r="E65" s="127">
        <v>0</v>
      </c>
      <c r="F65" s="127">
        <v>0</v>
      </c>
      <c r="G65" s="123"/>
      <c r="H65" s="155">
        <f t="shared" si="45"/>
        <v>0</v>
      </c>
      <c r="I65" s="127">
        <v>0</v>
      </c>
      <c r="J65" s="127">
        <v>0</v>
      </c>
      <c r="K65" s="127">
        <v>0</v>
      </c>
      <c r="L65" s="127">
        <v>0</v>
      </c>
      <c r="M65" s="123"/>
      <c r="N65" s="155">
        <f t="shared" si="46"/>
        <v>0</v>
      </c>
      <c r="O65" s="127">
        <v>0</v>
      </c>
      <c r="P65" s="127">
        <v>0</v>
      </c>
      <c r="Q65" s="127">
        <v>0</v>
      </c>
      <c r="R65" s="127">
        <v>0</v>
      </c>
      <c r="S65" s="127"/>
      <c r="T65" s="155">
        <f t="shared" si="47"/>
        <v>0</v>
      </c>
      <c r="U65" s="127">
        <v>0</v>
      </c>
      <c r="V65" s="127">
        <v>0</v>
      </c>
      <c r="W65" s="127">
        <v>0</v>
      </c>
      <c r="X65" s="127">
        <v>0</v>
      </c>
      <c r="Y65" s="123" t="e">
        <f t="shared" si="64"/>
        <v>#REF!</v>
      </c>
      <c r="Z65" s="155">
        <f t="shared" si="48"/>
        <v>0</v>
      </c>
      <c r="AA65" s="127">
        <v>0</v>
      </c>
      <c r="AB65" s="127">
        <v>0</v>
      </c>
      <c r="AC65" s="127">
        <v>0</v>
      </c>
      <c r="AD65" s="127">
        <v>0</v>
      </c>
      <c r="AE65" s="123"/>
      <c r="AF65" s="155">
        <f t="shared" si="49"/>
        <v>0</v>
      </c>
      <c r="AG65" s="127">
        <v>0</v>
      </c>
      <c r="AH65" s="127">
        <v>0</v>
      </c>
      <c r="AI65" s="127">
        <v>0</v>
      </c>
      <c r="AJ65" s="127">
        <v>0</v>
      </c>
      <c r="AK65" s="123"/>
      <c r="AL65" s="155">
        <f t="shared" si="50"/>
        <v>0</v>
      </c>
      <c r="AM65" s="127">
        <v>0</v>
      </c>
      <c r="AN65" s="127">
        <v>0</v>
      </c>
      <c r="AO65" s="127">
        <v>0</v>
      </c>
      <c r="AP65" s="127">
        <v>0</v>
      </c>
      <c r="AQ65" s="127"/>
      <c r="AR65" s="155">
        <f t="shared" si="51"/>
        <v>0</v>
      </c>
      <c r="AS65" s="127">
        <v>0</v>
      </c>
      <c r="AT65" s="127">
        <v>0</v>
      </c>
      <c r="AU65" s="127">
        <v>0</v>
      </c>
      <c r="AV65" s="127">
        <v>0</v>
      </c>
      <c r="AW65" s="123" t="e">
        <f t="shared" si="65"/>
        <v>#REF!</v>
      </c>
      <c r="AX65" s="155">
        <f t="shared" si="52"/>
        <v>0</v>
      </c>
      <c r="AY65" s="127">
        <v>0</v>
      </c>
      <c r="AZ65" s="127">
        <v>0</v>
      </c>
      <c r="BA65" s="127">
        <v>0</v>
      </c>
      <c r="BB65" s="127">
        <v>0</v>
      </c>
      <c r="BC65" s="123"/>
      <c r="BD65" s="155">
        <f t="shared" si="53"/>
        <v>0</v>
      </c>
      <c r="BE65" s="127">
        <v>0</v>
      </c>
      <c r="BF65" s="127">
        <v>0</v>
      </c>
      <c r="BG65" s="127">
        <v>0</v>
      </c>
      <c r="BH65" s="127">
        <v>0</v>
      </c>
      <c r="BI65" s="123"/>
      <c r="BJ65" s="155">
        <f t="shared" si="54"/>
        <v>0</v>
      </c>
      <c r="BK65" s="127">
        <v>0</v>
      </c>
      <c r="BL65" s="127">
        <v>0</v>
      </c>
      <c r="BM65" s="127">
        <v>0</v>
      </c>
      <c r="BN65" s="127">
        <v>0</v>
      </c>
      <c r="BO65" s="127"/>
      <c r="BP65" s="155">
        <f t="shared" si="55"/>
        <v>0</v>
      </c>
      <c r="BQ65" s="127">
        <v>0</v>
      </c>
      <c r="BR65" s="127">
        <v>0</v>
      </c>
      <c r="BS65" s="127">
        <v>0</v>
      </c>
      <c r="BT65" s="127">
        <v>0</v>
      </c>
      <c r="BU65" s="123" t="e">
        <f t="shared" si="66"/>
        <v>#REF!</v>
      </c>
      <c r="BV65" s="155">
        <f t="shared" si="56"/>
        <v>0</v>
      </c>
      <c r="BW65" s="127">
        <v>0</v>
      </c>
      <c r="BX65" s="127">
        <v>0</v>
      </c>
      <c r="BY65" s="127">
        <v>0</v>
      </c>
      <c r="BZ65" s="127">
        <v>0</v>
      </c>
      <c r="CA65" s="123"/>
      <c r="CB65" s="155">
        <f t="shared" si="57"/>
        <v>0</v>
      </c>
      <c r="CC65" s="127">
        <v>0</v>
      </c>
      <c r="CD65" s="127">
        <v>0</v>
      </c>
      <c r="CE65" s="127">
        <v>0</v>
      </c>
      <c r="CF65" s="127">
        <v>0</v>
      </c>
      <c r="CG65" s="123"/>
      <c r="CH65" s="155">
        <f t="shared" si="58"/>
        <v>0</v>
      </c>
      <c r="CI65" s="127">
        <v>0</v>
      </c>
      <c r="CJ65" s="127">
        <v>0</v>
      </c>
      <c r="CK65" s="127">
        <v>0</v>
      </c>
      <c r="CL65" s="127">
        <v>0</v>
      </c>
      <c r="CM65" s="127"/>
      <c r="CN65" s="155">
        <f t="shared" si="59"/>
        <v>0</v>
      </c>
      <c r="CO65" s="127">
        <v>0</v>
      </c>
      <c r="CP65" s="127">
        <v>0</v>
      </c>
      <c r="CQ65" s="127">
        <v>0</v>
      </c>
      <c r="CR65" s="127">
        <v>0</v>
      </c>
      <c r="CS65" s="123" t="e">
        <f t="shared" si="67"/>
        <v>#REF!</v>
      </c>
      <c r="CT65" s="155">
        <f t="shared" si="60"/>
        <v>0</v>
      </c>
      <c r="CU65" s="127">
        <v>0</v>
      </c>
      <c r="CV65" s="127">
        <v>0</v>
      </c>
      <c r="CW65" s="127">
        <v>0</v>
      </c>
      <c r="CX65" s="127">
        <v>0</v>
      </c>
      <c r="CY65" s="123"/>
      <c r="CZ65" s="155">
        <f t="shared" si="61"/>
        <v>0</v>
      </c>
      <c r="DA65" s="127">
        <v>0</v>
      </c>
      <c r="DB65" s="127">
        <v>0</v>
      </c>
      <c r="DC65" s="127">
        <v>0</v>
      </c>
      <c r="DD65" s="127">
        <v>0</v>
      </c>
      <c r="DE65" s="123"/>
      <c r="DF65" s="155">
        <f t="shared" si="62"/>
        <v>0</v>
      </c>
      <c r="DG65" s="127">
        <v>0</v>
      </c>
      <c r="DH65" s="127">
        <v>0</v>
      </c>
      <c r="DI65" s="127">
        <v>0</v>
      </c>
      <c r="DJ65" s="127">
        <v>0</v>
      </c>
      <c r="DK65" s="127"/>
      <c r="DL65" s="155">
        <f t="shared" si="63"/>
        <v>0</v>
      </c>
      <c r="DM65" s="127">
        <v>0</v>
      </c>
      <c r="DN65" s="127">
        <v>0</v>
      </c>
      <c r="DO65" s="127">
        <v>0</v>
      </c>
      <c r="DP65" s="127">
        <v>0</v>
      </c>
    </row>
    <row r="66" spans="1:120" x14ac:dyDescent="0.25">
      <c r="A66" s="123" t="e">
        <f>name!#REF!</f>
        <v>#REF!</v>
      </c>
      <c r="B66" s="155" t="e">
        <f t="shared" si="44"/>
        <v>#N/A</v>
      </c>
      <c r="C66" s="127" t="e">
        <v>#N/A</v>
      </c>
      <c r="D66" s="127" t="e">
        <v>#N/A</v>
      </c>
      <c r="E66" s="127" t="e">
        <v>#N/A</v>
      </c>
      <c r="F66" s="127" t="e">
        <v>#N/A</v>
      </c>
      <c r="G66" s="123"/>
      <c r="H66" s="155" t="e">
        <f t="shared" si="45"/>
        <v>#N/A</v>
      </c>
      <c r="I66" s="127" t="e">
        <v>#N/A</v>
      </c>
      <c r="J66" s="127" t="e">
        <v>#N/A</v>
      </c>
      <c r="K66" s="127" t="e">
        <v>#N/A</v>
      </c>
      <c r="L66" s="127" t="e">
        <v>#N/A</v>
      </c>
      <c r="M66" s="123"/>
      <c r="N66" s="155" t="e">
        <f t="shared" si="46"/>
        <v>#N/A</v>
      </c>
      <c r="O66" s="127" t="e">
        <v>#N/A</v>
      </c>
      <c r="P66" s="127" t="e">
        <v>#N/A</v>
      </c>
      <c r="Q66" s="127" t="e">
        <v>#N/A</v>
      </c>
      <c r="R66" s="127" t="e">
        <v>#N/A</v>
      </c>
      <c r="S66" s="127"/>
      <c r="T66" s="155" t="e">
        <f t="shared" si="47"/>
        <v>#N/A</v>
      </c>
      <c r="U66" s="127" t="e">
        <v>#N/A</v>
      </c>
      <c r="V66" s="127" t="e">
        <v>#N/A</v>
      </c>
      <c r="W66" s="127" t="e">
        <v>#N/A</v>
      </c>
      <c r="X66" s="127" t="e">
        <v>#N/A</v>
      </c>
      <c r="Y66" s="123" t="e">
        <f t="shared" si="64"/>
        <v>#REF!</v>
      </c>
      <c r="Z66" s="155" t="e">
        <f t="shared" si="48"/>
        <v>#N/A</v>
      </c>
      <c r="AA66" s="127" t="e">
        <v>#N/A</v>
      </c>
      <c r="AB66" s="127" t="e">
        <v>#N/A</v>
      </c>
      <c r="AC66" s="127" t="e">
        <v>#N/A</v>
      </c>
      <c r="AD66" s="127" t="e">
        <v>#N/A</v>
      </c>
      <c r="AE66" s="123"/>
      <c r="AF66" s="155" t="e">
        <f t="shared" si="49"/>
        <v>#N/A</v>
      </c>
      <c r="AG66" s="127" t="e">
        <v>#N/A</v>
      </c>
      <c r="AH66" s="127" t="e">
        <v>#N/A</v>
      </c>
      <c r="AI66" s="127" t="e">
        <v>#N/A</v>
      </c>
      <c r="AJ66" s="127" t="e">
        <v>#N/A</v>
      </c>
      <c r="AK66" s="123"/>
      <c r="AL66" s="155" t="e">
        <f t="shared" si="50"/>
        <v>#N/A</v>
      </c>
      <c r="AM66" s="127" t="e">
        <v>#N/A</v>
      </c>
      <c r="AN66" s="127" t="e">
        <v>#N/A</v>
      </c>
      <c r="AO66" s="127" t="e">
        <v>#N/A</v>
      </c>
      <c r="AP66" s="127" t="e">
        <v>#N/A</v>
      </c>
      <c r="AQ66" s="127"/>
      <c r="AR66" s="155" t="e">
        <f t="shared" si="51"/>
        <v>#N/A</v>
      </c>
      <c r="AS66" s="127" t="e">
        <v>#N/A</v>
      </c>
      <c r="AT66" s="127" t="e">
        <v>#N/A</v>
      </c>
      <c r="AU66" s="127" t="e">
        <v>#N/A</v>
      </c>
      <c r="AV66" s="127" t="e">
        <v>#N/A</v>
      </c>
      <c r="AW66" s="123" t="e">
        <f t="shared" si="65"/>
        <v>#REF!</v>
      </c>
      <c r="AX66" s="155" t="e">
        <f t="shared" si="52"/>
        <v>#N/A</v>
      </c>
      <c r="AY66" s="127" t="e">
        <v>#N/A</v>
      </c>
      <c r="AZ66" s="127" t="e">
        <v>#N/A</v>
      </c>
      <c r="BA66" s="127" t="e">
        <v>#N/A</v>
      </c>
      <c r="BB66" s="127" t="e">
        <v>#N/A</v>
      </c>
      <c r="BC66" s="123"/>
      <c r="BD66" s="155" t="e">
        <f t="shared" si="53"/>
        <v>#N/A</v>
      </c>
      <c r="BE66" s="127" t="e">
        <v>#N/A</v>
      </c>
      <c r="BF66" s="127" t="e">
        <v>#N/A</v>
      </c>
      <c r="BG66" s="127" t="e">
        <v>#N/A</v>
      </c>
      <c r="BH66" s="127" t="e">
        <v>#N/A</v>
      </c>
      <c r="BI66" s="123"/>
      <c r="BJ66" s="155" t="e">
        <f t="shared" si="54"/>
        <v>#N/A</v>
      </c>
      <c r="BK66" s="127" t="e">
        <v>#N/A</v>
      </c>
      <c r="BL66" s="127" t="e">
        <v>#N/A</v>
      </c>
      <c r="BM66" s="127" t="e">
        <v>#N/A</v>
      </c>
      <c r="BN66" s="127" t="e">
        <v>#N/A</v>
      </c>
      <c r="BO66" s="127"/>
      <c r="BP66" s="155" t="e">
        <f t="shared" si="55"/>
        <v>#N/A</v>
      </c>
      <c r="BQ66" s="127" t="e">
        <v>#N/A</v>
      </c>
      <c r="BR66" s="127" t="e">
        <v>#N/A</v>
      </c>
      <c r="BS66" s="127" t="e">
        <v>#N/A</v>
      </c>
      <c r="BT66" s="127" t="e">
        <v>#N/A</v>
      </c>
      <c r="BU66" s="123" t="e">
        <f t="shared" si="66"/>
        <v>#REF!</v>
      </c>
      <c r="BV66" s="155" t="e">
        <f t="shared" si="56"/>
        <v>#N/A</v>
      </c>
      <c r="BW66" s="127" t="e">
        <v>#N/A</v>
      </c>
      <c r="BX66" s="127" t="e">
        <v>#N/A</v>
      </c>
      <c r="BY66" s="127" t="e">
        <v>#N/A</v>
      </c>
      <c r="BZ66" s="127" t="e">
        <v>#N/A</v>
      </c>
      <c r="CA66" s="123"/>
      <c r="CB66" s="155" t="e">
        <f t="shared" si="57"/>
        <v>#N/A</v>
      </c>
      <c r="CC66" s="127" t="e">
        <v>#N/A</v>
      </c>
      <c r="CD66" s="127" t="e">
        <v>#N/A</v>
      </c>
      <c r="CE66" s="127" t="e">
        <v>#N/A</v>
      </c>
      <c r="CF66" s="127" t="e">
        <v>#N/A</v>
      </c>
      <c r="CG66" s="123"/>
      <c r="CH66" s="155" t="e">
        <f t="shared" si="58"/>
        <v>#N/A</v>
      </c>
      <c r="CI66" s="127" t="e">
        <v>#N/A</v>
      </c>
      <c r="CJ66" s="127" t="e">
        <v>#N/A</v>
      </c>
      <c r="CK66" s="127" t="e">
        <v>#N/A</v>
      </c>
      <c r="CL66" s="127" t="e">
        <v>#N/A</v>
      </c>
      <c r="CM66" s="127"/>
      <c r="CN66" s="155" t="e">
        <f t="shared" si="59"/>
        <v>#N/A</v>
      </c>
      <c r="CO66" s="127" t="e">
        <v>#N/A</v>
      </c>
      <c r="CP66" s="127" t="e">
        <v>#N/A</v>
      </c>
      <c r="CQ66" s="127" t="e">
        <v>#N/A</v>
      </c>
      <c r="CR66" s="127" t="e">
        <v>#N/A</v>
      </c>
      <c r="CS66" s="123" t="e">
        <f t="shared" si="67"/>
        <v>#REF!</v>
      </c>
      <c r="CT66" s="155" t="e">
        <f t="shared" si="60"/>
        <v>#N/A</v>
      </c>
      <c r="CU66" s="127" t="e">
        <v>#N/A</v>
      </c>
      <c r="CV66" s="127" t="e">
        <v>#N/A</v>
      </c>
      <c r="CW66" s="127" t="e">
        <v>#N/A</v>
      </c>
      <c r="CX66" s="127" t="e">
        <v>#N/A</v>
      </c>
      <c r="CY66" s="123"/>
      <c r="CZ66" s="155" t="e">
        <f t="shared" si="61"/>
        <v>#N/A</v>
      </c>
      <c r="DA66" s="127" t="e">
        <v>#N/A</v>
      </c>
      <c r="DB66" s="127" t="e">
        <v>#N/A</v>
      </c>
      <c r="DC66" s="127" t="e">
        <v>#N/A</v>
      </c>
      <c r="DD66" s="127" t="e">
        <v>#N/A</v>
      </c>
      <c r="DE66" s="123"/>
      <c r="DF66" s="155" t="e">
        <f t="shared" si="62"/>
        <v>#N/A</v>
      </c>
      <c r="DG66" s="127" t="e">
        <v>#N/A</v>
      </c>
      <c r="DH66" s="127" t="e">
        <v>#N/A</v>
      </c>
      <c r="DI66" s="127" t="e">
        <v>#N/A</v>
      </c>
      <c r="DJ66" s="127" t="e">
        <v>#N/A</v>
      </c>
      <c r="DK66" s="127"/>
      <c r="DL66" s="155" t="e">
        <f t="shared" si="63"/>
        <v>#N/A</v>
      </c>
      <c r="DM66" s="127" t="e">
        <v>#N/A</v>
      </c>
      <c r="DN66" s="127" t="e">
        <v>#N/A</v>
      </c>
      <c r="DO66" s="127" t="e">
        <v>#N/A</v>
      </c>
      <c r="DP66" s="127" t="e">
        <v>#N/A</v>
      </c>
    </row>
    <row r="67" spans="1:120" x14ac:dyDescent="0.25">
      <c r="A67" s="123" t="e">
        <f>name!#REF!</f>
        <v>#REF!</v>
      </c>
      <c r="B67" s="155" t="e">
        <f t="shared" si="44"/>
        <v>#N/A</v>
      </c>
      <c r="C67" s="127" t="e">
        <v>#N/A</v>
      </c>
      <c r="D67" s="127" t="e">
        <v>#N/A</v>
      </c>
      <c r="E67" s="127" t="e">
        <v>#N/A</v>
      </c>
      <c r="F67" s="127" t="e">
        <v>#N/A</v>
      </c>
      <c r="G67" s="123"/>
      <c r="H67" s="155" t="e">
        <f t="shared" si="45"/>
        <v>#N/A</v>
      </c>
      <c r="I67" s="127" t="e">
        <v>#N/A</v>
      </c>
      <c r="J67" s="127" t="e">
        <v>#N/A</v>
      </c>
      <c r="K67" s="127" t="e">
        <v>#N/A</v>
      </c>
      <c r="L67" s="127" t="e">
        <v>#N/A</v>
      </c>
      <c r="M67" s="123"/>
      <c r="N67" s="155" t="e">
        <f t="shared" si="46"/>
        <v>#N/A</v>
      </c>
      <c r="O67" s="127" t="e">
        <v>#N/A</v>
      </c>
      <c r="P67" s="127" t="e">
        <v>#N/A</v>
      </c>
      <c r="Q67" s="127" t="e">
        <v>#N/A</v>
      </c>
      <c r="R67" s="127" t="e">
        <v>#N/A</v>
      </c>
      <c r="S67" s="127"/>
      <c r="T67" s="155" t="e">
        <f t="shared" si="47"/>
        <v>#N/A</v>
      </c>
      <c r="U67" s="127" t="e">
        <v>#N/A</v>
      </c>
      <c r="V67" s="127" t="e">
        <v>#N/A</v>
      </c>
      <c r="W67" s="127" t="e">
        <v>#N/A</v>
      </c>
      <c r="X67" s="127" t="e">
        <v>#N/A</v>
      </c>
      <c r="Y67" s="123" t="e">
        <f t="shared" si="64"/>
        <v>#REF!</v>
      </c>
      <c r="Z67" s="155" t="e">
        <f t="shared" si="48"/>
        <v>#N/A</v>
      </c>
      <c r="AA67" s="127" t="e">
        <v>#N/A</v>
      </c>
      <c r="AB67" s="127" t="e">
        <v>#N/A</v>
      </c>
      <c r="AC67" s="127" t="e">
        <v>#N/A</v>
      </c>
      <c r="AD67" s="127" t="e">
        <v>#N/A</v>
      </c>
      <c r="AE67" s="123"/>
      <c r="AF67" s="155" t="e">
        <f t="shared" si="49"/>
        <v>#N/A</v>
      </c>
      <c r="AG67" s="127" t="e">
        <v>#N/A</v>
      </c>
      <c r="AH67" s="127" t="e">
        <v>#N/A</v>
      </c>
      <c r="AI67" s="127" t="e">
        <v>#N/A</v>
      </c>
      <c r="AJ67" s="127" t="e">
        <v>#N/A</v>
      </c>
      <c r="AK67" s="123"/>
      <c r="AL67" s="155" t="e">
        <f t="shared" si="50"/>
        <v>#N/A</v>
      </c>
      <c r="AM67" s="127" t="e">
        <v>#N/A</v>
      </c>
      <c r="AN67" s="127" t="e">
        <v>#N/A</v>
      </c>
      <c r="AO67" s="127" t="e">
        <v>#N/A</v>
      </c>
      <c r="AP67" s="127" t="e">
        <v>#N/A</v>
      </c>
      <c r="AQ67" s="127"/>
      <c r="AR67" s="155" t="e">
        <f t="shared" si="51"/>
        <v>#N/A</v>
      </c>
      <c r="AS67" s="127" t="e">
        <v>#N/A</v>
      </c>
      <c r="AT67" s="127" t="e">
        <v>#N/A</v>
      </c>
      <c r="AU67" s="127" t="e">
        <v>#N/A</v>
      </c>
      <c r="AV67" s="127" t="e">
        <v>#N/A</v>
      </c>
      <c r="AW67" s="123" t="e">
        <f t="shared" si="65"/>
        <v>#REF!</v>
      </c>
      <c r="AX67" s="155" t="e">
        <f t="shared" si="52"/>
        <v>#N/A</v>
      </c>
      <c r="AY67" s="127" t="e">
        <v>#N/A</v>
      </c>
      <c r="AZ67" s="127" t="e">
        <v>#N/A</v>
      </c>
      <c r="BA67" s="127" t="e">
        <v>#N/A</v>
      </c>
      <c r="BB67" s="127" t="e">
        <v>#N/A</v>
      </c>
      <c r="BC67" s="123"/>
      <c r="BD67" s="155" t="e">
        <f t="shared" si="53"/>
        <v>#N/A</v>
      </c>
      <c r="BE67" s="127" t="e">
        <v>#N/A</v>
      </c>
      <c r="BF67" s="127" t="e">
        <v>#N/A</v>
      </c>
      <c r="BG67" s="127" t="e">
        <v>#N/A</v>
      </c>
      <c r="BH67" s="127" t="e">
        <v>#N/A</v>
      </c>
      <c r="BI67" s="123"/>
      <c r="BJ67" s="155" t="e">
        <f t="shared" si="54"/>
        <v>#N/A</v>
      </c>
      <c r="BK67" s="127" t="e">
        <v>#N/A</v>
      </c>
      <c r="BL67" s="127" t="e">
        <v>#N/A</v>
      </c>
      <c r="BM67" s="127" t="e">
        <v>#N/A</v>
      </c>
      <c r="BN67" s="127" t="e">
        <v>#N/A</v>
      </c>
      <c r="BO67" s="127"/>
      <c r="BP67" s="155" t="e">
        <f t="shared" si="55"/>
        <v>#N/A</v>
      </c>
      <c r="BQ67" s="127" t="e">
        <v>#N/A</v>
      </c>
      <c r="BR67" s="127" t="e">
        <v>#N/A</v>
      </c>
      <c r="BS67" s="127" t="e">
        <v>#N/A</v>
      </c>
      <c r="BT67" s="127" t="e">
        <v>#N/A</v>
      </c>
      <c r="BU67" s="123" t="e">
        <f t="shared" si="66"/>
        <v>#REF!</v>
      </c>
      <c r="BV67" s="155" t="e">
        <f t="shared" si="56"/>
        <v>#N/A</v>
      </c>
      <c r="BW67" s="127" t="e">
        <v>#N/A</v>
      </c>
      <c r="BX67" s="127" t="e">
        <v>#N/A</v>
      </c>
      <c r="BY67" s="127" t="e">
        <v>#N/A</v>
      </c>
      <c r="BZ67" s="127" t="e">
        <v>#N/A</v>
      </c>
      <c r="CA67" s="123"/>
      <c r="CB67" s="155" t="e">
        <f t="shared" si="57"/>
        <v>#N/A</v>
      </c>
      <c r="CC67" s="127" t="e">
        <v>#N/A</v>
      </c>
      <c r="CD67" s="127" t="e">
        <v>#N/A</v>
      </c>
      <c r="CE67" s="127" t="e">
        <v>#N/A</v>
      </c>
      <c r="CF67" s="127" t="e">
        <v>#N/A</v>
      </c>
      <c r="CG67" s="123"/>
      <c r="CH67" s="155" t="e">
        <f t="shared" si="58"/>
        <v>#N/A</v>
      </c>
      <c r="CI67" s="127" t="e">
        <v>#N/A</v>
      </c>
      <c r="CJ67" s="127" t="e">
        <v>#N/A</v>
      </c>
      <c r="CK67" s="127" t="e">
        <v>#N/A</v>
      </c>
      <c r="CL67" s="127" t="e">
        <v>#N/A</v>
      </c>
      <c r="CM67" s="127"/>
      <c r="CN67" s="155" t="e">
        <f t="shared" si="59"/>
        <v>#N/A</v>
      </c>
      <c r="CO67" s="127" t="e">
        <v>#N/A</v>
      </c>
      <c r="CP67" s="127" t="e">
        <v>#N/A</v>
      </c>
      <c r="CQ67" s="127" t="e">
        <v>#N/A</v>
      </c>
      <c r="CR67" s="127" t="e">
        <v>#N/A</v>
      </c>
      <c r="CS67" s="123" t="e">
        <f t="shared" si="67"/>
        <v>#REF!</v>
      </c>
      <c r="CT67" s="155" t="e">
        <f t="shared" si="60"/>
        <v>#N/A</v>
      </c>
      <c r="CU67" s="127" t="e">
        <v>#N/A</v>
      </c>
      <c r="CV67" s="127" t="e">
        <v>#N/A</v>
      </c>
      <c r="CW67" s="127" t="e">
        <v>#N/A</v>
      </c>
      <c r="CX67" s="127" t="e">
        <v>#N/A</v>
      </c>
      <c r="CY67" s="123"/>
      <c r="CZ67" s="155" t="e">
        <f t="shared" si="61"/>
        <v>#N/A</v>
      </c>
      <c r="DA67" s="127" t="e">
        <v>#N/A</v>
      </c>
      <c r="DB67" s="127" t="e">
        <v>#N/A</v>
      </c>
      <c r="DC67" s="127" t="e">
        <v>#N/A</v>
      </c>
      <c r="DD67" s="127" t="e">
        <v>#N/A</v>
      </c>
      <c r="DE67" s="123"/>
      <c r="DF67" s="155" t="e">
        <f t="shared" si="62"/>
        <v>#N/A</v>
      </c>
      <c r="DG67" s="127" t="e">
        <v>#N/A</v>
      </c>
      <c r="DH67" s="127" t="e">
        <v>#N/A</v>
      </c>
      <c r="DI67" s="127" t="e">
        <v>#N/A</v>
      </c>
      <c r="DJ67" s="127" t="e">
        <v>#N/A</v>
      </c>
      <c r="DK67" s="127"/>
      <c r="DL67" s="155" t="e">
        <f t="shared" si="63"/>
        <v>#N/A</v>
      </c>
      <c r="DM67" s="127" t="e">
        <v>#N/A</v>
      </c>
      <c r="DN67" s="127" t="e">
        <v>#N/A</v>
      </c>
      <c r="DO67" s="127" t="e">
        <v>#N/A</v>
      </c>
      <c r="DP67" s="127" t="e">
        <v>#N/A</v>
      </c>
    </row>
    <row r="68" spans="1:120" x14ac:dyDescent="0.25">
      <c r="A68" s="123" t="e">
        <f>name!#REF!</f>
        <v>#REF!</v>
      </c>
      <c r="B68" s="155" t="e">
        <f t="shared" si="44"/>
        <v>#N/A</v>
      </c>
      <c r="C68" s="127" t="e">
        <v>#N/A</v>
      </c>
      <c r="D68" s="127" t="e">
        <v>#N/A</v>
      </c>
      <c r="E68" s="127" t="e">
        <v>#N/A</v>
      </c>
      <c r="F68" s="127" t="e">
        <v>#N/A</v>
      </c>
      <c r="G68" s="123"/>
      <c r="H68" s="155" t="e">
        <f t="shared" si="45"/>
        <v>#N/A</v>
      </c>
      <c r="I68" s="127" t="e">
        <v>#N/A</v>
      </c>
      <c r="J68" s="127" t="e">
        <v>#N/A</v>
      </c>
      <c r="K68" s="127" t="e">
        <v>#N/A</v>
      </c>
      <c r="L68" s="127" t="e">
        <v>#N/A</v>
      </c>
      <c r="M68" s="123"/>
      <c r="N68" s="155" t="e">
        <f t="shared" si="46"/>
        <v>#N/A</v>
      </c>
      <c r="O68" s="127" t="e">
        <v>#N/A</v>
      </c>
      <c r="P68" s="127" t="e">
        <v>#N/A</v>
      </c>
      <c r="Q68" s="127" t="e">
        <v>#N/A</v>
      </c>
      <c r="R68" s="127" t="e">
        <v>#N/A</v>
      </c>
      <c r="S68" s="127"/>
      <c r="T68" s="155" t="e">
        <f t="shared" si="47"/>
        <v>#N/A</v>
      </c>
      <c r="U68" s="127" t="e">
        <v>#N/A</v>
      </c>
      <c r="V68" s="127" t="e">
        <v>#N/A</v>
      </c>
      <c r="W68" s="127" t="e">
        <v>#N/A</v>
      </c>
      <c r="X68" s="127" t="e">
        <v>#N/A</v>
      </c>
      <c r="Y68" s="123" t="e">
        <f t="shared" si="64"/>
        <v>#REF!</v>
      </c>
      <c r="Z68" s="155" t="e">
        <f t="shared" si="48"/>
        <v>#N/A</v>
      </c>
      <c r="AA68" s="127" t="e">
        <v>#N/A</v>
      </c>
      <c r="AB68" s="127" t="e">
        <v>#N/A</v>
      </c>
      <c r="AC68" s="127" t="e">
        <v>#N/A</v>
      </c>
      <c r="AD68" s="127" t="e">
        <v>#N/A</v>
      </c>
      <c r="AE68" s="123"/>
      <c r="AF68" s="155" t="e">
        <f t="shared" si="49"/>
        <v>#N/A</v>
      </c>
      <c r="AG68" s="127" t="e">
        <v>#N/A</v>
      </c>
      <c r="AH68" s="127" t="e">
        <v>#N/A</v>
      </c>
      <c r="AI68" s="127" t="e">
        <v>#N/A</v>
      </c>
      <c r="AJ68" s="127" t="e">
        <v>#N/A</v>
      </c>
      <c r="AK68" s="123"/>
      <c r="AL68" s="155" t="e">
        <f t="shared" si="50"/>
        <v>#N/A</v>
      </c>
      <c r="AM68" s="127" t="e">
        <v>#N/A</v>
      </c>
      <c r="AN68" s="127" t="e">
        <v>#N/A</v>
      </c>
      <c r="AO68" s="127" t="e">
        <v>#N/A</v>
      </c>
      <c r="AP68" s="127" t="e">
        <v>#N/A</v>
      </c>
      <c r="AQ68" s="127"/>
      <c r="AR68" s="155" t="e">
        <f t="shared" si="51"/>
        <v>#N/A</v>
      </c>
      <c r="AS68" s="127" t="e">
        <v>#N/A</v>
      </c>
      <c r="AT68" s="127" t="e">
        <v>#N/A</v>
      </c>
      <c r="AU68" s="127" t="e">
        <v>#N/A</v>
      </c>
      <c r="AV68" s="127" t="e">
        <v>#N/A</v>
      </c>
      <c r="AW68" s="123" t="e">
        <f t="shared" si="65"/>
        <v>#REF!</v>
      </c>
      <c r="AX68" s="155" t="e">
        <f t="shared" si="52"/>
        <v>#N/A</v>
      </c>
      <c r="AY68" s="127" t="e">
        <v>#N/A</v>
      </c>
      <c r="AZ68" s="127" t="e">
        <v>#N/A</v>
      </c>
      <c r="BA68" s="127" t="e">
        <v>#N/A</v>
      </c>
      <c r="BB68" s="127" t="e">
        <v>#N/A</v>
      </c>
      <c r="BC68" s="123"/>
      <c r="BD68" s="155" t="e">
        <f t="shared" si="53"/>
        <v>#N/A</v>
      </c>
      <c r="BE68" s="127" t="e">
        <v>#N/A</v>
      </c>
      <c r="BF68" s="127" t="e">
        <v>#N/A</v>
      </c>
      <c r="BG68" s="127" t="e">
        <v>#N/A</v>
      </c>
      <c r="BH68" s="127" t="e">
        <v>#N/A</v>
      </c>
      <c r="BI68" s="123"/>
      <c r="BJ68" s="155" t="e">
        <f t="shared" si="54"/>
        <v>#N/A</v>
      </c>
      <c r="BK68" s="127" t="e">
        <v>#N/A</v>
      </c>
      <c r="BL68" s="127" t="e">
        <v>#N/A</v>
      </c>
      <c r="BM68" s="127" t="e">
        <v>#N/A</v>
      </c>
      <c r="BN68" s="127" t="e">
        <v>#N/A</v>
      </c>
      <c r="BO68" s="127"/>
      <c r="BP68" s="155" t="e">
        <f t="shared" si="55"/>
        <v>#N/A</v>
      </c>
      <c r="BQ68" s="127" t="e">
        <v>#N/A</v>
      </c>
      <c r="BR68" s="127" t="e">
        <v>#N/A</v>
      </c>
      <c r="BS68" s="127" t="e">
        <v>#N/A</v>
      </c>
      <c r="BT68" s="127" t="e">
        <v>#N/A</v>
      </c>
      <c r="BU68" s="123" t="e">
        <f t="shared" si="66"/>
        <v>#REF!</v>
      </c>
      <c r="BV68" s="155" t="e">
        <f t="shared" si="56"/>
        <v>#N/A</v>
      </c>
      <c r="BW68" s="127" t="e">
        <v>#N/A</v>
      </c>
      <c r="BX68" s="127" t="e">
        <v>#N/A</v>
      </c>
      <c r="BY68" s="127" t="e">
        <v>#N/A</v>
      </c>
      <c r="BZ68" s="127" t="e">
        <v>#N/A</v>
      </c>
      <c r="CA68" s="123"/>
      <c r="CB68" s="155" t="e">
        <f t="shared" si="57"/>
        <v>#N/A</v>
      </c>
      <c r="CC68" s="127" t="e">
        <v>#N/A</v>
      </c>
      <c r="CD68" s="127" t="e">
        <v>#N/A</v>
      </c>
      <c r="CE68" s="127" t="e">
        <v>#N/A</v>
      </c>
      <c r="CF68" s="127" t="e">
        <v>#N/A</v>
      </c>
      <c r="CG68" s="123"/>
      <c r="CH68" s="155" t="e">
        <f t="shared" si="58"/>
        <v>#N/A</v>
      </c>
      <c r="CI68" s="127" t="e">
        <v>#N/A</v>
      </c>
      <c r="CJ68" s="127" t="e">
        <v>#N/A</v>
      </c>
      <c r="CK68" s="127" t="e">
        <v>#N/A</v>
      </c>
      <c r="CL68" s="127" t="e">
        <v>#N/A</v>
      </c>
      <c r="CM68" s="127"/>
      <c r="CN68" s="155" t="e">
        <f t="shared" si="59"/>
        <v>#N/A</v>
      </c>
      <c r="CO68" s="127" t="e">
        <v>#N/A</v>
      </c>
      <c r="CP68" s="127" t="e">
        <v>#N/A</v>
      </c>
      <c r="CQ68" s="127" t="e">
        <v>#N/A</v>
      </c>
      <c r="CR68" s="127" t="e">
        <v>#N/A</v>
      </c>
      <c r="CS68" s="123" t="e">
        <f t="shared" si="67"/>
        <v>#REF!</v>
      </c>
      <c r="CT68" s="155" t="e">
        <f t="shared" si="60"/>
        <v>#N/A</v>
      </c>
      <c r="CU68" s="127" t="e">
        <v>#N/A</v>
      </c>
      <c r="CV68" s="127" t="e">
        <v>#N/A</v>
      </c>
      <c r="CW68" s="127" t="e">
        <v>#N/A</v>
      </c>
      <c r="CX68" s="127" t="e">
        <v>#N/A</v>
      </c>
      <c r="CY68" s="123"/>
      <c r="CZ68" s="155" t="e">
        <f t="shared" si="61"/>
        <v>#N/A</v>
      </c>
      <c r="DA68" s="127" t="e">
        <v>#N/A</v>
      </c>
      <c r="DB68" s="127" t="e">
        <v>#N/A</v>
      </c>
      <c r="DC68" s="127" t="e">
        <v>#N/A</v>
      </c>
      <c r="DD68" s="127" t="e">
        <v>#N/A</v>
      </c>
      <c r="DE68" s="123"/>
      <c r="DF68" s="155" t="e">
        <f t="shared" si="62"/>
        <v>#N/A</v>
      </c>
      <c r="DG68" s="127" t="e">
        <v>#N/A</v>
      </c>
      <c r="DH68" s="127" t="e">
        <v>#N/A</v>
      </c>
      <c r="DI68" s="127" t="e">
        <v>#N/A</v>
      </c>
      <c r="DJ68" s="127" t="e">
        <v>#N/A</v>
      </c>
      <c r="DK68" s="127"/>
      <c r="DL68" s="155" t="e">
        <f t="shared" si="63"/>
        <v>#N/A</v>
      </c>
      <c r="DM68" s="127" t="e">
        <v>#N/A</v>
      </c>
      <c r="DN68" s="127" t="e">
        <v>#N/A</v>
      </c>
      <c r="DO68" s="127" t="e">
        <v>#N/A</v>
      </c>
      <c r="DP68" s="127" t="e">
        <v>#N/A</v>
      </c>
    </row>
    <row r="69" spans="1:120" x14ac:dyDescent="0.25">
      <c r="A69" s="123" t="e">
        <f>name!#REF!</f>
        <v>#REF!</v>
      </c>
      <c r="B69" s="155" t="e">
        <f t="shared" si="44"/>
        <v>#N/A</v>
      </c>
      <c r="C69" s="127" t="e">
        <v>#N/A</v>
      </c>
      <c r="D69" s="127" t="e">
        <v>#N/A</v>
      </c>
      <c r="E69" s="127" t="e">
        <v>#N/A</v>
      </c>
      <c r="F69" s="127" t="e">
        <v>#N/A</v>
      </c>
      <c r="G69" s="123"/>
      <c r="H69" s="155" t="e">
        <f t="shared" si="45"/>
        <v>#N/A</v>
      </c>
      <c r="I69" s="127" t="e">
        <v>#N/A</v>
      </c>
      <c r="J69" s="127" t="e">
        <v>#N/A</v>
      </c>
      <c r="K69" s="127" t="e">
        <v>#N/A</v>
      </c>
      <c r="L69" s="127" t="e">
        <v>#N/A</v>
      </c>
      <c r="M69" s="123"/>
      <c r="N69" s="155" t="e">
        <f t="shared" si="46"/>
        <v>#N/A</v>
      </c>
      <c r="O69" s="127" t="e">
        <v>#N/A</v>
      </c>
      <c r="P69" s="127" t="e">
        <v>#N/A</v>
      </c>
      <c r="Q69" s="127" t="e">
        <v>#N/A</v>
      </c>
      <c r="R69" s="127" t="e">
        <v>#N/A</v>
      </c>
      <c r="S69" s="127"/>
      <c r="T69" s="155" t="e">
        <f t="shared" si="47"/>
        <v>#N/A</v>
      </c>
      <c r="U69" s="127" t="e">
        <v>#N/A</v>
      </c>
      <c r="V69" s="127" t="e">
        <v>#N/A</v>
      </c>
      <c r="W69" s="127" t="e">
        <v>#N/A</v>
      </c>
      <c r="X69" s="127" t="e">
        <v>#N/A</v>
      </c>
      <c r="Y69" s="123" t="e">
        <f t="shared" si="64"/>
        <v>#REF!</v>
      </c>
      <c r="Z69" s="155" t="e">
        <f t="shared" si="48"/>
        <v>#N/A</v>
      </c>
      <c r="AA69" s="127" t="e">
        <v>#N/A</v>
      </c>
      <c r="AB69" s="127" t="e">
        <v>#N/A</v>
      </c>
      <c r="AC69" s="127" t="e">
        <v>#N/A</v>
      </c>
      <c r="AD69" s="127" t="e">
        <v>#N/A</v>
      </c>
      <c r="AE69" s="123"/>
      <c r="AF69" s="155" t="e">
        <f t="shared" si="49"/>
        <v>#N/A</v>
      </c>
      <c r="AG69" s="127" t="e">
        <v>#N/A</v>
      </c>
      <c r="AH69" s="127" t="e">
        <v>#N/A</v>
      </c>
      <c r="AI69" s="127" t="e">
        <v>#N/A</v>
      </c>
      <c r="AJ69" s="127" t="e">
        <v>#N/A</v>
      </c>
      <c r="AK69" s="123"/>
      <c r="AL69" s="155" t="e">
        <f t="shared" si="50"/>
        <v>#N/A</v>
      </c>
      <c r="AM69" s="127" t="e">
        <v>#N/A</v>
      </c>
      <c r="AN69" s="127" t="e">
        <v>#N/A</v>
      </c>
      <c r="AO69" s="127" t="e">
        <v>#N/A</v>
      </c>
      <c r="AP69" s="127" t="e">
        <v>#N/A</v>
      </c>
      <c r="AQ69" s="127"/>
      <c r="AR69" s="155" t="e">
        <f t="shared" si="51"/>
        <v>#N/A</v>
      </c>
      <c r="AS69" s="127" t="e">
        <v>#N/A</v>
      </c>
      <c r="AT69" s="127" t="e">
        <v>#N/A</v>
      </c>
      <c r="AU69" s="127" t="e">
        <v>#N/A</v>
      </c>
      <c r="AV69" s="127" t="e">
        <v>#N/A</v>
      </c>
      <c r="AW69" s="123" t="e">
        <f t="shared" si="65"/>
        <v>#REF!</v>
      </c>
      <c r="AX69" s="155" t="e">
        <f t="shared" si="52"/>
        <v>#N/A</v>
      </c>
      <c r="AY69" s="127" t="e">
        <v>#N/A</v>
      </c>
      <c r="AZ69" s="127" t="e">
        <v>#N/A</v>
      </c>
      <c r="BA69" s="127" t="e">
        <v>#N/A</v>
      </c>
      <c r="BB69" s="127" t="e">
        <v>#N/A</v>
      </c>
      <c r="BC69" s="123"/>
      <c r="BD69" s="155" t="e">
        <f t="shared" si="53"/>
        <v>#N/A</v>
      </c>
      <c r="BE69" s="127" t="e">
        <v>#N/A</v>
      </c>
      <c r="BF69" s="127" t="e">
        <v>#N/A</v>
      </c>
      <c r="BG69" s="127" t="e">
        <v>#N/A</v>
      </c>
      <c r="BH69" s="127" t="e">
        <v>#N/A</v>
      </c>
      <c r="BI69" s="123"/>
      <c r="BJ69" s="155" t="e">
        <f t="shared" si="54"/>
        <v>#N/A</v>
      </c>
      <c r="BK69" s="127" t="e">
        <v>#N/A</v>
      </c>
      <c r="BL69" s="127" t="e">
        <v>#N/A</v>
      </c>
      <c r="BM69" s="127" t="e">
        <v>#N/A</v>
      </c>
      <c r="BN69" s="127" t="e">
        <v>#N/A</v>
      </c>
      <c r="BO69" s="127"/>
      <c r="BP69" s="155" t="e">
        <f t="shared" si="55"/>
        <v>#N/A</v>
      </c>
      <c r="BQ69" s="127" t="e">
        <v>#N/A</v>
      </c>
      <c r="BR69" s="127" t="e">
        <v>#N/A</v>
      </c>
      <c r="BS69" s="127" t="e">
        <v>#N/A</v>
      </c>
      <c r="BT69" s="127" t="e">
        <v>#N/A</v>
      </c>
      <c r="BU69" s="123" t="e">
        <f t="shared" si="66"/>
        <v>#REF!</v>
      </c>
      <c r="BV69" s="155" t="e">
        <f t="shared" si="56"/>
        <v>#N/A</v>
      </c>
      <c r="BW69" s="127" t="e">
        <v>#N/A</v>
      </c>
      <c r="BX69" s="127" t="e">
        <v>#N/A</v>
      </c>
      <c r="BY69" s="127" t="e">
        <v>#N/A</v>
      </c>
      <c r="BZ69" s="127" t="e">
        <v>#N/A</v>
      </c>
      <c r="CA69" s="123"/>
      <c r="CB69" s="155" t="e">
        <f t="shared" si="57"/>
        <v>#N/A</v>
      </c>
      <c r="CC69" s="127" t="e">
        <v>#N/A</v>
      </c>
      <c r="CD69" s="127" t="e">
        <v>#N/A</v>
      </c>
      <c r="CE69" s="127" t="e">
        <v>#N/A</v>
      </c>
      <c r="CF69" s="127" t="e">
        <v>#N/A</v>
      </c>
      <c r="CG69" s="123"/>
      <c r="CH69" s="155" t="e">
        <f t="shared" si="58"/>
        <v>#N/A</v>
      </c>
      <c r="CI69" s="127" t="e">
        <v>#N/A</v>
      </c>
      <c r="CJ69" s="127" t="e">
        <v>#N/A</v>
      </c>
      <c r="CK69" s="127" t="e">
        <v>#N/A</v>
      </c>
      <c r="CL69" s="127" t="e">
        <v>#N/A</v>
      </c>
      <c r="CM69" s="127"/>
      <c r="CN69" s="155" t="e">
        <f t="shared" si="59"/>
        <v>#N/A</v>
      </c>
      <c r="CO69" s="127" t="e">
        <v>#N/A</v>
      </c>
      <c r="CP69" s="127" t="e">
        <v>#N/A</v>
      </c>
      <c r="CQ69" s="127" t="e">
        <v>#N/A</v>
      </c>
      <c r="CR69" s="127" t="e">
        <v>#N/A</v>
      </c>
      <c r="CS69" s="123" t="e">
        <f t="shared" si="67"/>
        <v>#REF!</v>
      </c>
      <c r="CT69" s="155" t="e">
        <f t="shared" si="60"/>
        <v>#N/A</v>
      </c>
      <c r="CU69" s="127" t="e">
        <v>#N/A</v>
      </c>
      <c r="CV69" s="127" t="e">
        <v>#N/A</v>
      </c>
      <c r="CW69" s="127" t="e">
        <v>#N/A</v>
      </c>
      <c r="CX69" s="127" t="e">
        <v>#N/A</v>
      </c>
      <c r="CY69" s="123"/>
      <c r="CZ69" s="155" t="e">
        <f t="shared" si="61"/>
        <v>#N/A</v>
      </c>
      <c r="DA69" s="127" t="e">
        <v>#N/A</v>
      </c>
      <c r="DB69" s="127" t="e">
        <v>#N/A</v>
      </c>
      <c r="DC69" s="127" t="e">
        <v>#N/A</v>
      </c>
      <c r="DD69" s="127" t="e">
        <v>#N/A</v>
      </c>
      <c r="DE69" s="123"/>
      <c r="DF69" s="155" t="e">
        <f t="shared" si="62"/>
        <v>#N/A</v>
      </c>
      <c r="DG69" s="127" t="e">
        <v>#N/A</v>
      </c>
      <c r="DH69" s="127" t="e">
        <v>#N/A</v>
      </c>
      <c r="DI69" s="127" t="e">
        <v>#N/A</v>
      </c>
      <c r="DJ69" s="127" t="e">
        <v>#N/A</v>
      </c>
      <c r="DK69" s="127"/>
      <c r="DL69" s="155" t="e">
        <f t="shared" si="63"/>
        <v>#N/A</v>
      </c>
      <c r="DM69" s="127" t="e">
        <v>#N/A</v>
      </c>
      <c r="DN69" s="127" t="e">
        <v>#N/A</v>
      </c>
      <c r="DO69" s="127" t="e">
        <v>#N/A</v>
      </c>
      <c r="DP69" s="127" t="e">
        <v>#N/A</v>
      </c>
    </row>
    <row r="70" spans="1:120" x14ac:dyDescent="0.25">
      <c r="A70" s="123" t="e">
        <f>name!#REF!</f>
        <v>#REF!</v>
      </c>
      <c r="B70" s="155" t="e">
        <f t="shared" si="44"/>
        <v>#N/A</v>
      </c>
      <c r="C70" s="127" t="e">
        <v>#N/A</v>
      </c>
      <c r="D70" s="127" t="e">
        <v>#N/A</v>
      </c>
      <c r="E70" s="127" t="e">
        <v>#N/A</v>
      </c>
      <c r="F70" s="127" t="e">
        <v>#N/A</v>
      </c>
      <c r="G70" s="123"/>
      <c r="H70" s="155" t="e">
        <f t="shared" si="45"/>
        <v>#N/A</v>
      </c>
      <c r="I70" s="127" t="e">
        <v>#N/A</v>
      </c>
      <c r="J70" s="127" t="e">
        <v>#N/A</v>
      </c>
      <c r="K70" s="127" t="e">
        <v>#N/A</v>
      </c>
      <c r="L70" s="127" t="e">
        <v>#N/A</v>
      </c>
      <c r="M70" s="123"/>
      <c r="N70" s="155" t="e">
        <f t="shared" si="46"/>
        <v>#N/A</v>
      </c>
      <c r="O70" s="127" t="e">
        <v>#N/A</v>
      </c>
      <c r="P70" s="127" t="e">
        <v>#N/A</v>
      </c>
      <c r="Q70" s="127" t="e">
        <v>#N/A</v>
      </c>
      <c r="R70" s="127" t="e">
        <v>#N/A</v>
      </c>
      <c r="S70" s="127"/>
      <c r="T70" s="155" t="e">
        <f t="shared" si="47"/>
        <v>#N/A</v>
      </c>
      <c r="U70" s="127" t="e">
        <v>#N/A</v>
      </c>
      <c r="V70" s="127" t="e">
        <v>#N/A</v>
      </c>
      <c r="W70" s="127" t="e">
        <v>#N/A</v>
      </c>
      <c r="X70" s="127" t="e">
        <v>#N/A</v>
      </c>
      <c r="Y70" s="123" t="e">
        <f t="shared" si="64"/>
        <v>#REF!</v>
      </c>
      <c r="Z70" s="155" t="e">
        <f t="shared" si="48"/>
        <v>#N/A</v>
      </c>
      <c r="AA70" s="127" t="e">
        <v>#N/A</v>
      </c>
      <c r="AB70" s="127" t="e">
        <v>#N/A</v>
      </c>
      <c r="AC70" s="127" t="e">
        <v>#N/A</v>
      </c>
      <c r="AD70" s="127" t="e">
        <v>#N/A</v>
      </c>
      <c r="AE70" s="123"/>
      <c r="AF70" s="155" t="e">
        <f t="shared" si="49"/>
        <v>#N/A</v>
      </c>
      <c r="AG70" s="127" t="e">
        <v>#N/A</v>
      </c>
      <c r="AH70" s="127" t="e">
        <v>#N/A</v>
      </c>
      <c r="AI70" s="127" t="e">
        <v>#N/A</v>
      </c>
      <c r="AJ70" s="127" t="e">
        <v>#N/A</v>
      </c>
      <c r="AK70" s="123"/>
      <c r="AL70" s="155" t="e">
        <f t="shared" si="50"/>
        <v>#N/A</v>
      </c>
      <c r="AM70" s="127" t="e">
        <v>#N/A</v>
      </c>
      <c r="AN70" s="127" t="e">
        <v>#N/A</v>
      </c>
      <c r="AO70" s="127" t="e">
        <v>#N/A</v>
      </c>
      <c r="AP70" s="127" t="e">
        <v>#N/A</v>
      </c>
      <c r="AQ70" s="127"/>
      <c r="AR70" s="155" t="e">
        <f t="shared" si="51"/>
        <v>#N/A</v>
      </c>
      <c r="AS70" s="127" t="e">
        <v>#N/A</v>
      </c>
      <c r="AT70" s="127" t="e">
        <v>#N/A</v>
      </c>
      <c r="AU70" s="127" t="e">
        <v>#N/A</v>
      </c>
      <c r="AV70" s="127" t="e">
        <v>#N/A</v>
      </c>
      <c r="AW70" s="123" t="e">
        <f t="shared" si="65"/>
        <v>#REF!</v>
      </c>
      <c r="AX70" s="155" t="e">
        <f t="shared" si="52"/>
        <v>#N/A</v>
      </c>
      <c r="AY70" s="127" t="e">
        <v>#N/A</v>
      </c>
      <c r="AZ70" s="127" t="e">
        <v>#N/A</v>
      </c>
      <c r="BA70" s="127" t="e">
        <v>#N/A</v>
      </c>
      <c r="BB70" s="127" t="e">
        <v>#N/A</v>
      </c>
      <c r="BC70" s="123"/>
      <c r="BD70" s="155" t="e">
        <f t="shared" si="53"/>
        <v>#N/A</v>
      </c>
      <c r="BE70" s="127" t="e">
        <v>#N/A</v>
      </c>
      <c r="BF70" s="127" t="e">
        <v>#N/A</v>
      </c>
      <c r="BG70" s="127" t="e">
        <v>#N/A</v>
      </c>
      <c r="BH70" s="127" t="e">
        <v>#N/A</v>
      </c>
      <c r="BI70" s="123"/>
      <c r="BJ70" s="155" t="e">
        <f t="shared" si="54"/>
        <v>#N/A</v>
      </c>
      <c r="BK70" s="127" t="e">
        <v>#N/A</v>
      </c>
      <c r="BL70" s="127" t="e">
        <v>#N/A</v>
      </c>
      <c r="BM70" s="127" t="e">
        <v>#N/A</v>
      </c>
      <c r="BN70" s="127" t="e">
        <v>#N/A</v>
      </c>
      <c r="BO70" s="127"/>
      <c r="BP70" s="155" t="e">
        <f t="shared" si="55"/>
        <v>#N/A</v>
      </c>
      <c r="BQ70" s="127" t="e">
        <v>#N/A</v>
      </c>
      <c r="BR70" s="127" t="e">
        <v>#N/A</v>
      </c>
      <c r="BS70" s="127" t="e">
        <v>#N/A</v>
      </c>
      <c r="BT70" s="127" t="e">
        <v>#N/A</v>
      </c>
      <c r="BU70" s="123" t="e">
        <f t="shared" si="66"/>
        <v>#REF!</v>
      </c>
      <c r="BV70" s="155" t="e">
        <f t="shared" si="56"/>
        <v>#N/A</v>
      </c>
      <c r="BW70" s="127" t="e">
        <v>#N/A</v>
      </c>
      <c r="BX70" s="127" t="e">
        <v>#N/A</v>
      </c>
      <c r="BY70" s="127" t="e">
        <v>#N/A</v>
      </c>
      <c r="BZ70" s="127" t="e">
        <v>#N/A</v>
      </c>
      <c r="CA70" s="123"/>
      <c r="CB70" s="155" t="e">
        <f t="shared" si="57"/>
        <v>#N/A</v>
      </c>
      <c r="CC70" s="127" t="e">
        <v>#N/A</v>
      </c>
      <c r="CD70" s="127" t="e">
        <v>#N/A</v>
      </c>
      <c r="CE70" s="127" t="e">
        <v>#N/A</v>
      </c>
      <c r="CF70" s="127" t="e">
        <v>#N/A</v>
      </c>
      <c r="CG70" s="123"/>
      <c r="CH70" s="155" t="e">
        <f t="shared" si="58"/>
        <v>#N/A</v>
      </c>
      <c r="CI70" s="127" t="e">
        <v>#N/A</v>
      </c>
      <c r="CJ70" s="127" t="e">
        <v>#N/A</v>
      </c>
      <c r="CK70" s="127" t="e">
        <v>#N/A</v>
      </c>
      <c r="CL70" s="127" t="e">
        <v>#N/A</v>
      </c>
      <c r="CM70" s="127"/>
      <c r="CN70" s="155" t="e">
        <f t="shared" si="59"/>
        <v>#N/A</v>
      </c>
      <c r="CO70" s="127" t="e">
        <v>#N/A</v>
      </c>
      <c r="CP70" s="127" t="e">
        <v>#N/A</v>
      </c>
      <c r="CQ70" s="127" t="e">
        <v>#N/A</v>
      </c>
      <c r="CR70" s="127" t="e">
        <v>#N/A</v>
      </c>
      <c r="CS70" s="123" t="e">
        <f t="shared" si="67"/>
        <v>#REF!</v>
      </c>
      <c r="CT70" s="155" t="e">
        <f t="shared" si="60"/>
        <v>#N/A</v>
      </c>
      <c r="CU70" s="127" t="e">
        <v>#N/A</v>
      </c>
      <c r="CV70" s="127" t="e">
        <v>#N/A</v>
      </c>
      <c r="CW70" s="127" t="e">
        <v>#N/A</v>
      </c>
      <c r="CX70" s="127" t="e">
        <v>#N/A</v>
      </c>
      <c r="CY70" s="123"/>
      <c r="CZ70" s="155" t="e">
        <f t="shared" si="61"/>
        <v>#N/A</v>
      </c>
      <c r="DA70" s="127" t="e">
        <v>#N/A</v>
      </c>
      <c r="DB70" s="127" t="e">
        <v>#N/A</v>
      </c>
      <c r="DC70" s="127" t="e">
        <v>#N/A</v>
      </c>
      <c r="DD70" s="127" t="e">
        <v>#N/A</v>
      </c>
      <c r="DE70" s="123"/>
      <c r="DF70" s="155" t="e">
        <f t="shared" si="62"/>
        <v>#N/A</v>
      </c>
      <c r="DG70" s="127" t="e">
        <v>#N/A</v>
      </c>
      <c r="DH70" s="127" t="e">
        <v>#N/A</v>
      </c>
      <c r="DI70" s="127" t="e">
        <v>#N/A</v>
      </c>
      <c r="DJ70" s="127" t="e">
        <v>#N/A</v>
      </c>
      <c r="DK70" s="127"/>
      <c r="DL70" s="155" t="e">
        <f t="shared" si="63"/>
        <v>#N/A</v>
      </c>
      <c r="DM70" s="127" t="e">
        <v>#N/A</v>
      </c>
      <c r="DN70" s="127" t="e">
        <v>#N/A</v>
      </c>
      <c r="DO70" s="127" t="e">
        <v>#N/A</v>
      </c>
      <c r="DP70" s="127" t="e">
        <v>#N/A</v>
      </c>
    </row>
    <row r="71" spans="1:120" x14ac:dyDescent="0.25">
      <c r="A71" s="123" t="e">
        <f>name!#REF!</f>
        <v>#REF!</v>
      </c>
      <c r="B71" s="155" t="e">
        <f t="shared" si="44"/>
        <v>#N/A</v>
      </c>
      <c r="C71" s="127" t="e">
        <v>#N/A</v>
      </c>
      <c r="D71" s="127" t="e">
        <v>#N/A</v>
      </c>
      <c r="E71" s="127" t="e">
        <v>#N/A</v>
      </c>
      <c r="F71" s="127" t="e">
        <v>#N/A</v>
      </c>
      <c r="G71" s="123"/>
      <c r="H71" s="155" t="e">
        <f t="shared" si="45"/>
        <v>#N/A</v>
      </c>
      <c r="I71" s="127" t="e">
        <v>#N/A</v>
      </c>
      <c r="J71" s="127" t="e">
        <v>#N/A</v>
      </c>
      <c r="K71" s="127" t="e">
        <v>#N/A</v>
      </c>
      <c r="L71" s="127" t="e">
        <v>#N/A</v>
      </c>
      <c r="M71" s="123"/>
      <c r="N71" s="155" t="e">
        <f t="shared" si="46"/>
        <v>#N/A</v>
      </c>
      <c r="O71" s="127" t="e">
        <v>#N/A</v>
      </c>
      <c r="P71" s="127" t="e">
        <v>#N/A</v>
      </c>
      <c r="Q71" s="127" t="e">
        <v>#N/A</v>
      </c>
      <c r="R71" s="127" t="e">
        <v>#N/A</v>
      </c>
      <c r="S71" s="127"/>
      <c r="T71" s="155" t="e">
        <f t="shared" si="47"/>
        <v>#N/A</v>
      </c>
      <c r="U71" s="127" t="e">
        <v>#N/A</v>
      </c>
      <c r="V71" s="127" t="e">
        <v>#N/A</v>
      </c>
      <c r="W71" s="127" t="e">
        <v>#N/A</v>
      </c>
      <c r="X71" s="127" t="e">
        <v>#N/A</v>
      </c>
      <c r="Y71" s="123" t="e">
        <f t="shared" si="64"/>
        <v>#REF!</v>
      </c>
      <c r="Z71" s="155" t="e">
        <f t="shared" si="48"/>
        <v>#N/A</v>
      </c>
      <c r="AA71" s="127" t="e">
        <v>#N/A</v>
      </c>
      <c r="AB71" s="127" t="e">
        <v>#N/A</v>
      </c>
      <c r="AC71" s="127" t="e">
        <v>#N/A</v>
      </c>
      <c r="AD71" s="127" t="e">
        <v>#N/A</v>
      </c>
      <c r="AE71" s="123"/>
      <c r="AF71" s="155" t="e">
        <f t="shared" si="49"/>
        <v>#N/A</v>
      </c>
      <c r="AG71" s="127" t="e">
        <v>#N/A</v>
      </c>
      <c r="AH71" s="127" t="e">
        <v>#N/A</v>
      </c>
      <c r="AI71" s="127" t="e">
        <v>#N/A</v>
      </c>
      <c r="AJ71" s="127" t="e">
        <v>#N/A</v>
      </c>
      <c r="AK71" s="123"/>
      <c r="AL71" s="155" t="e">
        <f t="shared" si="50"/>
        <v>#N/A</v>
      </c>
      <c r="AM71" s="127" t="e">
        <v>#N/A</v>
      </c>
      <c r="AN71" s="127" t="e">
        <v>#N/A</v>
      </c>
      <c r="AO71" s="127" t="e">
        <v>#N/A</v>
      </c>
      <c r="AP71" s="127" t="e">
        <v>#N/A</v>
      </c>
      <c r="AQ71" s="127"/>
      <c r="AR71" s="155" t="e">
        <f t="shared" si="51"/>
        <v>#N/A</v>
      </c>
      <c r="AS71" s="127" t="e">
        <v>#N/A</v>
      </c>
      <c r="AT71" s="127" t="e">
        <v>#N/A</v>
      </c>
      <c r="AU71" s="127" t="e">
        <v>#N/A</v>
      </c>
      <c r="AV71" s="127" t="e">
        <v>#N/A</v>
      </c>
      <c r="AW71" s="123" t="e">
        <f t="shared" si="65"/>
        <v>#REF!</v>
      </c>
      <c r="AX71" s="155" t="e">
        <f t="shared" si="52"/>
        <v>#N/A</v>
      </c>
      <c r="AY71" s="127" t="e">
        <v>#N/A</v>
      </c>
      <c r="AZ71" s="127" t="e">
        <v>#N/A</v>
      </c>
      <c r="BA71" s="127" t="e">
        <v>#N/A</v>
      </c>
      <c r="BB71" s="127" t="e">
        <v>#N/A</v>
      </c>
      <c r="BC71" s="123"/>
      <c r="BD71" s="155" t="e">
        <f t="shared" si="53"/>
        <v>#N/A</v>
      </c>
      <c r="BE71" s="127" t="e">
        <v>#N/A</v>
      </c>
      <c r="BF71" s="127" t="e">
        <v>#N/A</v>
      </c>
      <c r="BG71" s="127" t="e">
        <v>#N/A</v>
      </c>
      <c r="BH71" s="127" t="e">
        <v>#N/A</v>
      </c>
      <c r="BI71" s="123"/>
      <c r="BJ71" s="155" t="e">
        <f t="shared" si="54"/>
        <v>#N/A</v>
      </c>
      <c r="BK71" s="127" t="e">
        <v>#N/A</v>
      </c>
      <c r="BL71" s="127" t="e">
        <v>#N/A</v>
      </c>
      <c r="BM71" s="127" t="e">
        <v>#N/A</v>
      </c>
      <c r="BN71" s="127" t="e">
        <v>#N/A</v>
      </c>
      <c r="BO71" s="127"/>
      <c r="BP71" s="155" t="e">
        <f t="shared" si="55"/>
        <v>#N/A</v>
      </c>
      <c r="BQ71" s="127" t="e">
        <v>#N/A</v>
      </c>
      <c r="BR71" s="127" t="e">
        <v>#N/A</v>
      </c>
      <c r="BS71" s="127" t="e">
        <v>#N/A</v>
      </c>
      <c r="BT71" s="127" t="e">
        <v>#N/A</v>
      </c>
      <c r="BU71" s="123" t="e">
        <f t="shared" si="66"/>
        <v>#REF!</v>
      </c>
      <c r="BV71" s="155" t="e">
        <f t="shared" si="56"/>
        <v>#N/A</v>
      </c>
      <c r="BW71" s="127" t="e">
        <v>#N/A</v>
      </c>
      <c r="BX71" s="127" t="e">
        <v>#N/A</v>
      </c>
      <c r="BY71" s="127" t="e">
        <v>#N/A</v>
      </c>
      <c r="BZ71" s="127" t="e">
        <v>#N/A</v>
      </c>
      <c r="CA71" s="123"/>
      <c r="CB71" s="155" t="e">
        <f t="shared" si="57"/>
        <v>#N/A</v>
      </c>
      <c r="CC71" s="127" t="e">
        <v>#N/A</v>
      </c>
      <c r="CD71" s="127" t="e">
        <v>#N/A</v>
      </c>
      <c r="CE71" s="127" t="e">
        <v>#N/A</v>
      </c>
      <c r="CF71" s="127" t="e">
        <v>#N/A</v>
      </c>
      <c r="CG71" s="123"/>
      <c r="CH71" s="155" t="e">
        <f t="shared" si="58"/>
        <v>#N/A</v>
      </c>
      <c r="CI71" s="127" t="e">
        <v>#N/A</v>
      </c>
      <c r="CJ71" s="127" t="e">
        <v>#N/A</v>
      </c>
      <c r="CK71" s="127" t="e">
        <v>#N/A</v>
      </c>
      <c r="CL71" s="127" t="e">
        <v>#N/A</v>
      </c>
      <c r="CM71" s="127"/>
      <c r="CN71" s="155" t="e">
        <f t="shared" si="59"/>
        <v>#N/A</v>
      </c>
      <c r="CO71" s="127" t="e">
        <v>#N/A</v>
      </c>
      <c r="CP71" s="127" t="e">
        <v>#N/A</v>
      </c>
      <c r="CQ71" s="127" t="e">
        <v>#N/A</v>
      </c>
      <c r="CR71" s="127" t="e">
        <v>#N/A</v>
      </c>
      <c r="CS71" s="123" t="e">
        <f t="shared" si="67"/>
        <v>#REF!</v>
      </c>
      <c r="CT71" s="155" t="e">
        <f t="shared" si="60"/>
        <v>#N/A</v>
      </c>
      <c r="CU71" s="127" t="e">
        <v>#N/A</v>
      </c>
      <c r="CV71" s="127" t="e">
        <v>#N/A</v>
      </c>
      <c r="CW71" s="127" t="e">
        <v>#N/A</v>
      </c>
      <c r="CX71" s="127" t="e">
        <v>#N/A</v>
      </c>
      <c r="CY71" s="123"/>
      <c r="CZ71" s="155" t="e">
        <f t="shared" si="61"/>
        <v>#N/A</v>
      </c>
      <c r="DA71" s="127" t="e">
        <v>#N/A</v>
      </c>
      <c r="DB71" s="127" t="e">
        <v>#N/A</v>
      </c>
      <c r="DC71" s="127" t="e">
        <v>#N/A</v>
      </c>
      <c r="DD71" s="127" t="e">
        <v>#N/A</v>
      </c>
      <c r="DE71" s="123"/>
      <c r="DF71" s="155" t="e">
        <f t="shared" si="62"/>
        <v>#N/A</v>
      </c>
      <c r="DG71" s="127" t="e">
        <v>#N/A</v>
      </c>
      <c r="DH71" s="127" t="e">
        <v>#N/A</v>
      </c>
      <c r="DI71" s="127" t="e">
        <v>#N/A</v>
      </c>
      <c r="DJ71" s="127" t="e">
        <v>#N/A</v>
      </c>
      <c r="DK71" s="127"/>
      <c r="DL71" s="155" t="e">
        <f t="shared" si="63"/>
        <v>#N/A</v>
      </c>
      <c r="DM71" s="127" t="e">
        <v>#N/A</v>
      </c>
      <c r="DN71" s="127" t="e">
        <v>#N/A</v>
      </c>
      <c r="DO71" s="127" t="e">
        <v>#N/A</v>
      </c>
      <c r="DP71" s="127" t="e">
        <v>#N/A</v>
      </c>
    </row>
    <row r="72" spans="1:120" x14ac:dyDescent="0.25">
      <c r="A72" s="123" t="e">
        <f>name!#REF!</f>
        <v>#REF!</v>
      </c>
      <c r="B72" s="155" t="e">
        <f t="shared" si="44"/>
        <v>#N/A</v>
      </c>
      <c r="C72" s="127" t="e">
        <v>#N/A</v>
      </c>
      <c r="D72" s="127" t="e">
        <v>#N/A</v>
      </c>
      <c r="E72" s="127" t="e">
        <v>#N/A</v>
      </c>
      <c r="F72" s="127" t="e">
        <v>#N/A</v>
      </c>
      <c r="G72" s="123"/>
      <c r="H72" s="155" t="e">
        <f t="shared" si="45"/>
        <v>#N/A</v>
      </c>
      <c r="I72" s="127" t="e">
        <v>#N/A</v>
      </c>
      <c r="J72" s="127" t="e">
        <v>#N/A</v>
      </c>
      <c r="K72" s="127" t="e">
        <v>#N/A</v>
      </c>
      <c r="L72" s="127" t="e">
        <v>#N/A</v>
      </c>
      <c r="M72" s="123"/>
      <c r="N72" s="155" t="e">
        <f t="shared" si="46"/>
        <v>#N/A</v>
      </c>
      <c r="O72" s="127" t="e">
        <v>#N/A</v>
      </c>
      <c r="P72" s="127" t="e">
        <v>#N/A</v>
      </c>
      <c r="Q72" s="127" t="e">
        <v>#N/A</v>
      </c>
      <c r="R72" s="127" t="e">
        <v>#N/A</v>
      </c>
      <c r="S72" s="127"/>
      <c r="T72" s="155" t="e">
        <f t="shared" si="47"/>
        <v>#N/A</v>
      </c>
      <c r="U72" s="127" t="e">
        <v>#N/A</v>
      </c>
      <c r="V72" s="127" t="e">
        <v>#N/A</v>
      </c>
      <c r="W72" s="127" t="e">
        <v>#N/A</v>
      </c>
      <c r="X72" s="127" t="e">
        <v>#N/A</v>
      </c>
      <c r="Y72" s="123" t="e">
        <f t="shared" si="64"/>
        <v>#REF!</v>
      </c>
      <c r="Z72" s="155" t="e">
        <f t="shared" si="48"/>
        <v>#N/A</v>
      </c>
      <c r="AA72" s="127" t="e">
        <v>#N/A</v>
      </c>
      <c r="AB72" s="127" t="e">
        <v>#N/A</v>
      </c>
      <c r="AC72" s="127" t="e">
        <v>#N/A</v>
      </c>
      <c r="AD72" s="127" t="e">
        <v>#N/A</v>
      </c>
      <c r="AE72" s="123"/>
      <c r="AF72" s="155" t="e">
        <f t="shared" si="49"/>
        <v>#N/A</v>
      </c>
      <c r="AG72" s="127" t="e">
        <v>#N/A</v>
      </c>
      <c r="AH72" s="127" t="e">
        <v>#N/A</v>
      </c>
      <c r="AI72" s="127" t="e">
        <v>#N/A</v>
      </c>
      <c r="AJ72" s="127" t="e">
        <v>#N/A</v>
      </c>
      <c r="AK72" s="123"/>
      <c r="AL72" s="155" t="e">
        <f t="shared" si="50"/>
        <v>#N/A</v>
      </c>
      <c r="AM72" s="127" t="e">
        <v>#N/A</v>
      </c>
      <c r="AN72" s="127" t="e">
        <v>#N/A</v>
      </c>
      <c r="AO72" s="127" t="e">
        <v>#N/A</v>
      </c>
      <c r="AP72" s="127" t="e">
        <v>#N/A</v>
      </c>
      <c r="AQ72" s="127"/>
      <c r="AR72" s="155" t="e">
        <f t="shared" si="51"/>
        <v>#N/A</v>
      </c>
      <c r="AS72" s="127" t="e">
        <v>#N/A</v>
      </c>
      <c r="AT72" s="127" t="e">
        <v>#N/A</v>
      </c>
      <c r="AU72" s="127" t="e">
        <v>#N/A</v>
      </c>
      <c r="AV72" s="127" t="e">
        <v>#N/A</v>
      </c>
      <c r="AW72" s="123" t="e">
        <f t="shared" si="65"/>
        <v>#REF!</v>
      </c>
      <c r="AX72" s="155" t="e">
        <f t="shared" si="52"/>
        <v>#N/A</v>
      </c>
      <c r="AY72" s="127" t="e">
        <v>#N/A</v>
      </c>
      <c r="AZ72" s="127" t="e">
        <v>#N/A</v>
      </c>
      <c r="BA72" s="127" t="e">
        <v>#N/A</v>
      </c>
      <c r="BB72" s="127" t="e">
        <v>#N/A</v>
      </c>
      <c r="BC72" s="123"/>
      <c r="BD72" s="155" t="e">
        <f t="shared" si="53"/>
        <v>#N/A</v>
      </c>
      <c r="BE72" s="127" t="e">
        <v>#N/A</v>
      </c>
      <c r="BF72" s="127" t="e">
        <v>#N/A</v>
      </c>
      <c r="BG72" s="127" t="e">
        <v>#N/A</v>
      </c>
      <c r="BH72" s="127" t="e">
        <v>#N/A</v>
      </c>
      <c r="BI72" s="123"/>
      <c r="BJ72" s="155" t="e">
        <f t="shared" si="54"/>
        <v>#N/A</v>
      </c>
      <c r="BK72" s="127" t="e">
        <v>#N/A</v>
      </c>
      <c r="BL72" s="127" t="e">
        <v>#N/A</v>
      </c>
      <c r="BM72" s="127" t="e">
        <v>#N/A</v>
      </c>
      <c r="BN72" s="127" t="e">
        <v>#N/A</v>
      </c>
      <c r="BO72" s="127"/>
      <c r="BP72" s="155" t="e">
        <f t="shared" si="55"/>
        <v>#N/A</v>
      </c>
      <c r="BQ72" s="127" t="e">
        <v>#N/A</v>
      </c>
      <c r="BR72" s="127" t="e">
        <v>#N/A</v>
      </c>
      <c r="BS72" s="127" t="e">
        <v>#N/A</v>
      </c>
      <c r="BT72" s="127" t="e">
        <v>#N/A</v>
      </c>
      <c r="BU72" s="123" t="e">
        <f t="shared" si="66"/>
        <v>#REF!</v>
      </c>
      <c r="BV72" s="155" t="e">
        <f t="shared" si="56"/>
        <v>#N/A</v>
      </c>
      <c r="BW72" s="127" t="e">
        <v>#N/A</v>
      </c>
      <c r="BX72" s="127" t="e">
        <v>#N/A</v>
      </c>
      <c r="BY72" s="127" t="e">
        <v>#N/A</v>
      </c>
      <c r="BZ72" s="127" t="e">
        <v>#N/A</v>
      </c>
      <c r="CA72" s="123"/>
      <c r="CB72" s="155" t="e">
        <f t="shared" si="57"/>
        <v>#N/A</v>
      </c>
      <c r="CC72" s="127" t="e">
        <v>#N/A</v>
      </c>
      <c r="CD72" s="127" t="e">
        <v>#N/A</v>
      </c>
      <c r="CE72" s="127" t="e">
        <v>#N/A</v>
      </c>
      <c r="CF72" s="127" t="e">
        <v>#N/A</v>
      </c>
      <c r="CG72" s="123"/>
      <c r="CH72" s="155" t="e">
        <f t="shared" si="58"/>
        <v>#N/A</v>
      </c>
      <c r="CI72" s="127" t="e">
        <v>#N/A</v>
      </c>
      <c r="CJ72" s="127" t="e">
        <v>#N/A</v>
      </c>
      <c r="CK72" s="127" t="e">
        <v>#N/A</v>
      </c>
      <c r="CL72" s="127" t="e">
        <v>#N/A</v>
      </c>
      <c r="CM72" s="127"/>
      <c r="CN72" s="155" t="e">
        <f t="shared" si="59"/>
        <v>#N/A</v>
      </c>
      <c r="CO72" s="127" t="e">
        <v>#N/A</v>
      </c>
      <c r="CP72" s="127" t="e">
        <v>#N/A</v>
      </c>
      <c r="CQ72" s="127" t="e">
        <v>#N/A</v>
      </c>
      <c r="CR72" s="127" t="e">
        <v>#N/A</v>
      </c>
      <c r="CS72" s="123" t="e">
        <f t="shared" si="67"/>
        <v>#REF!</v>
      </c>
      <c r="CT72" s="155" t="e">
        <f t="shared" si="60"/>
        <v>#N/A</v>
      </c>
      <c r="CU72" s="127" t="e">
        <v>#N/A</v>
      </c>
      <c r="CV72" s="127" t="e">
        <v>#N/A</v>
      </c>
      <c r="CW72" s="127" t="e">
        <v>#N/A</v>
      </c>
      <c r="CX72" s="127" t="e">
        <v>#N/A</v>
      </c>
      <c r="CY72" s="123"/>
      <c r="CZ72" s="155" t="e">
        <f t="shared" si="61"/>
        <v>#N/A</v>
      </c>
      <c r="DA72" s="127" t="e">
        <v>#N/A</v>
      </c>
      <c r="DB72" s="127" t="e">
        <v>#N/A</v>
      </c>
      <c r="DC72" s="127" t="e">
        <v>#N/A</v>
      </c>
      <c r="DD72" s="127" t="e">
        <v>#N/A</v>
      </c>
      <c r="DE72" s="123"/>
      <c r="DF72" s="155" t="e">
        <f t="shared" si="62"/>
        <v>#N/A</v>
      </c>
      <c r="DG72" s="127" t="e">
        <v>#N/A</v>
      </c>
      <c r="DH72" s="127" t="e">
        <v>#N/A</v>
      </c>
      <c r="DI72" s="127" t="e">
        <v>#N/A</v>
      </c>
      <c r="DJ72" s="127" t="e">
        <v>#N/A</v>
      </c>
      <c r="DK72" s="127"/>
      <c r="DL72" s="155" t="e">
        <f t="shared" si="63"/>
        <v>#N/A</v>
      </c>
      <c r="DM72" s="127" t="e">
        <v>#N/A</v>
      </c>
      <c r="DN72" s="127" t="e">
        <v>#N/A</v>
      </c>
      <c r="DO72" s="127" t="e">
        <v>#N/A</v>
      </c>
      <c r="DP72" s="127" t="e">
        <v>#N/A</v>
      </c>
    </row>
    <row r="73" spans="1:120" x14ac:dyDescent="0.25">
      <c r="A73" s="123" t="e">
        <f>name!#REF!</f>
        <v>#REF!</v>
      </c>
      <c r="B73" s="155" t="e">
        <f t="shared" si="44"/>
        <v>#N/A</v>
      </c>
      <c r="C73" s="127" t="e">
        <v>#N/A</v>
      </c>
      <c r="D73" s="127" t="e">
        <v>#N/A</v>
      </c>
      <c r="E73" s="127" t="e">
        <v>#N/A</v>
      </c>
      <c r="F73" s="127" t="e">
        <v>#N/A</v>
      </c>
      <c r="G73" s="123"/>
      <c r="H73" s="155" t="e">
        <f t="shared" si="45"/>
        <v>#N/A</v>
      </c>
      <c r="I73" s="127" t="e">
        <v>#N/A</v>
      </c>
      <c r="J73" s="127" t="e">
        <v>#N/A</v>
      </c>
      <c r="K73" s="127" t="e">
        <v>#N/A</v>
      </c>
      <c r="L73" s="127" t="e">
        <v>#N/A</v>
      </c>
      <c r="M73" s="123"/>
      <c r="N73" s="155" t="e">
        <f t="shared" si="46"/>
        <v>#N/A</v>
      </c>
      <c r="O73" s="127" t="e">
        <v>#N/A</v>
      </c>
      <c r="P73" s="127" t="e">
        <v>#N/A</v>
      </c>
      <c r="Q73" s="127" t="e">
        <v>#N/A</v>
      </c>
      <c r="R73" s="127" t="e">
        <v>#N/A</v>
      </c>
      <c r="S73" s="127"/>
      <c r="T73" s="155" t="e">
        <f t="shared" si="47"/>
        <v>#N/A</v>
      </c>
      <c r="U73" s="127" t="e">
        <v>#N/A</v>
      </c>
      <c r="V73" s="127" t="e">
        <v>#N/A</v>
      </c>
      <c r="W73" s="127" t="e">
        <v>#N/A</v>
      </c>
      <c r="X73" s="127" t="e">
        <v>#N/A</v>
      </c>
      <c r="Y73" s="123" t="e">
        <f t="shared" si="64"/>
        <v>#REF!</v>
      </c>
      <c r="Z73" s="155" t="e">
        <f t="shared" si="48"/>
        <v>#N/A</v>
      </c>
      <c r="AA73" s="127" t="e">
        <v>#N/A</v>
      </c>
      <c r="AB73" s="127" t="e">
        <v>#N/A</v>
      </c>
      <c r="AC73" s="127" t="e">
        <v>#N/A</v>
      </c>
      <c r="AD73" s="127" t="e">
        <v>#N/A</v>
      </c>
      <c r="AE73" s="123"/>
      <c r="AF73" s="155" t="e">
        <f t="shared" si="49"/>
        <v>#N/A</v>
      </c>
      <c r="AG73" s="127" t="e">
        <v>#N/A</v>
      </c>
      <c r="AH73" s="127" t="e">
        <v>#N/A</v>
      </c>
      <c r="AI73" s="127" t="e">
        <v>#N/A</v>
      </c>
      <c r="AJ73" s="127" t="e">
        <v>#N/A</v>
      </c>
      <c r="AK73" s="123"/>
      <c r="AL73" s="155" t="e">
        <f t="shared" si="50"/>
        <v>#N/A</v>
      </c>
      <c r="AM73" s="127" t="e">
        <v>#N/A</v>
      </c>
      <c r="AN73" s="127" t="e">
        <v>#N/A</v>
      </c>
      <c r="AO73" s="127" t="e">
        <v>#N/A</v>
      </c>
      <c r="AP73" s="127" t="e">
        <v>#N/A</v>
      </c>
      <c r="AQ73" s="127"/>
      <c r="AR73" s="155" t="e">
        <f t="shared" si="51"/>
        <v>#N/A</v>
      </c>
      <c r="AS73" s="127" t="e">
        <v>#N/A</v>
      </c>
      <c r="AT73" s="127" t="e">
        <v>#N/A</v>
      </c>
      <c r="AU73" s="127" t="e">
        <v>#N/A</v>
      </c>
      <c r="AV73" s="127" t="e">
        <v>#N/A</v>
      </c>
      <c r="AW73" s="123" t="e">
        <f t="shared" si="65"/>
        <v>#REF!</v>
      </c>
      <c r="AX73" s="155" t="e">
        <f t="shared" si="52"/>
        <v>#N/A</v>
      </c>
      <c r="AY73" s="127" t="e">
        <v>#N/A</v>
      </c>
      <c r="AZ73" s="127" t="e">
        <v>#N/A</v>
      </c>
      <c r="BA73" s="127" t="e">
        <v>#N/A</v>
      </c>
      <c r="BB73" s="127" t="e">
        <v>#N/A</v>
      </c>
      <c r="BC73" s="123"/>
      <c r="BD73" s="155" t="e">
        <f t="shared" si="53"/>
        <v>#N/A</v>
      </c>
      <c r="BE73" s="127" t="e">
        <v>#N/A</v>
      </c>
      <c r="BF73" s="127" t="e">
        <v>#N/A</v>
      </c>
      <c r="BG73" s="127" t="e">
        <v>#N/A</v>
      </c>
      <c r="BH73" s="127" t="e">
        <v>#N/A</v>
      </c>
      <c r="BI73" s="123"/>
      <c r="BJ73" s="155" t="e">
        <f t="shared" si="54"/>
        <v>#N/A</v>
      </c>
      <c r="BK73" s="127" t="e">
        <v>#N/A</v>
      </c>
      <c r="BL73" s="127" t="e">
        <v>#N/A</v>
      </c>
      <c r="BM73" s="127" t="e">
        <v>#N/A</v>
      </c>
      <c r="BN73" s="127" t="e">
        <v>#N/A</v>
      </c>
      <c r="BO73" s="127"/>
      <c r="BP73" s="155" t="e">
        <f t="shared" si="55"/>
        <v>#N/A</v>
      </c>
      <c r="BQ73" s="127" t="e">
        <v>#N/A</v>
      </c>
      <c r="BR73" s="127" t="e">
        <v>#N/A</v>
      </c>
      <c r="BS73" s="127" t="e">
        <v>#N/A</v>
      </c>
      <c r="BT73" s="127" t="e">
        <v>#N/A</v>
      </c>
      <c r="BU73" s="123" t="e">
        <f t="shared" si="66"/>
        <v>#REF!</v>
      </c>
      <c r="BV73" s="155" t="e">
        <f t="shared" si="56"/>
        <v>#N/A</v>
      </c>
      <c r="BW73" s="127" t="e">
        <v>#N/A</v>
      </c>
      <c r="BX73" s="127" t="e">
        <v>#N/A</v>
      </c>
      <c r="BY73" s="127" t="e">
        <v>#N/A</v>
      </c>
      <c r="BZ73" s="127" t="e">
        <v>#N/A</v>
      </c>
      <c r="CA73" s="123"/>
      <c r="CB73" s="155" t="e">
        <f t="shared" si="57"/>
        <v>#N/A</v>
      </c>
      <c r="CC73" s="127" t="e">
        <v>#N/A</v>
      </c>
      <c r="CD73" s="127" t="e">
        <v>#N/A</v>
      </c>
      <c r="CE73" s="127" t="e">
        <v>#N/A</v>
      </c>
      <c r="CF73" s="127" t="e">
        <v>#N/A</v>
      </c>
      <c r="CG73" s="123"/>
      <c r="CH73" s="155" t="e">
        <f t="shared" si="58"/>
        <v>#N/A</v>
      </c>
      <c r="CI73" s="127" t="e">
        <v>#N/A</v>
      </c>
      <c r="CJ73" s="127" t="e">
        <v>#N/A</v>
      </c>
      <c r="CK73" s="127" t="e">
        <v>#N/A</v>
      </c>
      <c r="CL73" s="127" t="e">
        <v>#N/A</v>
      </c>
      <c r="CM73" s="127"/>
      <c r="CN73" s="155" t="e">
        <f t="shared" si="59"/>
        <v>#N/A</v>
      </c>
      <c r="CO73" s="127" t="e">
        <v>#N/A</v>
      </c>
      <c r="CP73" s="127" t="e">
        <v>#N/A</v>
      </c>
      <c r="CQ73" s="127" t="e">
        <v>#N/A</v>
      </c>
      <c r="CR73" s="127" t="e">
        <v>#N/A</v>
      </c>
      <c r="CS73" s="123" t="e">
        <f t="shared" si="67"/>
        <v>#REF!</v>
      </c>
      <c r="CT73" s="155" t="e">
        <f t="shared" si="60"/>
        <v>#N/A</v>
      </c>
      <c r="CU73" s="127" t="e">
        <v>#N/A</v>
      </c>
      <c r="CV73" s="127" t="e">
        <v>#N/A</v>
      </c>
      <c r="CW73" s="127" t="e">
        <v>#N/A</v>
      </c>
      <c r="CX73" s="127" t="e">
        <v>#N/A</v>
      </c>
      <c r="CY73" s="123"/>
      <c r="CZ73" s="155" t="e">
        <f t="shared" si="61"/>
        <v>#N/A</v>
      </c>
      <c r="DA73" s="127" t="e">
        <v>#N/A</v>
      </c>
      <c r="DB73" s="127" t="e">
        <v>#N/A</v>
      </c>
      <c r="DC73" s="127" t="e">
        <v>#N/A</v>
      </c>
      <c r="DD73" s="127" t="e">
        <v>#N/A</v>
      </c>
      <c r="DE73" s="123"/>
      <c r="DF73" s="155" t="e">
        <f t="shared" si="62"/>
        <v>#N/A</v>
      </c>
      <c r="DG73" s="127" t="e">
        <v>#N/A</v>
      </c>
      <c r="DH73" s="127" t="e">
        <v>#N/A</v>
      </c>
      <c r="DI73" s="127" t="e">
        <v>#N/A</v>
      </c>
      <c r="DJ73" s="127" t="e">
        <v>#N/A</v>
      </c>
      <c r="DK73" s="127"/>
      <c r="DL73" s="155" t="e">
        <f t="shared" si="63"/>
        <v>#N/A</v>
      </c>
      <c r="DM73" s="127" t="e">
        <v>#N/A</v>
      </c>
      <c r="DN73" s="127" t="e">
        <v>#N/A</v>
      </c>
      <c r="DO73" s="127" t="e">
        <v>#N/A</v>
      </c>
      <c r="DP73" s="127" t="e">
        <v>#N/A</v>
      </c>
    </row>
    <row r="74" spans="1:120" x14ac:dyDescent="0.25">
      <c r="A74" s="123" t="e">
        <f>name!#REF!</f>
        <v>#REF!</v>
      </c>
      <c r="B74" s="155" t="e">
        <f t="shared" si="44"/>
        <v>#N/A</v>
      </c>
      <c r="C74" s="127" t="e">
        <v>#N/A</v>
      </c>
      <c r="D74" s="127" t="e">
        <v>#N/A</v>
      </c>
      <c r="E74" s="127" t="e">
        <v>#N/A</v>
      </c>
      <c r="F74" s="127" t="e">
        <v>#N/A</v>
      </c>
      <c r="G74" s="123"/>
      <c r="H74" s="155" t="e">
        <f t="shared" si="45"/>
        <v>#N/A</v>
      </c>
      <c r="I74" s="127" t="e">
        <v>#N/A</v>
      </c>
      <c r="J74" s="127" t="e">
        <v>#N/A</v>
      </c>
      <c r="K74" s="127" t="e">
        <v>#N/A</v>
      </c>
      <c r="L74" s="127" t="e">
        <v>#N/A</v>
      </c>
      <c r="M74" s="123"/>
      <c r="N74" s="155" t="e">
        <f t="shared" si="46"/>
        <v>#N/A</v>
      </c>
      <c r="O74" s="127" t="e">
        <v>#N/A</v>
      </c>
      <c r="P74" s="127" t="e">
        <v>#N/A</v>
      </c>
      <c r="Q74" s="127" t="e">
        <v>#N/A</v>
      </c>
      <c r="R74" s="127" t="e">
        <v>#N/A</v>
      </c>
      <c r="S74" s="127"/>
      <c r="T74" s="155" t="e">
        <f t="shared" si="47"/>
        <v>#N/A</v>
      </c>
      <c r="U74" s="127" t="e">
        <v>#N/A</v>
      </c>
      <c r="V74" s="127" t="e">
        <v>#N/A</v>
      </c>
      <c r="W74" s="127" t="e">
        <v>#N/A</v>
      </c>
      <c r="X74" s="127" t="e">
        <v>#N/A</v>
      </c>
      <c r="Y74" s="123" t="e">
        <f t="shared" si="64"/>
        <v>#REF!</v>
      </c>
      <c r="Z74" s="155" t="e">
        <f t="shared" si="48"/>
        <v>#N/A</v>
      </c>
      <c r="AA74" s="127" t="e">
        <v>#N/A</v>
      </c>
      <c r="AB74" s="127" t="e">
        <v>#N/A</v>
      </c>
      <c r="AC74" s="127" t="e">
        <v>#N/A</v>
      </c>
      <c r="AD74" s="127" t="e">
        <v>#N/A</v>
      </c>
      <c r="AE74" s="123"/>
      <c r="AF74" s="155" t="e">
        <f t="shared" si="49"/>
        <v>#N/A</v>
      </c>
      <c r="AG74" s="127" t="e">
        <v>#N/A</v>
      </c>
      <c r="AH74" s="127" t="e">
        <v>#N/A</v>
      </c>
      <c r="AI74" s="127" t="e">
        <v>#N/A</v>
      </c>
      <c r="AJ74" s="127" t="e">
        <v>#N/A</v>
      </c>
      <c r="AK74" s="123"/>
      <c r="AL74" s="155" t="e">
        <f t="shared" si="50"/>
        <v>#N/A</v>
      </c>
      <c r="AM74" s="127" t="e">
        <v>#N/A</v>
      </c>
      <c r="AN74" s="127" t="e">
        <v>#N/A</v>
      </c>
      <c r="AO74" s="127" t="e">
        <v>#N/A</v>
      </c>
      <c r="AP74" s="127" t="e">
        <v>#N/A</v>
      </c>
      <c r="AQ74" s="127"/>
      <c r="AR74" s="155" t="e">
        <f t="shared" si="51"/>
        <v>#N/A</v>
      </c>
      <c r="AS74" s="127" t="e">
        <v>#N/A</v>
      </c>
      <c r="AT74" s="127" t="e">
        <v>#N/A</v>
      </c>
      <c r="AU74" s="127" t="e">
        <v>#N/A</v>
      </c>
      <c r="AV74" s="127" t="e">
        <v>#N/A</v>
      </c>
      <c r="AW74" s="123" t="e">
        <f t="shared" si="65"/>
        <v>#REF!</v>
      </c>
      <c r="AX74" s="155" t="e">
        <f t="shared" si="52"/>
        <v>#N/A</v>
      </c>
      <c r="AY74" s="127" t="e">
        <v>#N/A</v>
      </c>
      <c r="AZ74" s="127" t="e">
        <v>#N/A</v>
      </c>
      <c r="BA74" s="127" t="e">
        <v>#N/A</v>
      </c>
      <c r="BB74" s="127" t="e">
        <v>#N/A</v>
      </c>
      <c r="BC74" s="123"/>
      <c r="BD74" s="155" t="e">
        <f t="shared" si="53"/>
        <v>#N/A</v>
      </c>
      <c r="BE74" s="127" t="e">
        <v>#N/A</v>
      </c>
      <c r="BF74" s="127" t="e">
        <v>#N/A</v>
      </c>
      <c r="BG74" s="127" t="e">
        <v>#N/A</v>
      </c>
      <c r="BH74" s="127" t="e">
        <v>#N/A</v>
      </c>
      <c r="BI74" s="123"/>
      <c r="BJ74" s="155" t="e">
        <f t="shared" si="54"/>
        <v>#N/A</v>
      </c>
      <c r="BK74" s="127" t="e">
        <v>#N/A</v>
      </c>
      <c r="BL74" s="127" t="e">
        <v>#N/A</v>
      </c>
      <c r="BM74" s="127" t="e">
        <v>#N/A</v>
      </c>
      <c r="BN74" s="127" t="e">
        <v>#N/A</v>
      </c>
      <c r="BO74" s="127"/>
      <c r="BP74" s="155" t="e">
        <f t="shared" si="55"/>
        <v>#N/A</v>
      </c>
      <c r="BQ74" s="127" t="e">
        <v>#N/A</v>
      </c>
      <c r="BR74" s="127" t="e">
        <v>#N/A</v>
      </c>
      <c r="BS74" s="127" t="e">
        <v>#N/A</v>
      </c>
      <c r="BT74" s="127" t="e">
        <v>#N/A</v>
      </c>
      <c r="BU74" s="123" t="e">
        <f t="shared" si="66"/>
        <v>#REF!</v>
      </c>
      <c r="BV74" s="155" t="e">
        <f t="shared" si="56"/>
        <v>#N/A</v>
      </c>
      <c r="BW74" s="127" t="e">
        <v>#N/A</v>
      </c>
      <c r="BX74" s="127" t="e">
        <v>#N/A</v>
      </c>
      <c r="BY74" s="127" t="e">
        <v>#N/A</v>
      </c>
      <c r="BZ74" s="127" t="e">
        <v>#N/A</v>
      </c>
      <c r="CA74" s="123"/>
      <c r="CB74" s="155" t="e">
        <f t="shared" si="57"/>
        <v>#N/A</v>
      </c>
      <c r="CC74" s="127" t="e">
        <v>#N/A</v>
      </c>
      <c r="CD74" s="127" t="e">
        <v>#N/A</v>
      </c>
      <c r="CE74" s="127" t="e">
        <v>#N/A</v>
      </c>
      <c r="CF74" s="127" t="e">
        <v>#N/A</v>
      </c>
      <c r="CG74" s="123"/>
      <c r="CH74" s="155" t="e">
        <f t="shared" si="58"/>
        <v>#N/A</v>
      </c>
      <c r="CI74" s="127" t="e">
        <v>#N/A</v>
      </c>
      <c r="CJ74" s="127" t="e">
        <v>#N/A</v>
      </c>
      <c r="CK74" s="127" t="e">
        <v>#N/A</v>
      </c>
      <c r="CL74" s="127" t="e">
        <v>#N/A</v>
      </c>
      <c r="CM74" s="127"/>
      <c r="CN74" s="155" t="e">
        <f t="shared" si="59"/>
        <v>#N/A</v>
      </c>
      <c r="CO74" s="127" t="e">
        <v>#N/A</v>
      </c>
      <c r="CP74" s="127" t="e">
        <v>#N/A</v>
      </c>
      <c r="CQ74" s="127" t="e">
        <v>#N/A</v>
      </c>
      <c r="CR74" s="127" t="e">
        <v>#N/A</v>
      </c>
      <c r="CS74" s="123" t="e">
        <f t="shared" si="67"/>
        <v>#REF!</v>
      </c>
      <c r="CT74" s="155" t="e">
        <f t="shared" si="60"/>
        <v>#N/A</v>
      </c>
      <c r="CU74" s="127" t="e">
        <v>#N/A</v>
      </c>
      <c r="CV74" s="127" t="e">
        <v>#N/A</v>
      </c>
      <c r="CW74" s="127" t="e">
        <v>#N/A</v>
      </c>
      <c r="CX74" s="127" t="e">
        <v>#N/A</v>
      </c>
      <c r="CY74" s="123"/>
      <c r="CZ74" s="155" t="e">
        <f t="shared" si="61"/>
        <v>#N/A</v>
      </c>
      <c r="DA74" s="127" t="e">
        <v>#N/A</v>
      </c>
      <c r="DB74" s="127" t="e">
        <v>#N/A</v>
      </c>
      <c r="DC74" s="127" t="e">
        <v>#N/A</v>
      </c>
      <c r="DD74" s="127" t="e">
        <v>#N/A</v>
      </c>
      <c r="DE74" s="123"/>
      <c r="DF74" s="155" t="e">
        <f t="shared" si="62"/>
        <v>#N/A</v>
      </c>
      <c r="DG74" s="127" t="e">
        <v>#N/A</v>
      </c>
      <c r="DH74" s="127" t="e">
        <v>#N/A</v>
      </c>
      <c r="DI74" s="127" t="e">
        <v>#N/A</v>
      </c>
      <c r="DJ74" s="127" t="e">
        <v>#N/A</v>
      </c>
      <c r="DK74" s="127"/>
      <c r="DL74" s="155" t="e">
        <f t="shared" si="63"/>
        <v>#N/A</v>
      </c>
      <c r="DM74" s="127" t="e">
        <v>#N/A</v>
      </c>
      <c r="DN74" s="127" t="e">
        <v>#N/A</v>
      </c>
      <c r="DO74" s="127" t="e">
        <v>#N/A</v>
      </c>
      <c r="DP74" s="127" t="e">
        <v>#N/A</v>
      </c>
    </row>
    <row r="75" spans="1:120" x14ac:dyDescent="0.25">
      <c r="A75" s="123" t="e">
        <f>name!#REF!</f>
        <v>#REF!</v>
      </c>
      <c r="B75" s="155" t="e">
        <f t="shared" si="44"/>
        <v>#N/A</v>
      </c>
      <c r="C75" s="127" t="e">
        <v>#N/A</v>
      </c>
      <c r="D75" s="127" t="e">
        <v>#N/A</v>
      </c>
      <c r="E75" s="127" t="e">
        <v>#N/A</v>
      </c>
      <c r="F75" s="127" t="e">
        <v>#N/A</v>
      </c>
      <c r="G75" s="123"/>
      <c r="H75" s="155" t="e">
        <f t="shared" si="45"/>
        <v>#N/A</v>
      </c>
      <c r="I75" s="127" t="e">
        <v>#N/A</v>
      </c>
      <c r="J75" s="127" t="e">
        <v>#N/A</v>
      </c>
      <c r="K75" s="127" t="e">
        <v>#N/A</v>
      </c>
      <c r="L75" s="127" t="e">
        <v>#N/A</v>
      </c>
      <c r="M75" s="123"/>
      <c r="N75" s="155" t="e">
        <f t="shared" si="46"/>
        <v>#N/A</v>
      </c>
      <c r="O75" s="127" t="e">
        <v>#N/A</v>
      </c>
      <c r="P75" s="127" t="e">
        <v>#N/A</v>
      </c>
      <c r="Q75" s="127" t="e">
        <v>#N/A</v>
      </c>
      <c r="R75" s="127" t="e">
        <v>#N/A</v>
      </c>
      <c r="S75" s="127"/>
      <c r="T75" s="155" t="e">
        <f t="shared" si="47"/>
        <v>#N/A</v>
      </c>
      <c r="U75" s="127" t="e">
        <v>#N/A</v>
      </c>
      <c r="V75" s="127" t="e">
        <v>#N/A</v>
      </c>
      <c r="W75" s="127" t="e">
        <v>#N/A</v>
      </c>
      <c r="X75" s="127" t="e">
        <v>#N/A</v>
      </c>
      <c r="Y75" s="123" t="e">
        <f t="shared" si="64"/>
        <v>#REF!</v>
      </c>
      <c r="Z75" s="155" t="e">
        <f t="shared" si="48"/>
        <v>#N/A</v>
      </c>
      <c r="AA75" s="127" t="e">
        <v>#N/A</v>
      </c>
      <c r="AB75" s="127" t="e">
        <v>#N/A</v>
      </c>
      <c r="AC75" s="127" t="e">
        <v>#N/A</v>
      </c>
      <c r="AD75" s="127" t="e">
        <v>#N/A</v>
      </c>
      <c r="AE75" s="123"/>
      <c r="AF75" s="155" t="e">
        <f t="shared" si="49"/>
        <v>#N/A</v>
      </c>
      <c r="AG75" s="127" t="e">
        <v>#N/A</v>
      </c>
      <c r="AH75" s="127" t="e">
        <v>#N/A</v>
      </c>
      <c r="AI75" s="127" t="e">
        <v>#N/A</v>
      </c>
      <c r="AJ75" s="127" t="e">
        <v>#N/A</v>
      </c>
      <c r="AK75" s="123"/>
      <c r="AL75" s="155" t="e">
        <f t="shared" si="50"/>
        <v>#N/A</v>
      </c>
      <c r="AM75" s="127" t="e">
        <v>#N/A</v>
      </c>
      <c r="AN75" s="127" t="e">
        <v>#N/A</v>
      </c>
      <c r="AO75" s="127" t="e">
        <v>#N/A</v>
      </c>
      <c r="AP75" s="127" t="e">
        <v>#N/A</v>
      </c>
      <c r="AQ75" s="127"/>
      <c r="AR75" s="155" t="e">
        <f t="shared" si="51"/>
        <v>#N/A</v>
      </c>
      <c r="AS75" s="127" t="e">
        <v>#N/A</v>
      </c>
      <c r="AT75" s="127" t="e">
        <v>#N/A</v>
      </c>
      <c r="AU75" s="127" t="e">
        <v>#N/A</v>
      </c>
      <c r="AV75" s="127" t="e">
        <v>#N/A</v>
      </c>
      <c r="AW75" s="123" t="e">
        <f t="shared" si="65"/>
        <v>#REF!</v>
      </c>
      <c r="AX75" s="155" t="e">
        <f t="shared" si="52"/>
        <v>#N/A</v>
      </c>
      <c r="AY75" s="127" t="e">
        <v>#N/A</v>
      </c>
      <c r="AZ75" s="127" t="e">
        <v>#N/A</v>
      </c>
      <c r="BA75" s="127" t="e">
        <v>#N/A</v>
      </c>
      <c r="BB75" s="127" t="e">
        <v>#N/A</v>
      </c>
      <c r="BC75" s="123"/>
      <c r="BD75" s="155" t="e">
        <f t="shared" si="53"/>
        <v>#N/A</v>
      </c>
      <c r="BE75" s="127" t="e">
        <v>#N/A</v>
      </c>
      <c r="BF75" s="127" t="e">
        <v>#N/A</v>
      </c>
      <c r="BG75" s="127" t="e">
        <v>#N/A</v>
      </c>
      <c r="BH75" s="127" t="e">
        <v>#N/A</v>
      </c>
      <c r="BI75" s="123"/>
      <c r="BJ75" s="155" t="e">
        <f t="shared" si="54"/>
        <v>#N/A</v>
      </c>
      <c r="BK75" s="127" t="e">
        <v>#N/A</v>
      </c>
      <c r="BL75" s="127" t="e">
        <v>#N/A</v>
      </c>
      <c r="BM75" s="127" t="e">
        <v>#N/A</v>
      </c>
      <c r="BN75" s="127" t="e">
        <v>#N/A</v>
      </c>
      <c r="BO75" s="127"/>
      <c r="BP75" s="155" t="e">
        <f t="shared" si="55"/>
        <v>#N/A</v>
      </c>
      <c r="BQ75" s="127" t="e">
        <v>#N/A</v>
      </c>
      <c r="BR75" s="127" t="e">
        <v>#N/A</v>
      </c>
      <c r="BS75" s="127" t="e">
        <v>#N/A</v>
      </c>
      <c r="BT75" s="127" t="e">
        <v>#N/A</v>
      </c>
      <c r="BU75" s="123" t="e">
        <f t="shared" si="66"/>
        <v>#REF!</v>
      </c>
      <c r="BV75" s="155" t="e">
        <f t="shared" si="56"/>
        <v>#N/A</v>
      </c>
      <c r="BW75" s="127" t="e">
        <v>#N/A</v>
      </c>
      <c r="BX75" s="127" t="e">
        <v>#N/A</v>
      </c>
      <c r="BY75" s="127" t="e">
        <v>#N/A</v>
      </c>
      <c r="BZ75" s="127" t="e">
        <v>#N/A</v>
      </c>
      <c r="CA75" s="123"/>
      <c r="CB75" s="155" t="e">
        <f t="shared" si="57"/>
        <v>#N/A</v>
      </c>
      <c r="CC75" s="127" t="e">
        <v>#N/A</v>
      </c>
      <c r="CD75" s="127" t="e">
        <v>#N/A</v>
      </c>
      <c r="CE75" s="127" t="e">
        <v>#N/A</v>
      </c>
      <c r="CF75" s="127" t="e">
        <v>#N/A</v>
      </c>
      <c r="CG75" s="123"/>
      <c r="CH75" s="155" t="e">
        <f t="shared" si="58"/>
        <v>#N/A</v>
      </c>
      <c r="CI75" s="127" t="e">
        <v>#N/A</v>
      </c>
      <c r="CJ75" s="127" t="e">
        <v>#N/A</v>
      </c>
      <c r="CK75" s="127" t="e">
        <v>#N/A</v>
      </c>
      <c r="CL75" s="127" t="e">
        <v>#N/A</v>
      </c>
      <c r="CM75" s="127"/>
      <c r="CN75" s="155" t="e">
        <f t="shared" si="59"/>
        <v>#N/A</v>
      </c>
      <c r="CO75" s="127" t="e">
        <v>#N/A</v>
      </c>
      <c r="CP75" s="127" t="e">
        <v>#N/A</v>
      </c>
      <c r="CQ75" s="127" t="e">
        <v>#N/A</v>
      </c>
      <c r="CR75" s="127" t="e">
        <v>#N/A</v>
      </c>
      <c r="CS75" s="123" t="e">
        <f t="shared" si="67"/>
        <v>#REF!</v>
      </c>
      <c r="CT75" s="155" t="e">
        <f t="shared" si="60"/>
        <v>#N/A</v>
      </c>
      <c r="CU75" s="127" t="e">
        <v>#N/A</v>
      </c>
      <c r="CV75" s="127" t="e">
        <v>#N/A</v>
      </c>
      <c r="CW75" s="127" t="e">
        <v>#N/A</v>
      </c>
      <c r="CX75" s="127" t="e">
        <v>#N/A</v>
      </c>
      <c r="CY75" s="123"/>
      <c r="CZ75" s="155" t="e">
        <f t="shared" si="61"/>
        <v>#N/A</v>
      </c>
      <c r="DA75" s="127" t="e">
        <v>#N/A</v>
      </c>
      <c r="DB75" s="127" t="e">
        <v>#N/A</v>
      </c>
      <c r="DC75" s="127" t="e">
        <v>#N/A</v>
      </c>
      <c r="DD75" s="127" t="e">
        <v>#N/A</v>
      </c>
      <c r="DE75" s="123"/>
      <c r="DF75" s="155" t="e">
        <f t="shared" si="62"/>
        <v>#N/A</v>
      </c>
      <c r="DG75" s="127" t="e">
        <v>#N/A</v>
      </c>
      <c r="DH75" s="127" t="e">
        <v>#N/A</v>
      </c>
      <c r="DI75" s="127" t="e">
        <v>#N/A</v>
      </c>
      <c r="DJ75" s="127" t="e">
        <v>#N/A</v>
      </c>
      <c r="DK75" s="127"/>
      <c r="DL75" s="155" t="e">
        <f t="shared" si="63"/>
        <v>#N/A</v>
      </c>
      <c r="DM75" s="127" t="e">
        <v>#N/A</v>
      </c>
      <c r="DN75" s="127" t="e">
        <v>#N/A</v>
      </c>
      <c r="DO75" s="127" t="e">
        <v>#N/A</v>
      </c>
      <c r="DP75" s="127" t="e">
        <v>#N/A</v>
      </c>
    </row>
    <row r="76" spans="1:120" x14ac:dyDescent="0.25">
      <c r="B76" s="155"/>
      <c r="G76" s="123"/>
      <c r="H76" s="155"/>
      <c r="M76" s="123"/>
      <c r="N76" s="155"/>
      <c r="T76" s="155"/>
      <c r="Z76" s="155"/>
      <c r="AE76" s="123"/>
      <c r="AF76" s="155"/>
      <c r="AK76" s="123"/>
      <c r="AL76" s="155"/>
      <c r="AR76" s="155"/>
      <c r="AX76" s="155"/>
      <c r="BC76" s="123"/>
      <c r="BD76" s="155"/>
      <c r="BI76" s="123"/>
      <c r="BJ76" s="155"/>
      <c r="BP76" s="155"/>
      <c r="BV76" s="155"/>
      <c r="CA76" s="123"/>
      <c r="CB76" s="155"/>
      <c r="CG76" s="123"/>
      <c r="CH76" s="155"/>
      <c r="CN76" s="155"/>
      <c r="CT76" s="155"/>
      <c r="CY76" s="123"/>
      <c r="CZ76" s="155"/>
      <c r="DE76" s="123"/>
      <c r="DF76" s="155"/>
      <c r="DL76" s="155"/>
    </row>
    <row r="77" spans="1:120" x14ac:dyDescent="0.25">
      <c r="A77" s="124" t="e">
        <f>name!#REF!</f>
        <v>#REF!</v>
      </c>
      <c r="B77" s="156">
        <f t="shared" si="44"/>
        <v>2.7912372459239387</v>
      </c>
      <c r="C77" s="125">
        <f>C50</f>
        <v>4561.2992279926211</v>
      </c>
      <c r="D77" s="125">
        <f>D50</f>
        <v>431.97496524334053</v>
      </c>
      <c r="E77" s="125">
        <f>E50</f>
        <v>1445.5882710202891</v>
      </c>
      <c r="F77" s="125">
        <f>F50</f>
        <v>1877.5632362636297</v>
      </c>
      <c r="G77" s="124"/>
      <c r="H77" s="156">
        <f t="shared" si="45"/>
        <v>2.6517730789267446</v>
      </c>
      <c r="I77" s="125">
        <f>I50</f>
        <v>774.77767553257945</v>
      </c>
      <c r="J77" s="125">
        <f>J50</f>
        <v>-90.9176985646708</v>
      </c>
      <c r="K77" s="125">
        <f>K50</f>
        <v>231.78692033646578</v>
      </c>
      <c r="L77" s="125">
        <f>L50</f>
        <v>140.86922177179497</v>
      </c>
      <c r="M77" s="124"/>
      <c r="N77" s="156">
        <f t="shared" si="46"/>
        <v>2.6893242464146816</v>
      </c>
      <c r="O77" s="125">
        <f>O50</f>
        <v>1810.6123702397726</v>
      </c>
      <c r="P77" s="125">
        <f>P50</f>
        <v>208.84741372398935</v>
      </c>
      <c r="Q77" s="125">
        <f>Q50</f>
        <v>550.29225403969679</v>
      </c>
      <c r="R77" s="125">
        <f>R50</f>
        <v>759.13966776368613</v>
      </c>
      <c r="S77" s="125"/>
      <c r="T77" s="156">
        <f t="shared" si="47"/>
        <v>2.9376202991175049</v>
      </c>
      <c r="U77" s="125">
        <f>U50</f>
        <v>1975.9091822202711</v>
      </c>
      <c r="V77" s="125">
        <f>V50</f>
        <v>314.04525008402186</v>
      </c>
      <c r="W77" s="125">
        <f>W50</f>
        <v>663.50909664412427</v>
      </c>
      <c r="X77" s="125">
        <f>X50</f>
        <v>977.55434672814613</v>
      </c>
      <c r="Y77" s="146" t="e">
        <f>A77</f>
        <v>#REF!</v>
      </c>
      <c r="Z77" s="156">
        <f>IF(AA77&gt;0,((1+(AC77/AA77))^(1/($A$101-$A$100))-1)*100,0)</f>
        <v>2.9771972098236787</v>
      </c>
      <c r="AA77" s="125">
        <f>AA50</f>
        <v>2141.7348734083043</v>
      </c>
      <c r="AB77" s="125">
        <f>AB50</f>
        <v>328.18012130131888</v>
      </c>
      <c r="AC77" s="125">
        <f>AC50</f>
        <v>730.21185757939747</v>
      </c>
      <c r="AD77" s="125">
        <f>AD50</f>
        <v>1058.3919788807164</v>
      </c>
      <c r="AE77" s="124"/>
      <c r="AF77" s="156">
        <f>IF(AG77&gt;0,((1+(AI77/AG77))^(1/($A$101-$A$100))-1)*100,0)</f>
        <v>3.0280155732974823</v>
      </c>
      <c r="AG77" s="125">
        <f>AG50</f>
        <v>114.36183531349347</v>
      </c>
      <c r="AH77" s="125">
        <f>AH50</f>
        <v>10.806009020856356</v>
      </c>
      <c r="AI77" s="125">
        <f>AI50</f>
        <v>39.749458273691218</v>
      </c>
      <c r="AJ77" s="125">
        <f>AJ50</f>
        <v>50.555467294547576</v>
      </c>
      <c r="AK77" s="124"/>
      <c r="AL77" s="156">
        <f>IF(AM77&gt;0,((1+(AO77/AM77))^(1/($A$101-$A$100))-1)*100,0)</f>
        <v>2.9663353480916088</v>
      </c>
      <c r="AM77" s="125">
        <f>AM50</f>
        <v>484.03376220781502</v>
      </c>
      <c r="AN77" s="125">
        <f>AN50</f>
        <v>80.752171418150368</v>
      </c>
      <c r="AO77" s="125">
        <f>AO50</f>
        <v>164.34415782441963</v>
      </c>
      <c r="AP77" s="125">
        <f>AP50</f>
        <v>245.09632924256999</v>
      </c>
      <c r="AQ77" s="125"/>
      <c r="AR77" s="156">
        <f>IF(AS77&gt;0,((1+(AU77/AS77))^(1/($A$101-$A$100))-1)*100,0)</f>
        <v>2.9768281396108875</v>
      </c>
      <c r="AS77" s="125">
        <f>AS50</f>
        <v>1543.3392758869961</v>
      </c>
      <c r="AT77" s="125">
        <f>AT50</f>
        <v>236.62194086231219</v>
      </c>
      <c r="AU77" s="125">
        <f>AU50</f>
        <v>526.11824148128676</v>
      </c>
      <c r="AV77" s="125">
        <f>AV50</f>
        <v>762.74018234359892</v>
      </c>
      <c r="AW77" s="146" t="e">
        <f>Y77</f>
        <v>#REF!</v>
      </c>
      <c r="AX77" s="156">
        <f>IF(AY77&gt;0,((1+(BA77/AY77))^(1/($A$101-$A$100))-1)*100,0)</f>
        <v>2.5960689907792656</v>
      </c>
      <c r="AY77" s="125">
        <f>AY50</f>
        <v>1169.4910110900296</v>
      </c>
      <c r="AZ77" s="125">
        <f>AZ50</f>
        <v>61.012733866251224</v>
      </c>
      <c r="BA77" s="125">
        <f>BA50</f>
        <v>341.64688672572964</v>
      </c>
      <c r="BB77" s="125">
        <f>BB50</f>
        <v>402.65962059198085</v>
      </c>
      <c r="BC77" s="124"/>
      <c r="BD77" s="156">
        <f>IF(BE77&gt;0,((1+(BG77/BE77))^(1/($A$101-$A$100))-1)*100,0)</f>
        <v>2.5108134589674425</v>
      </c>
      <c r="BE77" s="125">
        <f>BE50</f>
        <v>196.77997170605971</v>
      </c>
      <c r="BF77" s="125">
        <f>BF50</f>
        <v>-19.19988351079143</v>
      </c>
      <c r="BG77" s="125">
        <f>BG50</f>
        <v>55.380896948664599</v>
      </c>
      <c r="BH77" s="125">
        <f>BH50</f>
        <v>36.181013437873169</v>
      </c>
      <c r="BI77" s="124"/>
      <c r="BJ77" s="156">
        <f>IF(BK77&gt;0,((1+(BM77/BK77))^(1/($A$101-$A$100))-1)*100,0)</f>
        <v>2.5531077119064882</v>
      </c>
      <c r="BK77" s="125">
        <f>BK50</f>
        <v>650.12175377402275</v>
      </c>
      <c r="BL77" s="125">
        <f>BL50</f>
        <v>42.192712487148434</v>
      </c>
      <c r="BM77" s="125">
        <f>BM50</f>
        <v>186.41100647521165</v>
      </c>
      <c r="BN77" s="125">
        <f>BN50</f>
        <v>228.60371896236009</v>
      </c>
      <c r="BO77" s="125"/>
      <c r="BP77" s="156">
        <f>IF(BQ77&gt;0,((1+(BS77/BQ77))^(1/($A$101-$A$100))-1)*100,0)</f>
        <v>2.7334678665663192</v>
      </c>
      <c r="BQ77" s="125">
        <f>BQ50</f>
        <v>322.58928560994713</v>
      </c>
      <c r="BR77" s="125">
        <f>BR50</f>
        <v>38.019904889894228</v>
      </c>
      <c r="BS77" s="125">
        <f>BS50</f>
        <v>99.854983301853494</v>
      </c>
      <c r="BT77" s="125">
        <f>BT50</f>
        <v>137.87488819174771</v>
      </c>
      <c r="BU77" s="146" t="e">
        <f>AW77</f>
        <v>#REF!</v>
      </c>
      <c r="BV77" s="156">
        <f>IF(BW77&gt;0,((1+(BY77/BW77))^(1/($A$101-$A$100))-1)*100,0)</f>
        <v>2.5889208699682698</v>
      </c>
      <c r="BW77" s="125">
        <f>BW50</f>
        <v>786.26148565798121</v>
      </c>
      <c r="BX77" s="125">
        <f>BX50</f>
        <v>-16.768227409449015</v>
      </c>
      <c r="BY77" s="125">
        <f>BY50</f>
        <v>228.98528730973825</v>
      </c>
      <c r="BZ77" s="125">
        <f>BZ50</f>
        <v>212.21705990028923</v>
      </c>
      <c r="CA77" s="124"/>
      <c r="CB77" s="156">
        <f>IF(CC77&gt;0,((1+(CE77/CC77))^(1/($A$101-$A$100))-1)*100,0)</f>
        <v>2.5278948366694864</v>
      </c>
      <c r="CC77" s="125">
        <f>CC50</f>
        <v>257.91842111045776</v>
      </c>
      <c r="CD77" s="125">
        <f>CD50</f>
        <v>-52.179148361626908</v>
      </c>
      <c r="CE77" s="125">
        <f>CE50</f>
        <v>73.138570554183204</v>
      </c>
      <c r="CF77" s="125">
        <f>CF50</f>
        <v>20.959422192556296</v>
      </c>
      <c r="CG77" s="124"/>
      <c r="CH77" s="156">
        <f>IF(CI77&gt;0,((1+(CK77/CI77))^(1/($A$101-$A$100))-1)*100,0)</f>
        <v>2.5655949055339189</v>
      </c>
      <c r="CI77" s="125">
        <f>CI50</f>
        <v>462.50112579230256</v>
      </c>
      <c r="CJ77" s="125">
        <f>CJ50</f>
        <v>18.263082416840735</v>
      </c>
      <c r="CK77" s="125">
        <f>CK50</f>
        <v>133.33911166207648</v>
      </c>
      <c r="CL77" s="125">
        <f>CL50</f>
        <v>151.60219407891722</v>
      </c>
      <c r="CM77" s="125"/>
      <c r="CN77" s="156">
        <f>IF(CO77&gt;0,((1+(CQ77/CO77))^(1/($A$101-$A$100))-1)*100,0)</f>
        <v>2.9840981402702971</v>
      </c>
      <c r="CO77" s="125">
        <f>CO50</f>
        <v>65.841938755220539</v>
      </c>
      <c r="CP77" s="125">
        <f>CP50</f>
        <v>17.147838535337179</v>
      </c>
      <c r="CQ77" s="125">
        <f>CQ50</f>
        <v>22.507605093478684</v>
      </c>
      <c r="CR77" s="125">
        <f>CR50</f>
        <v>39.65544362881586</v>
      </c>
      <c r="CS77" s="146" t="e">
        <f>BU77</f>
        <v>#REF!</v>
      </c>
      <c r="CT77" s="156">
        <f>IF(CU77&gt;0,((1+(CW77/CU77))^(1/($A$101-$A$100))-1)*100,0)</f>
        <v>2.7533233225370157</v>
      </c>
      <c r="CU77" s="125">
        <f>CU50</f>
        <v>463.81185783630696</v>
      </c>
      <c r="CV77" s="125">
        <f>CV50</f>
        <v>59.550337485219423</v>
      </c>
      <c r="CW77" s="125">
        <f>CW50</f>
        <v>144.74423940542175</v>
      </c>
      <c r="CX77" s="125">
        <f>CX50</f>
        <v>204.29457689064117</v>
      </c>
      <c r="CY77" s="124"/>
      <c r="CZ77" s="156">
        <f>IF(DA77&gt;0,((1+(DC77/DA77))^(1/($A$101-$A$100))-1)*100,0)</f>
        <v>2.7273559755584653</v>
      </c>
      <c r="DA77" s="125">
        <f>DA50</f>
        <v>205.71744740256855</v>
      </c>
      <c r="DB77" s="125">
        <f>DB50</f>
        <v>-30.344675713108767</v>
      </c>
      <c r="DC77" s="125">
        <f>DC50</f>
        <v>63.517994559926827</v>
      </c>
      <c r="DD77" s="125">
        <f>DD50</f>
        <v>33.173318846818063</v>
      </c>
      <c r="DE77" s="124"/>
      <c r="DF77" s="156">
        <f>IF(DG77&gt;0,((1+(DI77/DG77))^(1/($A$101-$A$100))-1)*100,0)</f>
        <v>2.7323553670193235</v>
      </c>
      <c r="DG77" s="125">
        <f>DG50</f>
        <v>213.95572846563186</v>
      </c>
      <c r="DH77" s="125">
        <f>DH50</f>
        <v>67.639447401849822</v>
      </c>
      <c r="DI77" s="125">
        <f>DI50</f>
        <v>66.197978077989319</v>
      </c>
      <c r="DJ77" s="125">
        <f>DJ50</f>
        <v>133.83742547983914</v>
      </c>
      <c r="DK77" s="125"/>
      <c r="DL77" s="156">
        <f>IF(DM77&gt;0,((1+(DO77/DM77))^(1/($A$101-$A$100))-1)*100,0)</f>
        <v>2.9736201868302725</v>
      </c>
      <c r="DM77" s="125">
        <f>DM50</f>
        <v>44.13868196810671</v>
      </c>
      <c r="DN77" s="125">
        <f>DN50</f>
        <v>22.25556579647839</v>
      </c>
      <c r="DO77" s="125">
        <f>DO50</f>
        <v>15.028266767505601</v>
      </c>
      <c r="DP77" s="125">
        <f>DP50</f>
        <v>37.283832563983992</v>
      </c>
    </row>
    <row r="79" spans="1:120" x14ac:dyDescent="0.25">
      <c r="A79" s="123" t="str">
        <f ca="1">CELL("filename")</f>
        <v>M:\IE\Projects\WorkingFutures\data\Results\Workbooks\UK\[UK_MainTables.Main.xlsm]Info</v>
      </c>
      <c r="Y79" s="123" t="str">
        <f ca="1">CELL("filename")</f>
        <v>M:\IE\Projects\WorkingFutures\data\Results\Workbooks\UK\[UK_MainTables.Main.xlsm]Info</v>
      </c>
      <c r="AW79" s="123" t="str">
        <f ca="1">CELL("filename")</f>
        <v>M:\IE\Projects\WorkingFutures\data\Results\Workbooks\UK\[UK_MainTables.Main.xlsm]Info</v>
      </c>
      <c r="BU79" s="123" t="str">
        <f ca="1">CELL("filename")</f>
        <v>M:\IE\Projects\WorkingFutures\data\Results\Workbooks\UK\[UK_MainTables.Main.xlsm]Info</v>
      </c>
      <c r="CS79" s="123" t="str">
        <f ca="1">CELL("filename")</f>
        <v>M:\IE\Projects\WorkingFutures\data\Results\Workbooks\UK\[UK_MainTables.Main.xlsm]Info</v>
      </c>
    </row>
    <row r="80" spans="1:120" ht="15.6" x14ac:dyDescent="0.3">
      <c r="A80" s="23" t="str">
        <f>CONCATENATE("Basic Table 5  Replacement Demand, ",A100,"-",A101,", by Industry Sector and Qualification for ",name!$H$3)</f>
        <v>Basic Table 5  Replacement Demand, 2015-2025, by Industry Sector and Qualification for M</v>
      </c>
      <c r="G80" s="123"/>
      <c r="M80" s="123"/>
      <c r="N80" s="123"/>
      <c r="Y80" s="23" t="str">
        <f>CONCATENATE("Basic Table 5  Replacement Demand, ",A100,"-",A101,", by Industry Sector and Qualification for ",name!$H$4)</f>
        <v>Basic Table 5  Replacement Demand, 2015-2025, by Industry Sector and Qualification for F</v>
      </c>
      <c r="AE80" s="123"/>
      <c r="AK80" s="123"/>
      <c r="AL80" s="123"/>
      <c r="AW80" s="23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C80" s="123"/>
      <c r="BI80" s="123"/>
      <c r="BJ80" s="123"/>
      <c r="BU80" s="23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A80" s="123"/>
      <c r="CG80" s="123"/>
      <c r="CH80" s="123"/>
      <c r="CS80" s="23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  <c r="CY80" s="123"/>
      <c r="DE80" s="123"/>
      <c r="DF80" s="123"/>
    </row>
    <row r="81" spans="1:120" x14ac:dyDescent="0.25">
      <c r="A81" s="129"/>
      <c r="B81" s="129"/>
      <c r="C81" s="129"/>
      <c r="D81" s="129"/>
      <c r="E81" s="129"/>
      <c r="F81" s="129"/>
      <c r="H81" s="129"/>
      <c r="I81" s="129"/>
      <c r="J81" s="129"/>
      <c r="K81" s="129"/>
      <c r="L81" s="129"/>
      <c r="O81" s="129"/>
      <c r="P81" s="129"/>
      <c r="Q81" s="129"/>
      <c r="R81" s="129"/>
      <c r="S81" s="129"/>
      <c r="T81" s="129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F81" s="129"/>
      <c r="AG81" s="129"/>
      <c r="AH81" s="129"/>
      <c r="AI81" s="129"/>
      <c r="AJ81" s="129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D81" s="129"/>
      <c r="BE81" s="129"/>
      <c r="BF81" s="129"/>
      <c r="BG81" s="129"/>
      <c r="BH81" s="129"/>
      <c r="BK81" s="129"/>
      <c r="BL81" s="129"/>
      <c r="BM81" s="129"/>
      <c r="BN81" s="129"/>
      <c r="BO81" s="129"/>
      <c r="BP81" s="129"/>
      <c r="BQ81" s="129"/>
      <c r="BR81" s="129"/>
      <c r="BS81" s="129"/>
      <c r="BT81" s="129"/>
      <c r="BU81" s="129"/>
      <c r="BV81" s="129"/>
      <c r="BW81" s="129"/>
      <c r="BX81" s="129"/>
      <c r="BY81" s="129"/>
      <c r="BZ81" s="129"/>
      <c r="CB81" s="129"/>
      <c r="CC81" s="129"/>
      <c r="CD81" s="129"/>
      <c r="CE81" s="129"/>
      <c r="CF81" s="129"/>
      <c r="CI81" s="129"/>
      <c r="CJ81" s="129"/>
      <c r="CK81" s="129"/>
      <c r="CL81" s="129"/>
      <c r="CM81" s="129"/>
      <c r="CN81" s="129"/>
      <c r="CO81" s="129"/>
      <c r="CP81" s="129"/>
      <c r="CQ81" s="129"/>
      <c r="CR81" s="129"/>
      <c r="CS81" s="129"/>
      <c r="CT81" s="129"/>
      <c r="CU81" s="129"/>
      <c r="CV81" s="129"/>
      <c r="CW81" s="129"/>
      <c r="CX81" s="129"/>
      <c r="CZ81" s="129"/>
      <c r="DA81" s="129"/>
      <c r="DB81" s="129"/>
      <c r="DC81" s="129"/>
      <c r="DD81" s="129"/>
      <c r="DG81" s="129"/>
      <c r="DH81" s="129"/>
      <c r="DI81" s="129"/>
      <c r="DJ81" s="129"/>
      <c r="DK81" s="129"/>
      <c r="DL81" s="129"/>
      <c r="DM81" s="129"/>
      <c r="DN81" s="129"/>
      <c r="DO81" s="129"/>
      <c r="DP81" s="129"/>
    </row>
    <row r="82" spans="1:120" x14ac:dyDescent="0.25">
      <c r="A82" s="124"/>
      <c r="B82" s="124"/>
      <c r="C82" s="124"/>
      <c r="D82" s="124"/>
      <c r="E82" s="124"/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24"/>
      <c r="T82" s="124"/>
      <c r="U82" s="124"/>
      <c r="V82" s="124"/>
      <c r="W82" s="124"/>
      <c r="X82" s="157" t="str">
        <f>$X$3</f>
        <v>thousands</v>
      </c>
      <c r="Y82" s="124"/>
      <c r="Z82" s="124"/>
      <c r="AA82" s="124"/>
      <c r="AB82" s="124"/>
      <c r="AC82" s="124"/>
      <c r="AD82" s="124"/>
      <c r="AE82" s="124"/>
      <c r="AF82" s="124"/>
      <c r="AG82" s="124"/>
      <c r="AH82" s="124"/>
      <c r="AI82" s="124"/>
      <c r="AJ82" s="124"/>
      <c r="AK82" s="124"/>
      <c r="AL82" s="124"/>
      <c r="AM82" s="124"/>
      <c r="AN82" s="124"/>
      <c r="AO82" s="124"/>
      <c r="AP82" s="124"/>
      <c r="AQ82" s="124"/>
      <c r="AR82" s="124"/>
      <c r="AS82" s="124"/>
      <c r="AT82" s="124"/>
      <c r="AU82" s="124"/>
      <c r="AV82" s="157" t="str">
        <f>$X$3</f>
        <v>thousands</v>
      </c>
      <c r="AW82" s="124"/>
      <c r="AX82" s="124"/>
      <c r="AY82" s="124"/>
      <c r="AZ82" s="124"/>
      <c r="BA82" s="124"/>
      <c r="BB82" s="124"/>
      <c r="BC82" s="124"/>
      <c r="BD82" s="124"/>
      <c r="BE82" s="124"/>
      <c r="BF82" s="124"/>
      <c r="BG82" s="124"/>
      <c r="BH82" s="124"/>
      <c r="BI82" s="124"/>
      <c r="BJ82" s="124"/>
      <c r="BK82" s="124"/>
      <c r="BL82" s="124"/>
      <c r="BM82" s="124"/>
      <c r="BN82" s="124"/>
      <c r="BO82" s="124"/>
      <c r="BP82" s="124"/>
      <c r="BQ82" s="124"/>
      <c r="BR82" s="124"/>
      <c r="BS82" s="124"/>
      <c r="BT82" s="157" t="str">
        <f>$X$3</f>
        <v>thousands</v>
      </c>
      <c r="BU82" s="124"/>
      <c r="BV82" s="124"/>
      <c r="BW82" s="124"/>
      <c r="BX82" s="124"/>
      <c r="BY82" s="124"/>
      <c r="BZ82" s="124"/>
      <c r="CA82" s="124"/>
      <c r="CB82" s="124"/>
      <c r="CC82" s="124"/>
      <c r="CD82" s="124"/>
      <c r="CE82" s="124"/>
      <c r="CF82" s="124"/>
      <c r="CG82" s="124"/>
      <c r="CH82" s="124"/>
      <c r="CI82" s="124"/>
      <c r="CJ82" s="124"/>
      <c r="CK82" s="124"/>
      <c r="CL82" s="124"/>
      <c r="CM82" s="124"/>
      <c r="CN82" s="124"/>
      <c r="CO82" s="124"/>
      <c r="CP82" s="124"/>
      <c r="CQ82" s="124"/>
      <c r="CR82" s="157" t="str">
        <f>$X$3</f>
        <v>thousands</v>
      </c>
      <c r="CS82" s="124"/>
      <c r="CT82" s="124"/>
      <c r="CU82" s="124"/>
      <c r="CV82" s="124"/>
      <c r="CW82" s="124"/>
      <c r="CX82" s="124"/>
      <c r="CY82" s="124"/>
      <c r="CZ82" s="124"/>
      <c r="DA82" s="124"/>
      <c r="DB82" s="124"/>
      <c r="DC82" s="124"/>
      <c r="DD82" s="124"/>
      <c r="DE82" s="124"/>
      <c r="DF82" s="124"/>
      <c r="DG82" s="124"/>
      <c r="DH82" s="124"/>
      <c r="DI82" s="124"/>
      <c r="DJ82" s="124"/>
      <c r="DK82" s="124"/>
      <c r="DL82" s="124"/>
      <c r="DM82" s="124"/>
      <c r="DN82" s="124"/>
      <c r="DO82" s="124"/>
      <c r="DP82" s="157" t="str">
        <f>$X$3</f>
        <v>thousands</v>
      </c>
    </row>
    <row r="83" spans="1:120" x14ac:dyDescent="0.25">
      <c r="A83" s="129"/>
      <c r="B83" s="527" t="str">
        <f>B4</f>
        <v>All qualifications</v>
      </c>
      <c r="C83" s="527"/>
      <c r="D83" s="527"/>
      <c r="E83" s="527"/>
      <c r="F83" s="527"/>
      <c r="G83" s="153"/>
      <c r="H83" s="527" t="str">
        <f>H4</f>
        <v>RQF8 Doctorate</v>
      </c>
      <c r="I83" s="527"/>
      <c r="J83" s="527"/>
      <c r="K83" s="527"/>
      <c r="L83" s="527"/>
      <c r="M83" s="153"/>
      <c r="N83" s="528" t="str">
        <f>N4</f>
        <v>RQF7 Other higher degree</v>
      </c>
      <c r="O83" s="528"/>
      <c r="P83" s="528"/>
      <c r="Q83" s="528"/>
      <c r="R83" s="528"/>
      <c r="S83" s="150"/>
      <c r="T83" s="528" t="str">
        <f>T4</f>
        <v>RQF6 First degree</v>
      </c>
      <c r="U83" s="528"/>
      <c r="V83" s="528"/>
      <c r="W83" s="528"/>
      <c r="X83" s="528"/>
      <c r="Y83" s="129"/>
      <c r="Z83" s="527" t="str">
        <f>Z4</f>
        <v>All qualifications</v>
      </c>
      <c r="AA83" s="527"/>
      <c r="AB83" s="527"/>
      <c r="AC83" s="527"/>
      <c r="AD83" s="527"/>
      <c r="AE83" s="153"/>
      <c r="AF83" s="527" t="str">
        <f>AF4</f>
        <v>RQF8 Doctorate</v>
      </c>
      <c r="AG83" s="527"/>
      <c r="AH83" s="527"/>
      <c r="AI83" s="527"/>
      <c r="AJ83" s="527"/>
      <c r="AK83" s="153"/>
      <c r="AL83" s="528" t="str">
        <f>AL4</f>
        <v>RQF7 Other higher degree</v>
      </c>
      <c r="AM83" s="528"/>
      <c r="AN83" s="528"/>
      <c r="AO83" s="528"/>
      <c r="AP83" s="528"/>
      <c r="AQ83" s="150"/>
      <c r="AR83" s="528" t="str">
        <f>AR4</f>
        <v>RQF6 First degree</v>
      </c>
      <c r="AS83" s="528"/>
      <c r="AT83" s="528"/>
      <c r="AU83" s="528"/>
      <c r="AV83" s="528"/>
      <c r="AW83" s="129"/>
      <c r="AX83" s="527" t="str">
        <f>AX4</f>
        <v>All qualifications</v>
      </c>
      <c r="AY83" s="527"/>
      <c r="AZ83" s="527"/>
      <c r="BA83" s="527"/>
      <c r="BB83" s="527"/>
      <c r="BC83" s="153"/>
      <c r="BD83" s="527" t="str">
        <f>BD4</f>
        <v>RQF8 Doctorate</v>
      </c>
      <c r="BE83" s="527"/>
      <c r="BF83" s="527"/>
      <c r="BG83" s="527"/>
      <c r="BH83" s="527"/>
      <c r="BI83" s="153"/>
      <c r="BJ83" s="528" t="str">
        <f>BJ4</f>
        <v>RQF7 Other higher degree</v>
      </c>
      <c r="BK83" s="528"/>
      <c r="BL83" s="528"/>
      <c r="BM83" s="528"/>
      <c r="BN83" s="528"/>
      <c r="BO83" s="150"/>
      <c r="BP83" s="528" t="str">
        <f>BP4</f>
        <v>RQF6 First degree</v>
      </c>
      <c r="BQ83" s="528"/>
      <c r="BR83" s="528"/>
      <c r="BS83" s="528"/>
      <c r="BT83" s="528"/>
      <c r="BU83" s="129"/>
      <c r="BV83" s="527" t="str">
        <f>BV4</f>
        <v>All qualifications</v>
      </c>
      <c r="BW83" s="527"/>
      <c r="BX83" s="527"/>
      <c r="BY83" s="527"/>
      <c r="BZ83" s="527"/>
      <c r="CA83" s="153"/>
      <c r="CB83" s="527" t="str">
        <f>CB4</f>
        <v>RQF8 Doctorate</v>
      </c>
      <c r="CC83" s="527"/>
      <c r="CD83" s="527"/>
      <c r="CE83" s="527"/>
      <c r="CF83" s="527"/>
      <c r="CG83" s="153"/>
      <c r="CH83" s="528" t="str">
        <f>CH4</f>
        <v>RQF7 Other higher degree</v>
      </c>
      <c r="CI83" s="528"/>
      <c r="CJ83" s="528"/>
      <c r="CK83" s="528"/>
      <c r="CL83" s="528"/>
      <c r="CM83" s="150"/>
      <c r="CN83" s="528" t="str">
        <f>CN4</f>
        <v>RQF6 First degree</v>
      </c>
      <c r="CO83" s="528"/>
      <c r="CP83" s="528"/>
      <c r="CQ83" s="528"/>
      <c r="CR83" s="528"/>
      <c r="CS83" s="129"/>
      <c r="CT83" s="527" t="str">
        <f>CT4</f>
        <v>All qualifications</v>
      </c>
      <c r="CU83" s="527"/>
      <c r="CV83" s="527"/>
      <c r="CW83" s="527"/>
      <c r="CX83" s="527"/>
      <c r="CY83" s="153"/>
      <c r="CZ83" s="527" t="str">
        <f>CZ4</f>
        <v>RQF8 Doctorate</v>
      </c>
      <c r="DA83" s="527"/>
      <c r="DB83" s="527"/>
      <c r="DC83" s="527"/>
      <c r="DD83" s="527"/>
      <c r="DE83" s="153"/>
      <c r="DF83" s="528" t="str">
        <f>DF4</f>
        <v>RQF7 Other higher degree</v>
      </c>
      <c r="DG83" s="528"/>
      <c r="DH83" s="528"/>
      <c r="DI83" s="528"/>
      <c r="DJ83" s="528"/>
      <c r="DK83" s="150"/>
      <c r="DL83" s="528" t="str">
        <f>DL4</f>
        <v>RQF6 First degree</v>
      </c>
      <c r="DM83" s="528"/>
      <c r="DN83" s="528"/>
      <c r="DO83" s="528"/>
      <c r="DP83" s="528"/>
    </row>
    <row r="84" spans="1:120" x14ac:dyDescent="0.25">
      <c r="A84" s="129"/>
      <c r="B84" s="129"/>
      <c r="C84" s="129"/>
      <c r="D84" s="129"/>
      <c r="E84" s="129"/>
      <c r="F84" s="129"/>
      <c r="H84" s="129"/>
      <c r="I84" s="129"/>
      <c r="J84" s="129"/>
      <c r="Y84" s="129"/>
      <c r="Z84" s="129"/>
      <c r="AA84" s="129"/>
      <c r="AB84" s="129"/>
      <c r="AC84" s="129"/>
      <c r="AD84" s="129"/>
      <c r="AF84" s="129"/>
      <c r="AG84" s="129"/>
      <c r="AH84" s="129"/>
      <c r="AW84" s="129"/>
      <c r="AX84" s="129"/>
      <c r="AY84" s="129"/>
      <c r="AZ84" s="129"/>
      <c r="BA84" s="129"/>
      <c r="BB84" s="129"/>
      <c r="BD84" s="129"/>
      <c r="BE84" s="129"/>
      <c r="BF84" s="129"/>
      <c r="BU84" s="129"/>
      <c r="BV84" s="129"/>
      <c r="BW84" s="129"/>
      <c r="BX84" s="129"/>
      <c r="BY84" s="129"/>
      <c r="BZ84" s="129"/>
      <c r="CB84" s="129"/>
      <c r="CC84" s="129"/>
      <c r="CD84" s="129"/>
      <c r="CS84" s="129"/>
      <c r="CT84" s="129"/>
      <c r="CU84" s="129"/>
      <c r="CV84" s="129"/>
      <c r="CW84" s="129"/>
      <c r="CX84" s="129"/>
      <c r="CZ84" s="129"/>
      <c r="DA84" s="129"/>
      <c r="DB84" s="129"/>
    </row>
    <row r="85" spans="1:120" ht="39.6" x14ac:dyDescent="0.25">
      <c r="A85" s="152"/>
      <c r="B85" s="149" t="str">
        <f>B6</f>
        <v>RD p.a%</v>
      </c>
      <c r="C85" s="149" t="str">
        <f>C6</f>
        <v>2015 Level</v>
      </c>
      <c r="D85" s="149" t="str">
        <f>D6</f>
        <v>Net Change</v>
      </c>
      <c r="E85" s="149" t="str">
        <f>E6</f>
        <v>Replace-ment Demand</v>
      </c>
      <c r="F85" s="149" t="str">
        <f>F6</f>
        <v>Total Require-ment</v>
      </c>
      <c r="G85" s="148"/>
      <c r="H85" s="143" t="str">
        <f>B85</f>
        <v>RD p.a%</v>
      </c>
      <c r="I85" s="143" t="str">
        <f>C85</f>
        <v>2015 Level</v>
      </c>
      <c r="J85" s="143" t="str">
        <f>D85</f>
        <v>Net Change</v>
      </c>
      <c r="K85" s="143" t="str">
        <f>E85</f>
        <v>Replace-ment Demand</v>
      </c>
      <c r="L85" s="143" t="str">
        <f>F85</f>
        <v>Total Require-ment</v>
      </c>
      <c r="M85" s="142"/>
      <c r="N85" s="144" t="str">
        <f>H85</f>
        <v>RD p.a%</v>
      </c>
      <c r="O85" s="144" t="str">
        <f>I85</f>
        <v>2015 Level</v>
      </c>
      <c r="P85" s="144" t="str">
        <f>J85</f>
        <v>Net Change</v>
      </c>
      <c r="Q85" s="144" t="str">
        <f>K85</f>
        <v>Replace-ment Demand</v>
      </c>
      <c r="R85" s="144" t="str">
        <f>L85</f>
        <v>Total Require-ment</v>
      </c>
      <c r="S85" s="142"/>
      <c r="T85" s="144" t="str">
        <f>N85</f>
        <v>RD p.a%</v>
      </c>
      <c r="U85" s="144" t="str">
        <f>O85</f>
        <v>2015 Level</v>
      </c>
      <c r="V85" s="144" t="str">
        <f>P85</f>
        <v>Net Change</v>
      </c>
      <c r="W85" s="144" t="str">
        <f>Q85</f>
        <v>Replace-ment Demand</v>
      </c>
      <c r="X85" s="144" t="str">
        <f>R85</f>
        <v>Total Require-ment</v>
      </c>
      <c r="Y85" s="152"/>
      <c r="Z85" s="149" t="str">
        <f>Z6</f>
        <v>RD p.a%</v>
      </c>
      <c r="AA85" s="149" t="str">
        <f>AA6</f>
        <v>2015 Level</v>
      </c>
      <c r="AB85" s="149" t="str">
        <f>AB6</f>
        <v>Net Change</v>
      </c>
      <c r="AC85" s="149" t="str">
        <f>AC6</f>
        <v>Replace-ment Demand</v>
      </c>
      <c r="AD85" s="149" t="str">
        <f>AD6</f>
        <v>Total Require-ment</v>
      </c>
      <c r="AE85" s="148"/>
      <c r="AF85" s="143" t="str">
        <f>Z85</f>
        <v>RD p.a%</v>
      </c>
      <c r="AG85" s="143" t="str">
        <f>AA85</f>
        <v>2015 Level</v>
      </c>
      <c r="AH85" s="143" t="str">
        <f>AB85</f>
        <v>Net Change</v>
      </c>
      <c r="AI85" s="143" t="str">
        <f>AC85</f>
        <v>Replace-ment Demand</v>
      </c>
      <c r="AJ85" s="143" t="str">
        <f>AD85</f>
        <v>Total Require-ment</v>
      </c>
      <c r="AK85" s="142"/>
      <c r="AL85" s="144" t="str">
        <f>AF85</f>
        <v>RD p.a%</v>
      </c>
      <c r="AM85" s="144" t="str">
        <f>AG85</f>
        <v>2015 Level</v>
      </c>
      <c r="AN85" s="144" t="str">
        <f>AH85</f>
        <v>Net Change</v>
      </c>
      <c r="AO85" s="144" t="str">
        <f>AI85</f>
        <v>Replace-ment Demand</v>
      </c>
      <c r="AP85" s="144" t="str">
        <f>AJ85</f>
        <v>Total Require-ment</v>
      </c>
      <c r="AQ85" s="142"/>
      <c r="AR85" s="144" t="str">
        <f>AL85</f>
        <v>RD p.a%</v>
      </c>
      <c r="AS85" s="144" t="str">
        <f>AM85</f>
        <v>2015 Level</v>
      </c>
      <c r="AT85" s="144" t="str">
        <f>AN85</f>
        <v>Net Change</v>
      </c>
      <c r="AU85" s="144" t="str">
        <f>AO85</f>
        <v>Replace-ment Demand</v>
      </c>
      <c r="AV85" s="144" t="str">
        <f>AP85</f>
        <v>Total Require-ment</v>
      </c>
      <c r="AW85" s="152"/>
      <c r="AX85" s="149" t="str">
        <f>AX6</f>
        <v>RD p.a%</v>
      </c>
      <c r="AY85" s="149" t="str">
        <f>AY6</f>
        <v>2015 Level</v>
      </c>
      <c r="AZ85" s="149" t="str">
        <f>AZ6</f>
        <v>Net Change</v>
      </c>
      <c r="BA85" s="149" t="str">
        <f>BA6</f>
        <v>Replace-ment Demand</v>
      </c>
      <c r="BB85" s="149" t="str">
        <f>BB6</f>
        <v>Total Require-ment</v>
      </c>
      <c r="BC85" s="148"/>
      <c r="BD85" s="143" t="str">
        <f>AX85</f>
        <v>RD p.a%</v>
      </c>
      <c r="BE85" s="143" t="str">
        <f>AY85</f>
        <v>2015 Level</v>
      </c>
      <c r="BF85" s="143" t="str">
        <f>AZ85</f>
        <v>Net Change</v>
      </c>
      <c r="BG85" s="143" t="str">
        <f>BA85</f>
        <v>Replace-ment Demand</v>
      </c>
      <c r="BH85" s="143" t="str">
        <f>BB85</f>
        <v>Total Require-ment</v>
      </c>
      <c r="BI85" s="142"/>
      <c r="BJ85" s="144" t="str">
        <f>BD85</f>
        <v>RD p.a%</v>
      </c>
      <c r="BK85" s="144" t="str">
        <f>BE85</f>
        <v>2015 Level</v>
      </c>
      <c r="BL85" s="144" t="str">
        <f>BF85</f>
        <v>Net Change</v>
      </c>
      <c r="BM85" s="144" t="str">
        <f>BG85</f>
        <v>Replace-ment Demand</v>
      </c>
      <c r="BN85" s="144" t="str">
        <f>BH85</f>
        <v>Total Require-ment</v>
      </c>
      <c r="BO85" s="142"/>
      <c r="BP85" s="144" t="str">
        <f>BJ85</f>
        <v>RD p.a%</v>
      </c>
      <c r="BQ85" s="144" t="str">
        <f>BK85</f>
        <v>2015 Level</v>
      </c>
      <c r="BR85" s="144" t="str">
        <f>BL85</f>
        <v>Net Change</v>
      </c>
      <c r="BS85" s="144" t="str">
        <f>BM85</f>
        <v>Replace-ment Demand</v>
      </c>
      <c r="BT85" s="144" t="str">
        <f>BN85</f>
        <v>Total Require-ment</v>
      </c>
      <c r="BU85" s="152"/>
      <c r="BV85" s="149" t="str">
        <f>BV6</f>
        <v>RD p.a%</v>
      </c>
      <c r="BW85" s="149" t="str">
        <f>BW6</f>
        <v>2015 Level</v>
      </c>
      <c r="BX85" s="149" t="str">
        <f>BX6</f>
        <v>Net Change</v>
      </c>
      <c r="BY85" s="149" t="str">
        <f>BY6</f>
        <v>Replace-ment Demand</v>
      </c>
      <c r="BZ85" s="149" t="str">
        <f>BZ6</f>
        <v>Total Require-ment</v>
      </c>
      <c r="CA85" s="148"/>
      <c r="CB85" s="143" t="str">
        <f>BV85</f>
        <v>RD p.a%</v>
      </c>
      <c r="CC85" s="143" t="str">
        <f>BW85</f>
        <v>2015 Level</v>
      </c>
      <c r="CD85" s="143" t="str">
        <f>BX85</f>
        <v>Net Change</v>
      </c>
      <c r="CE85" s="143" t="str">
        <f>BY85</f>
        <v>Replace-ment Demand</v>
      </c>
      <c r="CF85" s="143" t="str">
        <f>BZ85</f>
        <v>Total Require-ment</v>
      </c>
      <c r="CG85" s="142"/>
      <c r="CH85" s="144" t="str">
        <f>CB85</f>
        <v>RD p.a%</v>
      </c>
      <c r="CI85" s="144" t="str">
        <f>CC85</f>
        <v>2015 Level</v>
      </c>
      <c r="CJ85" s="144" t="str">
        <f>CD85</f>
        <v>Net Change</v>
      </c>
      <c r="CK85" s="144" t="str">
        <f>CE85</f>
        <v>Replace-ment Demand</v>
      </c>
      <c r="CL85" s="144" t="str">
        <f>CF85</f>
        <v>Total Require-ment</v>
      </c>
      <c r="CM85" s="142"/>
      <c r="CN85" s="144" t="str">
        <f>CH85</f>
        <v>RD p.a%</v>
      </c>
      <c r="CO85" s="144" t="str">
        <f>CI85</f>
        <v>2015 Level</v>
      </c>
      <c r="CP85" s="144" t="str">
        <f>CJ85</f>
        <v>Net Change</v>
      </c>
      <c r="CQ85" s="144" t="str">
        <f>CK85</f>
        <v>Replace-ment Demand</v>
      </c>
      <c r="CR85" s="144" t="str">
        <f>CL85</f>
        <v>Total Require-ment</v>
      </c>
      <c r="CS85" s="152"/>
      <c r="CT85" s="149" t="str">
        <f>CT6</f>
        <v>RD p.a%</v>
      </c>
      <c r="CU85" s="149" t="str">
        <f>CU6</f>
        <v>2015 Level</v>
      </c>
      <c r="CV85" s="149" t="str">
        <f>CV6</f>
        <v>Net Change</v>
      </c>
      <c r="CW85" s="149" t="str">
        <f>CW6</f>
        <v>Replace-ment Demand</v>
      </c>
      <c r="CX85" s="149" t="str">
        <f>CX6</f>
        <v>Total Require-ment</v>
      </c>
      <c r="CY85" s="148"/>
      <c r="CZ85" s="143" t="str">
        <f>CT85</f>
        <v>RD p.a%</v>
      </c>
      <c r="DA85" s="143" t="str">
        <f>CU85</f>
        <v>2015 Level</v>
      </c>
      <c r="DB85" s="143" t="str">
        <f>CV85</f>
        <v>Net Change</v>
      </c>
      <c r="DC85" s="143" t="str">
        <f>CW85</f>
        <v>Replace-ment Demand</v>
      </c>
      <c r="DD85" s="143" t="str">
        <f>CX85</f>
        <v>Total Require-ment</v>
      </c>
      <c r="DE85" s="142"/>
      <c r="DF85" s="144" t="str">
        <f>CZ85</f>
        <v>RD p.a%</v>
      </c>
      <c r="DG85" s="144" t="str">
        <f>DA85</f>
        <v>2015 Level</v>
      </c>
      <c r="DH85" s="144" t="str">
        <f>DB85</f>
        <v>Net Change</v>
      </c>
      <c r="DI85" s="144" t="str">
        <f>DC85</f>
        <v>Replace-ment Demand</v>
      </c>
      <c r="DJ85" s="144" t="str">
        <f>DD85</f>
        <v>Total Require-ment</v>
      </c>
      <c r="DK85" s="142"/>
      <c r="DL85" s="144" t="str">
        <f>DF85</f>
        <v>RD p.a%</v>
      </c>
      <c r="DM85" s="144" t="str">
        <f>DG85</f>
        <v>2015 Level</v>
      </c>
      <c r="DN85" s="144" t="str">
        <f>DH85</f>
        <v>Net Change</v>
      </c>
      <c r="DO85" s="144" t="str">
        <f>DI85</f>
        <v>Replace-ment Demand</v>
      </c>
      <c r="DP85" s="144" t="str">
        <f>DJ85</f>
        <v>Total Require-ment</v>
      </c>
    </row>
    <row r="86" spans="1:120" x14ac:dyDescent="0.25">
      <c r="G86" s="123"/>
      <c r="M86" s="123"/>
      <c r="N86" s="123"/>
      <c r="AE86" s="123"/>
      <c r="AK86" s="123"/>
      <c r="AL86" s="123"/>
      <c r="BC86" s="123"/>
      <c r="BI86" s="123"/>
      <c r="BJ86" s="123"/>
      <c r="CA86" s="123"/>
      <c r="CG86" s="123"/>
      <c r="CH86" s="123"/>
      <c r="CY86" s="123"/>
      <c r="DE86" s="123"/>
      <c r="DF86" s="123"/>
    </row>
    <row r="87" spans="1:120" x14ac:dyDescent="0.25">
      <c r="A87" s="123" t="str">
        <f>name!C4</f>
        <v>Primary sector and utilities</v>
      </c>
      <c r="B87" s="155" t="e">
        <f t="shared" ref="B87:B94" si="68">IF(C87&gt;0,((1+(E87/C87))^(1/($A$101-$A$100))-1)*100,0)</f>
        <v>#REF!</v>
      </c>
      <c r="C87" s="127" t="e">
        <f t="array" ref="C87:C92">MMULT(aggregation!#REF!,BasicTable5!C8:C48)</f>
        <v>#REF!</v>
      </c>
      <c r="D87" s="127" t="e">
        <f t="array" ref="D87:D92">MMULT(aggregation!#REF!,BasicTable5!D8:D48)</f>
        <v>#REF!</v>
      </c>
      <c r="E87" s="127" t="e">
        <f t="array" ref="E87:E92">MMULT(aggregation!#REF!,BasicTable5!E8:E48)</f>
        <v>#REF!</v>
      </c>
      <c r="F87" s="127" t="e">
        <f t="array" ref="F87:F92">MMULT(aggregation!#REF!,BasicTable5!F8:F48)</f>
        <v>#REF!</v>
      </c>
      <c r="G87" s="123"/>
      <c r="H87" s="155" t="e">
        <f t="shared" ref="H87:H94" si="69">IF(I87&gt;0,((1+(K87/I87))^(1/($A$101-$A$100))-1)*100,0)</f>
        <v>#REF!</v>
      </c>
      <c r="I87" s="127" t="e">
        <f t="array" ref="I87:I92">MMULT(aggregation!#REF!,BasicTable5!I8:I48)</f>
        <v>#REF!</v>
      </c>
      <c r="J87" s="127" t="e">
        <f t="array" ref="J87:J92">MMULT(aggregation!#REF!,BasicTable5!J8:J48)</f>
        <v>#REF!</v>
      </c>
      <c r="K87" s="127" t="e">
        <f t="array" ref="K87:K92">MMULT(aggregation!#REF!,BasicTable5!K8:K48)</f>
        <v>#REF!</v>
      </c>
      <c r="L87" s="127" t="e">
        <f t="array" ref="L87:L92">MMULT(aggregation!#REF!,BasicTable5!L8:L48)</f>
        <v>#REF!</v>
      </c>
      <c r="M87" s="123"/>
      <c r="N87" s="155" t="e">
        <f t="shared" ref="N87:N94" si="70">IF(O87&gt;0,((1+(Q87/O87))^(1/($A$101-$A$100))-1)*100,0)</f>
        <v>#REF!</v>
      </c>
      <c r="O87" s="127" t="e">
        <f t="array" ref="O87:O92">MMULT(aggregation!#REF!,BasicTable5!O8:O48)</f>
        <v>#REF!</v>
      </c>
      <c r="P87" s="127" t="e">
        <f t="array" ref="P87:P92">MMULT(aggregation!#REF!,BasicTable5!P8:P48)</f>
        <v>#REF!</v>
      </c>
      <c r="Q87" s="127" t="e">
        <f t="array" ref="Q87:Q92">MMULT(aggregation!#REF!,BasicTable5!Q8:Q48)</f>
        <v>#REF!</v>
      </c>
      <c r="R87" s="127" t="e">
        <f t="array" ref="R87:R92">MMULT(aggregation!#REF!,BasicTable5!R8:R48)</f>
        <v>#REF!</v>
      </c>
      <c r="S87" s="127"/>
      <c r="T87" s="155" t="e">
        <f t="shared" ref="T87:T94" si="71">IF(U87&gt;0,((1+(W87/U87))^(1/($A$101-$A$100))-1)*100,0)</f>
        <v>#REF!</v>
      </c>
      <c r="U87" s="127" t="e">
        <f t="array" ref="U87:U92">MMULT(aggregation!#REF!,BasicTable5!U8:U48)</f>
        <v>#REF!</v>
      </c>
      <c r="V87" s="127" t="e">
        <f t="array" ref="V87:V92">MMULT(aggregation!#REF!,BasicTable5!V8:V48)</f>
        <v>#REF!</v>
      </c>
      <c r="W87" s="127" t="e">
        <f t="array" ref="W87:W92">MMULT(aggregation!#REF!,BasicTable5!W8:W48)</f>
        <v>#REF!</v>
      </c>
      <c r="X87" s="127" t="e">
        <f t="array" ref="X87:X92">MMULT(aggregation!#REF!,BasicTable5!X8:X48)</f>
        <v>#REF!</v>
      </c>
      <c r="Y87" s="123" t="str">
        <f t="shared" ref="Y87:Y92" si="72">A87</f>
        <v>Primary sector and utilities</v>
      </c>
      <c r="Z87" s="155" t="e">
        <f t="shared" ref="Z87:Z92" si="73">IF(AA87&gt;0,((1+(AC87/AA87))^(1/($A$101-$A$100))-1)*100,0)</f>
        <v>#REF!</v>
      </c>
      <c r="AA87" s="127" t="e">
        <f t="array" ref="AA87:AA92">MMULT(aggregation!#REF!,BasicTable5!AA8:AA48)</f>
        <v>#REF!</v>
      </c>
      <c r="AB87" s="127" t="e">
        <f t="array" ref="AB87:AB92">MMULT(aggregation!#REF!,BasicTable5!AB8:AB48)</f>
        <v>#REF!</v>
      </c>
      <c r="AC87" s="127" t="e">
        <f t="array" ref="AC87:AC92">MMULT(aggregation!#REF!,BasicTable5!AC8:AC48)</f>
        <v>#REF!</v>
      </c>
      <c r="AD87" s="127" t="e">
        <f t="array" ref="AD87:AD92">MMULT(aggregation!#REF!,BasicTable5!AD8:AD48)</f>
        <v>#REF!</v>
      </c>
      <c r="AE87" s="123"/>
      <c r="AF87" s="155" t="e">
        <f t="shared" ref="AF87:AF92" si="74">IF(AG87&gt;0,((1+(AI87/AG87))^(1/($A$101-$A$100))-1)*100,0)</f>
        <v>#REF!</v>
      </c>
      <c r="AG87" s="127" t="e">
        <f t="array" ref="AG87:AG92">MMULT(aggregation!#REF!,BasicTable5!AG8:AG48)</f>
        <v>#REF!</v>
      </c>
      <c r="AH87" s="127" t="e">
        <f t="array" ref="AH87:AH92">MMULT(aggregation!#REF!,BasicTable5!AH8:AH48)</f>
        <v>#REF!</v>
      </c>
      <c r="AI87" s="127" t="e">
        <f t="array" ref="AI87:AI92">MMULT(aggregation!#REF!,BasicTable5!AI8:AI48)</f>
        <v>#REF!</v>
      </c>
      <c r="AJ87" s="127" t="e">
        <f t="array" ref="AJ87:AJ92">MMULT(aggregation!#REF!,BasicTable5!AJ8:AJ48)</f>
        <v>#REF!</v>
      </c>
      <c r="AK87" s="123"/>
      <c r="AL87" s="155" t="e">
        <f t="shared" ref="AL87:AL92" si="75">IF(AM87&gt;0,((1+(AO87/AM87))^(1/($A$101-$A$100))-1)*100,0)</f>
        <v>#REF!</v>
      </c>
      <c r="AM87" s="127" t="e">
        <f t="array" ref="AM87:AM92">MMULT(aggregation!#REF!,BasicTable5!AM8:AM48)</f>
        <v>#REF!</v>
      </c>
      <c r="AN87" s="127" t="e">
        <f t="array" ref="AN87:AN92">MMULT(aggregation!#REF!,BasicTable5!AN8:AN48)</f>
        <v>#REF!</v>
      </c>
      <c r="AO87" s="127" t="e">
        <f t="array" ref="AO87:AO92">MMULT(aggregation!#REF!,BasicTable5!AO8:AO48)</f>
        <v>#REF!</v>
      </c>
      <c r="AP87" s="127" t="e">
        <f t="array" ref="AP87:AP92">MMULT(aggregation!#REF!,BasicTable5!AP8:AP48)</f>
        <v>#REF!</v>
      </c>
      <c r="AQ87" s="127"/>
      <c r="AR87" s="155" t="e">
        <f t="shared" ref="AR87:AR92" si="76">IF(AS87&gt;0,((1+(AU87/AS87))^(1/($A$101-$A$100))-1)*100,0)</f>
        <v>#REF!</v>
      </c>
      <c r="AS87" s="127" t="e">
        <f t="array" ref="AS87:AS92">MMULT(aggregation!#REF!,BasicTable5!AS8:AS48)</f>
        <v>#REF!</v>
      </c>
      <c r="AT87" s="127" t="e">
        <f t="array" ref="AT87:AT92">MMULT(aggregation!#REF!,BasicTable5!AT8:AT48)</f>
        <v>#REF!</v>
      </c>
      <c r="AU87" s="127" t="e">
        <f t="array" ref="AU87:AU92">MMULT(aggregation!#REF!,BasicTable5!AU8:AU48)</f>
        <v>#REF!</v>
      </c>
      <c r="AV87" s="127" t="e">
        <f t="array" ref="AV87:AV92">MMULT(aggregation!#REF!,BasicTable5!AV8:AV48)</f>
        <v>#REF!</v>
      </c>
      <c r="AW87" s="123" t="str">
        <f t="shared" ref="AW87:AW92" si="77">Y87</f>
        <v>Primary sector and utilities</v>
      </c>
      <c r="AX87" s="155" t="e">
        <f t="shared" ref="AX87:AX92" si="78">IF(AY87&gt;0,((1+(BA87/AY87))^(1/($A$101-$A$100))-1)*100,0)</f>
        <v>#REF!</v>
      </c>
      <c r="AY87" s="127" t="e">
        <f t="array" ref="AY87:AY92">MMULT(aggregation!#REF!,BasicTable5!AY8:AY48)</f>
        <v>#REF!</v>
      </c>
      <c r="AZ87" s="127" t="e">
        <f t="array" ref="AZ87:AZ92">MMULT(aggregation!#REF!,BasicTable5!AZ8:AZ48)</f>
        <v>#REF!</v>
      </c>
      <c r="BA87" s="127" t="e">
        <f t="array" ref="BA87:BA92">MMULT(aggregation!#REF!,BasicTable5!BA8:BA48)</f>
        <v>#REF!</v>
      </c>
      <c r="BB87" s="127" t="e">
        <f t="array" ref="BB87:BB92">MMULT(aggregation!#REF!,BasicTable5!BB8:BB48)</f>
        <v>#REF!</v>
      </c>
      <c r="BC87" s="123"/>
      <c r="BD87" s="155" t="e">
        <f t="shared" ref="BD87:BD92" si="79">IF(BE87&gt;0,((1+(BG87/BE87))^(1/($A$101-$A$100))-1)*100,0)</f>
        <v>#REF!</v>
      </c>
      <c r="BE87" s="127" t="e">
        <f t="array" ref="BE87:BE92">MMULT(aggregation!#REF!,BasicTable5!BE8:BE48)</f>
        <v>#REF!</v>
      </c>
      <c r="BF87" s="127" t="e">
        <f t="array" ref="BF87:BF92">MMULT(aggregation!#REF!,BasicTable5!BF8:BF48)</f>
        <v>#REF!</v>
      </c>
      <c r="BG87" s="127" t="e">
        <f t="array" ref="BG87:BG92">MMULT(aggregation!#REF!,BasicTable5!BG8:BG48)</f>
        <v>#REF!</v>
      </c>
      <c r="BH87" s="127" t="e">
        <f t="array" ref="BH87:BH92">MMULT(aggregation!#REF!,BasicTable5!BH8:BH48)</f>
        <v>#REF!</v>
      </c>
      <c r="BI87" s="123"/>
      <c r="BJ87" s="155" t="e">
        <f t="shared" ref="BJ87:BJ92" si="80">IF(BK87&gt;0,((1+(BM87/BK87))^(1/($A$101-$A$100))-1)*100,0)</f>
        <v>#REF!</v>
      </c>
      <c r="BK87" s="127" t="e">
        <f t="array" ref="BK87:BK92">MMULT(aggregation!#REF!,BasicTable5!BK8:BK48)</f>
        <v>#REF!</v>
      </c>
      <c r="BL87" s="127" t="e">
        <f t="array" ref="BL87:BL92">MMULT(aggregation!#REF!,BasicTable5!BL8:BL48)</f>
        <v>#REF!</v>
      </c>
      <c r="BM87" s="127" t="e">
        <f t="array" ref="BM87:BM92">MMULT(aggregation!#REF!,BasicTable5!BM8:BM48)</f>
        <v>#REF!</v>
      </c>
      <c r="BN87" s="127" t="e">
        <f t="array" ref="BN87:BN92">MMULT(aggregation!#REF!,BasicTable5!BN8:BN48)</f>
        <v>#REF!</v>
      </c>
      <c r="BO87" s="127"/>
      <c r="BP87" s="155" t="e">
        <f t="shared" ref="BP87:BP92" si="81">IF(BQ87&gt;0,((1+(BS87/BQ87))^(1/($A$101-$A$100))-1)*100,0)</f>
        <v>#REF!</v>
      </c>
      <c r="BQ87" s="127" t="e">
        <f t="array" ref="BQ87:BQ92">MMULT(aggregation!#REF!,BasicTable5!BQ8:BQ48)</f>
        <v>#REF!</v>
      </c>
      <c r="BR87" s="127" t="e">
        <f t="array" ref="BR87:BR92">MMULT(aggregation!#REF!,BasicTable5!BR8:BR48)</f>
        <v>#REF!</v>
      </c>
      <c r="BS87" s="127" t="e">
        <f t="array" ref="BS87:BS92">MMULT(aggregation!#REF!,BasicTable5!BS8:BS48)</f>
        <v>#REF!</v>
      </c>
      <c r="BT87" s="127" t="e">
        <f t="array" ref="BT87:BT92">MMULT(aggregation!#REF!,BasicTable5!BT8:BT48)</f>
        <v>#REF!</v>
      </c>
      <c r="BU87" s="123" t="str">
        <f t="shared" ref="BU87:BU92" si="82">AW87</f>
        <v>Primary sector and utilities</v>
      </c>
      <c r="BV87" s="155" t="e">
        <f t="shared" ref="BV87:BV92" si="83">IF(BW87&gt;0,((1+(BY87/BW87))^(1/($A$101-$A$100))-1)*100,0)</f>
        <v>#REF!</v>
      </c>
      <c r="BW87" s="127" t="e">
        <f t="array" ref="BW87:BW92">MMULT(aggregation!#REF!,BasicTable5!BW8:BW48)</f>
        <v>#REF!</v>
      </c>
      <c r="BX87" s="127" t="e">
        <f t="array" ref="BX87:BX92">MMULT(aggregation!#REF!,BasicTable5!BX8:BX48)</f>
        <v>#REF!</v>
      </c>
      <c r="BY87" s="127" t="e">
        <f t="array" ref="BY87:BY92">MMULT(aggregation!#REF!,BasicTable5!BY8:BY48)</f>
        <v>#REF!</v>
      </c>
      <c r="BZ87" s="127" t="e">
        <f t="array" ref="BZ87:BZ92">MMULT(aggregation!#REF!,BasicTable5!BZ8:BZ48)</f>
        <v>#REF!</v>
      </c>
      <c r="CA87" s="123"/>
      <c r="CB87" s="155" t="e">
        <f t="shared" ref="CB87:CB92" si="84">IF(CC87&gt;0,((1+(CE87/CC87))^(1/($A$101-$A$100))-1)*100,0)</f>
        <v>#REF!</v>
      </c>
      <c r="CC87" s="127" t="e">
        <f t="array" ref="CC87:CC92">MMULT(aggregation!#REF!,BasicTable5!CC8:CC48)</f>
        <v>#REF!</v>
      </c>
      <c r="CD87" s="127" t="e">
        <f t="array" ref="CD87:CD92">MMULT(aggregation!#REF!,BasicTable5!CD8:CD48)</f>
        <v>#REF!</v>
      </c>
      <c r="CE87" s="127" t="e">
        <f t="array" ref="CE87:CE92">MMULT(aggregation!#REF!,BasicTable5!CE8:CE48)</f>
        <v>#REF!</v>
      </c>
      <c r="CF87" s="127" t="e">
        <f t="array" ref="CF87:CF92">MMULT(aggregation!#REF!,BasicTable5!CF8:CF48)</f>
        <v>#REF!</v>
      </c>
      <c r="CG87" s="123"/>
      <c r="CH87" s="155" t="e">
        <f t="shared" ref="CH87:CH92" si="85">IF(CI87&gt;0,((1+(CK87/CI87))^(1/($A$101-$A$100))-1)*100,0)</f>
        <v>#REF!</v>
      </c>
      <c r="CI87" s="127" t="e">
        <f t="array" ref="CI87:CI92">MMULT(aggregation!#REF!,BasicTable5!CI8:CI48)</f>
        <v>#REF!</v>
      </c>
      <c r="CJ87" s="127" t="e">
        <f t="array" ref="CJ87:CJ92">MMULT(aggregation!#REF!,BasicTable5!CJ8:CJ48)</f>
        <v>#REF!</v>
      </c>
      <c r="CK87" s="127" t="e">
        <f t="array" ref="CK87:CK92">MMULT(aggregation!#REF!,BasicTable5!CK8:CK48)</f>
        <v>#REF!</v>
      </c>
      <c r="CL87" s="127" t="e">
        <f t="array" ref="CL87:CL92">MMULT(aggregation!#REF!,BasicTable5!CL8:CL48)</f>
        <v>#REF!</v>
      </c>
      <c r="CM87" s="127"/>
      <c r="CN87" s="155" t="e">
        <f t="shared" ref="CN87:CN92" si="86">IF(CO87&gt;0,((1+(CQ87/CO87))^(1/($A$101-$A$100))-1)*100,0)</f>
        <v>#REF!</v>
      </c>
      <c r="CO87" s="127" t="e">
        <f t="array" ref="CO87:CO92">MMULT(aggregation!#REF!,BasicTable5!CO8:CO48)</f>
        <v>#REF!</v>
      </c>
      <c r="CP87" s="127" t="e">
        <f t="array" ref="CP87:CP92">MMULT(aggregation!#REF!,BasicTable5!CP8:CP48)</f>
        <v>#REF!</v>
      </c>
      <c r="CQ87" s="127" t="e">
        <f t="array" ref="CQ87:CQ92">MMULT(aggregation!#REF!,BasicTable5!CQ8:CQ48)</f>
        <v>#REF!</v>
      </c>
      <c r="CR87" s="127" t="e">
        <f t="array" ref="CR87:CR92">MMULT(aggregation!#REF!,BasicTable5!CR8:CR48)</f>
        <v>#REF!</v>
      </c>
      <c r="CS87" s="123" t="str">
        <f t="shared" ref="CS87:CS92" si="87">BU87</f>
        <v>Primary sector and utilities</v>
      </c>
      <c r="CT87" s="155" t="e">
        <f t="shared" ref="CT87:CT92" si="88">IF(CU87&gt;0,((1+(CW87/CU87))^(1/($A$101-$A$100))-1)*100,0)</f>
        <v>#REF!</v>
      </c>
      <c r="CU87" s="127" t="e">
        <f t="array" ref="CU87:CU92">MMULT(aggregation!#REF!,BasicTable5!CU8:CU48)</f>
        <v>#REF!</v>
      </c>
      <c r="CV87" s="127" t="e">
        <f t="array" ref="CV87:CV92">MMULT(aggregation!#REF!,BasicTable5!CV8:CV48)</f>
        <v>#REF!</v>
      </c>
      <c r="CW87" s="127" t="e">
        <f t="array" ref="CW87:CW92">MMULT(aggregation!#REF!,BasicTable5!CW8:CW48)</f>
        <v>#REF!</v>
      </c>
      <c r="CX87" s="127" t="e">
        <f t="array" ref="CX87:CX92">MMULT(aggregation!#REF!,BasicTable5!CX8:CX48)</f>
        <v>#REF!</v>
      </c>
      <c r="CY87" s="123"/>
      <c r="CZ87" s="155" t="e">
        <f t="shared" ref="CZ87:CZ92" si="89">IF(DA87&gt;0,((1+(DC87/DA87))^(1/($A$101-$A$100))-1)*100,0)</f>
        <v>#REF!</v>
      </c>
      <c r="DA87" s="127" t="e">
        <f t="array" ref="DA87:DA92">MMULT(aggregation!#REF!,BasicTable5!DA8:DA48)</f>
        <v>#REF!</v>
      </c>
      <c r="DB87" s="127" t="e">
        <f t="array" ref="DB87:DB92">MMULT(aggregation!#REF!,BasicTable5!DB8:DB48)</f>
        <v>#REF!</v>
      </c>
      <c r="DC87" s="127" t="e">
        <f t="array" ref="DC87:DC92">MMULT(aggregation!#REF!,BasicTable5!DC8:DC48)</f>
        <v>#REF!</v>
      </c>
      <c r="DD87" s="127" t="e">
        <f t="array" ref="DD87:DD92">MMULT(aggregation!#REF!,BasicTable5!DD8:DD48)</f>
        <v>#REF!</v>
      </c>
      <c r="DE87" s="123"/>
      <c r="DF87" s="155" t="e">
        <f t="shared" ref="DF87:DF92" si="90">IF(DG87&gt;0,((1+(DI87/DG87))^(1/($A$101-$A$100))-1)*100,0)</f>
        <v>#REF!</v>
      </c>
      <c r="DG87" s="127" t="e">
        <f t="array" ref="DG87:DG92">MMULT(aggregation!#REF!,BasicTable5!DG8:DG48)</f>
        <v>#REF!</v>
      </c>
      <c r="DH87" s="127" t="e">
        <f t="array" ref="DH87:DH92">MMULT(aggregation!#REF!,BasicTable5!DH8:DH48)</f>
        <v>#REF!</v>
      </c>
      <c r="DI87" s="127" t="e">
        <f t="array" ref="DI87:DI92">MMULT(aggregation!#REF!,BasicTable5!DI8:DI48)</f>
        <v>#REF!</v>
      </c>
      <c r="DJ87" s="127" t="e">
        <f t="array" ref="DJ87:DJ92">MMULT(aggregation!#REF!,BasicTable5!DJ8:DJ48)</f>
        <v>#REF!</v>
      </c>
      <c r="DK87" s="127"/>
      <c r="DL87" s="155" t="e">
        <f t="shared" ref="DL87:DL92" si="91">IF(DM87&gt;0,((1+(DO87/DM87))^(1/($A$101-$A$100))-1)*100,0)</f>
        <v>#REF!</v>
      </c>
      <c r="DM87" s="127" t="e">
        <f t="array" ref="DM87:DM92">MMULT(aggregation!#REF!,BasicTable5!DM8:DM48)</f>
        <v>#REF!</v>
      </c>
      <c r="DN87" s="127" t="e">
        <f t="array" ref="DN87:DN92">MMULT(aggregation!#REF!,BasicTable5!DN8:DN48)</f>
        <v>#REF!</v>
      </c>
      <c r="DO87" s="127" t="e">
        <f t="array" ref="DO87:DO92">MMULT(aggregation!#REF!,BasicTable5!DO8:DO48)</f>
        <v>#REF!</v>
      </c>
      <c r="DP87" s="127" t="e">
        <f t="array" ref="DP87:DP92">MMULT(aggregation!#REF!,BasicTable5!DP8:DP48)</f>
        <v>#REF!</v>
      </c>
    </row>
    <row r="88" spans="1:120" x14ac:dyDescent="0.25">
      <c r="A88" s="123" t="str">
        <f>name!C5</f>
        <v>Manufacturing</v>
      </c>
      <c r="B88" s="155" t="e">
        <f t="shared" si="68"/>
        <v>#REF!</v>
      </c>
      <c r="C88" s="127" t="e">
        <v>#REF!</v>
      </c>
      <c r="D88" s="127" t="e">
        <v>#REF!</v>
      </c>
      <c r="E88" s="127" t="e">
        <v>#REF!</v>
      </c>
      <c r="F88" s="127" t="e">
        <v>#REF!</v>
      </c>
      <c r="G88" s="123"/>
      <c r="H88" s="155" t="e">
        <f t="shared" si="69"/>
        <v>#REF!</v>
      </c>
      <c r="I88" s="127" t="e">
        <v>#REF!</v>
      </c>
      <c r="J88" s="127" t="e">
        <v>#REF!</v>
      </c>
      <c r="K88" s="127" t="e">
        <v>#REF!</v>
      </c>
      <c r="L88" s="127" t="e">
        <v>#REF!</v>
      </c>
      <c r="M88" s="123"/>
      <c r="N88" s="155" t="e">
        <f t="shared" si="70"/>
        <v>#REF!</v>
      </c>
      <c r="O88" s="127" t="e">
        <v>#REF!</v>
      </c>
      <c r="P88" s="127" t="e">
        <v>#REF!</v>
      </c>
      <c r="Q88" s="127" t="e">
        <v>#REF!</v>
      </c>
      <c r="R88" s="127" t="e">
        <v>#REF!</v>
      </c>
      <c r="S88" s="127"/>
      <c r="T88" s="155" t="e">
        <f t="shared" si="71"/>
        <v>#REF!</v>
      </c>
      <c r="U88" s="127" t="e">
        <v>#REF!</v>
      </c>
      <c r="V88" s="127" t="e">
        <v>#REF!</v>
      </c>
      <c r="W88" s="127" t="e">
        <v>#REF!</v>
      </c>
      <c r="X88" s="127" t="e">
        <v>#REF!</v>
      </c>
      <c r="Y88" s="123" t="str">
        <f t="shared" si="72"/>
        <v>Manufacturing</v>
      </c>
      <c r="Z88" s="155" t="e">
        <f t="shared" si="73"/>
        <v>#REF!</v>
      </c>
      <c r="AA88" s="127" t="e">
        <v>#REF!</v>
      </c>
      <c r="AB88" s="127" t="e">
        <v>#REF!</v>
      </c>
      <c r="AC88" s="127" t="e">
        <v>#REF!</v>
      </c>
      <c r="AD88" s="127" t="e">
        <v>#REF!</v>
      </c>
      <c r="AE88" s="123"/>
      <c r="AF88" s="155" t="e">
        <f t="shared" si="74"/>
        <v>#REF!</v>
      </c>
      <c r="AG88" s="127" t="e">
        <v>#REF!</v>
      </c>
      <c r="AH88" s="127" t="e">
        <v>#REF!</v>
      </c>
      <c r="AI88" s="127" t="e">
        <v>#REF!</v>
      </c>
      <c r="AJ88" s="127" t="e">
        <v>#REF!</v>
      </c>
      <c r="AK88" s="123"/>
      <c r="AL88" s="155" t="e">
        <f t="shared" si="75"/>
        <v>#REF!</v>
      </c>
      <c r="AM88" s="127" t="e">
        <v>#REF!</v>
      </c>
      <c r="AN88" s="127" t="e">
        <v>#REF!</v>
      </c>
      <c r="AO88" s="127" t="e">
        <v>#REF!</v>
      </c>
      <c r="AP88" s="127" t="e">
        <v>#REF!</v>
      </c>
      <c r="AQ88" s="127"/>
      <c r="AR88" s="155" t="e">
        <f t="shared" si="76"/>
        <v>#REF!</v>
      </c>
      <c r="AS88" s="127" t="e">
        <v>#REF!</v>
      </c>
      <c r="AT88" s="127" t="e">
        <v>#REF!</v>
      </c>
      <c r="AU88" s="127" t="e">
        <v>#REF!</v>
      </c>
      <c r="AV88" s="127" t="e">
        <v>#REF!</v>
      </c>
      <c r="AW88" s="123" t="str">
        <f t="shared" si="77"/>
        <v>Manufacturing</v>
      </c>
      <c r="AX88" s="155" t="e">
        <f t="shared" si="78"/>
        <v>#REF!</v>
      </c>
      <c r="AY88" s="127" t="e">
        <v>#REF!</v>
      </c>
      <c r="AZ88" s="127" t="e">
        <v>#REF!</v>
      </c>
      <c r="BA88" s="127" t="e">
        <v>#REF!</v>
      </c>
      <c r="BB88" s="127" t="e">
        <v>#REF!</v>
      </c>
      <c r="BC88" s="123"/>
      <c r="BD88" s="155" t="e">
        <f t="shared" si="79"/>
        <v>#REF!</v>
      </c>
      <c r="BE88" s="127" t="e">
        <v>#REF!</v>
      </c>
      <c r="BF88" s="127" t="e">
        <v>#REF!</v>
      </c>
      <c r="BG88" s="127" t="e">
        <v>#REF!</v>
      </c>
      <c r="BH88" s="127" t="e">
        <v>#REF!</v>
      </c>
      <c r="BI88" s="123"/>
      <c r="BJ88" s="155" t="e">
        <f t="shared" si="80"/>
        <v>#REF!</v>
      </c>
      <c r="BK88" s="127" t="e">
        <v>#REF!</v>
      </c>
      <c r="BL88" s="127" t="e">
        <v>#REF!</v>
      </c>
      <c r="BM88" s="127" t="e">
        <v>#REF!</v>
      </c>
      <c r="BN88" s="127" t="e">
        <v>#REF!</v>
      </c>
      <c r="BO88" s="127"/>
      <c r="BP88" s="155" t="e">
        <f t="shared" si="81"/>
        <v>#REF!</v>
      </c>
      <c r="BQ88" s="127" t="e">
        <v>#REF!</v>
      </c>
      <c r="BR88" s="127" t="e">
        <v>#REF!</v>
      </c>
      <c r="BS88" s="127" t="e">
        <v>#REF!</v>
      </c>
      <c r="BT88" s="127" t="e">
        <v>#REF!</v>
      </c>
      <c r="BU88" s="123" t="str">
        <f t="shared" si="82"/>
        <v>Manufacturing</v>
      </c>
      <c r="BV88" s="155" t="e">
        <f t="shared" si="83"/>
        <v>#REF!</v>
      </c>
      <c r="BW88" s="127" t="e">
        <v>#REF!</v>
      </c>
      <c r="BX88" s="127" t="e">
        <v>#REF!</v>
      </c>
      <c r="BY88" s="127" t="e">
        <v>#REF!</v>
      </c>
      <c r="BZ88" s="127" t="e">
        <v>#REF!</v>
      </c>
      <c r="CA88" s="123"/>
      <c r="CB88" s="155" t="e">
        <f t="shared" si="84"/>
        <v>#REF!</v>
      </c>
      <c r="CC88" s="127" t="e">
        <v>#REF!</v>
      </c>
      <c r="CD88" s="127" t="e">
        <v>#REF!</v>
      </c>
      <c r="CE88" s="127" t="e">
        <v>#REF!</v>
      </c>
      <c r="CF88" s="127" t="e">
        <v>#REF!</v>
      </c>
      <c r="CG88" s="123"/>
      <c r="CH88" s="155" t="e">
        <f t="shared" si="85"/>
        <v>#REF!</v>
      </c>
      <c r="CI88" s="127" t="e">
        <v>#REF!</v>
      </c>
      <c r="CJ88" s="127" t="e">
        <v>#REF!</v>
      </c>
      <c r="CK88" s="127" t="e">
        <v>#REF!</v>
      </c>
      <c r="CL88" s="127" t="e">
        <v>#REF!</v>
      </c>
      <c r="CM88" s="127"/>
      <c r="CN88" s="155" t="e">
        <f t="shared" si="86"/>
        <v>#REF!</v>
      </c>
      <c r="CO88" s="127" t="e">
        <v>#REF!</v>
      </c>
      <c r="CP88" s="127" t="e">
        <v>#REF!</v>
      </c>
      <c r="CQ88" s="127" t="e">
        <v>#REF!</v>
      </c>
      <c r="CR88" s="127" t="e">
        <v>#REF!</v>
      </c>
      <c r="CS88" s="123" t="str">
        <f t="shared" si="87"/>
        <v>Manufacturing</v>
      </c>
      <c r="CT88" s="155" t="e">
        <f t="shared" si="88"/>
        <v>#REF!</v>
      </c>
      <c r="CU88" s="127" t="e">
        <v>#REF!</v>
      </c>
      <c r="CV88" s="127" t="e">
        <v>#REF!</v>
      </c>
      <c r="CW88" s="127" t="e">
        <v>#REF!</v>
      </c>
      <c r="CX88" s="127" t="e">
        <v>#REF!</v>
      </c>
      <c r="CY88" s="123"/>
      <c r="CZ88" s="155" t="e">
        <f t="shared" si="89"/>
        <v>#REF!</v>
      </c>
      <c r="DA88" s="127" t="e">
        <v>#REF!</v>
      </c>
      <c r="DB88" s="127" t="e">
        <v>#REF!</v>
      </c>
      <c r="DC88" s="127" t="e">
        <v>#REF!</v>
      </c>
      <c r="DD88" s="127" t="e">
        <v>#REF!</v>
      </c>
      <c r="DE88" s="123"/>
      <c r="DF88" s="155" t="e">
        <f t="shared" si="90"/>
        <v>#REF!</v>
      </c>
      <c r="DG88" s="127" t="e">
        <v>#REF!</v>
      </c>
      <c r="DH88" s="127" t="e">
        <v>#REF!</v>
      </c>
      <c r="DI88" s="127" t="e">
        <v>#REF!</v>
      </c>
      <c r="DJ88" s="127" t="e">
        <v>#REF!</v>
      </c>
      <c r="DK88" s="127"/>
      <c r="DL88" s="155" t="e">
        <f t="shared" si="91"/>
        <v>#REF!</v>
      </c>
      <c r="DM88" s="127" t="e">
        <v>#REF!</v>
      </c>
      <c r="DN88" s="127" t="e">
        <v>#REF!</v>
      </c>
      <c r="DO88" s="127" t="e">
        <v>#REF!</v>
      </c>
      <c r="DP88" s="127" t="e">
        <v>#REF!</v>
      </c>
    </row>
    <row r="89" spans="1:120" x14ac:dyDescent="0.25">
      <c r="A89" s="123" t="str">
        <f>name!C6</f>
        <v>Construction</v>
      </c>
      <c r="B89" s="155" t="e">
        <f t="shared" si="68"/>
        <v>#REF!</v>
      </c>
      <c r="C89" s="127" t="e">
        <v>#REF!</v>
      </c>
      <c r="D89" s="127" t="e">
        <v>#REF!</v>
      </c>
      <c r="E89" s="127" t="e">
        <v>#REF!</v>
      </c>
      <c r="F89" s="127" t="e">
        <v>#REF!</v>
      </c>
      <c r="G89" s="123"/>
      <c r="H89" s="155" t="e">
        <f t="shared" si="69"/>
        <v>#REF!</v>
      </c>
      <c r="I89" s="127" t="e">
        <v>#REF!</v>
      </c>
      <c r="J89" s="127" t="e">
        <v>#REF!</v>
      </c>
      <c r="K89" s="127" t="e">
        <v>#REF!</v>
      </c>
      <c r="L89" s="127" t="e">
        <v>#REF!</v>
      </c>
      <c r="M89" s="123"/>
      <c r="N89" s="155" t="e">
        <f t="shared" si="70"/>
        <v>#REF!</v>
      </c>
      <c r="O89" s="127" t="e">
        <v>#REF!</v>
      </c>
      <c r="P89" s="127" t="e">
        <v>#REF!</v>
      </c>
      <c r="Q89" s="127" t="e">
        <v>#REF!</v>
      </c>
      <c r="R89" s="127" t="e">
        <v>#REF!</v>
      </c>
      <c r="S89" s="127"/>
      <c r="T89" s="155" t="e">
        <f t="shared" si="71"/>
        <v>#REF!</v>
      </c>
      <c r="U89" s="127" t="e">
        <v>#REF!</v>
      </c>
      <c r="V89" s="127" t="e">
        <v>#REF!</v>
      </c>
      <c r="W89" s="127" t="e">
        <v>#REF!</v>
      </c>
      <c r="X89" s="127" t="e">
        <v>#REF!</v>
      </c>
      <c r="Y89" s="123" t="str">
        <f t="shared" si="72"/>
        <v>Construction</v>
      </c>
      <c r="Z89" s="155" t="e">
        <f t="shared" si="73"/>
        <v>#REF!</v>
      </c>
      <c r="AA89" s="127" t="e">
        <v>#REF!</v>
      </c>
      <c r="AB89" s="127" t="e">
        <v>#REF!</v>
      </c>
      <c r="AC89" s="127" t="e">
        <v>#REF!</v>
      </c>
      <c r="AD89" s="127" t="e">
        <v>#REF!</v>
      </c>
      <c r="AE89" s="123"/>
      <c r="AF89" s="155" t="e">
        <f t="shared" si="74"/>
        <v>#REF!</v>
      </c>
      <c r="AG89" s="127" t="e">
        <v>#REF!</v>
      </c>
      <c r="AH89" s="127" t="e">
        <v>#REF!</v>
      </c>
      <c r="AI89" s="127" t="e">
        <v>#REF!</v>
      </c>
      <c r="AJ89" s="127" t="e">
        <v>#REF!</v>
      </c>
      <c r="AK89" s="123"/>
      <c r="AL89" s="155" t="e">
        <f t="shared" si="75"/>
        <v>#REF!</v>
      </c>
      <c r="AM89" s="127" t="e">
        <v>#REF!</v>
      </c>
      <c r="AN89" s="127" t="e">
        <v>#REF!</v>
      </c>
      <c r="AO89" s="127" t="e">
        <v>#REF!</v>
      </c>
      <c r="AP89" s="127" t="e">
        <v>#REF!</v>
      </c>
      <c r="AQ89" s="127"/>
      <c r="AR89" s="155" t="e">
        <f t="shared" si="76"/>
        <v>#REF!</v>
      </c>
      <c r="AS89" s="127" t="e">
        <v>#REF!</v>
      </c>
      <c r="AT89" s="127" t="e">
        <v>#REF!</v>
      </c>
      <c r="AU89" s="127" t="e">
        <v>#REF!</v>
      </c>
      <c r="AV89" s="127" t="e">
        <v>#REF!</v>
      </c>
      <c r="AW89" s="123" t="str">
        <f t="shared" si="77"/>
        <v>Construction</v>
      </c>
      <c r="AX89" s="155" t="e">
        <f t="shared" si="78"/>
        <v>#REF!</v>
      </c>
      <c r="AY89" s="127" t="e">
        <v>#REF!</v>
      </c>
      <c r="AZ89" s="127" t="e">
        <v>#REF!</v>
      </c>
      <c r="BA89" s="127" t="e">
        <v>#REF!</v>
      </c>
      <c r="BB89" s="127" t="e">
        <v>#REF!</v>
      </c>
      <c r="BC89" s="123"/>
      <c r="BD89" s="155" t="e">
        <f t="shared" si="79"/>
        <v>#REF!</v>
      </c>
      <c r="BE89" s="127" t="e">
        <v>#REF!</v>
      </c>
      <c r="BF89" s="127" t="e">
        <v>#REF!</v>
      </c>
      <c r="BG89" s="127" t="e">
        <v>#REF!</v>
      </c>
      <c r="BH89" s="127" t="e">
        <v>#REF!</v>
      </c>
      <c r="BI89" s="123"/>
      <c r="BJ89" s="155" t="e">
        <f t="shared" si="80"/>
        <v>#REF!</v>
      </c>
      <c r="BK89" s="127" t="e">
        <v>#REF!</v>
      </c>
      <c r="BL89" s="127" t="e">
        <v>#REF!</v>
      </c>
      <c r="BM89" s="127" t="e">
        <v>#REF!</v>
      </c>
      <c r="BN89" s="127" t="e">
        <v>#REF!</v>
      </c>
      <c r="BO89" s="127"/>
      <c r="BP89" s="155" t="e">
        <f t="shared" si="81"/>
        <v>#REF!</v>
      </c>
      <c r="BQ89" s="127" t="e">
        <v>#REF!</v>
      </c>
      <c r="BR89" s="127" t="e">
        <v>#REF!</v>
      </c>
      <c r="BS89" s="127" t="e">
        <v>#REF!</v>
      </c>
      <c r="BT89" s="127" t="e">
        <v>#REF!</v>
      </c>
      <c r="BU89" s="123" t="str">
        <f t="shared" si="82"/>
        <v>Construction</v>
      </c>
      <c r="BV89" s="155" t="e">
        <f t="shared" si="83"/>
        <v>#REF!</v>
      </c>
      <c r="BW89" s="127" t="e">
        <v>#REF!</v>
      </c>
      <c r="BX89" s="127" t="e">
        <v>#REF!</v>
      </c>
      <c r="BY89" s="127" t="e">
        <v>#REF!</v>
      </c>
      <c r="BZ89" s="127" t="e">
        <v>#REF!</v>
      </c>
      <c r="CA89" s="123"/>
      <c r="CB89" s="155" t="e">
        <f t="shared" si="84"/>
        <v>#REF!</v>
      </c>
      <c r="CC89" s="127" t="e">
        <v>#REF!</v>
      </c>
      <c r="CD89" s="127" t="e">
        <v>#REF!</v>
      </c>
      <c r="CE89" s="127" t="e">
        <v>#REF!</v>
      </c>
      <c r="CF89" s="127" t="e">
        <v>#REF!</v>
      </c>
      <c r="CG89" s="123"/>
      <c r="CH89" s="155" t="e">
        <f t="shared" si="85"/>
        <v>#REF!</v>
      </c>
      <c r="CI89" s="127" t="e">
        <v>#REF!</v>
      </c>
      <c r="CJ89" s="127" t="e">
        <v>#REF!</v>
      </c>
      <c r="CK89" s="127" t="e">
        <v>#REF!</v>
      </c>
      <c r="CL89" s="127" t="e">
        <v>#REF!</v>
      </c>
      <c r="CM89" s="127"/>
      <c r="CN89" s="155" t="e">
        <f t="shared" si="86"/>
        <v>#REF!</v>
      </c>
      <c r="CO89" s="127" t="e">
        <v>#REF!</v>
      </c>
      <c r="CP89" s="127" t="e">
        <v>#REF!</v>
      </c>
      <c r="CQ89" s="127" t="e">
        <v>#REF!</v>
      </c>
      <c r="CR89" s="127" t="e">
        <v>#REF!</v>
      </c>
      <c r="CS89" s="123" t="str">
        <f t="shared" si="87"/>
        <v>Construction</v>
      </c>
      <c r="CT89" s="155" t="e">
        <f t="shared" si="88"/>
        <v>#REF!</v>
      </c>
      <c r="CU89" s="127" t="e">
        <v>#REF!</v>
      </c>
      <c r="CV89" s="127" t="e">
        <v>#REF!</v>
      </c>
      <c r="CW89" s="127" t="e">
        <v>#REF!</v>
      </c>
      <c r="CX89" s="127" t="e">
        <v>#REF!</v>
      </c>
      <c r="CY89" s="123"/>
      <c r="CZ89" s="155" t="e">
        <f t="shared" si="89"/>
        <v>#REF!</v>
      </c>
      <c r="DA89" s="127" t="e">
        <v>#REF!</v>
      </c>
      <c r="DB89" s="127" t="e">
        <v>#REF!</v>
      </c>
      <c r="DC89" s="127" t="e">
        <v>#REF!</v>
      </c>
      <c r="DD89" s="127" t="e">
        <v>#REF!</v>
      </c>
      <c r="DE89" s="123"/>
      <c r="DF89" s="155" t="e">
        <f t="shared" si="90"/>
        <v>#REF!</v>
      </c>
      <c r="DG89" s="127" t="e">
        <v>#REF!</v>
      </c>
      <c r="DH89" s="127" t="e">
        <v>#REF!</v>
      </c>
      <c r="DI89" s="127" t="e">
        <v>#REF!</v>
      </c>
      <c r="DJ89" s="127" t="e">
        <v>#REF!</v>
      </c>
      <c r="DK89" s="127"/>
      <c r="DL89" s="155" t="e">
        <f t="shared" si="91"/>
        <v>#REF!</v>
      </c>
      <c r="DM89" s="127" t="e">
        <v>#REF!</v>
      </c>
      <c r="DN89" s="127" t="e">
        <v>#REF!</v>
      </c>
      <c r="DO89" s="127" t="e">
        <v>#REF!</v>
      </c>
      <c r="DP89" s="127" t="e">
        <v>#REF!</v>
      </c>
    </row>
    <row r="90" spans="1:120" x14ac:dyDescent="0.25">
      <c r="A90" s="123" t="str">
        <f>name!C7</f>
        <v>Trade, accomod. and transport</v>
      </c>
      <c r="B90" s="155" t="e">
        <f t="shared" si="68"/>
        <v>#REF!</v>
      </c>
      <c r="C90" s="127" t="e">
        <v>#REF!</v>
      </c>
      <c r="D90" s="127" t="e">
        <v>#REF!</v>
      </c>
      <c r="E90" s="127" t="e">
        <v>#REF!</v>
      </c>
      <c r="F90" s="127" t="e">
        <v>#REF!</v>
      </c>
      <c r="G90" s="123"/>
      <c r="H90" s="155" t="e">
        <f t="shared" si="69"/>
        <v>#REF!</v>
      </c>
      <c r="I90" s="127" t="e">
        <v>#REF!</v>
      </c>
      <c r="J90" s="127" t="e">
        <v>#REF!</v>
      </c>
      <c r="K90" s="127" t="e">
        <v>#REF!</v>
      </c>
      <c r="L90" s="127" t="e">
        <v>#REF!</v>
      </c>
      <c r="M90" s="123"/>
      <c r="N90" s="155" t="e">
        <f t="shared" si="70"/>
        <v>#REF!</v>
      </c>
      <c r="O90" s="127" t="e">
        <v>#REF!</v>
      </c>
      <c r="P90" s="127" t="e">
        <v>#REF!</v>
      </c>
      <c r="Q90" s="127" t="e">
        <v>#REF!</v>
      </c>
      <c r="R90" s="127" t="e">
        <v>#REF!</v>
      </c>
      <c r="S90" s="127"/>
      <c r="T90" s="155" t="e">
        <f t="shared" si="71"/>
        <v>#REF!</v>
      </c>
      <c r="U90" s="127" t="e">
        <v>#REF!</v>
      </c>
      <c r="V90" s="127" t="e">
        <v>#REF!</v>
      </c>
      <c r="W90" s="127" t="e">
        <v>#REF!</v>
      </c>
      <c r="X90" s="127" t="e">
        <v>#REF!</v>
      </c>
      <c r="Y90" s="123" t="str">
        <f t="shared" si="72"/>
        <v>Trade, accomod. and transport</v>
      </c>
      <c r="Z90" s="155" t="e">
        <f t="shared" si="73"/>
        <v>#REF!</v>
      </c>
      <c r="AA90" s="127" t="e">
        <v>#REF!</v>
      </c>
      <c r="AB90" s="127" t="e">
        <v>#REF!</v>
      </c>
      <c r="AC90" s="127" t="e">
        <v>#REF!</v>
      </c>
      <c r="AD90" s="127" t="e">
        <v>#REF!</v>
      </c>
      <c r="AE90" s="123"/>
      <c r="AF90" s="155" t="e">
        <f t="shared" si="74"/>
        <v>#REF!</v>
      </c>
      <c r="AG90" s="127" t="e">
        <v>#REF!</v>
      </c>
      <c r="AH90" s="127" t="e">
        <v>#REF!</v>
      </c>
      <c r="AI90" s="127" t="e">
        <v>#REF!</v>
      </c>
      <c r="AJ90" s="127" t="e">
        <v>#REF!</v>
      </c>
      <c r="AK90" s="123"/>
      <c r="AL90" s="155" t="e">
        <f t="shared" si="75"/>
        <v>#REF!</v>
      </c>
      <c r="AM90" s="127" t="e">
        <v>#REF!</v>
      </c>
      <c r="AN90" s="127" t="e">
        <v>#REF!</v>
      </c>
      <c r="AO90" s="127" t="e">
        <v>#REF!</v>
      </c>
      <c r="AP90" s="127" t="e">
        <v>#REF!</v>
      </c>
      <c r="AQ90" s="127"/>
      <c r="AR90" s="155" t="e">
        <f t="shared" si="76"/>
        <v>#REF!</v>
      </c>
      <c r="AS90" s="127" t="e">
        <v>#REF!</v>
      </c>
      <c r="AT90" s="127" t="e">
        <v>#REF!</v>
      </c>
      <c r="AU90" s="127" t="e">
        <v>#REF!</v>
      </c>
      <c r="AV90" s="127" t="e">
        <v>#REF!</v>
      </c>
      <c r="AW90" s="123" t="str">
        <f t="shared" si="77"/>
        <v>Trade, accomod. and transport</v>
      </c>
      <c r="AX90" s="155" t="e">
        <f t="shared" si="78"/>
        <v>#REF!</v>
      </c>
      <c r="AY90" s="127" t="e">
        <v>#REF!</v>
      </c>
      <c r="AZ90" s="127" t="e">
        <v>#REF!</v>
      </c>
      <c r="BA90" s="127" t="e">
        <v>#REF!</v>
      </c>
      <c r="BB90" s="127" t="e">
        <v>#REF!</v>
      </c>
      <c r="BC90" s="123"/>
      <c r="BD90" s="155" t="e">
        <f t="shared" si="79"/>
        <v>#REF!</v>
      </c>
      <c r="BE90" s="127" t="e">
        <v>#REF!</v>
      </c>
      <c r="BF90" s="127" t="e">
        <v>#REF!</v>
      </c>
      <c r="BG90" s="127" t="e">
        <v>#REF!</v>
      </c>
      <c r="BH90" s="127" t="e">
        <v>#REF!</v>
      </c>
      <c r="BI90" s="123"/>
      <c r="BJ90" s="155" t="e">
        <f t="shared" si="80"/>
        <v>#REF!</v>
      </c>
      <c r="BK90" s="127" t="e">
        <v>#REF!</v>
      </c>
      <c r="BL90" s="127" t="e">
        <v>#REF!</v>
      </c>
      <c r="BM90" s="127" t="e">
        <v>#REF!</v>
      </c>
      <c r="BN90" s="127" t="e">
        <v>#REF!</v>
      </c>
      <c r="BO90" s="127"/>
      <c r="BP90" s="155" t="e">
        <f t="shared" si="81"/>
        <v>#REF!</v>
      </c>
      <c r="BQ90" s="127" t="e">
        <v>#REF!</v>
      </c>
      <c r="BR90" s="127" t="e">
        <v>#REF!</v>
      </c>
      <c r="BS90" s="127" t="e">
        <v>#REF!</v>
      </c>
      <c r="BT90" s="127" t="e">
        <v>#REF!</v>
      </c>
      <c r="BU90" s="123" t="str">
        <f t="shared" si="82"/>
        <v>Trade, accomod. and transport</v>
      </c>
      <c r="BV90" s="155" t="e">
        <f t="shared" si="83"/>
        <v>#REF!</v>
      </c>
      <c r="BW90" s="127" t="e">
        <v>#REF!</v>
      </c>
      <c r="BX90" s="127" t="e">
        <v>#REF!</v>
      </c>
      <c r="BY90" s="127" t="e">
        <v>#REF!</v>
      </c>
      <c r="BZ90" s="127" t="e">
        <v>#REF!</v>
      </c>
      <c r="CA90" s="123"/>
      <c r="CB90" s="155" t="e">
        <f t="shared" si="84"/>
        <v>#REF!</v>
      </c>
      <c r="CC90" s="127" t="e">
        <v>#REF!</v>
      </c>
      <c r="CD90" s="127" t="e">
        <v>#REF!</v>
      </c>
      <c r="CE90" s="127" t="e">
        <v>#REF!</v>
      </c>
      <c r="CF90" s="127" t="e">
        <v>#REF!</v>
      </c>
      <c r="CG90" s="123"/>
      <c r="CH90" s="155" t="e">
        <f t="shared" si="85"/>
        <v>#REF!</v>
      </c>
      <c r="CI90" s="127" t="e">
        <v>#REF!</v>
      </c>
      <c r="CJ90" s="127" t="e">
        <v>#REF!</v>
      </c>
      <c r="CK90" s="127" t="e">
        <v>#REF!</v>
      </c>
      <c r="CL90" s="127" t="e">
        <v>#REF!</v>
      </c>
      <c r="CM90" s="127"/>
      <c r="CN90" s="155" t="e">
        <f t="shared" si="86"/>
        <v>#REF!</v>
      </c>
      <c r="CO90" s="127" t="e">
        <v>#REF!</v>
      </c>
      <c r="CP90" s="127" t="e">
        <v>#REF!</v>
      </c>
      <c r="CQ90" s="127" t="e">
        <v>#REF!</v>
      </c>
      <c r="CR90" s="127" t="e">
        <v>#REF!</v>
      </c>
      <c r="CS90" s="123" t="str">
        <f t="shared" si="87"/>
        <v>Trade, accomod. and transport</v>
      </c>
      <c r="CT90" s="155" t="e">
        <f t="shared" si="88"/>
        <v>#REF!</v>
      </c>
      <c r="CU90" s="127" t="e">
        <v>#REF!</v>
      </c>
      <c r="CV90" s="127" t="e">
        <v>#REF!</v>
      </c>
      <c r="CW90" s="127" t="e">
        <v>#REF!</v>
      </c>
      <c r="CX90" s="127" t="e">
        <v>#REF!</v>
      </c>
      <c r="CY90" s="123"/>
      <c r="CZ90" s="155" t="e">
        <f t="shared" si="89"/>
        <v>#REF!</v>
      </c>
      <c r="DA90" s="127" t="e">
        <v>#REF!</v>
      </c>
      <c r="DB90" s="127" t="e">
        <v>#REF!</v>
      </c>
      <c r="DC90" s="127" t="e">
        <v>#REF!</v>
      </c>
      <c r="DD90" s="127" t="e">
        <v>#REF!</v>
      </c>
      <c r="DE90" s="123"/>
      <c r="DF90" s="155" t="e">
        <f t="shared" si="90"/>
        <v>#REF!</v>
      </c>
      <c r="DG90" s="127" t="e">
        <v>#REF!</v>
      </c>
      <c r="DH90" s="127" t="e">
        <v>#REF!</v>
      </c>
      <c r="DI90" s="127" t="e">
        <v>#REF!</v>
      </c>
      <c r="DJ90" s="127" t="e">
        <v>#REF!</v>
      </c>
      <c r="DK90" s="127"/>
      <c r="DL90" s="155" t="e">
        <f t="shared" si="91"/>
        <v>#REF!</v>
      </c>
      <c r="DM90" s="127" t="e">
        <v>#REF!</v>
      </c>
      <c r="DN90" s="127" t="e">
        <v>#REF!</v>
      </c>
      <c r="DO90" s="127" t="e">
        <v>#REF!</v>
      </c>
      <c r="DP90" s="127" t="e">
        <v>#REF!</v>
      </c>
    </row>
    <row r="91" spans="1:120" x14ac:dyDescent="0.25">
      <c r="A91" s="123" t="str">
        <f>name!C8</f>
        <v>Business and other services</v>
      </c>
      <c r="B91" s="155" t="e">
        <f t="shared" si="68"/>
        <v>#REF!</v>
      </c>
      <c r="C91" s="127" t="e">
        <v>#REF!</v>
      </c>
      <c r="D91" s="127" t="e">
        <v>#REF!</v>
      </c>
      <c r="E91" s="127" t="e">
        <v>#REF!</v>
      </c>
      <c r="F91" s="127" t="e">
        <v>#REF!</v>
      </c>
      <c r="G91" s="123"/>
      <c r="H91" s="155" t="e">
        <f t="shared" si="69"/>
        <v>#REF!</v>
      </c>
      <c r="I91" s="127" t="e">
        <v>#REF!</v>
      </c>
      <c r="J91" s="127" t="e">
        <v>#REF!</v>
      </c>
      <c r="K91" s="127" t="e">
        <v>#REF!</v>
      </c>
      <c r="L91" s="127" t="e">
        <v>#REF!</v>
      </c>
      <c r="M91" s="123"/>
      <c r="N91" s="155" t="e">
        <f t="shared" si="70"/>
        <v>#REF!</v>
      </c>
      <c r="O91" s="127" t="e">
        <v>#REF!</v>
      </c>
      <c r="P91" s="127" t="e">
        <v>#REF!</v>
      </c>
      <c r="Q91" s="127" t="e">
        <v>#REF!</v>
      </c>
      <c r="R91" s="127" t="e">
        <v>#REF!</v>
      </c>
      <c r="S91" s="127"/>
      <c r="T91" s="155" t="e">
        <f t="shared" si="71"/>
        <v>#REF!</v>
      </c>
      <c r="U91" s="127" t="e">
        <v>#REF!</v>
      </c>
      <c r="V91" s="127" t="e">
        <v>#REF!</v>
      </c>
      <c r="W91" s="127" t="e">
        <v>#REF!</v>
      </c>
      <c r="X91" s="127" t="e">
        <v>#REF!</v>
      </c>
      <c r="Y91" s="123" t="str">
        <f t="shared" si="72"/>
        <v>Business and other services</v>
      </c>
      <c r="Z91" s="155" t="e">
        <f t="shared" si="73"/>
        <v>#REF!</v>
      </c>
      <c r="AA91" s="127" t="e">
        <v>#REF!</v>
      </c>
      <c r="AB91" s="127" t="e">
        <v>#REF!</v>
      </c>
      <c r="AC91" s="127" t="e">
        <v>#REF!</v>
      </c>
      <c r="AD91" s="127" t="e">
        <v>#REF!</v>
      </c>
      <c r="AE91" s="123"/>
      <c r="AF91" s="155" t="e">
        <f t="shared" si="74"/>
        <v>#REF!</v>
      </c>
      <c r="AG91" s="127" t="e">
        <v>#REF!</v>
      </c>
      <c r="AH91" s="127" t="e">
        <v>#REF!</v>
      </c>
      <c r="AI91" s="127" t="e">
        <v>#REF!</v>
      </c>
      <c r="AJ91" s="127" t="e">
        <v>#REF!</v>
      </c>
      <c r="AK91" s="123"/>
      <c r="AL91" s="155" t="e">
        <f t="shared" si="75"/>
        <v>#REF!</v>
      </c>
      <c r="AM91" s="127" t="e">
        <v>#REF!</v>
      </c>
      <c r="AN91" s="127" t="e">
        <v>#REF!</v>
      </c>
      <c r="AO91" s="127" t="e">
        <v>#REF!</v>
      </c>
      <c r="AP91" s="127" t="e">
        <v>#REF!</v>
      </c>
      <c r="AQ91" s="127"/>
      <c r="AR91" s="155" t="e">
        <f t="shared" si="76"/>
        <v>#REF!</v>
      </c>
      <c r="AS91" s="127" t="e">
        <v>#REF!</v>
      </c>
      <c r="AT91" s="127" t="e">
        <v>#REF!</v>
      </c>
      <c r="AU91" s="127" t="e">
        <v>#REF!</v>
      </c>
      <c r="AV91" s="127" t="e">
        <v>#REF!</v>
      </c>
      <c r="AW91" s="123" t="str">
        <f t="shared" si="77"/>
        <v>Business and other services</v>
      </c>
      <c r="AX91" s="155" t="e">
        <f t="shared" si="78"/>
        <v>#REF!</v>
      </c>
      <c r="AY91" s="127" t="e">
        <v>#REF!</v>
      </c>
      <c r="AZ91" s="127" t="e">
        <v>#REF!</v>
      </c>
      <c r="BA91" s="127" t="e">
        <v>#REF!</v>
      </c>
      <c r="BB91" s="127" t="e">
        <v>#REF!</v>
      </c>
      <c r="BC91" s="123"/>
      <c r="BD91" s="155" t="e">
        <f t="shared" si="79"/>
        <v>#REF!</v>
      </c>
      <c r="BE91" s="127" t="e">
        <v>#REF!</v>
      </c>
      <c r="BF91" s="127" t="e">
        <v>#REF!</v>
      </c>
      <c r="BG91" s="127" t="e">
        <v>#REF!</v>
      </c>
      <c r="BH91" s="127" t="e">
        <v>#REF!</v>
      </c>
      <c r="BI91" s="123"/>
      <c r="BJ91" s="155" t="e">
        <f t="shared" si="80"/>
        <v>#REF!</v>
      </c>
      <c r="BK91" s="127" t="e">
        <v>#REF!</v>
      </c>
      <c r="BL91" s="127" t="e">
        <v>#REF!</v>
      </c>
      <c r="BM91" s="127" t="e">
        <v>#REF!</v>
      </c>
      <c r="BN91" s="127" t="e">
        <v>#REF!</v>
      </c>
      <c r="BO91" s="127"/>
      <c r="BP91" s="155" t="e">
        <f t="shared" si="81"/>
        <v>#REF!</v>
      </c>
      <c r="BQ91" s="127" t="e">
        <v>#REF!</v>
      </c>
      <c r="BR91" s="127" t="e">
        <v>#REF!</v>
      </c>
      <c r="BS91" s="127" t="e">
        <v>#REF!</v>
      </c>
      <c r="BT91" s="127" t="e">
        <v>#REF!</v>
      </c>
      <c r="BU91" s="123" t="str">
        <f t="shared" si="82"/>
        <v>Business and other services</v>
      </c>
      <c r="BV91" s="155" t="e">
        <f t="shared" si="83"/>
        <v>#REF!</v>
      </c>
      <c r="BW91" s="127" t="e">
        <v>#REF!</v>
      </c>
      <c r="BX91" s="127" t="e">
        <v>#REF!</v>
      </c>
      <c r="BY91" s="127" t="e">
        <v>#REF!</v>
      </c>
      <c r="BZ91" s="127" t="e">
        <v>#REF!</v>
      </c>
      <c r="CA91" s="123"/>
      <c r="CB91" s="155" t="e">
        <f t="shared" si="84"/>
        <v>#REF!</v>
      </c>
      <c r="CC91" s="127" t="e">
        <v>#REF!</v>
      </c>
      <c r="CD91" s="127" t="e">
        <v>#REF!</v>
      </c>
      <c r="CE91" s="127" t="e">
        <v>#REF!</v>
      </c>
      <c r="CF91" s="127" t="e">
        <v>#REF!</v>
      </c>
      <c r="CG91" s="123"/>
      <c r="CH91" s="155" t="e">
        <f t="shared" si="85"/>
        <v>#REF!</v>
      </c>
      <c r="CI91" s="127" t="e">
        <v>#REF!</v>
      </c>
      <c r="CJ91" s="127" t="e">
        <v>#REF!</v>
      </c>
      <c r="CK91" s="127" t="e">
        <v>#REF!</v>
      </c>
      <c r="CL91" s="127" t="e">
        <v>#REF!</v>
      </c>
      <c r="CM91" s="127"/>
      <c r="CN91" s="155" t="e">
        <f t="shared" si="86"/>
        <v>#REF!</v>
      </c>
      <c r="CO91" s="127" t="e">
        <v>#REF!</v>
      </c>
      <c r="CP91" s="127" t="e">
        <v>#REF!</v>
      </c>
      <c r="CQ91" s="127" t="e">
        <v>#REF!</v>
      </c>
      <c r="CR91" s="127" t="e">
        <v>#REF!</v>
      </c>
      <c r="CS91" s="123" t="str">
        <f t="shared" si="87"/>
        <v>Business and other services</v>
      </c>
      <c r="CT91" s="155" t="e">
        <f t="shared" si="88"/>
        <v>#REF!</v>
      </c>
      <c r="CU91" s="127" t="e">
        <v>#REF!</v>
      </c>
      <c r="CV91" s="127" t="e">
        <v>#REF!</v>
      </c>
      <c r="CW91" s="127" t="e">
        <v>#REF!</v>
      </c>
      <c r="CX91" s="127" t="e">
        <v>#REF!</v>
      </c>
      <c r="CY91" s="123"/>
      <c r="CZ91" s="155" t="e">
        <f t="shared" si="89"/>
        <v>#REF!</v>
      </c>
      <c r="DA91" s="127" t="e">
        <v>#REF!</v>
      </c>
      <c r="DB91" s="127" t="e">
        <v>#REF!</v>
      </c>
      <c r="DC91" s="127" t="e">
        <v>#REF!</v>
      </c>
      <c r="DD91" s="127" t="e">
        <v>#REF!</v>
      </c>
      <c r="DE91" s="123"/>
      <c r="DF91" s="155" t="e">
        <f t="shared" si="90"/>
        <v>#REF!</v>
      </c>
      <c r="DG91" s="127" t="e">
        <v>#REF!</v>
      </c>
      <c r="DH91" s="127" t="e">
        <v>#REF!</v>
      </c>
      <c r="DI91" s="127" t="e">
        <v>#REF!</v>
      </c>
      <c r="DJ91" s="127" t="e">
        <v>#REF!</v>
      </c>
      <c r="DK91" s="127"/>
      <c r="DL91" s="155" t="e">
        <f t="shared" si="91"/>
        <v>#REF!</v>
      </c>
      <c r="DM91" s="127" t="e">
        <v>#REF!</v>
      </c>
      <c r="DN91" s="127" t="e">
        <v>#REF!</v>
      </c>
      <c r="DO91" s="127" t="e">
        <v>#REF!</v>
      </c>
      <c r="DP91" s="127" t="e">
        <v>#REF!</v>
      </c>
    </row>
    <row r="92" spans="1:120" x14ac:dyDescent="0.25">
      <c r="A92" s="123" t="str">
        <f>name!C9</f>
        <v>Non-marketed services</v>
      </c>
      <c r="B92" s="155" t="e">
        <f t="shared" si="68"/>
        <v>#REF!</v>
      </c>
      <c r="C92" s="127" t="e">
        <v>#REF!</v>
      </c>
      <c r="D92" s="127" t="e">
        <v>#REF!</v>
      </c>
      <c r="E92" s="127" t="e">
        <v>#REF!</v>
      </c>
      <c r="F92" s="127" t="e">
        <v>#REF!</v>
      </c>
      <c r="G92" s="123"/>
      <c r="H92" s="155" t="e">
        <f t="shared" si="69"/>
        <v>#REF!</v>
      </c>
      <c r="I92" s="127" t="e">
        <v>#REF!</v>
      </c>
      <c r="J92" s="127" t="e">
        <v>#REF!</v>
      </c>
      <c r="K92" s="127" t="e">
        <v>#REF!</v>
      </c>
      <c r="L92" s="127" t="e">
        <v>#REF!</v>
      </c>
      <c r="M92" s="123"/>
      <c r="N92" s="155" t="e">
        <f t="shared" si="70"/>
        <v>#REF!</v>
      </c>
      <c r="O92" s="127" t="e">
        <v>#REF!</v>
      </c>
      <c r="P92" s="127" t="e">
        <v>#REF!</v>
      </c>
      <c r="Q92" s="127" t="e">
        <v>#REF!</v>
      </c>
      <c r="R92" s="127" t="e">
        <v>#REF!</v>
      </c>
      <c r="S92" s="127"/>
      <c r="T92" s="155" t="e">
        <f t="shared" si="71"/>
        <v>#REF!</v>
      </c>
      <c r="U92" s="127" t="e">
        <v>#REF!</v>
      </c>
      <c r="V92" s="127" t="e">
        <v>#REF!</v>
      </c>
      <c r="W92" s="127" t="e">
        <v>#REF!</v>
      </c>
      <c r="X92" s="127" t="e">
        <v>#REF!</v>
      </c>
      <c r="Y92" s="123" t="str">
        <f t="shared" si="72"/>
        <v>Non-marketed services</v>
      </c>
      <c r="Z92" s="155" t="e">
        <f t="shared" si="73"/>
        <v>#REF!</v>
      </c>
      <c r="AA92" s="127" t="e">
        <v>#REF!</v>
      </c>
      <c r="AB92" s="127" t="e">
        <v>#REF!</v>
      </c>
      <c r="AC92" s="127" t="e">
        <v>#REF!</v>
      </c>
      <c r="AD92" s="127" t="e">
        <v>#REF!</v>
      </c>
      <c r="AE92" s="123"/>
      <c r="AF92" s="155" t="e">
        <f t="shared" si="74"/>
        <v>#REF!</v>
      </c>
      <c r="AG92" s="127" t="e">
        <v>#REF!</v>
      </c>
      <c r="AH92" s="127" t="e">
        <v>#REF!</v>
      </c>
      <c r="AI92" s="127" t="e">
        <v>#REF!</v>
      </c>
      <c r="AJ92" s="127" t="e">
        <v>#REF!</v>
      </c>
      <c r="AK92" s="123"/>
      <c r="AL92" s="155" t="e">
        <f t="shared" si="75"/>
        <v>#REF!</v>
      </c>
      <c r="AM92" s="127" t="e">
        <v>#REF!</v>
      </c>
      <c r="AN92" s="127" t="e">
        <v>#REF!</v>
      </c>
      <c r="AO92" s="127" t="e">
        <v>#REF!</v>
      </c>
      <c r="AP92" s="127" t="e">
        <v>#REF!</v>
      </c>
      <c r="AQ92" s="127"/>
      <c r="AR92" s="155" t="e">
        <f t="shared" si="76"/>
        <v>#REF!</v>
      </c>
      <c r="AS92" s="127" t="e">
        <v>#REF!</v>
      </c>
      <c r="AT92" s="127" t="e">
        <v>#REF!</v>
      </c>
      <c r="AU92" s="127" t="e">
        <v>#REF!</v>
      </c>
      <c r="AV92" s="127" t="e">
        <v>#REF!</v>
      </c>
      <c r="AW92" s="123" t="str">
        <f t="shared" si="77"/>
        <v>Non-marketed services</v>
      </c>
      <c r="AX92" s="155" t="e">
        <f t="shared" si="78"/>
        <v>#REF!</v>
      </c>
      <c r="AY92" s="127" t="e">
        <v>#REF!</v>
      </c>
      <c r="AZ92" s="127" t="e">
        <v>#REF!</v>
      </c>
      <c r="BA92" s="127" t="e">
        <v>#REF!</v>
      </c>
      <c r="BB92" s="127" t="e">
        <v>#REF!</v>
      </c>
      <c r="BC92" s="123"/>
      <c r="BD92" s="155" t="e">
        <f t="shared" si="79"/>
        <v>#REF!</v>
      </c>
      <c r="BE92" s="127" t="e">
        <v>#REF!</v>
      </c>
      <c r="BF92" s="127" t="e">
        <v>#REF!</v>
      </c>
      <c r="BG92" s="127" t="e">
        <v>#REF!</v>
      </c>
      <c r="BH92" s="127" t="e">
        <v>#REF!</v>
      </c>
      <c r="BI92" s="123"/>
      <c r="BJ92" s="155" t="e">
        <f t="shared" si="80"/>
        <v>#REF!</v>
      </c>
      <c r="BK92" s="127" t="e">
        <v>#REF!</v>
      </c>
      <c r="BL92" s="127" t="e">
        <v>#REF!</v>
      </c>
      <c r="BM92" s="127" t="e">
        <v>#REF!</v>
      </c>
      <c r="BN92" s="127" t="e">
        <v>#REF!</v>
      </c>
      <c r="BO92" s="127"/>
      <c r="BP92" s="155" t="e">
        <f t="shared" si="81"/>
        <v>#REF!</v>
      </c>
      <c r="BQ92" s="127" t="e">
        <v>#REF!</v>
      </c>
      <c r="BR92" s="127" t="e">
        <v>#REF!</v>
      </c>
      <c r="BS92" s="127" t="e">
        <v>#REF!</v>
      </c>
      <c r="BT92" s="127" t="e">
        <v>#REF!</v>
      </c>
      <c r="BU92" s="123" t="str">
        <f t="shared" si="82"/>
        <v>Non-marketed services</v>
      </c>
      <c r="BV92" s="155" t="e">
        <f t="shared" si="83"/>
        <v>#REF!</v>
      </c>
      <c r="BW92" s="127" t="e">
        <v>#REF!</v>
      </c>
      <c r="BX92" s="127" t="e">
        <v>#REF!</v>
      </c>
      <c r="BY92" s="127" t="e">
        <v>#REF!</v>
      </c>
      <c r="BZ92" s="127" t="e">
        <v>#REF!</v>
      </c>
      <c r="CA92" s="123"/>
      <c r="CB92" s="155" t="e">
        <f t="shared" si="84"/>
        <v>#REF!</v>
      </c>
      <c r="CC92" s="127" t="e">
        <v>#REF!</v>
      </c>
      <c r="CD92" s="127" t="e">
        <v>#REF!</v>
      </c>
      <c r="CE92" s="127" t="e">
        <v>#REF!</v>
      </c>
      <c r="CF92" s="127" t="e">
        <v>#REF!</v>
      </c>
      <c r="CG92" s="123"/>
      <c r="CH92" s="155" t="e">
        <f t="shared" si="85"/>
        <v>#REF!</v>
      </c>
      <c r="CI92" s="127" t="e">
        <v>#REF!</v>
      </c>
      <c r="CJ92" s="127" t="e">
        <v>#REF!</v>
      </c>
      <c r="CK92" s="127" t="e">
        <v>#REF!</v>
      </c>
      <c r="CL92" s="127" t="e">
        <v>#REF!</v>
      </c>
      <c r="CM92" s="127"/>
      <c r="CN92" s="155" t="e">
        <f t="shared" si="86"/>
        <v>#REF!</v>
      </c>
      <c r="CO92" s="127" t="e">
        <v>#REF!</v>
      </c>
      <c r="CP92" s="127" t="e">
        <v>#REF!</v>
      </c>
      <c r="CQ92" s="127" t="e">
        <v>#REF!</v>
      </c>
      <c r="CR92" s="127" t="e">
        <v>#REF!</v>
      </c>
      <c r="CS92" s="123" t="str">
        <f t="shared" si="87"/>
        <v>Non-marketed services</v>
      </c>
      <c r="CT92" s="155" t="e">
        <f t="shared" si="88"/>
        <v>#REF!</v>
      </c>
      <c r="CU92" s="127" t="e">
        <v>#REF!</v>
      </c>
      <c r="CV92" s="127" t="e">
        <v>#REF!</v>
      </c>
      <c r="CW92" s="127" t="e">
        <v>#REF!</v>
      </c>
      <c r="CX92" s="127" t="e">
        <v>#REF!</v>
      </c>
      <c r="CY92" s="123"/>
      <c r="CZ92" s="155" t="e">
        <f t="shared" si="89"/>
        <v>#REF!</v>
      </c>
      <c r="DA92" s="127" t="e">
        <v>#REF!</v>
      </c>
      <c r="DB92" s="127" t="e">
        <v>#REF!</v>
      </c>
      <c r="DC92" s="127" t="e">
        <v>#REF!</v>
      </c>
      <c r="DD92" s="127" t="e">
        <v>#REF!</v>
      </c>
      <c r="DE92" s="123"/>
      <c r="DF92" s="155" t="e">
        <f t="shared" si="90"/>
        <v>#REF!</v>
      </c>
      <c r="DG92" s="127" t="e">
        <v>#REF!</v>
      </c>
      <c r="DH92" s="127" t="e">
        <v>#REF!</v>
      </c>
      <c r="DI92" s="127" t="e">
        <v>#REF!</v>
      </c>
      <c r="DJ92" s="127" t="e">
        <v>#REF!</v>
      </c>
      <c r="DK92" s="127"/>
      <c r="DL92" s="155" t="e">
        <f t="shared" si="91"/>
        <v>#REF!</v>
      </c>
      <c r="DM92" s="127" t="e">
        <v>#REF!</v>
      </c>
      <c r="DN92" s="127" t="e">
        <v>#REF!</v>
      </c>
      <c r="DO92" s="127" t="e">
        <v>#REF!</v>
      </c>
      <c r="DP92" s="127" t="e">
        <v>#REF!</v>
      </c>
    </row>
    <row r="93" spans="1:120" x14ac:dyDescent="0.25">
      <c r="B93" s="155"/>
      <c r="C93" s="127"/>
      <c r="D93" s="127"/>
      <c r="E93" s="127"/>
      <c r="F93" s="127"/>
      <c r="G93" s="123"/>
      <c r="H93" s="155"/>
      <c r="I93" s="127"/>
      <c r="J93" s="127"/>
      <c r="K93" s="127"/>
      <c r="L93" s="127"/>
      <c r="M93" s="123"/>
      <c r="N93" s="155"/>
      <c r="O93" s="127"/>
      <c r="P93" s="127"/>
      <c r="Q93" s="127"/>
      <c r="R93" s="127"/>
      <c r="S93" s="127"/>
      <c r="T93" s="155"/>
      <c r="U93" s="127"/>
      <c r="V93" s="127"/>
      <c r="W93" s="127"/>
      <c r="X93" s="127"/>
      <c r="Z93" s="155"/>
      <c r="AA93" s="127"/>
      <c r="AB93" s="127"/>
      <c r="AC93" s="127"/>
      <c r="AD93" s="127"/>
      <c r="AE93" s="123"/>
      <c r="AF93" s="155"/>
      <c r="AG93" s="127"/>
      <c r="AH93" s="127"/>
      <c r="AI93" s="127"/>
      <c r="AJ93" s="127"/>
      <c r="AK93" s="123"/>
      <c r="AL93" s="155"/>
      <c r="AM93" s="127"/>
      <c r="AN93" s="127"/>
      <c r="AO93" s="127"/>
      <c r="AP93" s="127"/>
      <c r="AQ93" s="127"/>
      <c r="AR93" s="155"/>
      <c r="AS93" s="127"/>
      <c r="AT93" s="127"/>
      <c r="AU93" s="127"/>
      <c r="AV93" s="127"/>
      <c r="AX93" s="155"/>
      <c r="AY93" s="127"/>
      <c r="AZ93" s="127"/>
      <c r="BA93" s="127"/>
      <c r="BB93" s="127"/>
      <c r="BC93" s="123"/>
      <c r="BD93" s="155"/>
      <c r="BE93" s="127"/>
      <c r="BF93" s="127"/>
      <c r="BG93" s="127"/>
      <c r="BH93" s="127"/>
      <c r="BI93" s="123"/>
      <c r="BJ93" s="155"/>
      <c r="BK93" s="127"/>
      <c r="BL93" s="127"/>
      <c r="BM93" s="127"/>
      <c r="BN93" s="127"/>
      <c r="BO93" s="127"/>
      <c r="BP93" s="155"/>
      <c r="BQ93" s="127"/>
      <c r="BR93" s="127"/>
      <c r="BS93" s="127"/>
      <c r="BT93" s="127"/>
      <c r="BV93" s="155"/>
      <c r="BW93" s="127"/>
      <c r="BX93" s="127"/>
      <c r="BY93" s="127"/>
      <c r="BZ93" s="127"/>
      <c r="CA93" s="123"/>
      <c r="CB93" s="155"/>
      <c r="CC93" s="127"/>
      <c r="CD93" s="127"/>
      <c r="CE93" s="127"/>
      <c r="CF93" s="127"/>
      <c r="CG93" s="123"/>
      <c r="CH93" s="155"/>
      <c r="CI93" s="127"/>
      <c r="CJ93" s="127"/>
      <c r="CK93" s="127"/>
      <c r="CL93" s="127"/>
      <c r="CM93" s="127"/>
      <c r="CN93" s="155"/>
      <c r="CO93" s="127"/>
      <c r="CP93" s="127"/>
      <c r="CQ93" s="127"/>
      <c r="CR93" s="127"/>
      <c r="CT93" s="155"/>
      <c r="CU93" s="127"/>
      <c r="CV93" s="127"/>
      <c r="CW93" s="127"/>
      <c r="CX93" s="127"/>
      <c r="CY93" s="123"/>
      <c r="CZ93" s="155"/>
      <c r="DA93" s="127"/>
      <c r="DB93" s="127"/>
      <c r="DC93" s="127"/>
      <c r="DD93" s="127"/>
      <c r="DE93" s="123"/>
      <c r="DF93" s="155"/>
      <c r="DG93" s="127"/>
      <c r="DH93" s="127"/>
      <c r="DI93" s="127"/>
      <c r="DJ93" s="127"/>
      <c r="DK93" s="127"/>
      <c r="DL93" s="155"/>
      <c r="DM93" s="127"/>
      <c r="DN93" s="127"/>
      <c r="DO93" s="127"/>
      <c r="DP93" s="127"/>
    </row>
    <row r="94" spans="1:120" x14ac:dyDescent="0.25">
      <c r="A94" s="123" t="str">
        <f>name!C3</f>
        <v>All industries</v>
      </c>
      <c r="B94" s="155">
        <f t="shared" si="68"/>
        <v>2.7912372459239387</v>
      </c>
      <c r="C94" s="127">
        <f>C50</f>
        <v>4561.2992279926211</v>
      </c>
      <c r="D94" s="127">
        <f>D50</f>
        <v>431.97496524334053</v>
      </c>
      <c r="E94" s="127">
        <f>E50</f>
        <v>1445.5882710202891</v>
      </c>
      <c r="F94" s="127">
        <f>F50</f>
        <v>1877.5632362636297</v>
      </c>
      <c r="G94" s="123"/>
      <c r="H94" s="155">
        <f t="shared" si="69"/>
        <v>2.6517730789267446</v>
      </c>
      <c r="I94" s="127">
        <f>I50</f>
        <v>774.77767553257945</v>
      </c>
      <c r="J94" s="127">
        <f>J50</f>
        <v>-90.9176985646708</v>
      </c>
      <c r="K94" s="127">
        <f>K50</f>
        <v>231.78692033646578</v>
      </c>
      <c r="L94" s="127">
        <f>L50</f>
        <v>140.86922177179497</v>
      </c>
      <c r="M94" s="123"/>
      <c r="N94" s="155">
        <f t="shared" si="70"/>
        <v>2.6893242464146816</v>
      </c>
      <c r="O94" s="127">
        <f>O50</f>
        <v>1810.6123702397726</v>
      </c>
      <c r="P94" s="127">
        <f>P50</f>
        <v>208.84741372398935</v>
      </c>
      <c r="Q94" s="127">
        <f>Q50</f>
        <v>550.29225403969679</v>
      </c>
      <c r="R94" s="127">
        <f>R50</f>
        <v>759.13966776368613</v>
      </c>
      <c r="S94" s="127"/>
      <c r="T94" s="155">
        <f t="shared" si="71"/>
        <v>2.9376202991175049</v>
      </c>
      <c r="U94" s="127">
        <f>U50</f>
        <v>1975.9091822202711</v>
      </c>
      <c r="V94" s="127">
        <f>V50</f>
        <v>314.04525008402186</v>
      </c>
      <c r="W94" s="127">
        <f>W50</f>
        <v>663.50909664412427</v>
      </c>
      <c r="X94" s="127">
        <f>X50</f>
        <v>977.55434672814613</v>
      </c>
      <c r="Y94" s="146" t="str">
        <f>A94</f>
        <v>All industries</v>
      </c>
      <c r="Z94" s="155">
        <f>IF(AA94&gt;0,((1+(AC94/AA94))^(1/($A$101-$A$100))-1)*100,0)</f>
        <v>2.9771972098236787</v>
      </c>
      <c r="AA94" s="127">
        <f>AA50</f>
        <v>2141.7348734083043</v>
      </c>
      <c r="AB94" s="127">
        <f>AB50</f>
        <v>328.18012130131888</v>
      </c>
      <c r="AC94" s="127">
        <f>AC50</f>
        <v>730.21185757939747</v>
      </c>
      <c r="AD94" s="127">
        <f>AD50</f>
        <v>1058.3919788807164</v>
      </c>
      <c r="AE94" s="123"/>
      <c r="AF94" s="155">
        <f>IF(AG94&gt;0,((1+(AI94/AG94))^(1/($A$101-$A$100))-1)*100,0)</f>
        <v>3.0280155732974823</v>
      </c>
      <c r="AG94" s="127">
        <f>AG50</f>
        <v>114.36183531349347</v>
      </c>
      <c r="AH94" s="127">
        <f>AH50</f>
        <v>10.806009020856356</v>
      </c>
      <c r="AI94" s="127">
        <f>AI50</f>
        <v>39.749458273691218</v>
      </c>
      <c r="AJ94" s="127">
        <f>AJ50</f>
        <v>50.555467294547576</v>
      </c>
      <c r="AK94" s="123"/>
      <c r="AL94" s="155">
        <f>IF(AM94&gt;0,((1+(AO94/AM94))^(1/($A$101-$A$100))-1)*100,0)</f>
        <v>2.9663353480916088</v>
      </c>
      <c r="AM94" s="127">
        <f>AM50</f>
        <v>484.03376220781502</v>
      </c>
      <c r="AN94" s="127">
        <f>AN50</f>
        <v>80.752171418150368</v>
      </c>
      <c r="AO94" s="127">
        <f>AO50</f>
        <v>164.34415782441963</v>
      </c>
      <c r="AP94" s="127">
        <f>AP50</f>
        <v>245.09632924256999</v>
      </c>
      <c r="AQ94" s="127"/>
      <c r="AR94" s="155">
        <f>IF(AS94&gt;0,((1+(AU94/AS94))^(1/($A$101-$A$100))-1)*100,0)</f>
        <v>2.9768281396108875</v>
      </c>
      <c r="AS94" s="127">
        <f>AS50</f>
        <v>1543.3392758869961</v>
      </c>
      <c r="AT94" s="127">
        <f>AT50</f>
        <v>236.62194086231219</v>
      </c>
      <c r="AU94" s="127">
        <f>AU50</f>
        <v>526.11824148128676</v>
      </c>
      <c r="AV94" s="127">
        <f>AV50</f>
        <v>762.74018234359892</v>
      </c>
      <c r="AW94" s="146" t="str">
        <f>Y94</f>
        <v>All industries</v>
      </c>
      <c r="AX94" s="155">
        <f>IF(AY94&gt;0,((1+(BA94/AY94))^(1/($A$101-$A$100))-1)*100,0)</f>
        <v>2.5960689907792656</v>
      </c>
      <c r="AY94" s="127">
        <f>AY50</f>
        <v>1169.4910110900296</v>
      </c>
      <c r="AZ94" s="127">
        <f>AZ50</f>
        <v>61.012733866251224</v>
      </c>
      <c r="BA94" s="127">
        <f>BA50</f>
        <v>341.64688672572964</v>
      </c>
      <c r="BB94" s="127">
        <f>BB50</f>
        <v>402.65962059198085</v>
      </c>
      <c r="BC94" s="123"/>
      <c r="BD94" s="155">
        <f>IF(BE94&gt;0,((1+(BG94/BE94))^(1/($A$101-$A$100))-1)*100,0)</f>
        <v>2.5108134589674425</v>
      </c>
      <c r="BE94" s="127">
        <f>BE50</f>
        <v>196.77997170605971</v>
      </c>
      <c r="BF94" s="127">
        <f>BF50</f>
        <v>-19.19988351079143</v>
      </c>
      <c r="BG94" s="127">
        <f>BG50</f>
        <v>55.380896948664599</v>
      </c>
      <c r="BH94" s="127">
        <f>BH50</f>
        <v>36.181013437873169</v>
      </c>
      <c r="BI94" s="123"/>
      <c r="BJ94" s="155">
        <f>IF(BK94&gt;0,((1+(BM94/BK94))^(1/($A$101-$A$100))-1)*100,0)</f>
        <v>2.5531077119064882</v>
      </c>
      <c r="BK94" s="127">
        <f>BK50</f>
        <v>650.12175377402275</v>
      </c>
      <c r="BL94" s="127">
        <f>BL50</f>
        <v>42.192712487148434</v>
      </c>
      <c r="BM94" s="127">
        <f>BM50</f>
        <v>186.41100647521165</v>
      </c>
      <c r="BN94" s="127">
        <f>BN50</f>
        <v>228.60371896236009</v>
      </c>
      <c r="BO94" s="127"/>
      <c r="BP94" s="155">
        <f>IF(BQ94&gt;0,((1+(BS94/BQ94))^(1/($A$101-$A$100))-1)*100,0)</f>
        <v>2.7334678665663192</v>
      </c>
      <c r="BQ94" s="127">
        <f>BQ50</f>
        <v>322.58928560994713</v>
      </c>
      <c r="BR94" s="127">
        <f>BR50</f>
        <v>38.019904889894228</v>
      </c>
      <c r="BS94" s="127">
        <f>BS50</f>
        <v>99.854983301853494</v>
      </c>
      <c r="BT94" s="127">
        <f>BT50</f>
        <v>137.87488819174771</v>
      </c>
      <c r="BU94" s="146" t="str">
        <f>AW94</f>
        <v>All industries</v>
      </c>
      <c r="BV94" s="155">
        <f>IF(BW94&gt;0,((1+(BY94/BW94))^(1/($A$101-$A$100))-1)*100,0)</f>
        <v>2.5889208699682698</v>
      </c>
      <c r="BW94" s="127">
        <f>BW50</f>
        <v>786.26148565798121</v>
      </c>
      <c r="BX94" s="127">
        <f>BX50</f>
        <v>-16.768227409449015</v>
      </c>
      <c r="BY94" s="127">
        <f>BY50</f>
        <v>228.98528730973825</v>
      </c>
      <c r="BZ94" s="127">
        <f>BZ50</f>
        <v>212.21705990028923</v>
      </c>
      <c r="CA94" s="123"/>
      <c r="CB94" s="155">
        <f>IF(CC94&gt;0,((1+(CE94/CC94))^(1/($A$101-$A$100))-1)*100,0)</f>
        <v>2.5278948366694864</v>
      </c>
      <c r="CC94" s="127">
        <f>CC50</f>
        <v>257.91842111045776</v>
      </c>
      <c r="CD94" s="127">
        <f>CD50</f>
        <v>-52.179148361626908</v>
      </c>
      <c r="CE94" s="127">
        <f>CE50</f>
        <v>73.138570554183204</v>
      </c>
      <c r="CF94" s="127">
        <f>CF50</f>
        <v>20.959422192556296</v>
      </c>
      <c r="CG94" s="123"/>
      <c r="CH94" s="155">
        <f>IF(CI94&gt;0,((1+(CK94/CI94))^(1/($A$101-$A$100))-1)*100,0)</f>
        <v>2.5655949055339189</v>
      </c>
      <c r="CI94" s="127">
        <f>CI50</f>
        <v>462.50112579230256</v>
      </c>
      <c r="CJ94" s="127">
        <f>CJ50</f>
        <v>18.263082416840735</v>
      </c>
      <c r="CK94" s="127">
        <f>CK50</f>
        <v>133.33911166207648</v>
      </c>
      <c r="CL94" s="127">
        <f>CL50</f>
        <v>151.60219407891722</v>
      </c>
      <c r="CM94" s="127"/>
      <c r="CN94" s="155">
        <f>IF(CO94&gt;0,((1+(CQ94/CO94))^(1/($A$101-$A$100))-1)*100,0)</f>
        <v>2.9840981402702971</v>
      </c>
      <c r="CO94" s="127">
        <f>CO50</f>
        <v>65.841938755220539</v>
      </c>
      <c r="CP94" s="127">
        <f>CP50</f>
        <v>17.147838535337179</v>
      </c>
      <c r="CQ94" s="127">
        <f>CQ50</f>
        <v>22.507605093478684</v>
      </c>
      <c r="CR94" s="127">
        <f>CR50</f>
        <v>39.65544362881586</v>
      </c>
      <c r="CS94" s="146" t="str">
        <f>BU94</f>
        <v>All industries</v>
      </c>
      <c r="CT94" s="155">
        <f>IF(CU94&gt;0,((1+(CW94/CU94))^(1/($A$101-$A$100))-1)*100,0)</f>
        <v>2.7533233225370157</v>
      </c>
      <c r="CU94" s="127">
        <f>CU50</f>
        <v>463.81185783630696</v>
      </c>
      <c r="CV94" s="127">
        <f>CV50</f>
        <v>59.550337485219423</v>
      </c>
      <c r="CW94" s="127">
        <f>CW50</f>
        <v>144.74423940542175</v>
      </c>
      <c r="CX94" s="127">
        <f>CX50</f>
        <v>204.29457689064117</v>
      </c>
      <c r="CY94" s="123"/>
      <c r="CZ94" s="155">
        <f>IF(DA94&gt;0,((1+(DC94/DA94))^(1/($A$101-$A$100))-1)*100,0)</f>
        <v>2.7273559755584653</v>
      </c>
      <c r="DA94" s="127">
        <f>DA50</f>
        <v>205.71744740256855</v>
      </c>
      <c r="DB94" s="127">
        <f>DB50</f>
        <v>-30.344675713108767</v>
      </c>
      <c r="DC94" s="127">
        <f>DC50</f>
        <v>63.517994559926827</v>
      </c>
      <c r="DD94" s="127">
        <f>DD50</f>
        <v>33.173318846818063</v>
      </c>
      <c r="DE94" s="123"/>
      <c r="DF94" s="155">
        <f>IF(DG94&gt;0,((1+(DI94/DG94))^(1/($A$101-$A$100))-1)*100,0)</f>
        <v>2.7323553670193235</v>
      </c>
      <c r="DG94" s="127">
        <f>DG50</f>
        <v>213.95572846563186</v>
      </c>
      <c r="DH94" s="127">
        <f>DH50</f>
        <v>67.639447401849822</v>
      </c>
      <c r="DI94" s="127">
        <f>DI50</f>
        <v>66.197978077989319</v>
      </c>
      <c r="DJ94" s="127">
        <f>DJ50</f>
        <v>133.83742547983914</v>
      </c>
      <c r="DK94" s="127"/>
      <c r="DL94" s="155">
        <f>IF(DM94&gt;0,((1+(DO94/DM94))^(1/($A$101-$A$100))-1)*100,0)</f>
        <v>2.9736201868302725</v>
      </c>
      <c r="DM94" s="127">
        <f>DM50</f>
        <v>44.13868196810671</v>
      </c>
      <c r="DN94" s="127">
        <f>DN50</f>
        <v>22.25556579647839</v>
      </c>
      <c r="DO94" s="127">
        <f>DO50</f>
        <v>15.028266767505601</v>
      </c>
      <c r="DP94" s="127">
        <f>DP50</f>
        <v>37.283832563983992</v>
      </c>
    </row>
    <row r="95" spans="1:120" x14ac:dyDescent="0.25">
      <c r="A95" s="132"/>
      <c r="B95" s="151"/>
      <c r="C95" s="151"/>
      <c r="D95" s="151"/>
      <c r="E95" s="151"/>
      <c r="F95" s="151"/>
      <c r="G95" s="132"/>
      <c r="H95" s="151"/>
      <c r="I95" s="151"/>
      <c r="J95" s="151"/>
      <c r="K95" s="151"/>
      <c r="L95" s="151"/>
      <c r="M95" s="132"/>
      <c r="N95" s="132"/>
      <c r="O95" s="151"/>
      <c r="P95" s="151"/>
      <c r="Q95" s="151"/>
      <c r="R95" s="151"/>
      <c r="S95" s="151"/>
      <c r="T95" s="132"/>
      <c r="U95" s="151"/>
      <c r="V95" s="151"/>
      <c r="W95" s="151"/>
      <c r="X95" s="151"/>
      <c r="Y95" s="132"/>
      <c r="Z95" s="151"/>
      <c r="AA95" s="151"/>
      <c r="AB95" s="151"/>
      <c r="AC95" s="151"/>
      <c r="AD95" s="151"/>
      <c r="AE95" s="132"/>
      <c r="AF95" s="151"/>
      <c r="AG95" s="151"/>
      <c r="AH95" s="151"/>
      <c r="AI95" s="151"/>
      <c r="AJ95" s="151"/>
      <c r="AK95" s="132"/>
      <c r="AL95" s="132"/>
      <c r="AM95" s="151"/>
      <c r="AN95" s="151"/>
      <c r="AO95" s="151"/>
      <c r="AP95" s="151"/>
      <c r="AQ95" s="151"/>
      <c r="AR95" s="132"/>
      <c r="AS95" s="151"/>
      <c r="AT95" s="151"/>
      <c r="AU95" s="151"/>
      <c r="AV95" s="151"/>
      <c r="AW95" s="132"/>
      <c r="AX95" s="151"/>
      <c r="AY95" s="151"/>
      <c r="AZ95" s="151"/>
      <c r="BA95" s="151"/>
      <c r="BB95" s="151"/>
      <c r="BC95" s="132"/>
      <c r="BD95" s="151"/>
      <c r="BE95" s="151"/>
      <c r="BF95" s="151"/>
      <c r="BG95" s="151"/>
      <c r="BH95" s="151"/>
      <c r="BI95" s="132"/>
      <c r="BJ95" s="132"/>
      <c r="BK95" s="151"/>
      <c r="BL95" s="151"/>
      <c r="BM95" s="151"/>
      <c r="BN95" s="151"/>
      <c r="BO95" s="151"/>
      <c r="BP95" s="132"/>
      <c r="BQ95" s="151"/>
      <c r="BR95" s="151"/>
      <c r="BS95" s="151"/>
      <c r="BT95" s="151"/>
      <c r="BU95" s="132"/>
      <c r="BV95" s="151"/>
      <c r="BW95" s="151"/>
      <c r="BX95" s="151"/>
      <c r="BY95" s="151"/>
      <c r="BZ95" s="151"/>
      <c r="CA95" s="132"/>
      <c r="CB95" s="151"/>
      <c r="CC95" s="151"/>
      <c r="CD95" s="151"/>
      <c r="CE95" s="151"/>
      <c r="CF95" s="151"/>
      <c r="CG95" s="132"/>
      <c r="CH95" s="132"/>
      <c r="CI95" s="151"/>
      <c r="CJ95" s="151"/>
      <c r="CK95" s="151"/>
      <c r="CL95" s="151"/>
      <c r="CM95" s="151"/>
      <c r="CN95" s="132"/>
      <c r="CO95" s="151"/>
      <c r="CP95" s="151"/>
      <c r="CQ95" s="151"/>
      <c r="CR95" s="151"/>
      <c r="CS95" s="132"/>
      <c r="CT95" s="151"/>
      <c r="CU95" s="151"/>
      <c r="CV95" s="151"/>
      <c r="CW95" s="151"/>
      <c r="CX95" s="151"/>
      <c r="CY95" s="132"/>
      <c r="CZ95" s="151"/>
      <c r="DA95" s="151"/>
      <c r="DB95" s="151"/>
      <c r="DC95" s="151"/>
      <c r="DD95" s="151"/>
      <c r="DE95" s="132"/>
      <c r="DF95" s="132"/>
      <c r="DG95" s="151"/>
      <c r="DH95" s="151"/>
      <c r="DI95" s="151"/>
      <c r="DJ95" s="151"/>
      <c r="DK95" s="151"/>
      <c r="DL95" s="132"/>
      <c r="DM95" s="151"/>
      <c r="DN95" s="151"/>
      <c r="DO95" s="151"/>
      <c r="DP95" s="151"/>
    </row>
    <row r="96" spans="1:120" x14ac:dyDescent="0.25">
      <c r="A96" s="123" t="str">
        <f ca="1">CELL("filename")</f>
        <v>M:\IE\Projects\WorkingFutures\data\Results\Workbooks\UK\[UK_MainTables.Main.xlsm]Info</v>
      </c>
      <c r="Y96" s="123" t="str">
        <f ca="1">CELL("filename")</f>
        <v>M:\IE\Projects\WorkingFutures\data\Results\Workbooks\UK\[UK_MainTables.Main.xlsm]Info</v>
      </c>
      <c r="AW96" s="123" t="str">
        <f ca="1">CELL("filename")</f>
        <v>M:\IE\Projects\WorkingFutures\data\Results\Workbooks\UK\[UK_MainTables.Main.xlsm]Info</v>
      </c>
      <c r="BU96" s="123" t="str">
        <f ca="1">CELL("filename")</f>
        <v>M:\IE\Projects\WorkingFutures\data\Results\Workbooks\UK\[UK_MainTables.Main.xlsm]Info</v>
      </c>
      <c r="CS96" s="123" t="str">
        <f ca="1">CELL("filename")</f>
        <v>M:\IE\Projects\WorkingFutures\data\Results\Workbooks\UK\[UK_MainTables.Main.xlsm]Info</v>
      </c>
    </row>
    <row r="99" spans="1:1" x14ac:dyDescent="0.25">
      <c r="A99" s="123" t="s">
        <v>45</v>
      </c>
    </row>
    <row r="100" spans="1:1" x14ac:dyDescent="0.25">
      <c r="A100" s="123">
        <v>2015</v>
      </c>
    </row>
    <row r="101" spans="1:1" x14ac:dyDescent="0.25">
      <c r="A101" s="123">
        <v>2025</v>
      </c>
    </row>
  </sheetData>
  <mergeCells count="60"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09375" defaultRowHeight="13.2" x14ac:dyDescent="0.25"/>
  <cols>
    <col min="1" max="1" width="50.6640625" style="178" customWidth="1"/>
    <col min="2" max="2" width="13" style="178" customWidth="1"/>
    <col min="3" max="3" width="9.6640625" style="178" customWidth="1"/>
    <col min="4" max="4" width="10.109375" style="178" customWidth="1"/>
    <col min="5" max="5" width="13" style="178" customWidth="1"/>
    <col min="6" max="6" width="9.6640625" style="178" customWidth="1"/>
    <col min="7" max="7" width="3.6640625" style="178" customWidth="1"/>
    <col min="8" max="9" width="10.109375" style="178" customWidth="1"/>
    <col min="10" max="10" width="3.6640625" style="178" customWidth="1"/>
    <col min="11" max="12" width="10.109375" style="178" customWidth="1"/>
    <col min="13" max="13" width="3.6640625" style="178" customWidth="1"/>
    <col min="14" max="14" width="11.44140625" style="178" customWidth="1"/>
    <col min="15" max="15" width="10.109375" style="178" customWidth="1"/>
    <col min="16" max="16" width="3.6640625" style="178" customWidth="1"/>
    <col min="17" max="18" width="10.109375" style="178" customWidth="1"/>
    <col min="19" max="19" width="2.44140625" style="178" customWidth="1"/>
    <col min="20" max="21" width="13" style="178" customWidth="1"/>
    <col min="22" max="22" width="13" style="191" customWidth="1"/>
    <col min="23" max="23" width="23.33203125" style="178" customWidth="1"/>
    <col min="24" max="24" width="9.109375" style="178"/>
    <col min="25" max="25" width="12.33203125" style="178" customWidth="1"/>
    <col min="26" max="26" width="10.88671875" style="178" customWidth="1"/>
    <col min="27" max="27" width="8.109375" style="178" customWidth="1"/>
    <col min="28" max="28" width="8" style="178" customWidth="1"/>
    <col min="29" max="16384" width="9.109375" style="178"/>
  </cols>
  <sheetData>
    <row r="1" spans="1:32" ht="12.75" customHeight="1" x14ac:dyDescent="0.25">
      <c r="A1" s="176" t="e">
        <f>CONCATENATE("Table 4.6  Shift-share by industry, ",I3)</f>
        <v>#REF!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</row>
    <row r="2" spans="1:32" ht="12.75" customHeight="1" x14ac:dyDescent="0.25">
      <c r="A2" s="176"/>
      <c r="B2" s="176"/>
      <c r="C2" s="176"/>
      <c r="D2" s="176"/>
      <c r="E2" s="176"/>
      <c r="F2" s="176"/>
      <c r="G2" s="176"/>
      <c r="H2" s="176"/>
      <c r="I2" s="176"/>
      <c r="J2" s="176"/>
      <c r="K2" s="530" t="s">
        <v>53</v>
      </c>
      <c r="L2" s="530"/>
      <c r="M2" s="530"/>
      <c r="N2" s="530"/>
      <c r="O2" s="530"/>
      <c r="P2" s="530"/>
      <c r="Q2" s="530"/>
      <c r="R2" s="530"/>
      <c r="S2" s="285"/>
      <c r="T2" s="285"/>
      <c r="U2" s="177"/>
    </row>
    <row r="3" spans="1:32" ht="12.75" customHeight="1" x14ac:dyDescent="0.25">
      <c r="A3" s="177"/>
      <c r="B3" s="179" t="s">
        <v>54</v>
      </c>
      <c r="C3" s="180" t="e">
        <f>#REF!</f>
        <v>#REF!</v>
      </c>
      <c r="D3" s="176"/>
      <c r="E3" s="179" t="s">
        <v>55</v>
      </c>
      <c r="F3" s="180" t="e">
        <f>#REF!</f>
        <v>#REF!</v>
      </c>
      <c r="G3" s="176"/>
      <c r="H3" s="179" t="s">
        <v>18</v>
      </c>
      <c r="I3" s="179" t="e">
        <f>CONCATENATE(C3,"-",F3)</f>
        <v>#REF!</v>
      </c>
      <c r="J3" s="181"/>
      <c r="K3" s="531" t="s">
        <v>56</v>
      </c>
      <c r="L3" s="531"/>
      <c r="M3" s="176"/>
      <c r="N3" s="532" t="s">
        <v>69</v>
      </c>
      <c r="O3" s="532"/>
      <c r="P3" s="176"/>
      <c r="Q3" s="532" t="s">
        <v>68</v>
      </c>
      <c r="R3" s="532"/>
      <c r="S3" s="283"/>
      <c r="T3" s="284" t="s">
        <v>72</v>
      </c>
      <c r="U3" s="212" t="s">
        <v>71</v>
      </c>
      <c r="V3" s="236"/>
      <c r="AA3" s="230"/>
      <c r="AD3" s="230"/>
    </row>
    <row r="4" spans="1:32" ht="12.75" customHeight="1" x14ac:dyDescent="0.25">
      <c r="A4" s="182" t="s">
        <v>59</v>
      </c>
      <c r="B4" s="183" t="s">
        <v>60</v>
      </c>
      <c r="C4" s="183" t="s">
        <v>61</v>
      </c>
      <c r="D4" s="181"/>
      <c r="E4" s="183" t="str">
        <f>B4</f>
        <v>000s</v>
      </c>
      <c r="F4" s="183" t="str">
        <f>C4</f>
        <v>% share</v>
      </c>
      <c r="G4" s="181"/>
      <c r="H4" s="183" t="str">
        <f>E4</f>
        <v>000s</v>
      </c>
      <c r="I4" s="183" t="s">
        <v>62</v>
      </c>
      <c r="J4" s="181"/>
      <c r="K4" s="183" t="str">
        <f>H4</f>
        <v>000s</v>
      </c>
      <c r="L4" s="183" t="str">
        <f>I4</f>
        <v xml:space="preserve">%   </v>
      </c>
      <c r="M4" s="181"/>
      <c r="N4" s="183" t="str">
        <f>K4</f>
        <v>000s</v>
      </c>
      <c r="O4" s="183" t="str">
        <f>L4</f>
        <v xml:space="preserve">%   </v>
      </c>
      <c r="P4" s="181"/>
      <c r="Q4" s="183" t="str">
        <f>N4</f>
        <v>000s</v>
      </c>
      <c r="R4" s="183" t="str">
        <f>O4</f>
        <v xml:space="preserve">%   </v>
      </c>
      <c r="S4" s="213"/>
      <c r="T4" s="183"/>
      <c r="U4" s="237"/>
      <c r="V4" s="236"/>
      <c r="W4" s="239"/>
      <c r="Y4" s="231"/>
      <c r="Z4" s="231"/>
      <c r="AA4" s="230"/>
      <c r="AB4" s="231"/>
      <c r="AC4" s="230"/>
    </row>
    <row r="5" spans="1:32" ht="12.75" customHeight="1" x14ac:dyDescent="0.25">
      <c r="A5" s="182"/>
      <c r="B5" s="179"/>
      <c r="C5" s="228"/>
      <c r="D5" s="181" t="s">
        <v>70</v>
      </c>
      <c r="E5" s="179"/>
      <c r="F5" s="228"/>
      <c r="G5" s="181"/>
      <c r="H5" s="179"/>
      <c r="I5" s="179"/>
      <c r="J5" s="181"/>
      <c r="K5" s="179"/>
      <c r="L5" s="179"/>
      <c r="M5" s="181"/>
      <c r="N5" s="179"/>
      <c r="O5" s="179"/>
      <c r="P5" s="181"/>
      <c r="Q5" s="228"/>
      <c r="R5" s="228"/>
      <c r="S5" s="183"/>
      <c r="T5" s="183"/>
      <c r="U5" s="214"/>
      <c r="V5" s="236"/>
      <c r="W5" s="186"/>
    </row>
    <row r="6" spans="1:32" x14ac:dyDescent="0.25">
      <c r="A6" s="41" t="str">
        <f>name!A4</f>
        <v>Agriculture, etc</v>
      </c>
      <c r="B6" s="204">
        <v>290.31999999994002</v>
      </c>
      <c r="C6" s="192">
        <v>0.93859557238401636</v>
      </c>
      <c r="D6" s="234">
        <v>100</v>
      </c>
      <c r="E6" s="208">
        <v>302.0150000000844</v>
      </c>
      <c r="F6" s="192">
        <v>0.90967729595909619</v>
      </c>
      <c r="G6" s="199"/>
      <c r="H6" s="208">
        <v>11.695000000144354</v>
      </c>
      <c r="I6" s="193">
        <v>4.0283135850601992</v>
      </c>
      <c r="J6" s="199"/>
      <c r="K6" s="208">
        <v>21.295935731168065</v>
      </c>
      <c r="L6" s="193">
        <v>7.3353319547990026</v>
      </c>
      <c r="M6" s="199"/>
      <c r="N6" s="208">
        <v>-0.65613111154677028</v>
      </c>
      <c r="O6" s="193">
        <v>-0.22600272511260189</v>
      </c>
      <c r="P6" s="199"/>
      <c r="Q6" s="209">
        <v>-8.9448046194769404</v>
      </c>
      <c r="R6" s="192">
        <v>-3.0810156446262016</v>
      </c>
      <c r="S6" s="192"/>
      <c r="T6" s="232">
        <v>290.31999999994002</v>
      </c>
      <c r="U6" s="233">
        <v>302.0150000000844</v>
      </c>
      <c r="V6" s="240"/>
      <c r="Y6" s="184"/>
      <c r="Z6" s="207"/>
      <c r="AA6" s="207"/>
      <c r="AB6" s="184"/>
      <c r="AC6" s="207"/>
      <c r="AE6" s="184"/>
      <c r="AF6" s="207"/>
    </row>
    <row r="7" spans="1:32" x14ac:dyDescent="0.25">
      <c r="A7" s="2" t="str">
        <f>name!A5</f>
        <v>Coal, oil &amp; gas; Mining &amp; related</v>
      </c>
      <c r="B7" s="205">
        <v>12.074999999997509</v>
      </c>
      <c r="C7" s="192">
        <v>3.9038101186749101E-2</v>
      </c>
      <c r="D7" s="235">
        <v>100</v>
      </c>
      <c r="E7" s="209">
        <v>12.334000000003453</v>
      </c>
      <c r="F7" s="192">
        <v>3.715033944790655E-2</v>
      </c>
      <c r="G7" s="200"/>
      <c r="H7" s="209">
        <v>0.25900000000594448</v>
      </c>
      <c r="I7" s="192">
        <v>2.1449275362815561</v>
      </c>
      <c r="J7" s="200"/>
      <c r="K7" s="209">
        <v>0.88574133354179663</v>
      </c>
      <c r="L7" s="192">
        <v>7.3353319547990017</v>
      </c>
      <c r="M7" s="200"/>
      <c r="N7" s="209">
        <v>-4.283170925688029E-2</v>
      </c>
      <c r="O7" s="192">
        <v>-0.35471394829721842</v>
      </c>
      <c r="P7" s="200"/>
      <c r="Q7" s="209">
        <v>-0.58390962427897186</v>
      </c>
      <c r="R7" s="192">
        <v>-4.8356904702202259</v>
      </c>
      <c r="S7" s="192"/>
      <c r="T7" s="232">
        <v>12.074999999997509</v>
      </c>
      <c r="U7" s="233">
        <v>12.334000000003453</v>
      </c>
      <c r="V7" s="240"/>
      <c r="W7" s="186"/>
      <c r="Y7" s="184"/>
      <c r="Z7" s="207"/>
      <c r="AA7" s="207"/>
      <c r="AB7" s="184"/>
      <c r="AC7" s="207"/>
      <c r="AE7" s="184"/>
      <c r="AF7" s="207"/>
    </row>
    <row r="8" spans="1:32" x14ac:dyDescent="0.25">
      <c r="A8" s="2" t="str">
        <f>name!A6</f>
        <v>Food products</v>
      </c>
      <c r="B8" s="205">
        <v>10.050999999997924</v>
      </c>
      <c r="C8" s="192">
        <v>3.2494571844970191E-2</v>
      </c>
      <c r="D8" s="235">
        <v>100</v>
      </c>
      <c r="E8" s="209">
        <v>9.1810000000025642</v>
      </c>
      <c r="F8" s="192">
        <v>2.7653418718277107E-2</v>
      </c>
      <c r="G8" s="200"/>
      <c r="H8" s="209">
        <v>-0.86999999999535793</v>
      </c>
      <c r="I8" s="192">
        <v>-8.6558551387477642</v>
      </c>
      <c r="J8" s="200"/>
      <c r="K8" s="209">
        <v>0.7372742147766953</v>
      </c>
      <c r="L8" s="192">
        <v>7.3353319547990017</v>
      </c>
      <c r="M8" s="200"/>
      <c r="N8" s="209">
        <v>-0.1098416494645672</v>
      </c>
      <c r="O8" s="192">
        <v>-1.0928429953695145</v>
      </c>
      <c r="P8" s="200"/>
      <c r="Q8" s="209">
        <v>-1.497432565307486</v>
      </c>
      <c r="R8" s="192">
        <v>-14.898344098177249</v>
      </c>
      <c r="S8" s="192"/>
      <c r="T8" s="232">
        <v>10.050999999997924</v>
      </c>
      <c r="U8" s="233">
        <v>9.1810000000025642</v>
      </c>
      <c r="V8" s="240"/>
      <c r="Y8" s="184"/>
      <c r="Z8" s="207"/>
      <c r="AA8" s="207"/>
      <c r="AB8" s="184"/>
      <c r="AC8" s="207"/>
      <c r="AE8" s="184"/>
      <c r="AF8" s="207"/>
    </row>
    <row r="9" spans="1:32" x14ac:dyDescent="0.25">
      <c r="A9" s="2" t="str">
        <f>name!A7</f>
        <v>Beverages and tobacco</v>
      </c>
      <c r="B9" s="205">
        <v>2.1699999999991144</v>
      </c>
      <c r="C9" s="192">
        <v>7.0155428219650902E-3</v>
      </c>
      <c r="D9" s="235">
        <v>100</v>
      </c>
      <c r="E9" s="209">
        <v>1.1269999999995304</v>
      </c>
      <c r="F9" s="192">
        <v>3.3945542855327972E-3</v>
      </c>
      <c r="G9" s="200"/>
      <c r="H9" s="209">
        <v>-1.042999999999584</v>
      </c>
      <c r="I9" s="192">
        <v>-48.064516129032704</v>
      </c>
      <c r="J9" s="200"/>
      <c r="K9" s="209">
        <v>0.15917670341907339</v>
      </c>
      <c r="L9" s="192">
        <v>7.3353319547990026</v>
      </c>
      <c r="M9" s="200"/>
      <c r="N9" s="209">
        <v>-8.2157152051436144E-2</v>
      </c>
      <c r="O9" s="192">
        <v>-3.786043873339616</v>
      </c>
      <c r="P9" s="200"/>
      <c r="Q9" s="209">
        <v>-1.1200195513672213</v>
      </c>
      <c r="R9" s="192">
        <v>-51.613804210492084</v>
      </c>
      <c r="S9" s="192"/>
      <c r="T9" s="232">
        <v>2.1699999999991144</v>
      </c>
      <c r="U9" s="233">
        <v>1.1269999999995304</v>
      </c>
      <c r="V9" s="240"/>
      <c r="W9" s="194"/>
      <c r="Y9" s="184"/>
      <c r="Z9" s="207"/>
      <c r="AA9" s="207"/>
      <c r="AB9" s="184"/>
      <c r="AC9" s="207"/>
      <c r="AE9" s="184"/>
      <c r="AF9" s="207"/>
    </row>
    <row r="10" spans="1:32" x14ac:dyDescent="0.25">
      <c r="A10" s="2" t="str">
        <f>name!A8</f>
        <v>Textiles</v>
      </c>
      <c r="B10" s="205">
        <v>11.083999999995481</v>
      </c>
      <c r="C10" s="192">
        <v>3.5834228865742432E-2</v>
      </c>
      <c r="D10" s="235">
        <v>100</v>
      </c>
      <c r="E10" s="209">
        <v>7.2319999999969857</v>
      </c>
      <c r="F10" s="192">
        <v>2.1782978343365737E-2</v>
      </c>
      <c r="G10" s="200"/>
      <c r="H10" s="209">
        <v>-3.851999999998494</v>
      </c>
      <c r="I10" s="192">
        <v>-34.75279682425176</v>
      </c>
      <c r="J10" s="200"/>
      <c r="K10" s="209">
        <v>0.81304819386958971</v>
      </c>
      <c r="L10" s="192">
        <v>7.3353319547989999</v>
      </c>
      <c r="M10" s="200"/>
      <c r="N10" s="209">
        <v>-0.31881093078995182</v>
      </c>
      <c r="O10" s="192">
        <v>-2.8763165895893343</v>
      </c>
      <c r="P10" s="200"/>
      <c r="Q10" s="209">
        <v>-4.3462372630781321</v>
      </c>
      <c r="R10" s="192">
        <v>-39.211812189461426</v>
      </c>
      <c r="S10" s="192"/>
      <c r="T10" s="232">
        <v>11.083999999995481</v>
      </c>
      <c r="U10" s="233">
        <v>7.2319999999969857</v>
      </c>
      <c r="V10" s="240"/>
      <c r="W10" s="191"/>
      <c r="Y10" s="184"/>
      <c r="Z10" s="207"/>
      <c r="AA10" s="207"/>
      <c r="AB10" s="184"/>
      <c r="AC10" s="207"/>
      <c r="AE10" s="184"/>
      <c r="AF10" s="207"/>
    </row>
    <row r="11" spans="1:32" x14ac:dyDescent="0.25">
      <c r="A11" s="2" t="str">
        <f>name!A9</f>
        <v>Wearing apparel; Leather, etc</v>
      </c>
      <c r="B11" s="205">
        <v>37.589999999984677</v>
      </c>
      <c r="C11" s="192">
        <v>0.12152730630307274</v>
      </c>
      <c r="D11" s="235">
        <v>100</v>
      </c>
      <c r="E11" s="209">
        <v>29.919999999987525</v>
      </c>
      <c r="F11" s="192">
        <v>9.0119844031181243E-2</v>
      </c>
      <c r="G11" s="200"/>
      <c r="H11" s="209">
        <v>-7.6699999999971515</v>
      </c>
      <c r="I11" s="192">
        <v>-20.404362862464161</v>
      </c>
      <c r="J11" s="200"/>
      <c r="K11" s="209">
        <v>2.7573512818078205</v>
      </c>
      <c r="L11" s="192">
        <v>7.3353319547990017</v>
      </c>
      <c r="M11" s="200"/>
      <c r="N11" s="209">
        <v>-0.7126086226066608</v>
      </c>
      <c r="O11" s="192">
        <v>-1.8957398845622542</v>
      </c>
      <c r="P11" s="200"/>
      <c r="Q11" s="209">
        <v>-9.7147426591983113</v>
      </c>
      <c r="R11" s="192">
        <v>-25.843954932700907</v>
      </c>
      <c r="S11" s="192"/>
      <c r="T11" s="232">
        <v>37.589999999984677</v>
      </c>
      <c r="U11" s="233">
        <v>29.919999999987525</v>
      </c>
      <c r="V11" s="240"/>
      <c r="W11" s="194"/>
      <c r="Y11" s="184"/>
      <c r="Z11" s="207"/>
      <c r="AA11" s="207"/>
      <c r="AB11" s="184"/>
      <c r="AC11" s="207"/>
      <c r="AE11" s="184"/>
      <c r="AF11" s="207"/>
    </row>
    <row r="12" spans="1:32" x14ac:dyDescent="0.25">
      <c r="A12" s="2" t="str">
        <f>name!A10</f>
        <v xml:space="preserve">Wood and cork </v>
      </c>
      <c r="B12" s="205">
        <v>395.97300000001809</v>
      </c>
      <c r="C12" s="192">
        <v>1.2801684506190061</v>
      </c>
      <c r="D12" s="235">
        <v>100</v>
      </c>
      <c r="E12" s="209">
        <v>368.47099999980418</v>
      </c>
      <c r="F12" s="192">
        <v>1.1098445538104806</v>
      </c>
      <c r="G12" s="200"/>
      <c r="H12" s="209">
        <v>-27.502000000213915</v>
      </c>
      <c r="I12" s="192">
        <v>-6.945423046574553</v>
      </c>
      <c r="J12" s="200"/>
      <c r="K12" s="209">
        <v>29.045934001377578</v>
      </c>
      <c r="L12" s="192">
        <v>7.3353319547990017</v>
      </c>
      <c r="M12" s="200"/>
      <c r="N12" s="209">
        <v>-3.864504443275159</v>
      </c>
      <c r="O12" s="192">
        <v>-0.97595150257087782</v>
      </c>
      <c r="P12" s="200"/>
      <c r="Q12" s="209">
        <v>-52.683429558316334</v>
      </c>
      <c r="R12" s="192">
        <v>-13.304803498802679</v>
      </c>
      <c r="S12" s="192"/>
      <c r="T12" s="232">
        <v>395.97300000001809</v>
      </c>
      <c r="U12" s="233">
        <v>368.47099999980418</v>
      </c>
      <c r="V12" s="240"/>
      <c r="W12" s="191"/>
      <c r="Y12" s="184"/>
      <c r="Z12" s="207"/>
      <c r="AA12" s="207"/>
      <c r="AB12" s="184"/>
      <c r="AC12" s="207"/>
      <c r="AE12" s="184"/>
      <c r="AF12" s="207"/>
    </row>
    <row r="13" spans="1:32" x14ac:dyDescent="0.25">
      <c r="A13" s="2" t="str">
        <f>name!A11</f>
        <v>Paper, etc</v>
      </c>
      <c r="B13" s="205">
        <v>75.845999999976854</v>
      </c>
      <c r="C13" s="192">
        <v>0.24520776998839583</v>
      </c>
      <c r="D13" s="235">
        <v>100</v>
      </c>
      <c r="E13" s="209">
        <v>49.305999999976621</v>
      </c>
      <c r="F13" s="192">
        <v>0.14851099698533315</v>
      </c>
      <c r="G13" s="200"/>
      <c r="H13" s="209">
        <v>-26.540000000000227</v>
      </c>
      <c r="I13" s="192">
        <v>-34.991957387348478</v>
      </c>
      <c r="J13" s="200"/>
      <c r="K13" s="209">
        <v>5.5635558744351528</v>
      </c>
      <c r="L13" s="192">
        <v>7.3353319547990017</v>
      </c>
      <c r="M13" s="200"/>
      <c r="N13" s="209">
        <v>-2.1939675871835931</v>
      </c>
      <c r="O13" s="192">
        <v>-2.8926609012792532</v>
      </c>
      <c r="P13" s="200"/>
      <c r="Q13" s="209">
        <v>-29.909588287251786</v>
      </c>
      <c r="R13" s="192">
        <v>-39.434628440868224</v>
      </c>
      <c r="S13" s="192"/>
      <c r="T13" s="232">
        <v>75.845999999976854</v>
      </c>
      <c r="U13" s="233">
        <v>49.305999999976621</v>
      </c>
      <c r="V13" s="240"/>
      <c r="W13" s="191"/>
      <c r="Y13" s="184"/>
      <c r="Z13" s="207"/>
      <c r="AA13" s="207"/>
      <c r="AB13" s="184"/>
      <c r="AC13" s="207"/>
      <c r="AE13" s="184"/>
      <c r="AF13" s="207"/>
    </row>
    <row r="14" spans="1:32" x14ac:dyDescent="0.25">
      <c r="A14" s="2" t="str">
        <f>name!A12</f>
        <v>Printing and recording</v>
      </c>
      <c r="B14" s="205">
        <v>73.1450000000373</v>
      </c>
      <c r="C14" s="192">
        <v>0.2364755206051187</v>
      </c>
      <c r="D14" s="235">
        <v>100</v>
      </c>
      <c r="E14" s="209">
        <v>122.94699999997626</v>
      </c>
      <c r="F14" s="192">
        <v>0.37031966791791843</v>
      </c>
      <c r="G14" s="200"/>
      <c r="H14" s="209">
        <v>49.801999999938957</v>
      </c>
      <c r="I14" s="192">
        <v>68.086677148012257</v>
      </c>
      <c r="J14" s="200"/>
      <c r="K14" s="209">
        <v>5.3654285583404651</v>
      </c>
      <c r="L14" s="192">
        <v>7.3353319547989999</v>
      </c>
      <c r="M14" s="200"/>
      <c r="N14" s="209">
        <v>3.0368099350038165</v>
      </c>
      <c r="O14" s="192">
        <v>4.1517669492135729</v>
      </c>
      <c r="P14" s="200"/>
      <c r="Q14" s="209">
        <v>41.399761506594672</v>
      </c>
      <c r="R14" s="192">
        <v>56.599578243999673</v>
      </c>
      <c r="S14" s="192"/>
      <c r="T14" s="232">
        <v>73.1450000000373</v>
      </c>
      <c r="U14" s="233">
        <v>122.94699999997626</v>
      </c>
      <c r="V14" s="240"/>
      <c r="Y14" s="184"/>
      <c r="Z14" s="207"/>
      <c r="AA14" s="207"/>
      <c r="AB14" s="184"/>
      <c r="AC14" s="207"/>
      <c r="AE14" s="184"/>
      <c r="AF14" s="207"/>
    </row>
    <row r="15" spans="1:32" x14ac:dyDescent="0.25">
      <c r="A15" s="2" t="str">
        <f>name!A13</f>
        <v>Coke and petroleum; Chemicals, etc</v>
      </c>
      <c r="B15" s="205">
        <v>80.073000000040807</v>
      </c>
      <c r="C15" s="192">
        <v>0.25887353013074937</v>
      </c>
      <c r="D15" s="235">
        <v>100</v>
      </c>
      <c r="E15" s="209">
        <v>72.98899999998595</v>
      </c>
      <c r="F15" s="192">
        <v>0.2198448294115429</v>
      </c>
      <c r="G15" s="200"/>
      <c r="H15" s="209">
        <v>-7.0840000000548606</v>
      </c>
      <c r="I15" s="192">
        <v>-8.846927179013214</v>
      </c>
      <c r="J15" s="200"/>
      <c r="K15" s="209">
        <v>5.873620356169198</v>
      </c>
      <c r="L15" s="192">
        <v>7.3353319547990017</v>
      </c>
      <c r="M15" s="200"/>
      <c r="N15" s="209">
        <v>-0.88552804492364956</v>
      </c>
      <c r="O15" s="192">
        <v>-1.1059009215630717</v>
      </c>
      <c r="P15" s="200"/>
      <c r="Q15" s="209">
        <v>-12.072092311300409</v>
      </c>
      <c r="R15" s="192">
        <v>-15.076358212249144</v>
      </c>
      <c r="S15" s="192"/>
      <c r="T15" s="232">
        <v>80.073000000040807</v>
      </c>
      <c r="U15" s="233">
        <v>72.98899999998595</v>
      </c>
      <c r="V15" s="240"/>
      <c r="Y15" s="184"/>
      <c r="Z15" s="207"/>
      <c r="AA15" s="207"/>
      <c r="AB15" s="184"/>
      <c r="AC15" s="207"/>
      <c r="AE15" s="184"/>
      <c r="AF15" s="207"/>
    </row>
    <row r="16" spans="1:32" x14ac:dyDescent="0.25">
      <c r="A16" s="2" t="str">
        <f>name!A14</f>
        <v>Pharmaceuticals</v>
      </c>
      <c r="B16" s="205">
        <v>104.71500000005337</v>
      </c>
      <c r="C16" s="192">
        <v>0.33854035327315601</v>
      </c>
      <c r="D16" s="235">
        <v>100</v>
      </c>
      <c r="E16" s="209">
        <v>86.702999999983263</v>
      </c>
      <c r="F16" s="192">
        <v>0.26115176594375861</v>
      </c>
      <c r="G16" s="200"/>
      <c r="H16" s="209">
        <v>-18.012000000070095</v>
      </c>
      <c r="I16" s="192">
        <v>-17.200974072540628</v>
      </c>
      <c r="J16" s="200"/>
      <c r="K16" s="209">
        <v>7.6811928564716885</v>
      </c>
      <c r="L16" s="192">
        <v>7.3353319547990017</v>
      </c>
      <c r="M16" s="200"/>
      <c r="N16" s="209">
        <v>-1.7558812662057193</v>
      </c>
      <c r="O16" s="192">
        <v>-1.6768192390821033</v>
      </c>
      <c r="P16" s="200"/>
      <c r="Q16" s="209">
        <v>-23.937311590336066</v>
      </c>
      <c r="R16" s="192">
        <v>-22.859486788257524</v>
      </c>
      <c r="S16" s="192"/>
      <c r="T16" s="232">
        <v>104.71500000005337</v>
      </c>
      <c r="U16" s="233">
        <v>86.702999999983263</v>
      </c>
      <c r="V16" s="240"/>
      <c r="Y16" s="184"/>
      <c r="Z16" s="207"/>
      <c r="AA16" s="207"/>
      <c r="AB16" s="184"/>
      <c r="AC16" s="207"/>
      <c r="AE16" s="184"/>
      <c r="AF16" s="207"/>
    </row>
    <row r="17" spans="1:32" x14ac:dyDescent="0.25">
      <c r="A17" s="2" t="str">
        <f>name!A15</f>
        <v>Rubber and plastic</v>
      </c>
      <c r="B17" s="205">
        <v>11.055999999985691</v>
      </c>
      <c r="C17" s="192">
        <v>3.5743705732524098E-2</v>
      </c>
      <c r="D17" s="235">
        <v>100</v>
      </c>
      <c r="E17" s="209">
        <v>18.25699999999954</v>
      </c>
      <c r="F17" s="192">
        <v>5.4990574614903753E-2</v>
      </c>
      <c r="G17" s="200"/>
      <c r="H17" s="209">
        <v>7.2010000000138481</v>
      </c>
      <c r="I17" s="192">
        <v>65.132054992973664</v>
      </c>
      <c r="J17" s="200"/>
      <c r="K17" s="209">
        <v>0.81099430092152791</v>
      </c>
      <c r="L17" s="192">
        <v>7.3353319547990017</v>
      </c>
      <c r="M17" s="200"/>
      <c r="N17" s="209">
        <v>0.43669509510288052</v>
      </c>
      <c r="O17" s="192">
        <v>3.9498470975347839</v>
      </c>
      <c r="P17" s="200"/>
      <c r="Q17" s="209">
        <v>5.9533106039894399</v>
      </c>
      <c r="R17" s="192">
        <v>53.846875940639883</v>
      </c>
      <c r="S17" s="192"/>
      <c r="T17" s="232">
        <v>11.055999999985691</v>
      </c>
      <c r="U17" s="233">
        <v>18.25699999999954</v>
      </c>
      <c r="V17" s="240"/>
      <c r="Y17" s="184"/>
      <c r="Z17" s="207"/>
      <c r="AA17" s="207"/>
      <c r="AB17" s="184"/>
      <c r="AC17" s="207"/>
      <c r="AE17" s="184"/>
      <c r="AF17" s="207"/>
    </row>
    <row r="18" spans="1:32" x14ac:dyDescent="0.25">
      <c r="A18" s="2" t="str">
        <f>name!A16</f>
        <v>Other non-metallic</v>
      </c>
      <c r="B18" s="205">
        <v>93.389000000008025</v>
      </c>
      <c r="C18" s="192">
        <v>0.30192374589899607</v>
      </c>
      <c r="D18" s="235">
        <v>100</v>
      </c>
      <c r="E18" s="209">
        <v>88.958999999932729</v>
      </c>
      <c r="F18" s="192">
        <v>0.26794689856842019</v>
      </c>
      <c r="G18" s="200"/>
      <c r="H18" s="209">
        <v>-4.4300000000752915</v>
      </c>
      <c r="I18" s="192">
        <v>-4.7435993533231011</v>
      </c>
      <c r="J18" s="200"/>
      <c r="K18" s="209">
        <v>6.8503931592678278</v>
      </c>
      <c r="L18" s="192">
        <v>7.3353319547990017</v>
      </c>
      <c r="M18" s="200"/>
      <c r="N18" s="209">
        <v>-0.77090578561093448</v>
      </c>
      <c r="O18" s="192">
        <v>-0.82547814583180912</v>
      </c>
      <c r="P18" s="200"/>
      <c r="Q18" s="209">
        <v>-10.509487373732185</v>
      </c>
      <c r="R18" s="192">
        <v>-11.253453162290294</v>
      </c>
      <c r="S18" s="192"/>
      <c r="T18" s="232">
        <v>93.389000000008025</v>
      </c>
      <c r="U18" s="233">
        <v>88.958999999932729</v>
      </c>
      <c r="V18" s="240"/>
      <c r="Y18" s="184"/>
      <c r="Z18" s="207"/>
      <c r="AA18" s="207"/>
      <c r="AB18" s="184"/>
      <c r="AC18" s="207"/>
      <c r="AE18" s="184"/>
      <c r="AF18" s="207"/>
    </row>
    <row r="19" spans="1:32" x14ac:dyDescent="0.25">
      <c r="A19" s="2" t="str">
        <f>name!A17</f>
        <v>Basic metals</v>
      </c>
      <c r="B19" s="205">
        <v>27.854999999989587</v>
      </c>
      <c r="C19" s="192">
        <v>9.0054352675504282E-2</v>
      </c>
      <c r="D19" s="235">
        <v>100</v>
      </c>
      <c r="E19" s="209">
        <v>33.922000000006818</v>
      </c>
      <c r="F19" s="192">
        <v>0.1021739755757894</v>
      </c>
      <c r="G19" s="200"/>
      <c r="H19" s="209">
        <v>6.0670000000172291</v>
      </c>
      <c r="I19" s="192">
        <v>21.78064979364386</v>
      </c>
      <c r="J19" s="200"/>
      <c r="K19" s="209">
        <v>2.0432567160084982</v>
      </c>
      <c r="L19" s="192">
        <v>7.3353319547990017</v>
      </c>
      <c r="M19" s="200"/>
      <c r="N19" s="209">
        <v>0.27498394192814857</v>
      </c>
      <c r="O19" s="192">
        <v>0.98719778111021839</v>
      </c>
      <c r="P19" s="200"/>
      <c r="Q19" s="209">
        <v>3.7487593420805823</v>
      </c>
      <c r="R19" s="192">
        <v>13.458120057734638</v>
      </c>
      <c r="S19" s="192"/>
      <c r="T19" s="232">
        <v>27.854999999989587</v>
      </c>
      <c r="U19" s="233">
        <v>33.922000000006818</v>
      </c>
      <c r="V19" s="240"/>
      <c r="Y19" s="184"/>
      <c r="Z19" s="207"/>
      <c r="AA19" s="207"/>
      <c r="AB19" s="184"/>
      <c r="AC19" s="207"/>
      <c r="AE19" s="184"/>
      <c r="AF19" s="207"/>
    </row>
    <row r="20" spans="1:32" x14ac:dyDescent="0.25">
      <c r="A20" s="2" t="str">
        <f>name!A18</f>
        <v>Metal products</v>
      </c>
      <c r="B20" s="205">
        <v>171.25499999999897</v>
      </c>
      <c r="C20" s="192">
        <v>0.55366211335304816</v>
      </c>
      <c r="D20" s="235">
        <v>100</v>
      </c>
      <c r="E20" s="209">
        <v>174.72100000005108</v>
      </c>
      <c r="F20" s="192">
        <v>0.52626434722537385</v>
      </c>
      <c r="G20" s="200"/>
      <c r="H20" s="209">
        <v>3.4660000000520959</v>
      </c>
      <c r="I20" s="192">
        <v>2.0238825144095745</v>
      </c>
      <c r="J20" s="200"/>
      <c r="K20" s="209">
        <v>12.562122739190956</v>
      </c>
      <c r="L20" s="192">
        <v>7.3353319547990026</v>
      </c>
      <c r="M20" s="200"/>
      <c r="N20" s="209">
        <v>-0.62163202533603767</v>
      </c>
      <c r="O20" s="192">
        <v>-0.36298620497856493</v>
      </c>
      <c r="P20" s="200"/>
      <c r="Q20" s="209">
        <v>-8.4744907138028225</v>
      </c>
      <c r="R20" s="192">
        <v>-4.9484632354108635</v>
      </c>
      <c r="S20" s="192"/>
      <c r="T20" s="232">
        <v>171.25499999999897</v>
      </c>
      <c r="U20" s="233">
        <v>174.72100000005108</v>
      </c>
      <c r="V20" s="240"/>
      <c r="Y20" s="184"/>
      <c r="Z20" s="207"/>
      <c r="AA20" s="207"/>
      <c r="AB20" s="184"/>
      <c r="AC20" s="207"/>
      <c r="AE20" s="184"/>
      <c r="AF20" s="207"/>
    </row>
    <row r="21" spans="1:32" x14ac:dyDescent="0.25">
      <c r="A21" s="2" t="str">
        <f>name!A19</f>
        <v>Computer, etc</v>
      </c>
      <c r="B21" s="205">
        <v>80.063999999999524</v>
      </c>
      <c r="C21" s="192">
        <v>0.25884443340923446</v>
      </c>
      <c r="D21" s="235">
        <v>100</v>
      </c>
      <c r="E21" s="209">
        <v>93.491000000027313</v>
      </c>
      <c r="F21" s="192">
        <v>0.28159740435578678</v>
      </c>
      <c r="G21" s="200"/>
      <c r="H21" s="209">
        <v>13.427000000027794</v>
      </c>
      <c r="I21" s="192">
        <v>16.770333733048403</v>
      </c>
      <c r="J21" s="200"/>
      <c r="K21" s="209">
        <v>5.8729601762902375</v>
      </c>
      <c r="L21" s="192">
        <v>7.3353319547990017</v>
      </c>
      <c r="M21" s="200"/>
      <c r="N21" s="209">
        <v>0.51624557075223443</v>
      </c>
      <c r="O21" s="192">
        <v>0.64479113053586812</v>
      </c>
      <c r="P21" s="200"/>
      <c r="Q21" s="209">
        <v>7.0377942529853215</v>
      </c>
      <c r="R21" s="192">
        <v>8.7902106477135344</v>
      </c>
      <c r="S21" s="192"/>
      <c r="T21" s="232">
        <v>80.063999999999524</v>
      </c>
      <c r="U21" s="233">
        <v>93.491000000027313</v>
      </c>
      <c r="V21" s="240"/>
      <c r="Y21" s="184"/>
      <c r="Z21" s="207"/>
      <c r="AA21" s="207"/>
      <c r="AB21" s="184"/>
      <c r="AC21" s="207"/>
      <c r="AE21" s="184"/>
      <c r="AF21" s="207"/>
    </row>
    <row r="22" spans="1:32" x14ac:dyDescent="0.25">
      <c r="A22" s="2" t="str">
        <f>name!A20</f>
        <v>Electrical equipment</v>
      </c>
      <c r="B22" s="205">
        <v>66.058000000045865</v>
      </c>
      <c r="C22" s="192">
        <v>0.21356346900178841</v>
      </c>
      <c r="D22" s="235">
        <v>100</v>
      </c>
      <c r="E22" s="209">
        <v>69.29699999994429</v>
      </c>
      <c r="F22" s="192">
        <v>0.20872442619740475</v>
      </c>
      <c r="G22" s="200"/>
      <c r="H22" s="209">
        <v>3.2389999998984278</v>
      </c>
      <c r="I22" s="192">
        <v>4.9032668259653311</v>
      </c>
      <c r="J22" s="200"/>
      <c r="K22" s="209">
        <v>4.845573582704489</v>
      </c>
      <c r="L22" s="192">
        <v>7.3353319547990017</v>
      </c>
      <c r="M22" s="200"/>
      <c r="N22" s="209">
        <v>-0.10979376804513397</v>
      </c>
      <c r="O22" s="192">
        <v>-0.16620813231562828</v>
      </c>
      <c r="P22" s="200"/>
      <c r="Q22" s="209">
        <v>-1.4967798147609273</v>
      </c>
      <c r="R22" s="192">
        <v>-2.2658569965180417</v>
      </c>
      <c r="S22" s="192"/>
      <c r="T22" s="232">
        <v>66.058000000045865</v>
      </c>
      <c r="U22" s="233">
        <v>69.29699999994429</v>
      </c>
      <c r="V22" s="240"/>
      <c r="Y22" s="184"/>
      <c r="Z22" s="207"/>
      <c r="AA22" s="207"/>
      <c r="AB22" s="184"/>
      <c r="AC22" s="207"/>
      <c r="AE22" s="184"/>
      <c r="AF22" s="207"/>
    </row>
    <row r="23" spans="1:32" x14ac:dyDescent="0.25">
      <c r="A23" s="2" t="str">
        <f>name!A21</f>
        <v>Machinery n.e.c.</v>
      </c>
      <c r="B23" s="205">
        <v>320.67900000022286</v>
      </c>
      <c r="C23" s="192">
        <v>1.036745279542592</v>
      </c>
      <c r="D23" s="235">
        <v>100</v>
      </c>
      <c r="E23" s="209">
        <v>294.9469999997628</v>
      </c>
      <c r="F23" s="192">
        <v>0.88838829002187569</v>
      </c>
      <c r="G23" s="200"/>
      <c r="H23" s="209">
        <v>-25.732000000460072</v>
      </c>
      <c r="I23" s="192">
        <v>-8.0242236006854792</v>
      </c>
      <c r="J23" s="200"/>
      <c r="K23" s="209">
        <v>23.522869159346239</v>
      </c>
      <c r="L23" s="192">
        <v>7.3353319547990017</v>
      </c>
      <c r="M23" s="200"/>
      <c r="N23" s="209">
        <v>-3.366093988785714</v>
      </c>
      <c r="O23" s="192">
        <v>-1.0496770879238662</v>
      </c>
      <c r="P23" s="200"/>
      <c r="Q23" s="209">
        <v>-45.888775171020598</v>
      </c>
      <c r="R23" s="192">
        <v>-14.309878467560615</v>
      </c>
      <c r="S23" s="192"/>
      <c r="T23" s="232">
        <v>320.67900000022286</v>
      </c>
      <c r="U23" s="233">
        <v>294.9469999997628</v>
      </c>
      <c r="V23" s="240"/>
      <c r="Y23" s="184"/>
      <c r="Z23" s="207"/>
      <c r="AA23" s="207"/>
      <c r="AB23" s="184"/>
      <c r="AC23" s="207"/>
      <c r="AE23" s="184"/>
      <c r="AF23" s="207"/>
    </row>
    <row r="24" spans="1:32" x14ac:dyDescent="0.25">
      <c r="A24" s="2" t="str">
        <f>name!A22</f>
        <v>Motor vehicles, etc</v>
      </c>
      <c r="B24" s="205">
        <v>140.47299999999331</v>
      </c>
      <c r="C24" s="192">
        <v>0.45414486029044115</v>
      </c>
      <c r="D24" s="235">
        <v>100</v>
      </c>
      <c r="E24" s="209">
        <v>162.91900000005276</v>
      </c>
      <c r="F24" s="192">
        <v>0.49071640607375983</v>
      </c>
      <c r="G24" s="200"/>
      <c r="H24" s="209">
        <v>22.44600000005946</v>
      </c>
      <c r="I24" s="192">
        <v>15.97887138457962</v>
      </c>
      <c r="J24" s="200"/>
      <c r="K24" s="209">
        <v>10.304160856864311</v>
      </c>
      <c r="L24" s="192">
        <v>7.3353319547990017</v>
      </c>
      <c r="M24" s="200"/>
      <c r="N24" s="209">
        <v>0.82977728801001405</v>
      </c>
      <c r="O24" s="192">
        <v>0.59070233283980089</v>
      </c>
      <c r="P24" s="200"/>
      <c r="Q24" s="209">
        <v>11.312061855185135</v>
      </c>
      <c r="R24" s="192">
        <v>8.0528370969408165</v>
      </c>
      <c r="S24" s="192"/>
      <c r="T24" s="232">
        <v>140.47299999999331</v>
      </c>
      <c r="U24" s="233">
        <v>162.91900000005276</v>
      </c>
      <c r="V24" s="240"/>
      <c r="Y24" s="184"/>
      <c r="Z24" s="207"/>
      <c r="AA24" s="207"/>
      <c r="AB24" s="184"/>
      <c r="AC24" s="207"/>
      <c r="AE24" s="184"/>
      <c r="AF24" s="207"/>
    </row>
    <row r="25" spans="1:32" x14ac:dyDescent="0.25">
      <c r="A25" s="2" t="str">
        <f>name!A23</f>
        <v>Other transport equipment</v>
      </c>
      <c r="B25" s="205">
        <v>67.744000000034035</v>
      </c>
      <c r="C25" s="192">
        <v>0.21901425480720543</v>
      </c>
      <c r="D25" s="235">
        <v>100</v>
      </c>
      <c r="E25" s="209">
        <v>77.434000000005142</v>
      </c>
      <c r="F25" s="192">
        <v>0.23323328886075737</v>
      </c>
      <c r="G25" s="200"/>
      <c r="H25" s="209">
        <v>9.6899999999711</v>
      </c>
      <c r="I25" s="192">
        <v>14.303849787385202</v>
      </c>
      <c r="J25" s="200"/>
      <c r="K25" s="209">
        <v>4.9692472794615323</v>
      </c>
      <c r="L25" s="192">
        <v>7.3353319547990017</v>
      </c>
      <c r="M25" s="200"/>
      <c r="N25" s="209">
        <v>0.32261779649633304</v>
      </c>
      <c r="O25" s="192">
        <v>0.4762308049364829</v>
      </c>
      <c r="P25" s="200"/>
      <c r="Q25" s="209">
        <v>4.3981349240132346</v>
      </c>
      <c r="R25" s="192">
        <v>6.4922870276497182</v>
      </c>
      <c r="S25" s="192"/>
      <c r="T25" s="232">
        <v>67.744000000034035</v>
      </c>
      <c r="U25" s="233">
        <v>77.434000000005142</v>
      </c>
      <c r="V25" s="240"/>
      <c r="Y25" s="184"/>
      <c r="Z25" s="207"/>
      <c r="AA25" s="207"/>
      <c r="AB25" s="184"/>
      <c r="AC25" s="207"/>
      <c r="AE25" s="184"/>
      <c r="AF25" s="207"/>
    </row>
    <row r="26" spans="1:32" x14ac:dyDescent="0.25">
      <c r="A26" s="2" t="str">
        <f>name!A24</f>
        <v>Furniture</v>
      </c>
      <c r="B26" s="205">
        <v>182.40299999999939</v>
      </c>
      <c r="C26" s="192">
        <v>0.58970325223751896</v>
      </c>
      <c r="D26" s="235">
        <v>100</v>
      </c>
      <c r="E26" s="209">
        <v>185.13999999993501</v>
      </c>
      <c r="F26" s="192">
        <v>0.55764665521169765</v>
      </c>
      <c r="G26" s="200"/>
      <c r="H26" s="209">
        <v>2.7369999999356223</v>
      </c>
      <c r="I26" s="192">
        <v>1.5005235659148322</v>
      </c>
      <c r="J26" s="200"/>
      <c r="K26" s="209">
        <v>13.379865545511977</v>
      </c>
      <c r="L26" s="192">
        <v>7.3353319547990017</v>
      </c>
      <c r="M26" s="200"/>
      <c r="N26" s="209">
        <v>-0.727336938408782</v>
      </c>
      <c r="O26" s="192">
        <v>-0.39875272797529882</v>
      </c>
      <c r="P26" s="200"/>
      <c r="Q26" s="209">
        <v>-9.9155286071675732</v>
      </c>
      <c r="R26" s="192">
        <v>-5.4360556609088704</v>
      </c>
      <c r="S26" s="192"/>
      <c r="T26" s="232">
        <v>182.40299999999939</v>
      </c>
      <c r="U26" s="233">
        <v>185.13999999993501</v>
      </c>
      <c r="V26" s="240"/>
      <c r="Y26" s="184"/>
      <c r="Z26" s="207"/>
      <c r="AA26" s="207"/>
      <c r="AB26" s="184"/>
      <c r="AC26" s="207"/>
      <c r="AE26" s="184"/>
      <c r="AF26" s="207"/>
    </row>
    <row r="27" spans="1:32" x14ac:dyDescent="0.25">
      <c r="A27" s="2" t="str">
        <f>name!A25</f>
        <v>Other manufacturing</v>
      </c>
      <c r="B27" s="205">
        <v>90.135000000064551</v>
      </c>
      <c r="C27" s="192">
        <v>0.29140366463526929</v>
      </c>
      <c r="D27" s="235">
        <v>100</v>
      </c>
      <c r="E27" s="209">
        <v>65.68600000003066</v>
      </c>
      <c r="F27" s="192">
        <v>0.19784799716034099</v>
      </c>
      <c r="G27" s="200"/>
      <c r="H27" s="209">
        <v>-24.449000000033891</v>
      </c>
      <c r="I27" s="192">
        <v>-27.124868253193966</v>
      </c>
      <c r="J27" s="200"/>
      <c r="K27" s="209">
        <v>6.6117014574628152</v>
      </c>
      <c r="L27" s="192">
        <v>7.3353319547990017</v>
      </c>
      <c r="M27" s="200"/>
      <c r="N27" s="209">
        <v>-2.1226985726898846</v>
      </c>
      <c r="O27" s="192">
        <v>-2.3550214374974918</v>
      </c>
      <c r="P27" s="200"/>
      <c r="Q27" s="209">
        <v>-28.938002884806821</v>
      </c>
      <c r="R27" s="192">
        <v>-32.105178770495471</v>
      </c>
      <c r="S27" s="192"/>
      <c r="T27" s="232">
        <v>90.135000000064551</v>
      </c>
      <c r="U27" s="233">
        <v>65.68600000003066</v>
      </c>
      <c r="V27" s="240"/>
      <c r="Y27" s="184"/>
      <c r="Z27" s="207"/>
      <c r="AA27" s="207"/>
      <c r="AB27" s="184"/>
      <c r="AC27" s="207"/>
      <c r="AE27" s="184"/>
      <c r="AF27" s="207"/>
    </row>
    <row r="28" spans="1:32" x14ac:dyDescent="0.25">
      <c r="A28" s="2" t="str">
        <f>name!A26</f>
        <v>Repair and installation</v>
      </c>
      <c r="B28" s="205">
        <v>65.316000000028879</v>
      </c>
      <c r="C28" s="192">
        <v>0.2111646059722864</v>
      </c>
      <c r="D28" s="235">
        <v>100</v>
      </c>
      <c r="E28" s="209">
        <v>58.65599999997378</v>
      </c>
      <c r="F28" s="192">
        <v>0.17667344824508047</v>
      </c>
      <c r="G28" s="200"/>
      <c r="H28" s="209">
        <v>-6.6600000000551081</v>
      </c>
      <c r="I28" s="192">
        <v>-10.196582766936375</v>
      </c>
      <c r="J28" s="200"/>
      <c r="K28" s="209">
        <v>4.7911454195986343</v>
      </c>
      <c r="L28" s="192">
        <v>7.3353319547990017</v>
      </c>
      <c r="M28" s="200"/>
      <c r="N28" s="209">
        <v>-0.78257505134664118</v>
      </c>
      <c r="O28" s="192">
        <v>-1.1981368291786012</v>
      </c>
      <c r="P28" s="200"/>
      <c r="Q28" s="209">
        <v>-10.668570368307101</v>
      </c>
      <c r="R28" s="192">
        <v>-16.333777892556778</v>
      </c>
      <c r="S28" s="192"/>
      <c r="T28" s="232">
        <v>65.316000000028879</v>
      </c>
      <c r="U28" s="233">
        <v>58.65599999997378</v>
      </c>
      <c r="V28" s="240"/>
      <c r="Y28" s="184"/>
      <c r="Z28" s="207"/>
      <c r="AA28" s="207"/>
      <c r="AB28" s="184"/>
      <c r="AC28" s="207"/>
      <c r="AE28" s="184"/>
      <c r="AF28" s="207"/>
    </row>
    <row r="29" spans="1:32" x14ac:dyDescent="0.25">
      <c r="A29" s="2" t="str">
        <f>name!A27</f>
        <v>Electricity, gas, etc</v>
      </c>
      <c r="B29" s="205">
        <v>217.60999999992853</v>
      </c>
      <c r="C29" s="192">
        <v>0.70352639331241695</v>
      </c>
      <c r="D29" s="235">
        <v>100</v>
      </c>
      <c r="E29" s="209">
        <v>203.759000000095</v>
      </c>
      <c r="F29" s="192">
        <v>0.61372758355500256</v>
      </c>
      <c r="G29" s="200"/>
      <c r="H29" s="209">
        <v>-13.850999999833526</v>
      </c>
      <c r="I29" s="192">
        <v>-6.3650567528321655</v>
      </c>
      <c r="J29" s="200"/>
      <c r="K29" s="209">
        <v>15.962415866832863</v>
      </c>
      <c r="L29" s="192">
        <v>7.3353319547990017</v>
      </c>
      <c r="M29" s="200"/>
      <c r="N29" s="209">
        <v>-2.03745866440849</v>
      </c>
      <c r="O29" s="192">
        <v>-0.93628907881492551</v>
      </c>
      <c r="P29" s="200"/>
      <c r="Q29" s="209">
        <v>-27.775957202257899</v>
      </c>
      <c r="R29" s="192">
        <v>-12.764099628816242</v>
      </c>
      <c r="S29" s="192"/>
      <c r="T29" s="232">
        <v>217.60999999992853</v>
      </c>
      <c r="U29" s="233">
        <v>203.759000000095</v>
      </c>
      <c r="V29" s="240"/>
      <c r="W29" s="190"/>
      <c r="Y29" s="184"/>
      <c r="Z29" s="207"/>
      <c r="AA29" s="207"/>
      <c r="AB29" s="184"/>
      <c r="AC29" s="207"/>
      <c r="AE29" s="184"/>
      <c r="AF29" s="207"/>
    </row>
    <row r="30" spans="1:32" x14ac:dyDescent="0.25">
      <c r="A30" s="2" t="str">
        <f>name!A28</f>
        <v>Water</v>
      </c>
      <c r="B30" s="205">
        <v>76.56499999997483</v>
      </c>
      <c r="C30" s="192">
        <v>0.24753227472986161</v>
      </c>
      <c r="D30" s="235">
        <v>100</v>
      </c>
      <c r="E30" s="209">
        <v>91.782000000042814</v>
      </c>
      <c r="F30" s="192">
        <v>0.27644985043038717</v>
      </c>
      <c r="G30" s="200"/>
      <c r="H30" s="209">
        <v>15.217000000067987</v>
      </c>
      <c r="I30" s="192">
        <v>19.874616339153647</v>
      </c>
      <c r="J30" s="200"/>
      <c r="K30" s="209">
        <v>5.616296911190009</v>
      </c>
      <c r="L30" s="192">
        <v>7.3353319547990017</v>
      </c>
      <c r="M30" s="200"/>
      <c r="N30" s="209">
        <v>0.65611521270592732</v>
      </c>
      <c r="O30" s="192">
        <v>0.85693882675653765</v>
      </c>
      <c r="P30" s="200"/>
      <c r="Q30" s="209">
        <v>8.9445878761720508</v>
      </c>
      <c r="R30" s="192">
        <v>11.682345557598108</v>
      </c>
      <c r="S30" s="192"/>
      <c r="T30" s="232">
        <v>76.56499999997483</v>
      </c>
      <c r="U30" s="233">
        <v>91.782000000042814</v>
      </c>
      <c r="V30" s="240"/>
      <c r="Y30" s="184"/>
      <c r="Z30" s="207"/>
      <c r="AA30" s="207"/>
      <c r="AB30" s="184"/>
      <c r="AC30" s="207"/>
      <c r="AE30" s="184"/>
      <c r="AF30" s="207"/>
    </row>
    <row r="31" spans="1:32" x14ac:dyDescent="0.25">
      <c r="A31" s="2" t="str">
        <f>name!A29</f>
        <v>Sewerage</v>
      </c>
      <c r="B31" s="205">
        <v>82.465999999925302</v>
      </c>
      <c r="C31" s="192">
        <v>0.266610025048795</v>
      </c>
      <c r="D31" s="235">
        <v>100</v>
      </c>
      <c r="E31" s="209">
        <v>87.377999999966974</v>
      </c>
      <c r="F31" s="192">
        <v>0.26318488408278279</v>
      </c>
      <c r="G31" s="200"/>
      <c r="H31" s="209">
        <v>4.9120000000416617</v>
      </c>
      <c r="I31" s="192">
        <v>5.9563941503724092</v>
      </c>
      <c r="J31" s="200"/>
      <c r="K31" s="209">
        <v>6.0491548498390655</v>
      </c>
      <c r="L31" s="192">
        <v>7.3353319547990017</v>
      </c>
      <c r="M31" s="200"/>
      <c r="N31" s="209">
        <v>-7.7713537149029399E-2</v>
      </c>
      <c r="O31" s="192">
        <v>-9.4237063940411564E-2</v>
      </c>
      <c r="P31" s="200"/>
      <c r="Q31" s="209">
        <v>-1.0594413126483744</v>
      </c>
      <c r="R31" s="192">
        <v>-1.284700740486181</v>
      </c>
      <c r="S31" s="192"/>
      <c r="T31" s="232">
        <v>82.465999999925302</v>
      </c>
      <c r="U31" s="233">
        <v>87.377999999966974</v>
      </c>
      <c r="V31" s="240"/>
      <c r="Y31" s="184"/>
      <c r="Z31" s="207"/>
      <c r="AA31" s="207"/>
      <c r="AB31" s="184"/>
      <c r="AC31" s="207"/>
      <c r="AE31" s="184"/>
      <c r="AF31" s="207"/>
    </row>
    <row r="32" spans="1:32" x14ac:dyDescent="0.25">
      <c r="A32" s="2" t="str">
        <f>name!A30</f>
        <v>Waste management</v>
      </c>
      <c r="B32" s="205">
        <v>32.932999999964288</v>
      </c>
      <c r="C32" s="192">
        <v>0.10647136947263597</v>
      </c>
      <c r="D32" s="235">
        <v>100</v>
      </c>
      <c r="E32" s="209">
        <v>34.895000000015962</v>
      </c>
      <c r="F32" s="192">
        <v>0.10510467772295519</v>
      </c>
      <c r="G32" s="200"/>
      <c r="H32" s="209">
        <v>1.9620000000516737</v>
      </c>
      <c r="I32" s="192">
        <v>5.957550177796743</v>
      </c>
      <c r="J32" s="200"/>
      <c r="K32" s="209">
        <v>2.4157448726713358</v>
      </c>
      <c r="L32" s="192">
        <v>7.3353319547990017</v>
      </c>
      <c r="M32" s="200"/>
      <c r="N32" s="209">
        <v>-3.1009074112286816E-2</v>
      </c>
      <c r="O32" s="192">
        <v>-9.4158060645311514E-2</v>
      </c>
      <c r="P32" s="200"/>
      <c r="Q32" s="209">
        <v>-0.42273579850737519</v>
      </c>
      <c r="R32" s="192">
        <v>-1.2836237163569477</v>
      </c>
      <c r="S32" s="192"/>
      <c r="T32" s="232">
        <v>32.932999999964288</v>
      </c>
      <c r="U32" s="233">
        <v>34.895000000015962</v>
      </c>
      <c r="V32" s="240"/>
      <c r="Y32" s="184"/>
      <c r="Z32" s="207"/>
      <c r="AA32" s="207"/>
      <c r="AB32" s="184"/>
      <c r="AC32" s="207"/>
      <c r="AE32" s="184"/>
      <c r="AF32" s="207"/>
    </row>
    <row r="33" spans="1:32" x14ac:dyDescent="0.25">
      <c r="A33" s="2" t="str">
        <f>name!A31</f>
        <v>Construction</v>
      </c>
      <c r="B33" s="205">
        <v>35.430000000000284</v>
      </c>
      <c r="C33" s="192">
        <v>0.11454409317157906</v>
      </c>
      <c r="D33" s="235">
        <v>100</v>
      </c>
      <c r="E33" s="209">
        <v>35.217999999995349</v>
      </c>
      <c r="F33" s="192">
        <v>0.10607756240277558</v>
      </c>
      <c r="G33" s="200"/>
      <c r="H33" s="209">
        <v>-0.2120000000049331</v>
      </c>
      <c r="I33" s="192">
        <v>-0.59836296924903021</v>
      </c>
      <c r="J33" s="200"/>
      <c r="K33" s="209">
        <v>2.598908111585307</v>
      </c>
      <c r="L33" s="192">
        <v>7.3353319547990017</v>
      </c>
      <c r="M33" s="200"/>
      <c r="N33" s="209">
        <v>-0.19209838659309805</v>
      </c>
      <c r="O33" s="192">
        <v>-0.54219132541094139</v>
      </c>
      <c r="P33" s="200"/>
      <c r="Q33" s="209">
        <v>-2.618809724997142</v>
      </c>
      <c r="R33" s="192">
        <v>-7.3915035986370903</v>
      </c>
      <c r="S33" s="192"/>
      <c r="T33" s="232">
        <v>35.430000000000284</v>
      </c>
      <c r="U33" s="233">
        <v>35.217999999995349</v>
      </c>
      <c r="V33" s="240"/>
      <c r="Y33" s="184"/>
      <c r="Z33" s="207"/>
      <c r="AA33" s="207"/>
      <c r="AB33" s="184"/>
      <c r="AC33" s="207"/>
      <c r="AE33" s="184"/>
      <c r="AF33" s="207"/>
    </row>
    <row r="34" spans="1:32" x14ac:dyDescent="0.25">
      <c r="A34" s="2" t="str">
        <f>name!A32</f>
        <v>Civil engineering</v>
      </c>
      <c r="B34" s="205">
        <v>145.50300000000124</v>
      </c>
      <c r="C34" s="192">
        <v>0.47040669457364592</v>
      </c>
      <c r="D34" s="235">
        <v>100</v>
      </c>
      <c r="E34" s="209">
        <v>144.62799999998086</v>
      </c>
      <c r="F34" s="192">
        <v>0.43562342254496622</v>
      </c>
      <c r="G34" s="200"/>
      <c r="H34" s="209">
        <v>-0.8750000000203727</v>
      </c>
      <c r="I34" s="192">
        <v>-0.60136217124070657</v>
      </c>
      <c r="J34" s="200"/>
      <c r="K34" s="209">
        <v>10.673128054191281</v>
      </c>
      <c r="L34" s="192">
        <v>7.3353319547990017</v>
      </c>
      <c r="M34" s="200"/>
      <c r="N34" s="209">
        <v>-0.78920287654993049</v>
      </c>
      <c r="O34" s="192">
        <v>-0.54239629186334559</v>
      </c>
      <c r="P34" s="200"/>
      <c r="Q34" s="209">
        <v>-10.758925177661723</v>
      </c>
      <c r="R34" s="192">
        <v>-7.3942978341763625</v>
      </c>
      <c r="S34" s="192"/>
      <c r="T34" s="232">
        <v>145.50300000000124</v>
      </c>
      <c r="U34" s="233">
        <v>144.62799999998086</v>
      </c>
      <c r="V34" s="240"/>
      <c r="Y34" s="184"/>
      <c r="Z34" s="207"/>
      <c r="AA34" s="207"/>
      <c r="AB34" s="184"/>
      <c r="AC34" s="207"/>
      <c r="AE34" s="184"/>
      <c r="AF34" s="207"/>
    </row>
    <row r="35" spans="1:32" x14ac:dyDescent="0.25">
      <c r="A35" s="2" t="str">
        <f>name!A33</f>
        <v>Specialised construction</v>
      </c>
      <c r="B35" s="205">
        <v>1697.6410000011963</v>
      </c>
      <c r="C35" s="192">
        <v>5.4884207980815161</v>
      </c>
      <c r="D35" s="235">
        <v>100</v>
      </c>
      <c r="E35" s="209">
        <v>1865.8430000002486</v>
      </c>
      <c r="F35" s="192">
        <v>5.619969256242106</v>
      </c>
      <c r="G35" s="200"/>
      <c r="H35" s="209">
        <v>168.20199999905239</v>
      </c>
      <c r="I35" s="192">
        <v>9.9079840790210572</v>
      </c>
      <c r="J35" s="200"/>
      <c r="K35" s="209">
        <v>124.52760275085707</v>
      </c>
      <c r="L35" s="192">
        <v>7.3353319547990017</v>
      </c>
      <c r="M35" s="200"/>
      <c r="N35" s="209">
        <v>2.9847226994760661</v>
      </c>
      <c r="O35" s="192">
        <v>0.17581589390654223</v>
      </c>
      <c r="P35" s="200"/>
      <c r="Q35" s="209">
        <v>40.689674548719267</v>
      </c>
      <c r="R35" s="192">
        <v>2.3968362303155142</v>
      </c>
      <c r="S35" s="192"/>
      <c r="T35" s="232">
        <v>1697.6410000011963</v>
      </c>
      <c r="U35" s="233">
        <v>1865.8430000002486</v>
      </c>
      <c r="V35" s="240"/>
      <c r="Y35" s="184"/>
      <c r="Z35" s="207"/>
      <c r="AA35" s="207"/>
      <c r="AB35" s="184"/>
      <c r="AC35" s="207"/>
      <c r="AE35" s="184"/>
      <c r="AF35" s="207"/>
    </row>
    <row r="36" spans="1:32" x14ac:dyDescent="0.25">
      <c r="A36" s="2" t="str">
        <f>name!A34</f>
        <v>Motor vehicle trade</v>
      </c>
      <c r="B36" s="205">
        <v>569.9599999994731</v>
      </c>
      <c r="C36" s="192">
        <v>1.842663035394082</v>
      </c>
      <c r="D36" s="235">
        <v>100</v>
      </c>
      <c r="E36" s="209">
        <v>641.79699999991612</v>
      </c>
      <c r="F36" s="192">
        <v>1.9331098108187363</v>
      </c>
      <c r="G36" s="200"/>
      <c r="H36" s="209">
        <v>71.837000000443084</v>
      </c>
      <c r="I36" s="192">
        <v>12.603866938120129</v>
      </c>
      <c r="J36" s="200"/>
      <c r="K36" s="209">
        <v>41.808458009533737</v>
      </c>
      <c r="L36" s="192">
        <v>7.3353319547990017</v>
      </c>
      <c r="M36" s="200"/>
      <c r="N36" s="209">
        <v>2.0521604546274403</v>
      </c>
      <c r="O36" s="192">
        <v>0.36005341684141651</v>
      </c>
      <c r="P36" s="200"/>
      <c r="Q36" s="209">
        <v>27.976381536281906</v>
      </c>
      <c r="R36" s="192">
        <v>4.9084815664797121</v>
      </c>
      <c r="S36" s="192"/>
      <c r="T36" s="232">
        <v>569.9599999994731</v>
      </c>
      <c r="U36" s="233">
        <v>641.79699999991612</v>
      </c>
      <c r="V36" s="240"/>
      <c r="Y36" s="184"/>
      <c r="Z36" s="207"/>
      <c r="AA36" s="207"/>
      <c r="AB36" s="184"/>
      <c r="AC36" s="207"/>
      <c r="AE36" s="184"/>
      <c r="AF36" s="207"/>
    </row>
    <row r="37" spans="1:32" x14ac:dyDescent="0.25">
      <c r="A37" s="2" t="str">
        <f>name!A35</f>
        <v>Wholesale trade</v>
      </c>
      <c r="B37" s="205">
        <v>1164.0059999989242</v>
      </c>
      <c r="C37" s="192">
        <v>3.7631953631428945</v>
      </c>
      <c r="D37" s="235">
        <v>100</v>
      </c>
      <c r="E37" s="209">
        <v>1232.8599999998389</v>
      </c>
      <c r="F37" s="192">
        <v>3.7134074502778711</v>
      </c>
      <c r="G37" s="200"/>
      <c r="H37" s="209">
        <v>68.854000000914795</v>
      </c>
      <c r="I37" s="192">
        <v>5.9152616052647868</v>
      </c>
      <c r="J37" s="200"/>
      <c r="K37" s="209">
        <v>85.383704073698738</v>
      </c>
      <c r="L37" s="192">
        <v>7.3353319547989999</v>
      </c>
      <c r="M37" s="200"/>
      <c r="N37" s="209">
        <v>-1.1296454231819553</v>
      </c>
      <c r="O37" s="192">
        <v>-9.7048075627015618E-2</v>
      </c>
      <c r="P37" s="200"/>
      <c r="Q37" s="209">
        <v>-15.400058649601988</v>
      </c>
      <c r="R37" s="192">
        <v>-1.3230222739071982</v>
      </c>
      <c r="S37" s="192"/>
      <c r="T37" s="232">
        <v>1164.0059999989242</v>
      </c>
      <c r="U37" s="233">
        <v>1232.8599999998389</v>
      </c>
      <c r="V37" s="240"/>
      <c r="Y37" s="184"/>
      <c r="Z37" s="207"/>
      <c r="AA37" s="207"/>
      <c r="AB37" s="184"/>
      <c r="AC37" s="207"/>
      <c r="AE37" s="184"/>
      <c r="AF37" s="207"/>
    </row>
    <row r="38" spans="1:32" x14ac:dyDescent="0.25">
      <c r="A38" s="2" t="str">
        <f>name!A36</f>
        <v>Retail trade</v>
      </c>
      <c r="B38" s="205">
        <v>3028.8189999972019</v>
      </c>
      <c r="C38" s="192">
        <v>9.7920780619679828</v>
      </c>
      <c r="D38" s="235">
        <v>100</v>
      </c>
      <c r="E38" s="209">
        <v>3261.3079999995739</v>
      </c>
      <c r="F38" s="192">
        <v>9.8231473361540029</v>
      </c>
      <c r="G38" s="200"/>
      <c r="H38" s="209">
        <v>232.48900000237208</v>
      </c>
      <c r="I38" s="192">
        <v>7.675896116690593</v>
      </c>
      <c r="J38" s="200"/>
      <c r="K38" s="209">
        <v>222.17392795981831</v>
      </c>
      <c r="L38" s="192">
        <v>7.3353319547990017</v>
      </c>
      <c r="M38" s="200"/>
      <c r="N38" s="209">
        <v>0.70493542239819362</v>
      </c>
      <c r="O38" s="192">
        <v>2.3274267045962298E-2</v>
      </c>
      <c r="P38" s="200"/>
      <c r="Q38" s="209">
        <v>9.610136620155572</v>
      </c>
      <c r="R38" s="192">
        <v>0.31728989484562958</v>
      </c>
      <c r="S38" s="192"/>
      <c r="T38" s="232">
        <v>3028.8189999972019</v>
      </c>
      <c r="U38" s="233">
        <v>3261.3079999995739</v>
      </c>
      <c r="V38" s="240"/>
      <c r="Y38" s="184"/>
      <c r="Z38" s="207"/>
      <c r="AA38" s="207"/>
      <c r="AB38" s="184"/>
      <c r="AC38" s="207"/>
      <c r="AE38" s="184"/>
      <c r="AF38" s="207"/>
    </row>
    <row r="39" spans="1:32" x14ac:dyDescent="0.25">
      <c r="A39" s="2" t="str">
        <f>name!A37</f>
        <v>Land transport, etc</v>
      </c>
      <c r="B39" s="205">
        <v>716.96500000073365</v>
      </c>
      <c r="C39" s="192">
        <v>2.3179256494734561</v>
      </c>
      <c r="D39" s="235">
        <v>100</v>
      </c>
      <c r="E39" s="209">
        <v>704.04699999997217</v>
      </c>
      <c r="F39" s="192">
        <v>2.1206084836445522</v>
      </c>
      <c r="G39" s="200"/>
      <c r="H39" s="209">
        <v>-12.918000000761472</v>
      </c>
      <c r="I39" s="192">
        <v>-1.8017615923717691</v>
      </c>
      <c r="J39" s="200"/>
      <c r="K39" s="209">
        <v>52.591762749778475</v>
      </c>
      <c r="L39" s="192">
        <v>7.3353319547990017</v>
      </c>
      <c r="M39" s="200"/>
      <c r="N39" s="209">
        <v>-4.476958773069212</v>
      </c>
      <c r="O39" s="192">
        <v>-0.62443198385759846</v>
      </c>
      <c r="P39" s="200"/>
      <c r="Q39" s="209">
        <v>-61.032803977470735</v>
      </c>
      <c r="R39" s="192">
        <v>-8.5126615633131717</v>
      </c>
      <c r="S39" s="192"/>
      <c r="T39" s="232">
        <v>716.96500000073365</v>
      </c>
      <c r="U39" s="233">
        <v>704.04699999997217</v>
      </c>
      <c r="V39" s="240"/>
      <c r="Y39" s="184"/>
      <c r="Z39" s="207"/>
      <c r="AA39" s="207"/>
      <c r="AB39" s="184"/>
      <c r="AC39" s="207"/>
      <c r="AE39" s="184"/>
      <c r="AF39" s="207"/>
    </row>
    <row r="40" spans="1:32" x14ac:dyDescent="0.25">
      <c r="A40" s="2" t="str">
        <f>name!A38</f>
        <v>Water transport</v>
      </c>
      <c r="B40" s="205">
        <v>18.247000000011084</v>
      </c>
      <c r="C40" s="192">
        <v>5.8991986116371888E-2</v>
      </c>
      <c r="D40" s="235">
        <v>100</v>
      </c>
      <c r="E40" s="209">
        <v>17.84799999999214</v>
      </c>
      <c r="F40" s="192">
        <v>5.3758655623946702E-2</v>
      </c>
      <c r="G40" s="200"/>
      <c r="H40" s="209">
        <v>-0.39900000001894298</v>
      </c>
      <c r="I40" s="192">
        <v>-2.1866608210593554</v>
      </c>
      <c r="J40" s="200"/>
      <c r="K40" s="209">
        <v>1.338478021792987</v>
      </c>
      <c r="L40" s="192">
        <v>7.3353319547990026</v>
      </c>
      <c r="M40" s="200"/>
      <c r="N40" s="209">
        <v>-0.11873982054226906</v>
      </c>
      <c r="O40" s="192">
        <v>-0.65073612397762337</v>
      </c>
      <c r="P40" s="200"/>
      <c r="Q40" s="209">
        <v>-1.6187382012696609</v>
      </c>
      <c r="R40" s="192">
        <v>-8.871256651880735</v>
      </c>
      <c r="S40" s="192"/>
      <c r="T40" s="232">
        <v>18.247000000011084</v>
      </c>
      <c r="U40" s="233">
        <v>17.84799999999214</v>
      </c>
      <c r="V40" s="240"/>
      <c r="Y40" s="184"/>
      <c r="Z40" s="207"/>
      <c r="AA40" s="207"/>
      <c r="AB40" s="184"/>
      <c r="AC40" s="207"/>
      <c r="AE40" s="184"/>
      <c r="AF40" s="207"/>
    </row>
    <row r="41" spans="1:32" x14ac:dyDescent="0.25">
      <c r="A41" s="2" t="str">
        <f>name!A39</f>
        <v>Air transport</v>
      </c>
      <c r="B41" s="205">
        <v>83.957000000060233</v>
      </c>
      <c r="C41" s="192">
        <v>0.2714303818914221</v>
      </c>
      <c r="D41" s="235">
        <v>100</v>
      </c>
      <c r="E41" s="209">
        <v>115.2650000001187</v>
      </c>
      <c r="F41" s="192">
        <v>0.34718127748225713</v>
      </c>
      <c r="G41" s="200"/>
      <c r="H41" s="209">
        <v>31.30800000005847</v>
      </c>
      <c r="I41" s="192">
        <v>37.290517765089284</v>
      </c>
      <c r="J41" s="200"/>
      <c r="K41" s="209">
        <v>6.1585246492950159</v>
      </c>
      <c r="L41" s="192">
        <v>7.3353319547990017</v>
      </c>
      <c r="M41" s="200"/>
      <c r="N41" s="209">
        <v>1.7187234326956968</v>
      </c>
      <c r="O41" s="192">
        <v>2.0471472690716244</v>
      </c>
      <c r="P41" s="200"/>
      <c r="Q41" s="209">
        <v>23.430751918067756</v>
      </c>
      <c r="R41" s="192">
        <v>27.908038541218655</v>
      </c>
      <c r="S41" s="192"/>
      <c r="T41" s="232">
        <v>83.957000000060233</v>
      </c>
      <c r="U41" s="233">
        <v>115.2650000001187</v>
      </c>
      <c r="V41" s="240"/>
      <c r="Y41" s="184"/>
      <c r="Z41" s="207"/>
      <c r="AA41" s="207"/>
      <c r="AB41" s="184"/>
      <c r="AC41" s="207"/>
      <c r="AE41" s="184"/>
      <c r="AF41" s="207"/>
    </row>
    <row r="42" spans="1:32" x14ac:dyDescent="0.25">
      <c r="A42" s="2" t="str">
        <f>name!A40</f>
        <v>Warehousing, etc</v>
      </c>
      <c r="B42" s="205">
        <v>340.75900000006266</v>
      </c>
      <c r="C42" s="192">
        <v>1.1016632979130954</v>
      </c>
      <c r="D42" s="235">
        <v>100</v>
      </c>
      <c r="E42" s="209">
        <v>336.28300000019055</v>
      </c>
      <c r="F42" s="192">
        <v>1.0128934328331394</v>
      </c>
      <c r="G42" s="200"/>
      <c r="H42" s="209">
        <v>-4.4759999998720597</v>
      </c>
      <c r="I42" s="192">
        <v>-1.3135383070942328</v>
      </c>
      <c r="J42" s="200"/>
      <c r="K42" s="209">
        <v>24.995803815858125</v>
      </c>
      <c r="L42" s="192">
        <v>7.3353319547990017</v>
      </c>
      <c r="M42" s="200"/>
      <c r="N42" s="209">
        <v>-2.01411278427996</v>
      </c>
      <c r="O42" s="192">
        <v>-0.59106664366299633</v>
      </c>
      <c r="P42" s="200"/>
      <c r="Q42" s="209">
        <v>-27.457691031450224</v>
      </c>
      <c r="R42" s="192">
        <v>-8.0578036182302366</v>
      </c>
      <c r="S42" s="192"/>
      <c r="T42" s="232">
        <v>340.75900000006266</v>
      </c>
      <c r="U42" s="233">
        <v>336.28300000019055</v>
      </c>
      <c r="V42" s="240"/>
      <c r="Y42" s="184"/>
      <c r="Z42" s="207"/>
      <c r="AA42" s="207"/>
      <c r="AB42" s="184"/>
      <c r="AC42" s="207"/>
      <c r="AE42" s="184"/>
      <c r="AF42" s="207"/>
    </row>
    <row r="43" spans="1:32" x14ac:dyDescent="0.25">
      <c r="A43" s="2" t="str">
        <f>name!A41</f>
        <v>Postal and courier</v>
      </c>
      <c r="B43" s="205">
        <v>325.27900000005985</v>
      </c>
      <c r="C43" s="192">
        <v>1.0516169371370201</v>
      </c>
      <c r="D43" s="235">
        <v>100</v>
      </c>
      <c r="E43" s="209">
        <v>535.52800000030322</v>
      </c>
      <c r="F43" s="192">
        <v>1.6130247270848221</v>
      </c>
      <c r="G43" s="200"/>
      <c r="H43" s="209">
        <v>210.24900000024343</v>
      </c>
      <c r="I43" s="192">
        <v>64.63651204049593</v>
      </c>
      <c r="J43" s="200"/>
      <c r="K43" s="209">
        <v>23.860294429255035</v>
      </c>
      <c r="L43" s="192">
        <v>7.3353319547990017</v>
      </c>
      <c r="M43" s="200"/>
      <c r="N43" s="209">
        <v>12.737865557301006</v>
      </c>
      <c r="O43" s="192">
        <v>3.9159815288717268</v>
      </c>
      <c r="P43" s="200"/>
      <c r="Q43" s="209">
        <v>173.6508400136874</v>
      </c>
      <c r="R43" s="192">
        <v>53.385198556825195</v>
      </c>
      <c r="S43" s="192"/>
      <c r="T43" s="232">
        <v>325.27900000005985</v>
      </c>
      <c r="U43" s="233">
        <v>535.52800000030322</v>
      </c>
      <c r="V43" s="240"/>
      <c r="Y43" s="184"/>
      <c r="Z43" s="207"/>
      <c r="AA43" s="207"/>
      <c r="AB43" s="184"/>
      <c r="AC43" s="207"/>
      <c r="AE43" s="184"/>
      <c r="AF43" s="207"/>
    </row>
    <row r="44" spans="1:32" x14ac:dyDescent="0.25">
      <c r="A44" s="2" t="str">
        <f>name!A42</f>
        <v>Accommodation</v>
      </c>
      <c r="B44" s="205">
        <v>2144.1589999988464</v>
      </c>
      <c r="C44" s="192">
        <v>6.9319996689400423</v>
      </c>
      <c r="D44" s="235">
        <v>100</v>
      </c>
      <c r="E44" s="209">
        <v>2258.3650000006869</v>
      </c>
      <c r="F44" s="192">
        <v>6.8022560683698323</v>
      </c>
      <c r="G44" s="200"/>
      <c r="H44" s="209">
        <v>114.20600000184029</v>
      </c>
      <c r="I44" s="192">
        <v>5.3263773816168358</v>
      </c>
      <c r="J44" s="200"/>
      <c r="K44" s="209">
        <v>157.28118028861411</v>
      </c>
      <c r="L44" s="192">
        <v>7.3353319547990017</v>
      </c>
      <c r="M44" s="200"/>
      <c r="N44" s="209">
        <v>-2.9437720148788173</v>
      </c>
      <c r="O44" s="192">
        <v>-0.13729261751952168</v>
      </c>
      <c r="P44" s="200"/>
      <c r="Q44" s="209">
        <v>-40.131408271894998</v>
      </c>
      <c r="R44" s="192">
        <v>-1.8716619556626439</v>
      </c>
      <c r="S44" s="192"/>
      <c r="T44" s="232">
        <v>2144.1589999988464</v>
      </c>
      <c r="U44" s="233">
        <v>2258.3650000006869</v>
      </c>
      <c r="V44" s="240"/>
      <c r="Y44" s="184"/>
      <c r="Z44" s="207"/>
      <c r="AA44" s="207"/>
      <c r="AB44" s="184"/>
      <c r="AC44" s="207"/>
      <c r="AE44" s="184"/>
      <c r="AF44" s="207"/>
    </row>
    <row r="45" spans="1:32" x14ac:dyDescent="0.25">
      <c r="A45" s="2" t="str">
        <f>name!A43</f>
        <v>Food and beverage services</v>
      </c>
      <c r="B45" s="205">
        <v>197.47100000001379</v>
      </c>
      <c r="C45" s="192">
        <v>0.63841762976817074</v>
      </c>
      <c r="D45" s="235">
        <v>100</v>
      </c>
      <c r="E45" s="209">
        <v>286.78200000015835</v>
      </c>
      <c r="F45" s="192">
        <v>0.86379509060746196</v>
      </c>
      <c r="G45" s="200"/>
      <c r="H45" s="209">
        <v>89.311000000144531</v>
      </c>
      <c r="I45" s="192">
        <v>45.227400479127716</v>
      </c>
      <c r="J45" s="200"/>
      <c r="K45" s="209">
        <v>14.485153364462148</v>
      </c>
      <c r="L45" s="192">
        <v>7.3353319547990017</v>
      </c>
      <c r="M45" s="200"/>
      <c r="N45" s="209">
        <v>5.1136230156045031</v>
      </c>
      <c r="O45" s="192">
        <v>2.5895564491009546</v>
      </c>
      <c r="P45" s="200"/>
      <c r="Q45" s="209">
        <v>69.712223620077879</v>
      </c>
      <c r="R45" s="192">
        <v>35.30251207522776</v>
      </c>
      <c r="S45" s="192"/>
      <c r="T45" s="232">
        <v>197.47100000001379</v>
      </c>
      <c r="U45" s="233">
        <v>286.78200000015835</v>
      </c>
      <c r="V45" s="240"/>
      <c r="Y45" s="184"/>
      <c r="Z45" s="211"/>
      <c r="AA45" s="211"/>
      <c r="AB45" s="248"/>
      <c r="AC45" s="211"/>
      <c r="AD45" s="191"/>
      <c r="AE45" s="184"/>
      <c r="AF45" s="207"/>
    </row>
    <row r="46" spans="1:32" x14ac:dyDescent="0.25">
      <c r="A46" s="2" t="str">
        <f>name!A44</f>
        <v>Publishing activities</v>
      </c>
      <c r="B46" s="205">
        <v>187.13600000001301</v>
      </c>
      <c r="C46" s="192">
        <v>0.60500489471515484</v>
      </c>
      <c r="D46" s="235">
        <v>100</v>
      </c>
      <c r="E46" s="209">
        <v>179.50800000009909</v>
      </c>
      <c r="F46" s="192">
        <v>0.54068291986513894</v>
      </c>
      <c r="G46" s="200"/>
      <c r="H46" s="209">
        <v>-7.6279999999139108</v>
      </c>
      <c r="I46" s="192">
        <v>-4.076179890514589</v>
      </c>
      <c r="J46" s="200"/>
      <c r="K46" s="209">
        <v>13.727046806933613</v>
      </c>
      <c r="L46" s="192">
        <v>7.3353319547990017</v>
      </c>
      <c r="M46" s="200"/>
      <c r="N46" s="209">
        <v>-1.4594109356690108</v>
      </c>
      <c r="O46" s="192">
        <v>-0.77986647981623491</v>
      </c>
      <c r="P46" s="200"/>
      <c r="Q46" s="209">
        <v>-19.895635871178513</v>
      </c>
      <c r="R46" s="192">
        <v>-10.631645365497354</v>
      </c>
      <c r="S46" s="192"/>
      <c r="T46" s="232">
        <v>187.13600000001301</v>
      </c>
      <c r="U46" s="232">
        <v>179.50800000009909</v>
      </c>
      <c r="V46" s="240"/>
      <c r="Y46" s="184"/>
      <c r="Z46" s="211"/>
      <c r="AA46" s="211"/>
      <c r="AB46" s="248"/>
      <c r="AC46" s="211"/>
      <c r="AD46" s="191"/>
      <c r="AE46" s="184"/>
      <c r="AF46" s="207"/>
    </row>
    <row r="47" spans="1:32" x14ac:dyDescent="0.25">
      <c r="A47" s="2" t="str">
        <f>name!A45</f>
        <v>Film and music</v>
      </c>
      <c r="B47" s="205">
        <v>199.87700000026544</v>
      </c>
      <c r="C47" s="192">
        <v>0.64619615328495417</v>
      </c>
      <c r="D47" s="235">
        <v>100</v>
      </c>
      <c r="E47" s="209">
        <v>198.79299999997147</v>
      </c>
      <c r="F47" s="192">
        <v>0.59876985810479655</v>
      </c>
      <c r="G47" s="200"/>
      <c r="H47" s="209">
        <v>-1.0840000002939487</v>
      </c>
      <c r="I47" s="192">
        <v>-0.54233353527044592</v>
      </c>
      <c r="J47" s="200"/>
      <c r="K47" s="209">
        <v>14.66164145131307</v>
      </c>
      <c r="L47" s="192">
        <v>7.3353319547990017</v>
      </c>
      <c r="M47" s="200"/>
      <c r="N47" s="209">
        <v>-1.0760623252874428</v>
      </c>
      <c r="O47" s="192">
        <v>-0.53836225543009641</v>
      </c>
      <c r="P47" s="200"/>
      <c r="Q47" s="209">
        <v>-14.669579126319576</v>
      </c>
      <c r="R47" s="192">
        <v>-7.3393032346393507</v>
      </c>
      <c r="S47" s="192"/>
      <c r="T47" s="232">
        <v>199.87700000026544</v>
      </c>
      <c r="U47" s="232">
        <v>198.79299999997147</v>
      </c>
      <c r="V47" s="240"/>
      <c r="Y47" s="184"/>
      <c r="Z47" s="248"/>
      <c r="AA47" s="248"/>
      <c r="AB47" s="248"/>
      <c r="AC47" s="248"/>
      <c r="AD47" s="191"/>
      <c r="AE47" s="184"/>
      <c r="AF47" s="207"/>
    </row>
    <row r="48" spans="1:32" x14ac:dyDescent="0.25">
      <c r="A48" s="2" t="str">
        <f>name!A46</f>
        <v>Broadcasting</v>
      </c>
      <c r="B48" s="205">
        <v>438.62000000015314</v>
      </c>
      <c r="C48" s="192">
        <v>1.4180448813698885</v>
      </c>
      <c r="D48" s="235">
        <v>100</v>
      </c>
      <c r="E48" s="209">
        <v>414.383999999926</v>
      </c>
      <c r="F48" s="192">
        <v>1.2481357436171761</v>
      </c>
      <c r="G48" s="200"/>
      <c r="H48" s="209">
        <v>-24.236000000227126</v>
      </c>
      <c r="I48" s="192">
        <v>-5.525511832615627</v>
      </c>
      <c r="J48" s="200"/>
      <c r="K48" s="209">
        <v>32.174233020150616</v>
      </c>
      <c r="L48" s="192">
        <v>7.3353319547990017</v>
      </c>
      <c r="M48" s="200"/>
      <c r="N48" s="209">
        <v>-3.8550939128439801</v>
      </c>
      <c r="O48" s="192">
        <v>-0.87891430232151613</v>
      </c>
      <c r="P48" s="200"/>
      <c r="Q48" s="209">
        <v>-52.555139107533762</v>
      </c>
      <c r="R48" s="192">
        <v>-11.981929485093113</v>
      </c>
      <c r="S48" s="192"/>
      <c r="T48" s="232">
        <v>438.62000000015314</v>
      </c>
      <c r="U48" s="232">
        <v>414.383999999926</v>
      </c>
      <c r="Y48" s="184"/>
      <c r="Z48" s="248"/>
      <c r="AA48" s="248"/>
      <c r="AB48" s="248"/>
      <c r="AC48" s="248"/>
      <c r="AD48" s="191"/>
      <c r="AE48" s="184"/>
    </row>
    <row r="49" spans="1:30" x14ac:dyDescent="0.25">
      <c r="A49" s="2" t="str">
        <f>name!A47</f>
        <v>Telecommunications</v>
      </c>
      <c r="B49" s="205">
        <v>613.98799999968332</v>
      </c>
      <c r="C49" s="192">
        <v>1.9850041963927363</v>
      </c>
      <c r="D49" s="235">
        <v>100</v>
      </c>
      <c r="E49" s="209">
        <v>538.85800000020777</v>
      </c>
      <c r="F49" s="192">
        <v>1.6230547765706296</v>
      </c>
      <c r="G49" s="200"/>
      <c r="H49" s="209">
        <v>-75.129999999475544</v>
      </c>
      <c r="I49" s="192">
        <v>-12.236395499507205</v>
      </c>
      <c r="J49" s="200"/>
      <c r="K49" s="209">
        <v>45.038057962608065</v>
      </c>
      <c r="L49" s="192">
        <v>7.3353319547990017</v>
      </c>
      <c r="M49" s="200"/>
      <c r="N49" s="209">
        <v>-8.2123246787610498</v>
      </c>
      <c r="O49" s="192">
        <v>-1.3375383034791049</v>
      </c>
      <c r="P49" s="200"/>
      <c r="Q49" s="209">
        <v>-111.95573328332256</v>
      </c>
      <c r="R49" s="192">
        <v>-18.234189150827103</v>
      </c>
      <c r="S49" s="192"/>
      <c r="T49" s="232">
        <v>613.98799999968332</v>
      </c>
      <c r="U49" s="232">
        <v>538.85800000020777</v>
      </c>
      <c r="Z49" s="191"/>
      <c r="AA49" s="191"/>
      <c r="AB49" s="191"/>
      <c r="AC49" s="191"/>
      <c r="AD49" s="191"/>
    </row>
    <row r="50" spans="1:30" x14ac:dyDescent="0.25">
      <c r="A50" s="2" t="str">
        <f>name!A48</f>
        <v>Computing services</v>
      </c>
      <c r="B50" s="205">
        <v>132.72299999993143</v>
      </c>
      <c r="C50" s="192">
        <v>0.42908935021178413</v>
      </c>
      <c r="D50" s="235">
        <v>100</v>
      </c>
      <c r="E50" s="209">
        <v>135.03200000005205</v>
      </c>
      <c r="F50" s="192">
        <v>0.40672001267474028</v>
      </c>
      <c r="G50" s="200"/>
      <c r="H50" s="209">
        <v>2.3090000001206064</v>
      </c>
      <c r="I50" s="192">
        <v>1.7397135388152762</v>
      </c>
      <c r="J50" s="200"/>
      <c r="K50" s="209">
        <v>9.7356726303628491</v>
      </c>
      <c r="L50" s="192">
        <v>7.3353319547990017</v>
      </c>
      <c r="M50" s="200"/>
      <c r="N50" s="209">
        <v>-0.50754125477889156</v>
      </c>
      <c r="O50" s="192">
        <v>-0.38240640640970575</v>
      </c>
      <c r="P50" s="200"/>
      <c r="Q50" s="209">
        <v>-6.9191313754633512</v>
      </c>
      <c r="R50" s="192">
        <v>-5.2132120095740202</v>
      </c>
      <c r="S50" s="192"/>
      <c r="T50" s="232">
        <v>132.72299999993143</v>
      </c>
      <c r="U50" s="232">
        <v>135.03200000005205</v>
      </c>
      <c r="Z50" s="191"/>
      <c r="AA50" s="191"/>
      <c r="AB50" s="191"/>
      <c r="AC50" s="191"/>
      <c r="AD50" s="191"/>
    </row>
    <row r="51" spans="1:30" x14ac:dyDescent="0.25">
      <c r="A51" s="2" t="str">
        <f>name!A49</f>
        <v>Information services</v>
      </c>
      <c r="B51" s="205">
        <v>312.76299999983866</v>
      </c>
      <c r="C51" s="192">
        <v>1.0111530966018576</v>
      </c>
      <c r="D51" s="235">
        <v>100</v>
      </c>
      <c r="E51" s="209">
        <v>502.44200000019339</v>
      </c>
      <c r="F51" s="192">
        <v>1.5133688059743005</v>
      </c>
      <c r="G51" s="200"/>
      <c r="H51" s="209">
        <v>189.6790000003547</v>
      </c>
      <c r="I51" s="192">
        <v>60.646240124456078</v>
      </c>
      <c r="J51" s="200"/>
      <c r="K51" s="209">
        <v>22.942204281776167</v>
      </c>
      <c r="L51" s="192">
        <v>7.3353319547990017</v>
      </c>
      <c r="M51" s="200"/>
      <c r="N51" s="209">
        <v>11.394847562313828</v>
      </c>
      <c r="O51" s="192">
        <v>3.6432850312599978</v>
      </c>
      <c r="P51" s="200"/>
      <c r="Q51" s="209">
        <v>155.34194815626472</v>
      </c>
      <c r="R51" s="192">
        <v>49.667623138397076</v>
      </c>
      <c r="S51" s="192"/>
      <c r="T51" s="232">
        <v>312.76299999983866</v>
      </c>
      <c r="U51" s="232">
        <v>502.44200000019339</v>
      </c>
      <c r="Z51" s="191"/>
      <c r="AA51" s="191"/>
      <c r="AB51" s="191"/>
      <c r="AC51" s="191"/>
      <c r="AD51" s="191"/>
    </row>
    <row r="52" spans="1:30" x14ac:dyDescent="0.25">
      <c r="A52" s="2" t="str">
        <f>name!A50</f>
        <v>Financial services</v>
      </c>
      <c r="B52" s="205">
        <v>548.61799999979723</v>
      </c>
      <c r="C52" s="192">
        <v>1.7736650100926228</v>
      </c>
      <c r="D52" s="235">
        <v>100</v>
      </c>
      <c r="E52" s="209">
        <v>580.38300000007268</v>
      </c>
      <c r="F52" s="192">
        <v>1.7481291924591382</v>
      </c>
      <c r="G52" s="200"/>
      <c r="H52" s="209">
        <v>31.765000000275439</v>
      </c>
      <c r="I52" s="192">
        <v>5.7900032445685667</v>
      </c>
      <c r="J52" s="200"/>
      <c r="K52" s="209">
        <v>40.242951463764314</v>
      </c>
      <c r="L52" s="192">
        <v>7.3353319547990017</v>
      </c>
      <c r="M52" s="200"/>
      <c r="N52" s="209">
        <v>-0.57938599665903823</v>
      </c>
      <c r="O52" s="192">
        <v>-0.10560827327197655</v>
      </c>
      <c r="P52" s="200"/>
      <c r="Q52" s="209">
        <v>-7.8985654668298366</v>
      </c>
      <c r="R52" s="192">
        <v>-1.4397204369584586</v>
      </c>
      <c r="S52" s="192"/>
      <c r="T52" s="232">
        <v>548.61799999979723</v>
      </c>
      <c r="U52" s="232">
        <v>580.38300000007268</v>
      </c>
    </row>
    <row r="53" spans="1:30" x14ac:dyDescent="0.25">
      <c r="A53" s="2" t="str">
        <f>name!A51</f>
        <v>Insurance and pensions</v>
      </c>
      <c r="B53" s="205">
        <v>1501.1650000006377</v>
      </c>
      <c r="C53" s="192">
        <v>4.8532199725087537</v>
      </c>
      <c r="D53" s="235">
        <v>100</v>
      </c>
      <c r="E53" s="209">
        <v>1898.5639999980804</v>
      </c>
      <c r="F53" s="192">
        <v>5.7185257875372297</v>
      </c>
      <c r="G53" s="200"/>
      <c r="H53" s="209">
        <v>397.39899999744262</v>
      </c>
      <c r="I53" s="192">
        <v>26.472706198004467</v>
      </c>
      <c r="J53" s="200"/>
      <c r="K53" s="209">
        <v>110.11543593930521</v>
      </c>
      <c r="L53" s="192">
        <v>7.3353319547990017</v>
      </c>
      <c r="M53" s="200"/>
      <c r="N53" s="209">
        <v>19.633053433064049</v>
      </c>
      <c r="O53" s="192">
        <v>1.3078544619049677</v>
      </c>
      <c r="P53" s="200"/>
      <c r="Q53" s="209">
        <v>267.65051062507337</v>
      </c>
      <c r="R53" s="192">
        <v>17.829519781300501</v>
      </c>
      <c r="S53" s="192"/>
      <c r="T53" s="232">
        <v>1501.1650000006377</v>
      </c>
      <c r="U53" s="232">
        <v>1898.5639999980804</v>
      </c>
    </row>
    <row r="54" spans="1:30" x14ac:dyDescent="0.25">
      <c r="A54" s="2" t="str">
        <f>name!A52</f>
        <v>Auxiliary financial services</v>
      </c>
      <c r="B54" s="205">
        <v>471.13500000027409</v>
      </c>
      <c r="C54" s="192">
        <v>1.5231648697833153</v>
      </c>
      <c r="D54" s="235">
        <v>100</v>
      </c>
      <c r="E54" s="209">
        <v>502.06400000003481</v>
      </c>
      <c r="F54" s="192">
        <v>1.5122302598159418</v>
      </c>
      <c r="G54" s="200"/>
      <c r="H54" s="209">
        <v>30.928999999760709</v>
      </c>
      <c r="I54" s="192">
        <v>6.5647850403265977</v>
      </c>
      <c r="J54" s="200"/>
      <c r="K54" s="209">
        <v>34.559316205262384</v>
      </c>
      <c r="L54" s="192">
        <v>7.3353319547990017</v>
      </c>
      <c r="M54" s="200"/>
      <c r="N54" s="209">
        <v>-0.24809700574137494</v>
      </c>
      <c r="O54" s="192">
        <v>-5.2659430044728284E-2</v>
      </c>
      <c r="P54" s="200"/>
      <c r="Q54" s="209">
        <v>-3.3822191997602999</v>
      </c>
      <c r="R54" s="192">
        <v>-0.71788748442767625</v>
      </c>
      <c r="S54" s="192"/>
      <c r="T54" s="232">
        <v>471.13500000027409</v>
      </c>
      <c r="U54" s="232">
        <v>502.06400000003481</v>
      </c>
    </row>
    <row r="55" spans="1:30" x14ac:dyDescent="0.25">
      <c r="A55" s="2" t="str">
        <f>name!A53</f>
        <v>Real estate</v>
      </c>
      <c r="B55" s="205">
        <v>106.49900000005229</v>
      </c>
      <c r="C55" s="192">
        <v>0.34430797004476121</v>
      </c>
      <c r="D55" s="235">
        <v>100</v>
      </c>
      <c r="E55" s="209">
        <v>125.1209999999075</v>
      </c>
      <c r="F55" s="192">
        <v>0.37686781433896366</v>
      </c>
      <c r="G55" s="200"/>
      <c r="H55" s="209">
        <v>18.621999999855209</v>
      </c>
      <c r="I55" s="192">
        <v>17.485610193378402</v>
      </c>
      <c r="J55" s="200"/>
      <c r="K55" s="209">
        <v>7.8120551785452239</v>
      </c>
      <c r="L55" s="192">
        <v>7.3353319547990017</v>
      </c>
      <c r="M55" s="200"/>
      <c r="N55" s="209">
        <v>0.73875519116819888</v>
      </c>
      <c r="O55" s="192">
        <v>0.6936733595318606</v>
      </c>
      <c r="P55" s="200"/>
      <c r="Q55" s="209">
        <v>10.071189630141788</v>
      </c>
      <c r="R55" s="192">
        <v>9.4566048790475428</v>
      </c>
      <c r="S55" s="192"/>
      <c r="T55" s="232">
        <v>106.49900000005229</v>
      </c>
      <c r="U55" s="232">
        <v>125.1209999999075</v>
      </c>
    </row>
    <row r="56" spans="1:30" x14ac:dyDescent="0.25">
      <c r="A56" s="2" t="str">
        <f>name!A54</f>
        <v>Legal and accounting</v>
      </c>
      <c r="B56" s="205">
        <v>216.71200000001988</v>
      </c>
      <c r="C56" s="192">
        <v>0.7006231871126537</v>
      </c>
      <c r="D56" s="235">
        <v>100</v>
      </c>
      <c r="E56" s="209">
        <v>307.62700000008448</v>
      </c>
      <c r="F56" s="192">
        <v>0.92658079076869526</v>
      </c>
      <c r="G56" s="200"/>
      <c r="H56" s="209">
        <v>90.91500000006458</v>
      </c>
      <c r="I56" s="192">
        <v>41.951991583325444</v>
      </c>
      <c r="J56" s="200"/>
      <c r="K56" s="209">
        <v>15.89654458588547</v>
      </c>
      <c r="L56" s="192">
        <v>7.3353319547990017</v>
      </c>
      <c r="M56" s="200"/>
      <c r="N56" s="209">
        <v>5.1267859629951857</v>
      </c>
      <c r="O56" s="192">
        <v>2.3657139258530746</v>
      </c>
      <c r="P56" s="200"/>
      <c r="Q56" s="209">
        <v>69.89166945118393</v>
      </c>
      <c r="R56" s="192">
        <v>32.25094570267337</v>
      </c>
      <c r="S56" s="192"/>
      <c r="T56" s="232">
        <v>216.71200000001988</v>
      </c>
      <c r="U56" s="232">
        <v>307.62700000008448</v>
      </c>
    </row>
    <row r="57" spans="1:30" ht="12.75" customHeight="1" x14ac:dyDescent="0.25">
      <c r="A57" s="2" t="str">
        <f>name!A55</f>
        <v>Head offices, etc</v>
      </c>
      <c r="B57" s="205">
        <v>488.51200000004457</v>
      </c>
      <c r="C57" s="192">
        <v>1.5793441728320374</v>
      </c>
      <c r="D57" s="235">
        <v>100</v>
      </c>
      <c r="E57" s="209">
        <v>554.93600000015249</v>
      </c>
      <c r="F57" s="192">
        <v>1.6714821446297523</v>
      </c>
      <c r="G57" s="200"/>
      <c r="H57" s="209">
        <v>66.424000000107924</v>
      </c>
      <c r="I57" s="192">
        <v>13.597209485151206</v>
      </c>
      <c r="J57" s="200"/>
      <c r="K57" s="209">
        <v>35.833976839030967</v>
      </c>
      <c r="L57" s="192">
        <v>7.3353319547990017</v>
      </c>
      <c r="M57" s="200"/>
      <c r="N57" s="209">
        <v>2.0905322628152163</v>
      </c>
      <c r="O57" s="192">
        <v>0.42793877383053552</v>
      </c>
      <c r="P57" s="200"/>
      <c r="Q57" s="209">
        <v>28.49949089826174</v>
      </c>
      <c r="R57" s="192">
        <v>5.83393875652167</v>
      </c>
      <c r="S57" s="192"/>
      <c r="T57" s="232">
        <v>488.51200000004457</v>
      </c>
      <c r="U57" s="232">
        <v>554.93600000015249</v>
      </c>
    </row>
    <row r="58" spans="1:30" x14ac:dyDescent="0.25">
      <c r="A58" s="2" t="str">
        <f>name!A56</f>
        <v>Architectural and related</v>
      </c>
      <c r="B58" s="205">
        <v>154.33900000012474</v>
      </c>
      <c r="C58" s="192">
        <v>0.49897320903252856</v>
      </c>
      <c r="D58" s="235">
        <v>100</v>
      </c>
      <c r="E58" s="209">
        <v>141.48199999997618</v>
      </c>
      <c r="F58" s="192">
        <v>0.42614758600343433</v>
      </c>
      <c r="G58" s="200"/>
      <c r="H58" s="209">
        <v>-12.857000000148545</v>
      </c>
      <c r="I58" s="192">
        <v>-8.3303636800407901</v>
      </c>
      <c r="J58" s="200"/>
      <c r="K58" s="209">
        <v>11.321277985726381</v>
      </c>
      <c r="L58" s="192">
        <v>7.3353319547990017</v>
      </c>
      <c r="M58" s="200"/>
      <c r="N58" s="209">
        <v>-1.6523514847514473</v>
      </c>
      <c r="O58" s="192">
        <v>-1.0705988018259234</v>
      </c>
      <c r="P58" s="200"/>
      <c r="Q58" s="209">
        <v>-22.525926501123479</v>
      </c>
      <c r="R58" s="192">
        <v>-14.595096833013868</v>
      </c>
      <c r="S58" s="192"/>
      <c r="T58" s="232">
        <v>154.33900000012474</v>
      </c>
      <c r="U58" s="232">
        <v>141.48199999997618</v>
      </c>
    </row>
    <row r="59" spans="1:30" x14ac:dyDescent="0.25">
      <c r="A59" s="2" t="str">
        <f>name!A57</f>
        <v>Scientific research and development</v>
      </c>
      <c r="B59" s="205">
        <v>945.30400000076372</v>
      </c>
      <c r="C59" s="192">
        <v>3.0561385676419133</v>
      </c>
      <c r="D59" s="235">
        <v>100</v>
      </c>
      <c r="E59" s="209">
        <v>1147.9249999998067</v>
      </c>
      <c r="F59" s="192">
        <v>3.4575809478449013</v>
      </c>
      <c r="G59" s="200"/>
      <c r="H59" s="209">
        <v>202.62099999904308</v>
      </c>
      <c r="I59" s="192">
        <v>21.434480336365802</v>
      </c>
      <c r="J59" s="200"/>
      <c r="K59" s="209">
        <v>69.341186382049173</v>
      </c>
      <c r="L59" s="192">
        <v>7.3353319547990017</v>
      </c>
      <c r="M59" s="200"/>
      <c r="N59" s="209">
        <v>9.1083863807875787</v>
      </c>
      <c r="O59" s="192">
        <v>0.96354044633051583</v>
      </c>
      <c r="P59" s="200"/>
      <c r="Q59" s="209">
        <v>124.17142723620634</v>
      </c>
      <c r="R59" s="192">
        <v>13.135607935236285</v>
      </c>
      <c r="S59" s="192"/>
      <c r="T59" s="232">
        <v>945.30400000076372</v>
      </c>
      <c r="U59" s="232">
        <v>1147.9249999998067</v>
      </c>
    </row>
    <row r="60" spans="1:30" x14ac:dyDescent="0.25">
      <c r="A60" s="2" t="str">
        <f>name!A58</f>
        <v>Advertising, etc</v>
      </c>
      <c r="B60" s="205">
        <v>116.95000000009452</v>
      </c>
      <c r="C60" s="192">
        <v>0.37809572950682724</v>
      </c>
      <c r="D60" s="235">
        <v>100</v>
      </c>
      <c r="E60" s="209">
        <v>118.9089999999799</v>
      </c>
      <c r="F60" s="192">
        <v>0.35815710340596213</v>
      </c>
      <c r="G60" s="200"/>
      <c r="H60" s="209">
        <v>1.9589999998853891</v>
      </c>
      <c r="I60" s="192">
        <v>1.6750748181990645</v>
      </c>
      <c r="J60" s="200"/>
      <c r="K60" s="209">
        <v>8.5786707211443645</v>
      </c>
      <c r="L60" s="192">
        <v>7.3353319547989999</v>
      </c>
      <c r="M60" s="200"/>
      <c r="N60" s="209">
        <v>-0.45239047839668522</v>
      </c>
      <c r="O60" s="192">
        <v>-0.38682383787628871</v>
      </c>
      <c r="P60" s="200"/>
      <c r="Q60" s="209">
        <v>-6.1672802428622902</v>
      </c>
      <c r="R60" s="192">
        <v>-5.2734332987236474</v>
      </c>
      <c r="S60" s="192"/>
      <c r="T60" s="232">
        <v>116.95000000009452</v>
      </c>
      <c r="U60" s="232">
        <v>118.9089999999799</v>
      </c>
    </row>
    <row r="61" spans="1:30" ht="12.75" customHeight="1" x14ac:dyDescent="0.25">
      <c r="A61" s="2" t="str">
        <f>name!A59</f>
        <v>Other professional</v>
      </c>
      <c r="B61" s="205">
        <v>1329.574000001074</v>
      </c>
      <c r="C61" s="192">
        <v>4.2984715815588732</v>
      </c>
      <c r="D61" s="235">
        <v>100</v>
      </c>
      <c r="E61" s="209">
        <v>1355.4139999997719</v>
      </c>
      <c r="F61" s="192">
        <v>4.0825433916346876</v>
      </c>
      <c r="G61" s="200"/>
      <c r="H61" s="209">
        <v>25.839999998697778</v>
      </c>
      <c r="I61" s="192">
        <v>1.9434796407478565</v>
      </c>
      <c r="J61" s="200"/>
      <c r="K61" s="209">
        <v>97.528666484778057</v>
      </c>
      <c r="L61" s="192">
        <v>7.3353319547990017</v>
      </c>
      <c r="M61" s="200"/>
      <c r="N61" s="209">
        <v>-4.899227090420851</v>
      </c>
      <c r="O61" s="192">
        <v>-0.36848096385886708</v>
      </c>
      <c r="P61" s="200"/>
      <c r="Q61" s="209">
        <v>-66.789439395659429</v>
      </c>
      <c r="R61" s="192">
        <v>-5.0233713501922779</v>
      </c>
      <c r="S61" s="192"/>
      <c r="T61" s="232">
        <v>1329.574000001074</v>
      </c>
      <c r="U61" s="232">
        <v>1355.4139999997719</v>
      </c>
    </row>
    <row r="62" spans="1:30" ht="12.75" customHeight="1" x14ac:dyDescent="0.25">
      <c r="A62" s="2" t="str">
        <f>name!A60</f>
        <v>Veterinary</v>
      </c>
      <c r="B62" s="205">
        <v>1373.6089999998901</v>
      </c>
      <c r="C62" s="192">
        <v>4.4408353733363164</v>
      </c>
      <c r="D62" s="235">
        <v>100</v>
      </c>
      <c r="E62" s="209">
        <v>1410.480000000412</v>
      </c>
      <c r="F62" s="192">
        <v>4.2484036634087783</v>
      </c>
      <c r="G62" s="200"/>
      <c r="H62" s="209">
        <v>36.87100000052201</v>
      </c>
      <c r="I62" s="192">
        <v>2.6842427503405233</v>
      </c>
      <c r="J62" s="200"/>
      <c r="K62" s="209">
        <v>100.75877991098696</v>
      </c>
      <c r="L62" s="192">
        <v>7.3353319547990017</v>
      </c>
      <c r="M62" s="200"/>
      <c r="N62" s="209">
        <v>-4.366111931304566</v>
      </c>
      <c r="O62" s="192">
        <v>-0.31785696885393994</v>
      </c>
      <c r="P62" s="200"/>
      <c r="Q62" s="209">
        <v>-59.521667979160384</v>
      </c>
      <c r="R62" s="192">
        <v>-4.3332322356045383</v>
      </c>
      <c r="S62" s="192"/>
      <c r="T62" s="232">
        <v>1373.6089999998901</v>
      </c>
      <c r="U62" s="232">
        <v>1410.480000000412</v>
      </c>
    </row>
    <row r="63" spans="1:30" x14ac:dyDescent="0.25">
      <c r="A63" s="2" t="str">
        <f>name!A61</f>
        <v>Rental and leasing</v>
      </c>
      <c r="B63" s="205">
        <v>2644.983000000736</v>
      </c>
      <c r="C63" s="192">
        <v>8.5511481566278444</v>
      </c>
      <c r="D63" s="235">
        <v>100</v>
      </c>
      <c r="E63" s="209">
        <v>2641.450000001309</v>
      </c>
      <c r="F63" s="192">
        <v>7.9561183829004314</v>
      </c>
      <c r="G63" s="200"/>
      <c r="H63" s="209">
        <v>-3.5329999994267709</v>
      </c>
      <c r="I63" s="192">
        <v>-0.13357363731357774</v>
      </c>
      <c r="J63" s="200"/>
      <c r="K63" s="209">
        <v>194.01828319805523</v>
      </c>
      <c r="L63" s="192">
        <v>7.3353319547989999</v>
      </c>
      <c r="M63" s="200"/>
      <c r="N63" s="209">
        <v>-13.500719790574287</v>
      </c>
      <c r="O63" s="192">
        <v>-0.51042746930965266</v>
      </c>
      <c r="P63" s="200"/>
      <c r="Q63" s="209">
        <v>-184.05056340690771</v>
      </c>
      <c r="R63" s="192">
        <v>-6.9584781228029264</v>
      </c>
      <c r="S63" s="192"/>
      <c r="T63" s="232">
        <v>2644.983000000736</v>
      </c>
      <c r="U63" s="232">
        <v>2641.450000001309</v>
      </c>
    </row>
    <row r="64" spans="1:30" x14ac:dyDescent="0.25">
      <c r="A64" s="2" t="str">
        <f>name!A62</f>
        <v>Employment activities</v>
      </c>
      <c r="B64" s="205">
        <v>2374.4340000002467</v>
      </c>
      <c r="C64" s="192">
        <v>7.6764716151789791</v>
      </c>
      <c r="D64" s="235">
        <v>100</v>
      </c>
      <c r="E64" s="209">
        <v>2612.1830000006412</v>
      </c>
      <c r="F64" s="192">
        <v>7.8679653924150754</v>
      </c>
      <c r="G64" s="200"/>
      <c r="H64" s="209">
        <v>237.7490000003944</v>
      </c>
      <c r="I64" s="192">
        <v>10.012870435664656</v>
      </c>
      <c r="J64" s="200"/>
      <c r="K64" s="209">
        <v>174.17261594763022</v>
      </c>
      <c r="L64" s="192">
        <v>7.3353319547990017</v>
      </c>
      <c r="M64" s="200"/>
      <c r="N64" s="209">
        <v>4.3448310357788387</v>
      </c>
      <c r="O64" s="192">
        <v>0.18298386208159026</v>
      </c>
      <c r="P64" s="200"/>
      <c r="Q64" s="209">
        <v>59.231553016985345</v>
      </c>
      <c r="R64" s="192">
        <v>2.4945546187840635</v>
      </c>
      <c r="S64" s="192"/>
      <c r="T64" s="232">
        <v>2374.4340000002467</v>
      </c>
      <c r="U64" s="232">
        <v>2612.1830000006412</v>
      </c>
    </row>
    <row r="65" spans="1:21" x14ac:dyDescent="0.25">
      <c r="A65" s="2" t="str">
        <f>name!A63</f>
        <v>Travel, etc</v>
      </c>
      <c r="B65" s="205">
        <v>1674.2150000001743</v>
      </c>
      <c r="C65" s="192">
        <v>5.4126852652913824</v>
      </c>
      <c r="D65" s="235">
        <v>100</v>
      </c>
      <c r="E65" s="209">
        <v>1674.3130000004107</v>
      </c>
      <c r="F65" s="192">
        <v>5.0430757493141405</v>
      </c>
      <c r="G65" s="200"/>
      <c r="H65" s="209">
        <v>9.8000000236323159E-2</v>
      </c>
      <c r="I65" s="192">
        <v>5.8534895599617097E-3</v>
      </c>
      <c r="J65" s="200"/>
      <c r="K65" s="209">
        <v>122.80922788705089</v>
      </c>
      <c r="L65" s="192">
        <v>7.3353319547990017</v>
      </c>
      <c r="M65" s="200"/>
      <c r="N65" s="209">
        <v>-8.3861257494394739</v>
      </c>
      <c r="O65" s="192">
        <v>-0.50089897351526547</v>
      </c>
      <c r="P65" s="200"/>
      <c r="Q65" s="209">
        <v>-114.3251021373751</v>
      </c>
      <c r="R65" s="192">
        <v>-6.8285794917237741</v>
      </c>
      <c r="S65" s="192"/>
      <c r="T65" s="232">
        <v>1674.2150000001743</v>
      </c>
      <c r="U65" s="232">
        <v>1674.3130000004107</v>
      </c>
    </row>
    <row r="66" spans="1:21" x14ac:dyDescent="0.25">
      <c r="A66" s="2" t="str">
        <f>name!A64</f>
        <v>Security, etc</v>
      </c>
      <c r="B66" s="205">
        <v>413.60599999980559</v>
      </c>
      <c r="C66" s="192">
        <v>1.3371753937426327</v>
      </c>
      <c r="D66" s="235">
        <v>100</v>
      </c>
      <c r="E66" s="209">
        <v>428.36800000013642</v>
      </c>
      <c r="F66" s="192">
        <v>1.2902559274056631</v>
      </c>
      <c r="G66" s="200"/>
      <c r="H66" s="209">
        <v>14.762000000330852</v>
      </c>
      <c r="I66" s="192">
        <v>3.5690971601808945</v>
      </c>
      <c r="J66" s="200"/>
      <c r="K66" s="209">
        <v>30.339373084951696</v>
      </c>
      <c r="L66" s="192">
        <v>7.3353319547990017</v>
      </c>
      <c r="M66" s="200"/>
      <c r="N66" s="209">
        <v>-1.064562809640007</v>
      </c>
      <c r="O66" s="192">
        <v>-0.25738572690930678</v>
      </c>
      <c r="P66" s="200"/>
      <c r="Q66" s="209">
        <v>-14.512810274980836</v>
      </c>
      <c r="R66" s="192">
        <v>-3.5088490677087996</v>
      </c>
      <c r="S66" s="192"/>
      <c r="T66" s="232">
        <v>413.60599999980559</v>
      </c>
      <c r="U66" s="232">
        <v>428.36800000013642</v>
      </c>
    </row>
    <row r="67" spans="1:21" x14ac:dyDescent="0.25">
      <c r="A67" s="2" t="str">
        <f>name!A65</f>
        <v>Services to buildings</v>
      </c>
      <c r="B67" s="205">
        <v>435.47399999979547</v>
      </c>
      <c r="C67" s="192">
        <v>1.4078739607613997</v>
      </c>
      <c r="D67" s="235">
        <v>100</v>
      </c>
      <c r="E67" s="209">
        <v>454.83400000014473</v>
      </c>
      <c r="F67" s="192">
        <v>1.3699722306185969</v>
      </c>
      <c r="G67" s="200"/>
      <c r="H67" s="209">
        <v>19.360000000349245</v>
      </c>
      <c r="I67" s="192">
        <v>4.4457303996009729</v>
      </c>
      <c r="J67" s="200"/>
      <c r="K67" s="209">
        <v>31.943463476826398</v>
      </c>
      <c r="L67" s="192">
        <v>7.3353319547990017</v>
      </c>
      <c r="M67" s="200"/>
      <c r="N67" s="209">
        <v>-0.85995804046995161</v>
      </c>
      <c r="O67" s="192">
        <v>-0.19747632246020552</v>
      </c>
      <c r="P67" s="200"/>
      <c r="Q67" s="209">
        <v>-11.723505436007201</v>
      </c>
      <c r="R67" s="192">
        <v>-2.6921252327378231</v>
      </c>
      <c r="S67" s="192"/>
      <c r="T67" s="232">
        <v>435.47399999979547</v>
      </c>
      <c r="U67" s="232">
        <v>454.83400000014473</v>
      </c>
    </row>
    <row r="68" spans="1:21" x14ac:dyDescent="0.25">
      <c r="A68" s="2" t="str">
        <f>name!A66</f>
        <v>Office administrative</v>
      </c>
      <c r="B68" s="205">
        <v>242.30100000016066</v>
      </c>
      <c r="C68" s="192">
        <v>0.78335163193861013</v>
      </c>
      <c r="D68" s="235">
        <v>100</v>
      </c>
      <c r="E68" s="209">
        <v>263.26700000002035</v>
      </c>
      <c r="F68" s="192">
        <v>0.79296727869547856</v>
      </c>
      <c r="G68" s="200"/>
      <c r="H68" s="209">
        <v>20.965999999859719</v>
      </c>
      <c r="I68" s="192">
        <v>8.6528739047077057</v>
      </c>
      <c r="J68" s="200"/>
      <c r="K68" s="209">
        <v>17.773582679809312</v>
      </c>
      <c r="L68" s="192">
        <v>7.3353319547990017</v>
      </c>
      <c r="M68" s="200"/>
      <c r="N68" s="209">
        <v>0.2181708516137455</v>
      </c>
      <c r="O68" s="192">
        <v>9.0041251011593354E-2</v>
      </c>
      <c r="P68" s="200"/>
      <c r="Q68" s="209">
        <v>2.974246468436661</v>
      </c>
      <c r="R68" s="192">
        <v>1.2275006988971109</v>
      </c>
      <c r="S68" s="192"/>
      <c r="T68" s="232">
        <v>242.30100000016066</v>
      </c>
      <c r="U68" s="232">
        <v>263.26700000002035</v>
      </c>
    </row>
    <row r="69" spans="1:21" x14ac:dyDescent="0.25">
      <c r="A69" s="2" t="str">
        <f>name!A67</f>
        <v>Public administration and defence</v>
      </c>
      <c r="B69" s="205">
        <v>90.647000000060117</v>
      </c>
      <c r="C69" s="192">
        <v>0.29305894478495426</v>
      </c>
      <c r="D69" s="235">
        <v>100</v>
      </c>
      <c r="E69" s="209">
        <v>97.768000000007532</v>
      </c>
      <c r="F69" s="192">
        <v>0.29447984329027005</v>
      </c>
      <c r="G69" s="200"/>
      <c r="H69" s="209">
        <v>7.1209999999474238</v>
      </c>
      <c r="I69" s="192">
        <v>7.8557481217720406</v>
      </c>
      <c r="J69" s="200"/>
      <c r="K69" s="209">
        <v>6.6492583570710604</v>
      </c>
      <c r="L69" s="192">
        <v>7.3353319547990017</v>
      </c>
      <c r="M69" s="200"/>
      <c r="N69" s="209">
        <v>3.2238979321913774E-2</v>
      </c>
      <c r="O69" s="192">
        <v>3.5565412337851661E-2</v>
      </c>
      <c r="P69" s="200"/>
      <c r="Q69" s="209">
        <v>0.43950266355444967</v>
      </c>
      <c r="R69" s="192">
        <v>0.48485075463518729</v>
      </c>
      <c r="S69" s="192"/>
      <c r="T69" s="232">
        <v>90.647000000060117</v>
      </c>
      <c r="U69" s="232">
        <v>97.768000000007532</v>
      </c>
    </row>
    <row r="70" spans="1:21" x14ac:dyDescent="0.25">
      <c r="A70" s="2" t="str">
        <f>name!A68</f>
        <v xml:space="preserve">Education </v>
      </c>
      <c r="B70" s="205">
        <v>541.20600000035859</v>
      </c>
      <c r="C70" s="192">
        <v>1.7497022435523057</v>
      </c>
      <c r="D70" s="235">
        <v>100</v>
      </c>
      <c r="E70" s="209">
        <v>583.72000000004539</v>
      </c>
      <c r="F70" s="192">
        <v>1.75818032613326</v>
      </c>
      <c r="G70" s="200"/>
      <c r="H70" s="209">
        <v>42.513999999686845</v>
      </c>
      <c r="I70" s="192">
        <v>7.8554191933678998</v>
      </c>
      <c r="J70" s="200"/>
      <c r="K70" s="209">
        <v>39.699256659315786</v>
      </c>
      <c r="L70" s="192">
        <v>7.3353319547990017</v>
      </c>
      <c r="M70" s="200"/>
      <c r="N70" s="209">
        <v>0.19236048739177392</v>
      </c>
      <c r="O70" s="192">
        <v>3.5542933262315363E-2</v>
      </c>
      <c r="P70" s="200"/>
      <c r="Q70" s="209">
        <v>2.6223828529792854</v>
      </c>
      <c r="R70" s="192">
        <v>0.48454430530658343</v>
      </c>
      <c r="S70" s="192"/>
      <c r="T70" s="232">
        <v>541.20600000035859</v>
      </c>
      <c r="U70" s="232">
        <v>583.72000000004539</v>
      </c>
    </row>
    <row r="71" spans="1:21" x14ac:dyDescent="0.25">
      <c r="A71" s="2" t="str">
        <f>name!A69</f>
        <v>Health</v>
      </c>
      <c r="B71" s="205">
        <v>89.69100000005939</v>
      </c>
      <c r="C71" s="192">
        <v>0.28996822638043518</v>
      </c>
      <c r="D71" s="235">
        <v>100</v>
      </c>
      <c r="E71" s="209">
        <v>93.170000000007207</v>
      </c>
      <c r="F71" s="192">
        <v>0.28063054372958912</v>
      </c>
      <c r="G71" s="200"/>
      <c r="H71" s="209">
        <v>3.4789999999478169</v>
      </c>
      <c r="I71" s="192">
        <v>3.8788730195287302</v>
      </c>
      <c r="J71" s="200"/>
      <c r="K71" s="209">
        <v>6.5791325835831289</v>
      </c>
      <c r="L71" s="192">
        <v>7.3353319547990017</v>
      </c>
      <c r="M71" s="200"/>
      <c r="N71" s="209">
        <v>-0.21186408231755838</v>
      </c>
      <c r="O71" s="192">
        <v>-0.23621554260451783</v>
      </c>
      <c r="P71" s="200"/>
      <c r="Q71" s="209">
        <v>-2.8882685013177536</v>
      </c>
      <c r="R71" s="192">
        <v>-3.2202433926657537</v>
      </c>
      <c r="S71" s="192"/>
      <c r="T71" s="232">
        <v>89.69100000005939</v>
      </c>
      <c r="U71" s="232">
        <v>93.170000000007207</v>
      </c>
    </row>
    <row r="72" spans="1:21" x14ac:dyDescent="0.25">
      <c r="A72" s="37" t="str">
        <f>name!A3</f>
        <v>All industries</v>
      </c>
      <c r="B72" s="206">
        <v>30931.320000000887</v>
      </c>
      <c r="C72" s="201">
        <v>100</v>
      </c>
      <c r="D72" s="294">
        <v>100</v>
      </c>
      <c r="E72" s="210">
        <v>33200.235000002089</v>
      </c>
      <c r="F72" s="201">
        <v>100</v>
      </c>
      <c r="G72" s="198"/>
      <c r="H72" s="210">
        <v>2268.9150000011996</v>
      </c>
      <c r="I72" s="201">
        <v>7.3353319547990017</v>
      </c>
      <c r="J72" s="198"/>
      <c r="K72" s="210">
        <v>2268.9150000011996</v>
      </c>
      <c r="L72" s="201">
        <v>7.3353319547990017</v>
      </c>
      <c r="M72" s="198"/>
      <c r="N72" s="210">
        <v>-2.5920599000528455E-11</v>
      </c>
      <c r="O72" s="201">
        <v>-8.3800494128694509E-14</v>
      </c>
      <c r="P72" s="198"/>
      <c r="Q72" s="210">
        <v>2.5963231564674061E-11</v>
      </c>
      <c r="R72" s="201">
        <v>2.7161651386449669E-13</v>
      </c>
      <c r="S72" s="201"/>
      <c r="T72" s="238">
        <v>30931.320000000887</v>
      </c>
      <c r="U72" s="238">
        <v>33200.235000002089</v>
      </c>
    </row>
    <row r="75" spans="1:21" x14ac:dyDescent="0.25">
      <c r="A75" s="241" t="s">
        <v>73</v>
      </c>
      <c r="B75" s="242"/>
      <c r="C75" s="242"/>
      <c r="D75" s="242"/>
      <c r="E75" s="242"/>
    </row>
    <row r="76" spans="1:21" x14ac:dyDescent="0.25">
      <c r="A76" s="529" t="s">
        <v>74</v>
      </c>
      <c r="B76" s="529"/>
      <c r="C76" s="529"/>
      <c r="D76" s="529"/>
      <c r="E76" s="529"/>
      <c r="F76" s="529"/>
      <c r="G76" s="529"/>
      <c r="H76" s="529"/>
      <c r="I76" s="529"/>
      <c r="J76" s="529"/>
      <c r="K76" s="529"/>
      <c r="L76" s="529"/>
      <c r="M76" s="529"/>
      <c r="N76" s="529"/>
      <c r="O76" s="529"/>
      <c r="P76" s="529"/>
      <c r="Q76" s="529"/>
      <c r="R76" s="529"/>
    </row>
    <row r="77" spans="1:21" x14ac:dyDescent="0.25">
      <c r="A77" s="529" t="s">
        <v>75</v>
      </c>
      <c r="B77" s="529"/>
      <c r="C77" s="529"/>
      <c r="D77" s="529"/>
      <c r="E77" s="529"/>
      <c r="F77" s="529"/>
      <c r="G77" s="529"/>
      <c r="H77" s="529"/>
      <c r="I77" s="529"/>
      <c r="J77" s="529"/>
      <c r="K77" s="529"/>
      <c r="L77" s="529"/>
      <c r="M77" s="529"/>
      <c r="N77" s="529"/>
      <c r="O77" s="529"/>
      <c r="P77" s="529"/>
      <c r="Q77" s="529"/>
      <c r="R77" s="529"/>
    </row>
    <row r="78" spans="1:21" x14ac:dyDescent="0.25">
      <c r="A78" s="529" t="s">
        <v>76</v>
      </c>
      <c r="B78" s="529"/>
      <c r="C78" s="529"/>
      <c r="D78" s="529"/>
      <c r="E78" s="529"/>
      <c r="F78" s="529"/>
      <c r="G78" s="529"/>
      <c r="H78" s="529"/>
      <c r="I78" s="529"/>
      <c r="J78" s="529"/>
      <c r="K78" s="529"/>
      <c r="L78" s="529"/>
      <c r="M78" s="529"/>
      <c r="N78" s="529"/>
      <c r="O78" s="529"/>
      <c r="P78" s="529"/>
      <c r="Q78" s="529"/>
      <c r="R78" s="529"/>
    </row>
    <row r="79" spans="1:21" x14ac:dyDescent="0.25">
      <c r="A79" s="529" t="s">
        <v>77</v>
      </c>
      <c r="B79" s="529"/>
      <c r="C79" s="529"/>
      <c r="D79" s="529"/>
      <c r="E79" s="529"/>
      <c r="F79" s="529"/>
      <c r="G79" s="529"/>
      <c r="H79" s="529"/>
      <c r="I79" s="529"/>
      <c r="J79" s="529"/>
      <c r="K79" s="529"/>
      <c r="L79" s="529"/>
      <c r="M79" s="529"/>
      <c r="N79" s="529"/>
      <c r="O79" s="529"/>
      <c r="P79" s="529"/>
      <c r="Q79" s="529"/>
      <c r="R79" s="529"/>
    </row>
    <row r="80" spans="1:21" x14ac:dyDescent="0.25">
      <c r="A80" s="529" t="s">
        <v>78</v>
      </c>
      <c r="B80" s="529"/>
      <c r="C80" s="529"/>
      <c r="D80" s="529"/>
      <c r="E80" s="529"/>
      <c r="F80" s="529"/>
      <c r="G80" s="529"/>
      <c r="H80" s="529"/>
      <c r="I80" s="529"/>
      <c r="J80" s="529"/>
      <c r="K80" s="529"/>
      <c r="L80" s="529"/>
      <c r="M80" s="529"/>
      <c r="N80" s="529"/>
      <c r="O80" s="529"/>
      <c r="P80" s="529"/>
      <c r="Q80" s="529"/>
      <c r="R80" s="529"/>
    </row>
    <row r="81" spans="1:18" x14ac:dyDescent="0.25">
      <c r="A81" s="529" t="s">
        <v>79</v>
      </c>
      <c r="B81" s="529"/>
      <c r="C81" s="529"/>
      <c r="D81" s="529"/>
      <c r="E81" s="529"/>
      <c r="F81" s="529"/>
      <c r="G81" s="529"/>
      <c r="H81" s="529"/>
      <c r="I81" s="529"/>
      <c r="J81" s="529"/>
      <c r="K81" s="529"/>
      <c r="L81" s="529"/>
      <c r="M81" s="529"/>
      <c r="N81" s="529"/>
      <c r="O81" s="529"/>
      <c r="P81" s="529"/>
      <c r="Q81" s="529"/>
      <c r="R81" s="529"/>
    </row>
  </sheetData>
  <mergeCells count="10">
    <mergeCell ref="K2:R2"/>
    <mergeCell ref="K3:L3"/>
    <mergeCell ref="N3:O3"/>
    <mergeCell ref="Q3:R3"/>
    <mergeCell ref="A76:R76"/>
    <mergeCell ref="A77:R77"/>
    <mergeCell ref="A78:R78"/>
    <mergeCell ref="A79:R79"/>
    <mergeCell ref="A80:R80"/>
    <mergeCell ref="A81:R81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BH97"/>
  <sheetViews>
    <sheetView zoomScale="85" zoomScaleNormal="85" workbookViewId="0">
      <selection activeCell="A9" sqref="A9"/>
    </sheetView>
  </sheetViews>
  <sheetFormatPr defaultColWidth="9.109375" defaultRowHeight="13.2" x14ac:dyDescent="0.25"/>
  <cols>
    <col min="1" max="1" width="18.109375" style="123" customWidth="1"/>
    <col min="2" max="6" width="7.6640625" style="123" customWidth="1"/>
    <col min="7" max="7" width="3.5546875" style="123" customWidth="1"/>
    <col min="8" max="12" width="7.6640625" style="123" customWidth="1"/>
    <col min="13" max="13" width="3.5546875" style="123" customWidth="1"/>
    <col min="14" max="18" width="7.6640625" style="123" customWidth="1"/>
    <col min="19" max="19" width="3.5546875" style="123" customWidth="1"/>
    <col min="20" max="24" width="7.6640625" style="123" customWidth="1"/>
    <col min="25" max="16384" width="9.109375" style="123"/>
  </cols>
  <sheetData>
    <row r="1" spans="1:60" s="168" customFormat="1" ht="15.6" x14ac:dyDescent="0.3">
      <c r="A1" s="23" t="str">
        <f>CONCATENATE("Basic Table 2a  Population by Gender, Age Group and ISCED Qualification, ",Info!B8,", ",$B$5,"-",$F$5)</f>
        <v>Basic Table 2a  Population by Gender, Age Group and ISCED Qualification, , 2008-2025</v>
      </c>
      <c r="P1" s="266" t="s">
        <v>105</v>
      </c>
      <c r="Y1" s="23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23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s="168" customFormat="1" ht="12.75" customHeight="1" x14ac:dyDescent="0.25">
      <c r="W2" s="534" t="s">
        <v>13</v>
      </c>
      <c r="X2" s="534"/>
      <c r="AP2" s="262" t="s">
        <v>13</v>
      </c>
      <c r="BH2" s="262" t="s">
        <v>13</v>
      </c>
    </row>
    <row r="3" spans="1:60" s="168" customFormat="1" x14ac:dyDescent="0.25">
      <c r="A3" s="160" t="s">
        <v>101</v>
      </c>
      <c r="B3" s="270" t="s">
        <v>118</v>
      </c>
      <c r="C3" s="270"/>
      <c r="D3" s="271"/>
      <c r="E3" s="270"/>
      <c r="F3" s="270"/>
      <c r="G3" s="160"/>
      <c r="H3" s="272" t="s">
        <v>46</v>
      </c>
      <c r="I3" s="272"/>
      <c r="J3" s="272"/>
      <c r="K3" s="270"/>
      <c r="L3" s="270"/>
      <c r="M3" s="160"/>
      <c r="N3" s="272" t="s">
        <v>47</v>
      </c>
      <c r="O3" s="272"/>
      <c r="P3" s="272"/>
      <c r="Q3" s="270"/>
      <c r="R3" s="270"/>
      <c r="S3" s="160"/>
      <c r="T3" s="533" t="s">
        <v>48</v>
      </c>
      <c r="U3" s="533"/>
      <c r="V3" s="533"/>
      <c r="W3" s="533"/>
      <c r="X3" s="533"/>
      <c r="Y3" s="160" t="s">
        <v>101</v>
      </c>
      <c r="Z3" s="535" t="s">
        <v>119</v>
      </c>
      <c r="AA3" s="535"/>
      <c r="AB3" s="535"/>
      <c r="AC3" s="535"/>
      <c r="AD3" s="535"/>
      <c r="AE3" s="160"/>
      <c r="AF3" s="272" t="s">
        <v>49</v>
      </c>
      <c r="AG3" s="272"/>
      <c r="AH3" s="272"/>
      <c r="AI3" s="270"/>
      <c r="AJ3" s="270"/>
      <c r="AK3" s="160"/>
      <c r="AL3" s="533" t="s">
        <v>50</v>
      </c>
      <c r="AM3" s="533"/>
      <c r="AN3" s="533"/>
      <c r="AO3" s="533"/>
      <c r="AP3" s="533"/>
      <c r="AQ3" s="160" t="s">
        <v>101</v>
      </c>
      <c r="AR3" s="535" t="s">
        <v>120</v>
      </c>
      <c r="AS3" s="535"/>
      <c r="AT3" s="535"/>
      <c r="AU3" s="535"/>
      <c r="AV3" s="535"/>
      <c r="AW3" s="160"/>
      <c r="AX3" s="272" t="s">
        <v>51</v>
      </c>
      <c r="AY3" s="272"/>
      <c r="AZ3" s="272"/>
      <c r="BA3" s="270"/>
      <c r="BB3" s="270"/>
      <c r="BC3" s="160"/>
      <c r="BD3" s="533" t="s">
        <v>52</v>
      </c>
      <c r="BE3" s="533"/>
      <c r="BF3" s="533"/>
      <c r="BG3" s="533"/>
      <c r="BH3" s="533"/>
    </row>
    <row r="4" spans="1:60" s="168" customFormat="1" x14ac:dyDescent="0.25">
      <c r="A4" s="264" t="s">
        <v>104</v>
      </c>
      <c r="B4" s="273"/>
      <c r="C4" s="273"/>
      <c r="D4" s="273"/>
      <c r="E4" s="273"/>
      <c r="F4" s="273"/>
      <c r="G4" s="126"/>
      <c r="H4" s="273"/>
      <c r="I4" s="273"/>
      <c r="J4" s="273"/>
      <c r="K4" s="273"/>
      <c r="L4" s="273"/>
      <c r="M4" s="126"/>
      <c r="N4" s="273"/>
      <c r="O4" s="273"/>
      <c r="P4" s="273"/>
      <c r="Q4" s="273"/>
      <c r="R4" s="273"/>
      <c r="S4" s="126"/>
      <c r="T4" s="273"/>
      <c r="U4" s="273"/>
      <c r="V4" s="273"/>
      <c r="W4" s="273"/>
      <c r="X4" s="273"/>
      <c r="Y4" s="264" t="s">
        <v>104</v>
      </c>
      <c r="Z4" s="273"/>
      <c r="AA4" s="273"/>
      <c r="AB4" s="273"/>
      <c r="AC4" s="273"/>
      <c r="AD4" s="273"/>
      <c r="AE4" s="126"/>
      <c r="AF4" s="273"/>
      <c r="AG4" s="273"/>
      <c r="AH4" s="273"/>
      <c r="AI4" s="273"/>
      <c r="AJ4" s="273"/>
      <c r="AK4" s="126"/>
      <c r="AL4" s="273"/>
      <c r="AM4" s="273"/>
      <c r="AN4" s="273"/>
      <c r="AO4" s="273"/>
      <c r="AP4" s="273"/>
      <c r="AQ4" s="264" t="s">
        <v>104</v>
      </c>
      <c r="AR4" s="273"/>
      <c r="AS4" s="273"/>
      <c r="AT4" s="273"/>
      <c r="AU4" s="273"/>
      <c r="AV4" s="273"/>
      <c r="AW4" s="126"/>
      <c r="AX4" s="273"/>
      <c r="AY4" s="273"/>
      <c r="AZ4" s="273"/>
      <c r="BA4" s="273"/>
      <c r="BB4" s="273"/>
      <c r="BC4" s="126"/>
      <c r="BD4" s="273"/>
      <c r="BE4" s="273"/>
      <c r="BF4" s="273"/>
      <c r="BG4" s="273"/>
      <c r="BH4" s="273"/>
    </row>
    <row r="5" spans="1:60" s="168" customFormat="1" x14ac:dyDescent="0.25">
      <c r="A5" s="261"/>
      <c r="B5" s="274">
        <v>2008</v>
      </c>
      <c r="C5" s="274">
        <v>2010</v>
      </c>
      <c r="D5" s="274">
        <v>2015</v>
      </c>
      <c r="E5" s="274">
        <v>2020</v>
      </c>
      <c r="F5" s="162">
        <v>2025</v>
      </c>
      <c r="G5" s="162"/>
      <c r="H5" s="162">
        <f>B5</f>
        <v>2008</v>
      </c>
      <c r="I5" s="162">
        <f>C5</f>
        <v>2010</v>
      </c>
      <c r="J5" s="162">
        <f>D5</f>
        <v>2015</v>
      </c>
      <c r="K5" s="162">
        <f>E5</f>
        <v>2020</v>
      </c>
      <c r="L5" s="162">
        <f>F5</f>
        <v>2025</v>
      </c>
      <c r="M5" s="162"/>
      <c r="N5" s="162">
        <f>B5</f>
        <v>2008</v>
      </c>
      <c r="O5" s="162">
        <f>C5</f>
        <v>2010</v>
      </c>
      <c r="P5" s="162">
        <f>D5</f>
        <v>2015</v>
      </c>
      <c r="Q5" s="162">
        <f>E5</f>
        <v>2020</v>
      </c>
      <c r="R5" s="162">
        <f>F5</f>
        <v>2025</v>
      </c>
      <c r="S5" s="162"/>
      <c r="T5" s="162">
        <f>B5</f>
        <v>2008</v>
      </c>
      <c r="U5" s="162">
        <f>C5</f>
        <v>2010</v>
      </c>
      <c r="V5" s="162">
        <f>D5</f>
        <v>2015</v>
      </c>
      <c r="W5" s="162">
        <f>E5</f>
        <v>2020</v>
      </c>
      <c r="X5" s="162">
        <f>F5</f>
        <v>2025</v>
      </c>
      <c r="Y5" s="261"/>
      <c r="Z5" s="274">
        <v>2008</v>
      </c>
      <c r="AA5" s="274">
        <v>2010</v>
      </c>
      <c r="AB5" s="274">
        <v>2012</v>
      </c>
      <c r="AC5" s="274">
        <v>2015</v>
      </c>
      <c r="AD5" s="264">
        <v>2020</v>
      </c>
      <c r="AE5" s="162"/>
      <c r="AF5" s="162">
        <f>Z5</f>
        <v>2008</v>
      </c>
      <c r="AG5" s="162">
        <f>AA5</f>
        <v>2010</v>
      </c>
      <c r="AH5" s="162">
        <f>AB5</f>
        <v>2012</v>
      </c>
      <c r="AI5" s="162">
        <f>AC5</f>
        <v>2015</v>
      </c>
      <c r="AJ5" s="162">
        <f>AD5</f>
        <v>2020</v>
      </c>
      <c r="AK5" s="162"/>
      <c r="AL5" s="162">
        <f>Z5</f>
        <v>2008</v>
      </c>
      <c r="AM5" s="162">
        <f>AA5</f>
        <v>2010</v>
      </c>
      <c r="AN5" s="162">
        <f>AB5</f>
        <v>2012</v>
      </c>
      <c r="AO5" s="162">
        <f>AC5</f>
        <v>2015</v>
      </c>
      <c r="AP5" s="162">
        <f>AD5</f>
        <v>2020</v>
      </c>
      <c r="AQ5" s="261"/>
      <c r="AR5" s="274">
        <v>2008</v>
      </c>
      <c r="AS5" s="274">
        <v>2010</v>
      </c>
      <c r="AT5" s="274">
        <v>2012</v>
      </c>
      <c r="AU5" s="274">
        <v>2015</v>
      </c>
      <c r="AV5" s="264">
        <v>2020</v>
      </c>
      <c r="AW5" s="162"/>
      <c r="AX5" s="162">
        <f>AR5</f>
        <v>2008</v>
      </c>
      <c r="AY5" s="162">
        <f>AS5</f>
        <v>2010</v>
      </c>
      <c r="AZ5" s="162">
        <f>AT5</f>
        <v>2012</v>
      </c>
      <c r="BA5" s="162">
        <f>AU5</f>
        <v>2015</v>
      </c>
      <c r="BB5" s="162">
        <f>AV5</f>
        <v>2020</v>
      </c>
      <c r="BC5" s="162"/>
      <c r="BD5" s="162">
        <f>AR5</f>
        <v>2008</v>
      </c>
      <c r="BE5" s="162">
        <f>AS5</f>
        <v>2010</v>
      </c>
      <c r="BF5" s="162">
        <f>AT5</f>
        <v>2012</v>
      </c>
      <c r="BG5" s="162">
        <f>AU5</f>
        <v>2015</v>
      </c>
      <c r="BH5" s="162">
        <f>AV5</f>
        <v>2020</v>
      </c>
    </row>
    <row r="6" spans="1:60" s="168" customFormat="1" x14ac:dyDescent="0.25">
      <c r="A6" s="263" t="s">
        <v>100</v>
      </c>
      <c r="F6" s="275"/>
      <c r="G6" s="275"/>
      <c r="H6" s="275"/>
      <c r="I6" s="275"/>
      <c r="J6" s="275"/>
      <c r="K6" s="275"/>
      <c r="L6" s="275"/>
      <c r="M6" s="275"/>
      <c r="N6" s="275"/>
      <c r="O6" s="275"/>
      <c r="P6" s="275"/>
      <c r="Q6" s="275"/>
      <c r="R6" s="275"/>
      <c r="S6" s="275"/>
      <c r="Y6" s="263" t="str">
        <f>A6</f>
        <v>Males and females</v>
      </c>
      <c r="AD6" s="275"/>
      <c r="AE6" s="275"/>
      <c r="AF6" s="275"/>
      <c r="AG6" s="275"/>
      <c r="AH6" s="275"/>
      <c r="AI6" s="275"/>
      <c r="AJ6" s="275"/>
      <c r="AK6" s="275"/>
      <c r="AL6" s="275"/>
      <c r="AM6" s="275"/>
      <c r="AN6" s="275"/>
      <c r="AO6" s="275"/>
      <c r="AP6" s="275"/>
      <c r="AQ6" s="263" t="str">
        <f>A6</f>
        <v>Males and females</v>
      </c>
      <c r="AV6" s="275"/>
      <c r="AW6" s="275"/>
      <c r="AX6" s="275"/>
      <c r="AY6" s="275"/>
      <c r="AZ6" s="275"/>
      <c r="BA6" s="275"/>
      <c r="BB6" s="275"/>
      <c r="BC6" s="275"/>
      <c r="BD6" s="275"/>
      <c r="BE6" s="275"/>
      <c r="BF6" s="275"/>
      <c r="BG6" s="275"/>
      <c r="BH6" s="275"/>
    </row>
    <row r="7" spans="1:60" s="168" customFormat="1" x14ac:dyDescent="0.25">
      <c r="A7" s="276" t="s">
        <v>117</v>
      </c>
      <c r="B7" s="277">
        <f>SUM(B21,B35)</f>
        <v>3459.4640427147242</v>
      </c>
      <c r="C7" s="277">
        <f t="shared" ref="C7:F7" si="0">SUM(C21,C35)</f>
        <v>3400.2899538632541</v>
      </c>
      <c r="D7" s="277">
        <f t="shared" si="0"/>
        <v>3045.4402650537522</v>
      </c>
      <c r="E7" s="277">
        <f t="shared" si="0"/>
        <v>2678.9714989136332</v>
      </c>
      <c r="F7" s="277">
        <f t="shared" si="0"/>
        <v>2317.0105072138758</v>
      </c>
      <c r="G7" s="275"/>
      <c r="H7" s="277">
        <f>SUM(H21,H35)</f>
        <v>1679.4259754428681</v>
      </c>
      <c r="I7" s="277">
        <f t="shared" ref="I7:L7" si="1">SUM(I21,I35)</f>
        <v>1648.317888485841</v>
      </c>
      <c r="J7" s="277">
        <f t="shared" si="1"/>
        <v>1477.7490935463652</v>
      </c>
      <c r="K7" s="277">
        <f t="shared" si="1"/>
        <v>1288.2296891194944</v>
      </c>
      <c r="L7" s="277">
        <f t="shared" si="1"/>
        <v>1088.2685344941576</v>
      </c>
      <c r="M7" s="275"/>
      <c r="N7" s="277">
        <f>SUM(N21,N35)</f>
        <v>1780.0380672718561</v>
      </c>
      <c r="O7" s="277">
        <f t="shared" ref="O7:R7" si="2">SUM(O21,O35)</f>
        <v>1751.9720653774136</v>
      </c>
      <c r="P7" s="277">
        <f t="shared" si="2"/>
        <v>1567.6911715073866</v>
      </c>
      <c r="Q7" s="277">
        <f t="shared" si="2"/>
        <v>1390.7418097941386</v>
      </c>
      <c r="R7" s="277">
        <f t="shared" si="2"/>
        <v>1228.7419727197182</v>
      </c>
      <c r="S7" s="275"/>
      <c r="T7" s="277">
        <f>SUM(T21,T35)</f>
        <v>0</v>
      </c>
      <c r="U7" s="277">
        <f t="shared" ref="U7:X7" si="3">SUM(U21,U35)</f>
        <v>0</v>
      </c>
      <c r="V7" s="277">
        <f t="shared" si="3"/>
        <v>0</v>
      </c>
      <c r="W7" s="277">
        <f t="shared" si="3"/>
        <v>0</v>
      </c>
      <c r="X7" s="277">
        <f t="shared" si="3"/>
        <v>0</v>
      </c>
      <c r="Y7" s="276" t="str">
        <f>A7</f>
        <v>15+</v>
      </c>
      <c r="Z7" s="277">
        <f>SUM(Z21,Z35)</f>
        <v>3091.791884793171</v>
      </c>
      <c r="AA7" s="277">
        <f t="shared" ref="AA7:AD7" si="4">SUM(AA21,AA35)</f>
        <v>3065.8806069644388</v>
      </c>
      <c r="AB7" s="277">
        <f t="shared" si="4"/>
        <v>3409.3013579609269</v>
      </c>
      <c r="AC7" s="277">
        <f t="shared" si="4"/>
        <v>3706.9349474249966</v>
      </c>
      <c r="AD7" s="277">
        <f t="shared" si="4"/>
        <v>4020.4986268054308</v>
      </c>
      <c r="AE7" s="275"/>
      <c r="AF7" s="277">
        <f>SUM(AF21,AF35)</f>
        <v>2927.4264642789112</v>
      </c>
      <c r="AG7" s="277">
        <f t="shared" ref="AG7:AJ7" si="5">SUM(AG21,AG35)</f>
        <v>2904.0501410418874</v>
      </c>
      <c r="AH7" s="277">
        <f t="shared" si="5"/>
        <v>3230.1495942820802</v>
      </c>
      <c r="AI7" s="277">
        <f t="shared" si="5"/>
        <v>3512.6427518955061</v>
      </c>
      <c r="AJ7" s="277">
        <f t="shared" si="5"/>
        <v>3811.1764268486331</v>
      </c>
      <c r="AK7" s="275"/>
      <c r="AL7" s="277">
        <f>SUM(AL21,AL35)</f>
        <v>164.36542051425988</v>
      </c>
      <c r="AM7" s="277">
        <f t="shared" ref="AM7:AP7" si="6">SUM(AM21,AM35)</f>
        <v>161.83046592255167</v>
      </c>
      <c r="AN7" s="277">
        <f t="shared" si="6"/>
        <v>179.15176367884681</v>
      </c>
      <c r="AO7" s="277">
        <f t="shared" si="6"/>
        <v>194.29219552948987</v>
      </c>
      <c r="AP7" s="277">
        <f t="shared" si="6"/>
        <v>209.3221999567977</v>
      </c>
      <c r="AQ7" s="276" t="str">
        <f>A7</f>
        <v>15+</v>
      </c>
      <c r="AR7" s="277">
        <f>SUM(AR21,AR35)</f>
        <v>2315.1550724921058</v>
      </c>
      <c r="AS7" s="277">
        <f t="shared" ref="AS7:AV7" si="7">SUM(AS21,AS35)</f>
        <v>2541.5004391723069</v>
      </c>
      <c r="AT7" s="277">
        <f t="shared" si="7"/>
        <v>2941.8093769853213</v>
      </c>
      <c r="AU7" s="277">
        <f t="shared" si="7"/>
        <v>3371.4645536613707</v>
      </c>
      <c r="AV7" s="277">
        <f t="shared" si="7"/>
        <v>3852.3018659806939</v>
      </c>
      <c r="AW7" s="275"/>
      <c r="AX7" s="277">
        <f>SUM(AX21,AX35)</f>
        <v>2273.2830854649774</v>
      </c>
      <c r="AY7" s="277">
        <f t="shared" ref="AY7:BB7" si="8">SUM(AY21,AY35)</f>
        <v>2495.5789443393905</v>
      </c>
      <c r="AZ7" s="277">
        <f t="shared" si="8"/>
        <v>2888.5095204216923</v>
      </c>
      <c r="BA7" s="277">
        <f t="shared" si="8"/>
        <v>3309.625834412429</v>
      </c>
      <c r="BB7" s="277">
        <f t="shared" si="8"/>
        <v>3780.5650780045271</v>
      </c>
      <c r="BC7" s="275"/>
      <c r="BD7" s="277">
        <f>SUM(BD21,BD35)</f>
        <v>41.87198702712827</v>
      </c>
      <c r="BE7" s="277">
        <f t="shared" ref="BE7:BH7" si="9">SUM(BE21,BE35)</f>
        <v>45.921494832916046</v>
      </c>
      <c r="BF7" s="277">
        <f t="shared" si="9"/>
        <v>53.299856563628751</v>
      </c>
      <c r="BG7" s="277">
        <f t="shared" si="9"/>
        <v>61.838719248942184</v>
      </c>
      <c r="BH7" s="277">
        <f t="shared" si="9"/>
        <v>71.736787976166625</v>
      </c>
    </row>
    <row r="8" spans="1:60" s="168" customFormat="1" x14ac:dyDescent="0.25">
      <c r="A8" s="123" t="s">
        <v>107</v>
      </c>
      <c r="B8" s="277">
        <f t="shared" ref="B8:F18" si="10">SUM(B22,B36)</f>
        <v>501.63108046561928</v>
      </c>
      <c r="C8" s="277">
        <f t="shared" si="10"/>
        <v>493.36896304450306</v>
      </c>
      <c r="D8" s="277">
        <f t="shared" si="10"/>
        <v>467.66784217805935</v>
      </c>
      <c r="E8" s="277">
        <f t="shared" si="10"/>
        <v>467.57168305686275</v>
      </c>
      <c r="F8" s="277">
        <f t="shared" si="10"/>
        <v>503.21354379106839</v>
      </c>
      <c r="G8" s="275"/>
      <c r="H8" s="277">
        <f t="shared" ref="H8:L18" si="11">SUM(H22,H36)</f>
        <v>114.48583632559203</v>
      </c>
      <c r="I8" s="277">
        <f t="shared" si="11"/>
        <v>112.4668251880446</v>
      </c>
      <c r="J8" s="277">
        <f t="shared" si="11"/>
        <v>106.55167737427834</v>
      </c>
      <c r="K8" s="277">
        <f t="shared" si="11"/>
        <v>106.48887604298042</v>
      </c>
      <c r="L8" s="277">
        <f t="shared" si="11"/>
        <v>114.56799971676224</v>
      </c>
      <c r="M8" s="275"/>
      <c r="N8" s="277">
        <f t="shared" ref="N8:R18" si="12">SUM(N22,N36)</f>
        <v>387.14524414002727</v>
      </c>
      <c r="O8" s="277">
        <f t="shared" si="12"/>
        <v>380.90213785645847</v>
      </c>
      <c r="P8" s="277">
        <f t="shared" si="12"/>
        <v>361.11616480378109</v>
      </c>
      <c r="Q8" s="277">
        <f t="shared" si="12"/>
        <v>361.08280701388242</v>
      </c>
      <c r="R8" s="277">
        <f t="shared" si="12"/>
        <v>388.64554407430614</v>
      </c>
      <c r="S8" s="275"/>
      <c r="T8" s="277">
        <f t="shared" ref="T8:X18" si="13">SUM(T22,T36)</f>
        <v>0</v>
      </c>
      <c r="U8" s="277">
        <f t="shared" si="13"/>
        <v>0</v>
      </c>
      <c r="V8" s="277">
        <f t="shared" si="13"/>
        <v>0</v>
      </c>
      <c r="W8" s="277">
        <f t="shared" si="13"/>
        <v>0</v>
      </c>
      <c r="X8" s="277">
        <f t="shared" si="13"/>
        <v>0</v>
      </c>
      <c r="Y8" s="276" t="str">
        <f t="shared" ref="Y8:Y20" si="14">A8</f>
        <v>15-19</v>
      </c>
      <c r="Z8" s="277">
        <f t="shared" ref="Z8:AD18" si="15">SUM(Z22,Z36)</f>
        <v>150.08101199827104</v>
      </c>
      <c r="AA8" s="277">
        <f t="shared" si="15"/>
        <v>155.93795619324226</v>
      </c>
      <c r="AB8" s="277">
        <f t="shared" si="15"/>
        <v>164.99720704459003</v>
      </c>
      <c r="AC8" s="277">
        <f t="shared" si="15"/>
        <v>178.36278144057661</v>
      </c>
      <c r="AD8" s="277">
        <f t="shared" si="15"/>
        <v>207.50995998860915</v>
      </c>
      <c r="AE8" s="275"/>
      <c r="AF8" s="277">
        <f t="shared" ref="AF8:AJ18" si="16">SUM(AF22,AF36)</f>
        <v>147.86996763731275</v>
      </c>
      <c r="AG8" s="277">
        <f t="shared" si="16"/>
        <v>153.62639813852158</v>
      </c>
      <c r="AH8" s="277">
        <f t="shared" si="16"/>
        <v>162.54197557268748</v>
      </c>
      <c r="AI8" s="277">
        <f t="shared" si="16"/>
        <v>175.70743183187028</v>
      </c>
      <c r="AJ8" s="277">
        <f t="shared" si="16"/>
        <v>204.41892397369543</v>
      </c>
      <c r="AK8" s="275"/>
      <c r="AL8" s="277">
        <f t="shared" ref="AL8:AP18" si="17">SUM(AL22,AL36)</f>
        <v>2.2110443609582711</v>
      </c>
      <c r="AM8" s="277">
        <f t="shared" si="17"/>
        <v>2.3115580547206553</v>
      </c>
      <c r="AN8" s="277">
        <f t="shared" si="17"/>
        <v>2.4552314719025436</v>
      </c>
      <c r="AO8" s="277">
        <f t="shared" si="17"/>
        <v>2.6553496087063317</v>
      </c>
      <c r="AP8" s="277">
        <f t="shared" si="17"/>
        <v>3.0910360149137395</v>
      </c>
      <c r="AQ8" s="276" t="str">
        <f t="shared" ref="AQ8:AQ18" si="18">A8</f>
        <v>15-19</v>
      </c>
      <c r="AR8" s="277">
        <f t="shared" ref="AR8:AV18" si="19">SUM(AR22,AR36)</f>
        <v>0.60290753610971359</v>
      </c>
      <c r="AS8" s="277">
        <f t="shared" si="19"/>
        <v>1.3250807622546965</v>
      </c>
      <c r="AT8" s="277">
        <f t="shared" si="19"/>
        <v>1.9219507773505975</v>
      </c>
      <c r="AU8" s="277">
        <f t="shared" si="19"/>
        <v>1.9655355025605465</v>
      </c>
      <c r="AV8" s="277">
        <f t="shared" si="19"/>
        <v>2.1654962203224546</v>
      </c>
      <c r="AW8" s="275"/>
      <c r="AX8" s="277">
        <f t="shared" ref="AX8:BB18" si="20">SUM(AX22,AX36)</f>
        <v>0.54737466781637356</v>
      </c>
      <c r="AY8" s="277">
        <f t="shared" si="20"/>
        <v>1.2407671949430608</v>
      </c>
      <c r="AZ8" s="277">
        <f t="shared" si="20"/>
        <v>1.8657913659809988</v>
      </c>
      <c r="BA8" s="277">
        <f t="shared" si="20"/>
        <v>1.9082644770900146</v>
      </c>
      <c r="BB8" s="277">
        <f t="shared" si="20"/>
        <v>2.1026008851094398</v>
      </c>
      <c r="BC8" s="275"/>
      <c r="BD8" s="277">
        <f t="shared" ref="BD8:BH18" si="21">SUM(BD22,BD36)</f>
        <v>5.5532868293339949E-2</v>
      </c>
      <c r="BE8" s="277">
        <f t="shared" si="21"/>
        <v>8.4313567311635793E-2</v>
      </c>
      <c r="BF8" s="277">
        <f t="shared" si="21"/>
        <v>5.6159411369598657E-2</v>
      </c>
      <c r="BG8" s="277">
        <f t="shared" si="21"/>
        <v>5.7271025470531763E-2</v>
      </c>
      <c r="BH8" s="277">
        <f t="shared" si="21"/>
        <v>6.2895335213014894E-2</v>
      </c>
    </row>
    <row r="9" spans="1:60" s="168" customFormat="1" x14ac:dyDescent="0.25">
      <c r="A9" s="123" t="s">
        <v>108</v>
      </c>
      <c r="B9" s="277">
        <f t="shared" si="10"/>
        <v>113.85056817629103</v>
      </c>
      <c r="C9" s="277">
        <f t="shared" si="10"/>
        <v>115.65112792404403</v>
      </c>
      <c r="D9" s="277">
        <f t="shared" si="10"/>
        <v>108.64656736044506</v>
      </c>
      <c r="E9" s="277">
        <f t="shared" si="10"/>
        <v>95.846387380896019</v>
      </c>
      <c r="F9" s="277">
        <f t="shared" si="10"/>
        <v>87.521667739268693</v>
      </c>
      <c r="G9" s="275"/>
      <c r="H9" s="277">
        <f t="shared" si="11"/>
        <v>36.71242366227203</v>
      </c>
      <c r="I9" s="277">
        <f t="shared" si="11"/>
        <v>37.140869961294854</v>
      </c>
      <c r="J9" s="277">
        <f t="shared" si="11"/>
        <v>34.405280511674597</v>
      </c>
      <c r="K9" s="277">
        <f t="shared" si="11"/>
        <v>30.323294922669287</v>
      </c>
      <c r="L9" s="277">
        <f t="shared" si="11"/>
        <v>27.681805786841899</v>
      </c>
      <c r="M9" s="275"/>
      <c r="N9" s="277">
        <f t="shared" si="12"/>
        <v>77.13814451401899</v>
      </c>
      <c r="O9" s="277">
        <f t="shared" si="12"/>
        <v>78.510257962749179</v>
      </c>
      <c r="P9" s="277">
        <f t="shared" si="12"/>
        <v>74.241286848770471</v>
      </c>
      <c r="Q9" s="277">
        <f t="shared" si="12"/>
        <v>65.523092458226728</v>
      </c>
      <c r="R9" s="277">
        <f t="shared" si="12"/>
        <v>59.839861952426787</v>
      </c>
      <c r="S9" s="275"/>
      <c r="T9" s="277">
        <f t="shared" si="13"/>
        <v>0</v>
      </c>
      <c r="U9" s="277">
        <f t="shared" si="13"/>
        <v>0</v>
      </c>
      <c r="V9" s="277">
        <f t="shared" si="13"/>
        <v>0</v>
      </c>
      <c r="W9" s="277">
        <f t="shared" si="13"/>
        <v>0</v>
      </c>
      <c r="X9" s="277">
        <f t="shared" si="13"/>
        <v>0</v>
      </c>
      <c r="Y9" s="276" t="str">
        <f t="shared" si="14"/>
        <v>20-24</v>
      </c>
      <c r="Z9" s="277">
        <f t="shared" si="15"/>
        <v>382.98069564153434</v>
      </c>
      <c r="AA9" s="277">
        <f t="shared" si="15"/>
        <v>394.35590193118628</v>
      </c>
      <c r="AB9" s="277">
        <f t="shared" si="15"/>
        <v>412.87076891444883</v>
      </c>
      <c r="AC9" s="277">
        <f t="shared" si="15"/>
        <v>399.37934349064994</v>
      </c>
      <c r="AD9" s="277">
        <f t="shared" si="15"/>
        <v>400.88677473503026</v>
      </c>
      <c r="AE9" s="275"/>
      <c r="AF9" s="277">
        <f t="shared" si="16"/>
        <v>363.98477719851724</v>
      </c>
      <c r="AG9" s="277">
        <f t="shared" si="16"/>
        <v>374.77312480698299</v>
      </c>
      <c r="AH9" s="277">
        <f t="shared" si="16"/>
        <v>392.37404871527087</v>
      </c>
      <c r="AI9" s="277">
        <f t="shared" si="16"/>
        <v>379.57670333802525</v>
      </c>
      <c r="AJ9" s="277">
        <f t="shared" si="16"/>
        <v>381.02605803364366</v>
      </c>
      <c r="AK9" s="275"/>
      <c r="AL9" s="277">
        <f t="shared" si="17"/>
        <v>18.995918443017182</v>
      </c>
      <c r="AM9" s="277">
        <f t="shared" si="17"/>
        <v>19.582777124203318</v>
      </c>
      <c r="AN9" s="277">
        <f t="shared" si="17"/>
        <v>20.49672019917795</v>
      </c>
      <c r="AO9" s="277">
        <f t="shared" si="17"/>
        <v>19.802640152624711</v>
      </c>
      <c r="AP9" s="277">
        <f t="shared" si="17"/>
        <v>19.860716701386607</v>
      </c>
      <c r="AQ9" s="276" t="str">
        <f t="shared" si="18"/>
        <v>20-24</v>
      </c>
      <c r="AR9" s="277">
        <f t="shared" si="19"/>
        <v>143.68473618217462</v>
      </c>
      <c r="AS9" s="277">
        <f t="shared" si="19"/>
        <v>150.71097014476959</v>
      </c>
      <c r="AT9" s="277">
        <f t="shared" si="19"/>
        <v>186.98366372510611</v>
      </c>
      <c r="AU9" s="277">
        <f t="shared" si="19"/>
        <v>201.56226912845403</v>
      </c>
      <c r="AV9" s="277">
        <f t="shared" si="19"/>
        <v>224.84155752570109</v>
      </c>
      <c r="AW9" s="275"/>
      <c r="AX9" s="277">
        <f t="shared" si="20"/>
        <v>143.33653114819879</v>
      </c>
      <c r="AY9" s="277">
        <f t="shared" si="20"/>
        <v>150.34362309651959</v>
      </c>
      <c r="AZ9" s="277">
        <f t="shared" si="20"/>
        <v>186.52415613000247</v>
      </c>
      <c r="BA9" s="277">
        <f t="shared" si="20"/>
        <v>201.06633972833936</v>
      </c>
      <c r="BB9" s="277">
        <f t="shared" si="20"/>
        <v>224.28837377749321</v>
      </c>
      <c r="BC9" s="275"/>
      <c r="BD9" s="277">
        <f t="shared" si="21"/>
        <v>0.34820503397584823</v>
      </c>
      <c r="BE9" s="277">
        <f t="shared" si="21"/>
        <v>0.36734704825001729</v>
      </c>
      <c r="BF9" s="277">
        <f t="shared" si="21"/>
        <v>0.4595075951036377</v>
      </c>
      <c r="BG9" s="277">
        <f t="shared" si="21"/>
        <v>0.49592940011468256</v>
      </c>
      <c r="BH9" s="277">
        <f t="shared" si="21"/>
        <v>0.55318374820788452</v>
      </c>
    </row>
    <row r="10" spans="1:60" s="168" customFormat="1" x14ac:dyDescent="0.25">
      <c r="A10" s="123" t="s">
        <v>109</v>
      </c>
      <c r="B10" s="277">
        <f t="shared" si="10"/>
        <v>115.37907358541085</v>
      </c>
      <c r="C10" s="277">
        <f t="shared" si="10"/>
        <v>127.07460532220105</v>
      </c>
      <c r="D10" s="277">
        <f t="shared" si="10"/>
        <v>118.40314244947737</v>
      </c>
      <c r="E10" s="277">
        <f t="shared" si="10"/>
        <v>117.74066640587412</v>
      </c>
      <c r="F10" s="277">
        <f t="shared" si="10"/>
        <v>104.64926095222505</v>
      </c>
      <c r="G10" s="275"/>
      <c r="H10" s="277">
        <f t="shared" si="11"/>
        <v>40.798223765839786</v>
      </c>
      <c r="I10" s="277">
        <f t="shared" si="11"/>
        <v>45.065990030629422</v>
      </c>
      <c r="J10" s="277">
        <f t="shared" si="11"/>
        <v>41.916443930124132</v>
      </c>
      <c r="K10" s="277">
        <f t="shared" si="11"/>
        <v>41.603247748686108</v>
      </c>
      <c r="L10" s="277">
        <f t="shared" si="11"/>
        <v>36.975172705743539</v>
      </c>
      <c r="M10" s="275"/>
      <c r="N10" s="277">
        <f t="shared" si="12"/>
        <v>74.580849819571057</v>
      </c>
      <c r="O10" s="277">
        <f t="shared" si="12"/>
        <v>82.008615291571644</v>
      </c>
      <c r="P10" s="277">
        <f t="shared" si="12"/>
        <v>76.48669851935324</v>
      </c>
      <c r="Q10" s="277">
        <f t="shared" si="12"/>
        <v>76.137418657188022</v>
      </c>
      <c r="R10" s="277">
        <f t="shared" si="12"/>
        <v>67.674088246481503</v>
      </c>
      <c r="S10" s="275"/>
      <c r="T10" s="277">
        <f t="shared" si="13"/>
        <v>0</v>
      </c>
      <c r="U10" s="277">
        <f t="shared" si="13"/>
        <v>0</v>
      </c>
      <c r="V10" s="277">
        <f t="shared" si="13"/>
        <v>0</v>
      </c>
      <c r="W10" s="277">
        <f t="shared" si="13"/>
        <v>0</v>
      </c>
      <c r="X10" s="277">
        <f t="shared" si="13"/>
        <v>0</v>
      </c>
      <c r="Y10" s="276" t="str">
        <f t="shared" si="14"/>
        <v>25-29</v>
      </c>
      <c r="Z10" s="277">
        <f t="shared" si="15"/>
        <v>285.32401508902581</v>
      </c>
      <c r="AA10" s="277">
        <f t="shared" si="15"/>
        <v>266.19879984541552</v>
      </c>
      <c r="AB10" s="277">
        <f t="shared" si="15"/>
        <v>280.11568976670378</v>
      </c>
      <c r="AC10" s="277">
        <f t="shared" si="15"/>
        <v>295.3482302777582</v>
      </c>
      <c r="AD10" s="277">
        <f t="shared" si="15"/>
        <v>289.74487116781143</v>
      </c>
      <c r="AE10" s="275"/>
      <c r="AF10" s="277">
        <f t="shared" si="16"/>
        <v>264.71283723333693</v>
      </c>
      <c r="AG10" s="277">
        <f t="shared" si="16"/>
        <v>246.96600220301298</v>
      </c>
      <c r="AH10" s="277">
        <f t="shared" si="16"/>
        <v>260.0379790136522</v>
      </c>
      <c r="AI10" s="277">
        <f t="shared" si="16"/>
        <v>274.30243506375962</v>
      </c>
      <c r="AJ10" s="277">
        <f t="shared" si="16"/>
        <v>269.19630907068336</v>
      </c>
      <c r="AK10" s="275"/>
      <c r="AL10" s="277">
        <f t="shared" si="17"/>
        <v>20.611177855688922</v>
      </c>
      <c r="AM10" s="277">
        <f t="shared" si="17"/>
        <v>19.232797642402538</v>
      </c>
      <c r="AN10" s="277">
        <f t="shared" si="17"/>
        <v>20.077710753051615</v>
      </c>
      <c r="AO10" s="277">
        <f t="shared" si="17"/>
        <v>21.04579521399852</v>
      </c>
      <c r="AP10" s="277">
        <f t="shared" si="17"/>
        <v>20.548562097128041</v>
      </c>
      <c r="AQ10" s="276" t="str">
        <f t="shared" si="18"/>
        <v>25-29</v>
      </c>
      <c r="AR10" s="277">
        <f t="shared" si="19"/>
        <v>285.48891132556332</v>
      </c>
      <c r="AS10" s="277">
        <f t="shared" si="19"/>
        <v>298.43559483238334</v>
      </c>
      <c r="AT10" s="277">
        <f t="shared" si="19"/>
        <v>329.80716778381884</v>
      </c>
      <c r="AU10" s="277">
        <f t="shared" si="19"/>
        <v>365.58310331636773</v>
      </c>
      <c r="AV10" s="277">
        <f t="shared" si="19"/>
        <v>376.96286787996354</v>
      </c>
      <c r="AW10" s="275"/>
      <c r="AX10" s="277">
        <f t="shared" si="20"/>
        <v>282.70510559860855</v>
      </c>
      <c r="AY10" s="277">
        <f t="shared" si="20"/>
        <v>295.51880182634955</v>
      </c>
      <c r="AZ10" s="277">
        <f t="shared" si="20"/>
        <v>326.59395287550331</v>
      </c>
      <c r="BA10" s="277">
        <f t="shared" si="20"/>
        <v>362.02223728946319</v>
      </c>
      <c r="BB10" s="277">
        <f t="shared" si="20"/>
        <v>373.29368404794025</v>
      </c>
      <c r="BC10" s="275"/>
      <c r="BD10" s="277">
        <f t="shared" si="21"/>
        <v>2.7838057269548049</v>
      </c>
      <c r="BE10" s="277">
        <f t="shared" si="21"/>
        <v>2.916793006033831</v>
      </c>
      <c r="BF10" s="277">
        <f t="shared" si="21"/>
        <v>3.2132149083155843</v>
      </c>
      <c r="BG10" s="277">
        <f t="shared" si="21"/>
        <v>3.5608660269045256</v>
      </c>
      <c r="BH10" s="277">
        <f t="shared" si="21"/>
        <v>3.669183832023271</v>
      </c>
    </row>
    <row r="11" spans="1:60" s="168" customFormat="1" x14ac:dyDescent="0.25">
      <c r="A11" s="123" t="s">
        <v>110</v>
      </c>
      <c r="B11" s="277">
        <f t="shared" si="10"/>
        <v>116.6348130799831</v>
      </c>
      <c r="C11" s="277">
        <f t="shared" si="10"/>
        <v>121.76030756867036</v>
      </c>
      <c r="D11" s="277">
        <f t="shared" si="10"/>
        <v>118.18823108583572</v>
      </c>
      <c r="E11" s="277">
        <f t="shared" si="10"/>
        <v>109.913241263863</v>
      </c>
      <c r="F11" s="277">
        <f t="shared" si="10"/>
        <v>93.676057480419587</v>
      </c>
      <c r="G11" s="275"/>
      <c r="H11" s="277">
        <f t="shared" si="11"/>
        <v>44.791528463722429</v>
      </c>
      <c r="I11" s="277">
        <f t="shared" si="11"/>
        <v>47.017124581566897</v>
      </c>
      <c r="J11" s="277">
        <f t="shared" si="11"/>
        <v>45.575297988406476</v>
      </c>
      <c r="K11" s="277">
        <f t="shared" si="11"/>
        <v>42.364426936905772</v>
      </c>
      <c r="L11" s="277">
        <f t="shared" si="11"/>
        <v>36.057194740501721</v>
      </c>
      <c r="M11" s="275"/>
      <c r="N11" s="277">
        <f t="shared" si="12"/>
        <v>71.843284616260675</v>
      </c>
      <c r="O11" s="277">
        <f t="shared" si="12"/>
        <v>74.743182987103467</v>
      </c>
      <c r="P11" s="277">
        <f t="shared" si="12"/>
        <v>72.612933097429249</v>
      </c>
      <c r="Q11" s="277">
        <f t="shared" si="12"/>
        <v>67.548814326957228</v>
      </c>
      <c r="R11" s="277">
        <f t="shared" si="12"/>
        <v>57.618862739917844</v>
      </c>
      <c r="S11" s="275"/>
      <c r="T11" s="277">
        <f t="shared" si="13"/>
        <v>0</v>
      </c>
      <c r="U11" s="277">
        <f t="shared" si="13"/>
        <v>0</v>
      </c>
      <c r="V11" s="277">
        <f t="shared" si="13"/>
        <v>0</v>
      </c>
      <c r="W11" s="277">
        <f t="shared" si="13"/>
        <v>0</v>
      </c>
      <c r="X11" s="277">
        <f t="shared" si="13"/>
        <v>0</v>
      </c>
      <c r="Y11" s="276" t="str">
        <f t="shared" si="14"/>
        <v>30-34</v>
      </c>
      <c r="Z11" s="277">
        <f t="shared" si="15"/>
        <v>275.1983307590632</v>
      </c>
      <c r="AA11" s="277">
        <f t="shared" si="15"/>
        <v>266.0829768237935</v>
      </c>
      <c r="AB11" s="277">
        <f t="shared" si="15"/>
        <v>285.51361958464611</v>
      </c>
      <c r="AC11" s="277">
        <f t="shared" si="15"/>
        <v>296.32015564557162</v>
      </c>
      <c r="AD11" s="277">
        <f t="shared" si="15"/>
        <v>317.88848271212305</v>
      </c>
      <c r="AE11" s="275"/>
      <c r="AF11" s="277">
        <f t="shared" si="16"/>
        <v>255.48717394280527</v>
      </c>
      <c r="AG11" s="277">
        <f t="shared" si="16"/>
        <v>247.06950912979124</v>
      </c>
      <c r="AH11" s="277">
        <f t="shared" si="16"/>
        <v>265.15360262399543</v>
      </c>
      <c r="AI11" s="277">
        <f t="shared" si="16"/>
        <v>275.24980054915358</v>
      </c>
      <c r="AJ11" s="277">
        <f t="shared" si="16"/>
        <v>295.36996417982152</v>
      </c>
      <c r="AK11" s="275"/>
      <c r="AL11" s="277">
        <f t="shared" si="17"/>
        <v>19.711156816257962</v>
      </c>
      <c r="AM11" s="277">
        <f t="shared" si="17"/>
        <v>19.01346769400228</v>
      </c>
      <c r="AN11" s="277">
        <f t="shared" si="17"/>
        <v>20.360016960650725</v>
      </c>
      <c r="AO11" s="277">
        <f t="shared" si="17"/>
        <v>21.070355096418023</v>
      </c>
      <c r="AP11" s="277">
        <f t="shared" si="17"/>
        <v>22.518518532301513</v>
      </c>
      <c r="AQ11" s="276" t="str">
        <f t="shared" si="18"/>
        <v>30-34</v>
      </c>
      <c r="AR11" s="277">
        <f t="shared" si="19"/>
        <v>294.76785616095367</v>
      </c>
      <c r="AS11" s="277">
        <f t="shared" si="19"/>
        <v>310.21271560753621</v>
      </c>
      <c r="AT11" s="277">
        <f t="shared" si="19"/>
        <v>340.70814932951816</v>
      </c>
      <c r="AU11" s="277">
        <f t="shared" si="19"/>
        <v>369.83560309056543</v>
      </c>
      <c r="AV11" s="277">
        <f t="shared" si="19"/>
        <v>418.22345980745735</v>
      </c>
      <c r="AW11" s="275"/>
      <c r="AX11" s="277">
        <f t="shared" si="20"/>
        <v>289.63080788660079</v>
      </c>
      <c r="AY11" s="277">
        <f t="shared" si="20"/>
        <v>304.79570037586518</v>
      </c>
      <c r="AZ11" s="277">
        <f t="shared" si="20"/>
        <v>334.81192752241731</v>
      </c>
      <c r="BA11" s="277">
        <f t="shared" si="20"/>
        <v>363.47263912244296</v>
      </c>
      <c r="BB11" s="277">
        <f t="shared" si="20"/>
        <v>411.01000020534735</v>
      </c>
      <c r="BC11" s="275"/>
      <c r="BD11" s="277">
        <f t="shared" si="21"/>
        <v>5.1370482743529013</v>
      </c>
      <c r="BE11" s="277">
        <f t="shared" si="21"/>
        <v>5.4170152316709643</v>
      </c>
      <c r="BF11" s="277">
        <f t="shared" si="21"/>
        <v>5.8962218071008108</v>
      </c>
      <c r="BG11" s="277">
        <f t="shared" si="21"/>
        <v>6.3629639681224219</v>
      </c>
      <c r="BH11" s="277">
        <f t="shared" si="21"/>
        <v>7.213459602110035</v>
      </c>
    </row>
    <row r="12" spans="1:60" s="168" customFormat="1" x14ac:dyDescent="0.25">
      <c r="A12" s="123" t="s">
        <v>111</v>
      </c>
      <c r="B12" s="277">
        <f t="shared" si="10"/>
        <v>154.11214519557188</v>
      </c>
      <c r="C12" s="277">
        <f t="shared" si="10"/>
        <v>148.15717385227549</v>
      </c>
      <c r="D12" s="277">
        <f t="shared" si="10"/>
        <v>124.1637405731941</v>
      </c>
      <c r="E12" s="277">
        <f t="shared" si="10"/>
        <v>103.00106387667563</v>
      </c>
      <c r="F12" s="277">
        <f t="shared" si="10"/>
        <v>79.667767346824377</v>
      </c>
      <c r="G12" s="275"/>
      <c r="H12" s="277">
        <f t="shared" si="11"/>
        <v>56.003261702459064</v>
      </c>
      <c r="I12" s="277">
        <f t="shared" si="11"/>
        <v>53.61808406304786</v>
      </c>
      <c r="J12" s="277">
        <f t="shared" si="11"/>
        <v>44.946036484441635</v>
      </c>
      <c r="K12" s="277">
        <f t="shared" si="11"/>
        <v>37.289691972205802</v>
      </c>
      <c r="L12" s="277">
        <f t="shared" si="11"/>
        <v>28.798762169451095</v>
      </c>
      <c r="M12" s="275"/>
      <c r="N12" s="277">
        <f t="shared" si="12"/>
        <v>98.108883493112813</v>
      </c>
      <c r="O12" s="277">
        <f t="shared" si="12"/>
        <v>94.539089789227646</v>
      </c>
      <c r="P12" s="277">
        <f t="shared" si="12"/>
        <v>79.21770408875247</v>
      </c>
      <c r="Q12" s="277">
        <f t="shared" si="12"/>
        <v>65.711371904469829</v>
      </c>
      <c r="R12" s="277">
        <f t="shared" si="12"/>
        <v>50.869005177373282</v>
      </c>
      <c r="S12" s="275"/>
      <c r="T12" s="277">
        <f t="shared" si="13"/>
        <v>0</v>
      </c>
      <c r="U12" s="277">
        <f t="shared" si="13"/>
        <v>0</v>
      </c>
      <c r="V12" s="277">
        <f t="shared" si="13"/>
        <v>0</v>
      </c>
      <c r="W12" s="277">
        <f t="shared" si="13"/>
        <v>0</v>
      </c>
      <c r="X12" s="277">
        <f t="shared" si="13"/>
        <v>0</v>
      </c>
      <c r="Y12" s="276" t="str">
        <f t="shared" si="14"/>
        <v>35-39</v>
      </c>
      <c r="Z12" s="277">
        <f t="shared" si="15"/>
        <v>322.88579844316473</v>
      </c>
      <c r="AA12" s="277">
        <f t="shared" si="15"/>
        <v>287.4998240668773</v>
      </c>
      <c r="AB12" s="277">
        <f t="shared" si="15"/>
        <v>280.92839455401918</v>
      </c>
      <c r="AC12" s="277">
        <f t="shared" si="15"/>
        <v>299.54044624192568</v>
      </c>
      <c r="AD12" s="277">
        <f t="shared" si="15"/>
        <v>317.07239175090058</v>
      </c>
      <c r="AE12" s="275"/>
      <c r="AF12" s="277">
        <f t="shared" si="16"/>
        <v>303.37132132153579</v>
      </c>
      <c r="AG12" s="277">
        <f t="shared" si="16"/>
        <v>270.10893635844064</v>
      </c>
      <c r="AH12" s="277">
        <f t="shared" si="16"/>
        <v>263.99085237827694</v>
      </c>
      <c r="AI12" s="277">
        <f t="shared" si="16"/>
        <v>281.50570542953108</v>
      </c>
      <c r="AJ12" s="277">
        <f t="shared" si="16"/>
        <v>298.00980149252553</v>
      </c>
      <c r="AK12" s="275"/>
      <c r="AL12" s="277">
        <f t="shared" si="17"/>
        <v>19.514477121629021</v>
      </c>
      <c r="AM12" s="277">
        <f t="shared" si="17"/>
        <v>17.390887708436701</v>
      </c>
      <c r="AN12" s="277">
        <f t="shared" si="17"/>
        <v>16.937542175742227</v>
      </c>
      <c r="AO12" s="277">
        <f t="shared" si="17"/>
        <v>18.034740812394613</v>
      </c>
      <c r="AP12" s="277">
        <f t="shared" si="17"/>
        <v>19.062590258375032</v>
      </c>
      <c r="AQ12" s="276" t="str">
        <f t="shared" si="18"/>
        <v>35-39</v>
      </c>
      <c r="AR12" s="277">
        <f t="shared" si="19"/>
        <v>284.91205636126335</v>
      </c>
      <c r="AS12" s="277">
        <f t="shared" si="19"/>
        <v>312.0690020808471</v>
      </c>
      <c r="AT12" s="277">
        <f t="shared" si="19"/>
        <v>329.21186487278669</v>
      </c>
      <c r="AU12" s="277">
        <f t="shared" si="19"/>
        <v>370.51748988139866</v>
      </c>
      <c r="AV12" s="277">
        <f t="shared" si="19"/>
        <v>410.36684090227504</v>
      </c>
      <c r="AW12" s="275"/>
      <c r="AX12" s="277">
        <f t="shared" si="20"/>
        <v>279.90489605154085</v>
      </c>
      <c r="AY12" s="277">
        <f t="shared" si="20"/>
        <v>306.58743388534367</v>
      </c>
      <c r="AZ12" s="277">
        <f t="shared" si="20"/>
        <v>323.49821814056338</v>
      </c>
      <c r="BA12" s="277">
        <f t="shared" si="20"/>
        <v>364.11650308755236</v>
      </c>
      <c r="BB12" s="277">
        <f t="shared" si="20"/>
        <v>403.29145582426617</v>
      </c>
      <c r="BC12" s="275"/>
      <c r="BD12" s="277">
        <f t="shared" si="21"/>
        <v>5.0071603097225514</v>
      </c>
      <c r="BE12" s="277">
        <f t="shared" si="21"/>
        <v>5.4815681955034474</v>
      </c>
      <c r="BF12" s="277">
        <f t="shared" si="21"/>
        <v>5.7136467322232507</v>
      </c>
      <c r="BG12" s="277">
        <f t="shared" si="21"/>
        <v>6.4009867938463287</v>
      </c>
      <c r="BH12" s="277">
        <f t="shared" si="21"/>
        <v>7.0753850780088525</v>
      </c>
    </row>
    <row r="13" spans="1:60" s="168" customFormat="1" x14ac:dyDescent="0.25">
      <c r="A13" s="123" t="s">
        <v>112</v>
      </c>
      <c r="B13" s="277">
        <f t="shared" si="10"/>
        <v>204.95472906429887</v>
      </c>
      <c r="C13" s="277">
        <f t="shared" si="10"/>
        <v>183.2736739920656</v>
      </c>
      <c r="D13" s="277">
        <f t="shared" si="10"/>
        <v>145.6109353666948</v>
      </c>
      <c r="E13" s="277">
        <f t="shared" si="10"/>
        <v>103.89159180775462</v>
      </c>
      <c r="F13" s="277">
        <f t="shared" si="10"/>
        <v>77.263056657170154</v>
      </c>
      <c r="G13" s="275"/>
      <c r="H13" s="277">
        <f t="shared" si="11"/>
        <v>75.043968155480954</v>
      </c>
      <c r="I13" s="277">
        <f t="shared" si="11"/>
        <v>66.962528106248641</v>
      </c>
      <c r="J13" s="277">
        <f t="shared" si="11"/>
        <v>53.205635957380473</v>
      </c>
      <c r="K13" s="277">
        <f t="shared" si="11"/>
        <v>37.898539746132187</v>
      </c>
      <c r="L13" s="277">
        <f t="shared" si="11"/>
        <v>28.104284599359445</v>
      </c>
      <c r="M13" s="275"/>
      <c r="N13" s="277">
        <f t="shared" si="12"/>
        <v>129.91076090881791</v>
      </c>
      <c r="O13" s="277">
        <f t="shared" si="12"/>
        <v>116.31114588581696</v>
      </c>
      <c r="P13" s="277">
        <f t="shared" si="12"/>
        <v>92.405299409314324</v>
      </c>
      <c r="Q13" s="277">
        <f t="shared" si="12"/>
        <v>65.993052061622421</v>
      </c>
      <c r="R13" s="277">
        <f t="shared" si="12"/>
        <v>49.158772057810708</v>
      </c>
      <c r="S13" s="275"/>
      <c r="T13" s="277">
        <f t="shared" si="13"/>
        <v>0</v>
      </c>
      <c r="U13" s="277">
        <f t="shared" si="13"/>
        <v>0</v>
      </c>
      <c r="V13" s="277">
        <f t="shared" si="13"/>
        <v>0</v>
      </c>
      <c r="W13" s="277">
        <f t="shared" si="13"/>
        <v>0</v>
      </c>
      <c r="X13" s="277">
        <f t="shared" si="13"/>
        <v>0</v>
      </c>
      <c r="Y13" s="276" t="str">
        <f t="shared" si="14"/>
        <v>40-44</v>
      </c>
      <c r="Z13" s="277">
        <f t="shared" si="15"/>
        <v>335.88123323100854</v>
      </c>
      <c r="AA13" s="277">
        <f t="shared" si="15"/>
        <v>312.92776503427081</v>
      </c>
      <c r="AB13" s="277">
        <f t="shared" si="15"/>
        <v>302.35363356602068</v>
      </c>
      <c r="AC13" s="277">
        <f t="shared" si="15"/>
        <v>306.64075194256282</v>
      </c>
      <c r="AD13" s="277">
        <f t="shared" si="15"/>
        <v>332.62704072525781</v>
      </c>
      <c r="AE13" s="275"/>
      <c r="AF13" s="277">
        <f t="shared" si="16"/>
        <v>318.57769939988361</v>
      </c>
      <c r="AG13" s="277">
        <f t="shared" si="16"/>
        <v>296.81769048378715</v>
      </c>
      <c r="AH13" s="277">
        <f t="shared" si="16"/>
        <v>286.81359197562756</v>
      </c>
      <c r="AI13" s="277">
        <f t="shared" si="16"/>
        <v>290.88951267461152</v>
      </c>
      <c r="AJ13" s="277">
        <f t="shared" si="16"/>
        <v>315.54744066806541</v>
      </c>
      <c r="AK13" s="275"/>
      <c r="AL13" s="277">
        <f t="shared" si="17"/>
        <v>17.303533831124952</v>
      </c>
      <c r="AM13" s="277">
        <f t="shared" si="17"/>
        <v>16.110074550483667</v>
      </c>
      <c r="AN13" s="277">
        <f t="shared" si="17"/>
        <v>15.540041590393106</v>
      </c>
      <c r="AO13" s="277">
        <f t="shared" si="17"/>
        <v>15.751239267951231</v>
      </c>
      <c r="AP13" s="277">
        <f t="shared" si="17"/>
        <v>17.079600057192419</v>
      </c>
      <c r="AQ13" s="276" t="str">
        <f t="shared" si="18"/>
        <v>40-44</v>
      </c>
      <c r="AR13" s="277">
        <f t="shared" si="19"/>
        <v>270.9300377046925</v>
      </c>
      <c r="AS13" s="277">
        <f t="shared" si="19"/>
        <v>293.55256097366362</v>
      </c>
      <c r="AT13" s="277">
        <f t="shared" si="19"/>
        <v>322.20043106728446</v>
      </c>
      <c r="AU13" s="277">
        <f t="shared" si="19"/>
        <v>339.66265624968264</v>
      </c>
      <c r="AV13" s="277">
        <f t="shared" si="19"/>
        <v>380.66890261757209</v>
      </c>
      <c r="AW13" s="275"/>
      <c r="AX13" s="277">
        <f t="shared" si="20"/>
        <v>266.38705152405146</v>
      </c>
      <c r="AY13" s="277">
        <f t="shared" si="20"/>
        <v>288.66110365884219</v>
      </c>
      <c r="AZ13" s="277">
        <f t="shared" si="20"/>
        <v>316.84860387450232</v>
      </c>
      <c r="BA13" s="277">
        <f t="shared" si="20"/>
        <v>334.03930780465259</v>
      </c>
      <c r="BB13" s="277">
        <f t="shared" si="20"/>
        <v>374.38350092432177</v>
      </c>
      <c r="BC13" s="275"/>
      <c r="BD13" s="277">
        <f t="shared" si="21"/>
        <v>4.5429861806410692</v>
      </c>
      <c r="BE13" s="277">
        <f t="shared" si="21"/>
        <v>4.8914573148213645</v>
      </c>
      <c r="BF13" s="277">
        <f t="shared" si="21"/>
        <v>5.3518271927821548</v>
      </c>
      <c r="BG13" s="277">
        <f t="shared" si="21"/>
        <v>5.6233484450300253</v>
      </c>
      <c r="BH13" s="277">
        <f t="shared" si="21"/>
        <v>6.2854016932503862</v>
      </c>
    </row>
    <row r="14" spans="1:60" s="168" customFormat="1" x14ac:dyDescent="0.25">
      <c r="A14" s="123" t="s">
        <v>113</v>
      </c>
      <c r="B14" s="277">
        <f t="shared" si="10"/>
        <v>254.65884951398874</v>
      </c>
      <c r="C14" s="277">
        <f t="shared" si="10"/>
        <v>249.88437754828158</v>
      </c>
      <c r="D14" s="277">
        <f t="shared" si="10"/>
        <v>178.47858254526204</v>
      </c>
      <c r="E14" s="277">
        <f t="shared" si="10"/>
        <v>132.26113301280915</v>
      </c>
      <c r="F14" s="277">
        <f t="shared" si="10"/>
        <v>96.751846747388981</v>
      </c>
      <c r="G14" s="275"/>
      <c r="H14" s="277">
        <f t="shared" si="11"/>
        <v>97.081589333520498</v>
      </c>
      <c r="I14" s="277">
        <f t="shared" si="11"/>
        <v>95.255541277602333</v>
      </c>
      <c r="J14" s="277">
        <f t="shared" si="11"/>
        <v>67.471423380418784</v>
      </c>
      <c r="K14" s="277">
        <f t="shared" si="11"/>
        <v>49.673795228067675</v>
      </c>
      <c r="L14" s="277">
        <f t="shared" si="11"/>
        <v>36.08222161527133</v>
      </c>
      <c r="M14" s="275"/>
      <c r="N14" s="277">
        <f t="shared" si="12"/>
        <v>157.57726018046827</v>
      </c>
      <c r="O14" s="277">
        <f t="shared" si="12"/>
        <v>154.62883627067924</v>
      </c>
      <c r="P14" s="277">
        <f t="shared" si="12"/>
        <v>111.00715916484326</v>
      </c>
      <c r="Q14" s="277">
        <f t="shared" si="12"/>
        <v>82.587337784741479</v>
      </c>
      <c r="R14" s="277">
        <f t="shared" si="12"/>
        <v>60.669625132117659</v>
      </c>
      <c r="S14" s="275"/>
      <c r="T14" s="277">
        <f t="shared" si="13"/>
        <v>0</v>
      </c>
      <c r="U14" s="277">
        <f t="shared" si="13"/>
        <v>0</v>
      </c>
      <c r="V14" s="277">
        <f t="shared" si="13"/>
        <v>0</v>
      </c>
      <c r="W14" s="277">
        <f t="shared" si="13"/>
        <v>0</v>
      </c>
      <c r="X14" s="277">
        <f t="shared" si="13"/>
        <v>0</v>
      </c>
      <c r="Y14" s="276" t="str">
        <f t="shared" si="14"/>
        <v>45-49</v>
      </c>
      <c r="Z14" s="277">
        <f t="shared" si="15"/>
        <v>296.89078106183149</v>
      </c>
      <c r="AA14" s="277">
        <f t="shared" si="15"/>
        <v>297.81089783713531</v>
      </c>
      <c r="AB14" s="277">
        <f t="shared" si="15"/>
        <v>323.00238790557432</v>
      </c>
      <c r="AC14" s="277">
        <f t="shared" si="15"/>
        <v>331.21130960813161</v>
      </c>
      <c r="AD14" s="277">
        <f t="shared" si="15"/>
        <v>336.85601788588576</v>
      </c>
      <c r="AE14" s="275"/>
      <c r="AF14" s="277">
        <f t="shared" si="16"/>
        <v>283.27902750867406</v>
      </c>
      <c r="AG14" s="277">
        <f t="shared" si="16"/>
        <v>284.17878044572376</v>
      </c>
      <c r="AH14" s="277">
        <f t="shared" si="16"/>
        <v>308.23712222424672</v>
      </c>
      <c r="AI14" s="277">
        <f t="shared" si="16"/>
        <v>316.06982132262846</v>
      </c>
      <c r="AJ14" s="277">
        <f t="shared" si="16"/>
        <v>321.4595503021684</v>
      </c>
      <c r="AK14" s="275"/>
      <c r="AL14" s="277">
        <f t="shared" si="17"/>
        <v>13.611753553157442</v>
      </c>
      <c r="AM14" s="277">
        <f t="shared" si="17"/>
        <v>13.632117391411541</v>
      </c>
      <c r="AN14" s="277">
        <f t="shared" si="17"/>
        <v>14.765265681327598</v>
      </c>
      <c r="AO14" s="277">
        <f t="shared" si="17"/>
        <v>15.141488285503199</v>
      </c>
      <c r="AP14" s="277">
        <f t="shared" si="17"/>
        <v>15.39646758371746</v>
      </c>
      <c r="AQ14" s="276" t="str">
        <f t="shared" si="18"/>
        <v>45-49</v>
      </c>
      <c r="AR14" s="277">
        <f t="shared" si="19"/>
        <v>250.46536942417981</v>
      </c>
      <c r="AS14" s="277">
        <f t="shared" si="19"/>
        <v>272.37172461458317</v>
      </c>
      <c r="AT14" s="277">
        <f t="shared" si="19"/>
        <v>298.56302954916367</v>
      </c>
      <c r="AU14" s="277">
        <f t="shared" si="19"/>
        <v>312.99255737905924</v>
      </c>
      <c r="AV14" s="277">
        <f t="shared" si="19"/>
        <v>324.57513536672525</v>
      </c>
      <c r="AW14" s="275"/>
      <c r="AX14" s="277">
        <f t="shared" si="20"/>
        <v>245.6503099953992</v>
      </c>
      <c r="AY14" s="277">
        <f t="shared" si="20"/>
        <v>267.15960275583393</v>
      </c>
      <c r="AZ14" s="277">
        <f t="shared" si="20"/>
        <v>292.91536308672585</v>
      </c>
      <c r="BA14" s="277">
        <f t="shared" si="20"/>
        <v>307.10108024986414</v>
      </c>
      <c r="BB14" s="277">
        <f t="shared" si="20"/>
        <v>318.48324328013177</v>
      </c>
      <c r="BC14" s="275"/>
      <c r="BD14" s="277">
        <f t="shared" si="21"/>
        <v>4.815059428780601</v>
      </c>
      <c r="BE14" s="277">
        <f t="shared" si="21"/>
        <v>5.2121218587492244</v>
      </c>
      <c r="BF14" s="277">
        <f t="shared" si="21"/>
        <v>5.6476664624378259</v>
      </c>
      <c r="BG14" s="277">
        <f t="shared" si="21"/>
        <v>5.8914771291951418</v>
      </c>
      <c r="BH14" s="277">
        <f t="shared" si="21"/>
        <v>6.0918920865934654</v>
      </c>
    </row>
    <row r="15" spans="1:60" s="168" customFormat="1" x14ac:dyDescent="0.25">
      <c r="A15" s="123" t="s">
        <v>114</v>
      </c>
      <c r="B15" s="277">
        <f t="shared" si="10"/>
        <v>294.38575187935118</v>
      </c>
      <c r="C15" s="277">
        <f t="shared" si="10"/>
        <v>286.9982182545242</v>
      </c>
      <c r="D15" s="277">
        <f t="shared" si="10"/>
        <v>249.82582092451261</v>
      </c>
      <c r="E15" s="277">
        <f t="shared" si="10"/>
        <v>196.7617947968931</v>
      </c>
      <c r="F15" s="277">
        <f t="shared" si="10"/>
        <v>151.97754802573786</v>
      </c>
      <c r="G15" s="275"/>
      <c r="H15" s="277">
        <f t="shared" si="11"/>
        <v>131.00937650791479</v>
      </c>
      <c r="I15" s="277">
        <f t="shared" si="11"/>
        <v>127.36456196076394</v>
      </c>
      <c r="J15" s="277">
        <f t="shared" si="11"/>
        <v>110.61745625735594</v>
      </c>
      <c r="K15" s="277">
        <f t="shared" si="11"/>
        <v>86.72311902225573</v>
      </c>
      <c r="L15" s="277">
        <f t="shared" si="11"/>
        <v>66.672294242780168</v>
      </c>
      <c r="M15" s="275"/>
      <c r="N15" s="277">
        <f t="shared" si="12"/>
        <v>163.37637537143638</v>
      </c>
      <c r="O15" s="277">
        <f t="shared" si="12"/>
        <v>159.63365629376028</v>
      </c>
      <c r="P15" s="277">
        <f t="shared" si="12"/>
        <v>139.20836466715667</v>
      </c>
      <c r="Q15" s="277">
        <f t="shared" si="12"/>
        <v>110.03867577463737</v>
      </c>
      <c r="R15" s="277">
        <f t="shared" si="12"/>
        <v>85.305253782957692</v>
      </c>
      <c r="S15" s="275"/>
      <c r="T15" s="277">
        <f t="shared" si="13"/>
        <v>0</v>
      </c>
      <c r="U15" s="277">
        <f t="shared" si="13"/>
        <v>0</v>
      </c>
      <c r="V15" s="277">
        <f t="shared" si="13"/>
        <v>0</v>
      </c>
      <c r="W15" s="277">
        <f t="shared" si="13"/>
        <v>0</v>
      </c>
      <c r="X15" s="277">
        <f t="shared" si="13"/>
        <v>0</v>
      </c>
      <c r="Y15" s="276" t="str">
        <f t="shared" si="14"/>
        <v>50-54</v>
      </c>
      <c r="Z15" s="277">
        <f t="shared" si="15"/>
        <v>252.37047905418916</v>
      </c>
      <c r="AA15" s="277">
        <f t="shared" si="15"/>
        <v>261.89041594407234</v>
      </c>
      <c r="AB15" s="277">
        <f t="shared" si="15"/>
        <v>299.71030873183417</v>
      </c>
      <c r="AC15" s="277">
        <f t="shared" si="15"/>
        <v>315.46818569365763</v>
      </c>
      <c r="AD15" s="277">
        <f t="shared" si="15"/>
        <v>326.48805608055682</v>
      </c>
      <c r="AE15" s="275"/>
      <c r="AF15" s="277">
        <f t="shared" si="16"/>
        <v>240.43095817773155</v>
      </c>
      <c r="AG15" s="277">
        <f t="shared" si="16"/>
        <v>249.49009896266847</v>
      </c>
      <c r="AH15" s="277">
        <f t="shared" si="16"/>
        <v>285.51870262738919</v>
      </c>
      <c r="AI15" s="277">
        <f t="shared" si="16"/>
        <v>300.52266588791969</v>
      </c>
      <c r="AJ15" s="277">
        <f t="shared" si="16"/>
        <v>311.01138512295665</v>
      </c>
      <c r="AK15" s="275"/>
      <c r="AL15" s="277">
        <f t="shared" si="17"/>
        <v>11.939520876457582</v>
      </c>
      <c r="AM15" s="277">
        <f t="shared" si="17"/>
        <v>12.400316981403893</v>
      </c>
      <c r="AN15" s="277">
        <f t="shared" si="17"/>
        <v>14.191606104444997</v>
      </c>
      <c r="AO15" s="277">
        <f t="shared" si="17"/>
        <v>14.945519805737941</v>
      </c>
      <c r="AP15" s="277">
        <f t="shared" si="17"/>
        <v>15.476670957600156</v>
      </c>
      <c r="AQ15" s="276" t="str">
        <f t="shared" si="18"/>
        <v>50-54</v>
      </c>
      <c r="AR15" s="277">
        <f t="shared" si="19"/>
        <v>192.52176906645971</v>
      </c>
      <c r="AS15" s="277">
        <f t="shared" si="19"/>
        <v>218.63836580140344</v>
      </c>
      <c r="AT15" s="277">
        <f t="shared" si="19"/>
        <v>269.43387034365321</v>
      </c>
      <c r="AU15" s="277">
        <f t="shared" si="19"/>
        <v>285.28301950944933</v>
      </c>
      <c r="AV15" s="277">
        <f t="shared" si="19"/>
        <v>297.31139589370531</v>
      </c>
      <c r="AW15" s="275"/>
      <c r="AX15" s="277">
        <f t="shared" si="20"/>
        <v>188.73862621744155</v>
      </c>
      <c r="AY15" s="277">
        <f t="shared" si="20"/>
        <v>214.45420550224321</v>
      </c>
      <c r="AZ15" s="277">
        <f t="shared" si="20"/>
        <v>264.30480604656157</v>
      </c>
      <c r="BA15" s="277">
        <f t="shared" si="20"/>
        <v>279.90450448189154</v>
      </c>
      <c r="BB15" s="277">
        <f t="shared" si="20"/>
        <v>291.76093520892465</v>
      </c>
      <c r="BC15" s="275"/>
      <c r="BD15" s="277">
        <f t="shared" si="21"/>
        <v>3.7831428490181196</v>
      </c>
      <c r="BE15" s="277">
        <f t="shared" si="21"/>
        <v>4.1841602991602418</v>
      </c>
      <c r="BF15" s="277">
        <f t="shared" si="21"/>
        <v>5.1290642970916389</v>
      </c>
      <c r="BG15" s="277">
        <f t="shared" si="21"/>
        <v>5.3785150275577474</v>
      </c>
      <c r="BH15" s="277">
        <f t="shared" si="21"/>
        <v>5.5504606847806457</v>
      </c>
    </row>
    <row r="16" spans="1:60" s="168" customFormat="1" x14ac:dyDescent="0.25">
      <c r="A16" s="123" t="s">
        <v>115</v>
      </c>
      <c r="B16" s="277">
        <f t="shared" si="10"/>
        <v>306.08926780144049</v>
      </c>
      <c r="C16" s="277">
        <f t="shared" si="10"/>
        <v>294.14842701950209</v>
      </c>
      <c r="D16" s="277">
        <f t="shared" si="10"/>
        <v>278.7696849113002</v>
      </c>
      <c r="E16" s="277">
        <f t="shared" si="10"/>
        <v>248.77345263961809</v>
      </c>
      <c r="F16" s="277">
        <f t="shared" si="10"/>
        <v>193.72538705183911</v>
      </c>
      <c r="G16" s="275"/>
      <c r="H16" s="277">
        <f t="shared" si="11"/>
        <v>148.94385811824938</v>
      </c>
      <c r="I16" s="277">
        <f t="shared" si="11"/>
        <v>142.80048229460601</v>
      </c>
      <c r="J16" s="277">
        <f t="shared" si="11"/>
        <v>135.1816907077864</v>
      </c>
      <c r="K16" s="277">
        <f t="shared" si="11"/>
        <v>120.20919098393057</v>
      </c>
      <c r="L16" s="277">
        <f t="shared" si="11"/>
        <v>93.347075058771225</v>
      </c>
      <c r="M16" s="275"/>
      <c r="N16" s="277">
        <f t="shared" si="12"/>
        <v>157.14540968319108</v>
      </c>
      <c r="O16" s="277">
        <f t="shared" si="12"/>
        <v>151.34794472489608</v>
      </c>
      <c r="P16" s="277">
        <f t="shared" si="12"/>
        <v>143.5879942035138</v>
      </c>
      <c r="Q16" s="277">
        <f t="shared" si="12"/>
        <v>128.56426165568749</v>
      </c>
      <c r="R16" s="277">
        <f t="shared" si="12"/>
        <v>100.37831199306788</v>
      </c>
      <c r="S16" s="275"/>
      <c r="T16" s="277">
        <f t="shared" si="13"/>
        <v>0</v>
      </c>
      <c r="U16" s="277">
        <f t="shared" si="13"/>
        <v>0</v>
      </c>
      <c r="V16" s="277">
        <f t="shared" si="13"/>
        <v>0</v>
      </c>
      <c r="W16" s="277">
        <f t="shared" si="13"/>
        <v>0</v>
      </c>
      <c r="X16" s="277">
        <f t="shared" si="13"/>
        <v>0</v>
      </c>
      <c r="Y16" s="276" t="str">
        <f t="shared" si="14"/>
        <v>55-59</v>
      </c>
      <c r="Z16" s="277">
        <f t="shared" si="15"/>
        <v>212.90735173400915</v>
      </c>
      <c r="AA16" s="277">
        <f t="shared" si="15"/>
        <v>208.34374328055009</v>
      </c>
      <c r="AB16" s="277">
        <f t="shared" si="15"/>
        <v>259.24373379880308</v>
      </c>
      <c r="AC16" s="277">
        <f t="shared" si="15"/>
        <v>305.1432760109069</v>
      </c>
      <c r="AD16" s="277">
        <f t="shared" si="15"/>
        <v>322.49455355236876</v>
      </c>
      <c r="AE16" s="275"/>
      <c r="AF16" s="277">
        <f t="shared" si="16"/>
        <v>201.39475054266842</v>
      </c>
      <c r="AG16" s="277">
        <f t="shared" si="16"/>
        <v>197.03624221177998</v>
      </c>
      <c r="AH16" s="277">
        <f t="shared" si="16"/>
        <v>245.14463767909808</v>
      </c>
      <c r="AI16" s="277">
        <f t="shared" si="16"/>
        <v>288.53398269710931</v>
      </c>
      <c r="AJ16" s="277">
        <f t="shared" si="16"/>
        <v>304.93914690919075</v>
      </c>
      <c r="AK16" s="275"/>
      <c r="AL16" s="277">
        <f t="shared" si="17"/>
        <v>11.512601191340718</v>
      </c>
      <c r="AM16" s="277">
        <f t="shared" si="17"/>
        <v>11.30750106877008</v>
      </c>
      <c r="AN16" s="277">
        <f t="shared" si="17"/>
        <v>14.099096119705006</v>
      </c>
      <c r="AO16" s="277">
        <f t="shared" si="17"/>
        <v>16.609293313797622</v>
      </c>
      <c r="AP16" s="277">
        <f t="shared" si="17"/>
        <v>17.555406643178003</v>
      </c>
      <c r="AQ16" s="276" t="str">
        <f t="shared" si="18"/>
        <v>55-59</v>
      </c>
      <c r="AR16" s="277">
        <f t="shared" si="19"/>
        <v>157.97838046455036</v>
      </c>
      <c r="AS16" s="277">
        <f t="shared" si="19"/>
        <v>186.95882969994784</v>
      </c>
      <c r="AT16" s="277">
        <f t="shared" si="19"/>
        <v>217.65058128989665</v>
      </c>
      <c r="AU16" s="277">
        <f t="shared" si="19"/>
        <v>252.64427134947505</v>
      </c>
      <c r="AV16" s="277">
        <f t="shared" si="19"/>
        <v>271.26605939579213</v>
      </c>
      <c r="AW16" s="275"/>
      <c r="AX16" s="277">
        <f t="shared" si="20"/>
        <v>154.50769225162065</v>
      </c>
      <c r="AY16" s="277">
        <f t="shared" si="20"/>
        <v>182.97075166245719</v>
      </c>
      <c r="AZ16" s="277">
        <f t="shared" si="20"/>
        <v>213.04788309462984</v>
      </c>
      <c r="BA16" s="277">
        <f t="shared" si="20"/>
        <v>247.41376136943245</v>
      </c>
      <c r="BB16" s="277">
        <f t="shared" si="20"/>
        <v>265.66983752581206</v>
      </c>
      <c r="BC16" s="275"/>
      <c r="BD16" s="277">
        <f t="shared" si="21"/>
        <v>3.470688212929685</v>
      </c>
      <c r="BE16" s="277">
        <f t="shared" si="21"/>
        <v>3.9880780374906122</v>
      </c>
      <c r="BF16" s="277">
        <f t="shared" si="21"/>
        <v>4.6026981952668296</v>
      </c>
      <c r="BG16" s="277">
        <f t="shared" si="21"/>
        <v>5.2305099800425978</v>
      </c>
      <c r="BH16" s="277">
        <f t="shared" si="21"/>
        <v>5.5962218699800657</v>
      </c>
    </row>
    <row r="17" spans="1:60" s="168" customFormat="1" x14ac:dyDescent="0.25">
      <c r="A17" s="123" t="s">
        <v>116</v>
      </c>
      <c r="B17" s="277">
        <f t="shared" si="10"/>
        <v>300.27408615273544</v>
      </c>
      <c r="C17" s="277">
        <f t="shared" si="10"/>
        <v>307.02902619700649</v>
      </c>
      <c r="D17" s="277">
        <f t="shared" si="10"/>
        <v>275.57160817400484</v>
      </c>
      <c r="E17" s="277">
        <f t="shared" si="10"/>
        <v>242.50355927772591</v>
      </c>
      <c r="F17" s="277">
        <f t="shared" si="10"/>
        <v>196.62341104090149</v>
      </c>
      <c r="G17" s="275"/>
      <c r="H17" s="277">
        <f t="shared" si="11"/>
        <v>163.84239820508242</v>
      </c>
      <c r="I17" s="277">
        <f t="shared" si="11"/>
        <v>167.48634018543549</v>
      </c>
      <c r="J17" s="277">
        <f t="shared" si="11"/>
        <v>150.0793901711946</v>
      </c>
      <c r="K17" s="277">
        <f t="shared" si="11"/>
        <v>131.95757743155312</v>
      </c>
      <c r="L17" s="277">
        <f t="shared" si="11"/>
        <v>106.85061904727925</v>
      </c>
      <c r="M17" s="275"/>
      <c r="N17" s="277">
        <f t="shared" si="12"/>
        <v>136.43168794765302</v>
      </c>
      <c r="O17" s="277">
        <f t="shared" si="12"/>
        <v>139.54268601157099</v>
      </c>
      <c r="P17" s="277">
        <f t="shared" si="12"/>
        <v>125.49221800281023</v>
      </c>
      <c r="Q17" s="277">
        <f t="shared" si="12"/>
        <v>110.54598184617279</v>
      </c>
      <c r="R17" s="277">
        <f t="shared" si="12"/>
        <v>89.772791993622235</v>
      </c>
      <c r="S17" s="275"/>
      <c r="T17" s="277">
        <f t="shared" si="13"/>
        <v>0</v>
      </c>
      <c r="U17" s="277">
        <f t="shared" si="13"/>
        <v>0</v>
      </c>
      <c r="V17" s="277">
        <f t="shared" si="13"/>
        <v>0</v>
      </c>
      <c r="W17" s="277">
        <f t="shared" si="13"/>
        <v>0</v>
      </c>
      <c r="X17" s="277">
        <f t="shared" si="13"/>
        <v>0</v>
      </c>
      <c r="Y17" s="276" t="str">
        <f t="shared" si="14"/>
        <v>60-64</v>
      </c>
      <c r="Z17" s="277">
        <f t="shared" si="15"/>
        <v>164.67698820651987</v>
      </c>
      <c r="AA17" s="277">
        <f t="shared" si="15"/>
        <v>173.02754429415353</v>
      </c>
      <c r="AB17" s="277">
        <f t="shared" si="15"/>
        <v>211.64420247686218</v>
      </c>
      <c r="AC17" s="277">
        <f t="shared" si="15"/>
        <v>262.32745519640429</v>
      </c>
      <c r="AD17" s="277">
        <f t="shared" si="15"/>
        <v>307.19809774569194</v>
      </c>
      <c r="AE17" s="275"/>
      <c r="AF17" s="277">
        <f t="shared" si="16"/>
        <v>156.364761045058</v>
      </c>
      <c r="AG17" s="277">
        <f t="shared" si="16"/>
        <v>164.2583318854096</v>
      </c>
      <c r="AH17" s="277">
        <f t="shared" si="16"/>
        <v>200.85031018974644</v>
      </c>
      <c r="AI17" s="277">
        <f t="shared" si="16"/>
        <v>248.92153917613587</v>
      </c>
      <c r="AJ17" s="277">
        <f t="shared" si="16"/>
        <v>291.50729249745882</v>
      </c>
      <c r="AK17" s="275"/>
      <c r="AL17" s="277">
        <f t="shared" si="17"/>
        <v>8.3122271614618572</v>
      </c>
      <c r="AM17" s="277">
        <f t="shared" si="17"/>
        <v>8.7692124087439236</v>
      </c>
      <c r="AN17" s="277">
        <f t="shared" si="17"/>
        <v>10.793892287115703</v>
      </c>
      <c r="AO17" s="277">
        <f t="shared" si="17"/>
        <v>13.405916020268418</v>
      </c>
      <c r="AP17" s="277">
        <f t="shared" si="17"/>
        <v>15.690805248233143</v>
      </c>
      <c r="AQ17" s="276" t="str">
        <f t="shared" si="18"/>
        <v>60-64</v>
      </c>
      <c r="AR17" s="277">
        <f t="shared" si="19"/>
        <v>124.1659256407448</v>
      </c>
      <c r="AS17" s="277">
        <f t="shared" si="19"/>
        <v>151.81542950884</v>
      </c>
      <c r="AT17" s="277">
        <f t="shared" si="19"/>
        <v>179.49318934913299</v>
      </c>
      <c r="AU17" s="277">
        <f t="shared" si="19"/>
        <v>229.32198552586985</v>
      </c>
      <c r="AV17" s="277">
        <f t="shared" si="19"/>
        <v>282.2344912134065</v>
      </c>
      <c r="AW17" s="275"/>
      <c r="AX17" s="277">
        <f t="shared" si="20"/>
        <v>120.47353378485059</v>
      </c>
      <c r="AY17" s="277">
        <f t="shared" si="20"/>
        <v>147.28380768694541</v>
      </c>
      <c r="AZ17" s="277">
        <f t="shared" si="20"/>
        <v>174.20095676665699</v>
      </c>
      <c r="BA17" s="277">
        <f t="shared" si="20"/>
        <v>222.61021872219823</v>
      </c>
      <c r="BB17" s="277">
        <f t="shared" si="20"/>
        <v>274.01688935790713</v>
      </c>
      <c r="BC17" s="275"/>
      <c r="BD17" s="277">
        <f t="shared" si="21"/>
        <v>3.6923918558942086</v>
      </c>
      <c r="BE17" s="277">
        <f t="shared" si="21"/>
        <v>4.5316218218945803</v>
      </c>
      <c r="BF17" s="277">
        <f t="shared" si="21"/>
        <v>5.2922325824760046</v>
      </c>
      <c r="BG17" s="277">
        <f t="shared" si="21"/>
        <v>6.7117668036716331</v>
      </c>
      <c r="BH17" s="277">
        <f t="shared" si="21"/>
        <v>8.2176018554993142</v>
      </c>
    </row>
    <row r="18" spans="1:60" s="168" customFormat="1" x14ac:dyDescent="0.25">
      <c r="A18" s="123" t="s">
        <v>103</v>
      </c>
      <c r="B18" s="277">
        <f t="shared" si="10"/>
        <v>1097.4936778000333</v>
      </c>
      <c r="C18" s="277">
        <f t="shared" si="10"/>
        <v>1072.9440531401806</v>
      </c>
      <c r="D18" s="277">
        <f t="shared" si="10"/>
        <v>980.11410948496587</v>
      </c>
      <c r="E18" s="277">
        <f t="shared" si="10"/>
        <v>860.70692539466086</v>
      </c>
      <c r="F18" s="277">
        <f t="shared" si="10"/>
        <v>731.94096038103203</v>
      </c>
      <c r="G18" s="275"/>
      <c r="H18" s="277">
        <f t="shared" si="11"/>
        <v>770.71351120273471</v>
      </c>
      <c r="I18" s="277">
        <f t="shared" si="11"/>
        <v>753.1395408366011</v>
      </c>
      <c r="J18" s="277">
        <f t="shared" si="11"/>
        <v>687.79876078330381</v>
      </c>
      <c r="K18" s="277">
        <f t="shared" si="11"/>
        <v>603.69792908410795</v>
      </c>
      <c r="L18" s="277">
        <f t="shared" si="11"/>
        <v>513.13110481139574</v>
      </c>
      <c r="M18" s="275"/>
      <c r="N18" s="277">
        <f t="shared" si="12"/>
        <v>326.78016659729855</v>
      </c>
      <c r="O18" s="277">
        <f t="shared" si="12"/>
        <v>319.80451230357949</v>
      </c>
      <c r="P18" s="277">
        <f t="shared" si="12"/>
        <v>292.31534870166195</v>
      </c>
      <c r="Q18" s="277">
        <f t="shared" si="12"/>
        <v>257.0089963105529</v>
      </c>
      <c r="R18" s="277">
        <f t="shared" si="12"/>
        <v>218.80985556963645</v>
      </c>
      <c r="S18" s="275"/>
      <c r="T18" s="277">
        <f t="shared" si="13"/>
        <v>0</v>
      </c>
      <c r="U18" s="277">
        <f t="shared" si="13"/>
        <v>0</v>
      </c>
      <c r="V18" s="277">
        <f t="shared" si="13"/>
        <v>0</v>
      </c>
      <c r="W18" s="277">
        <f t="shared" si="13"/>
        <v>0</v>
      </c>
      <c r="X18" s="277">
        <f t="shared" si="13"/>
        <v>0</v>
      </c>
      <c r="Y18" s="276" t="str">
        <f t="shared" si="14"/>
        <v>65+</v>
      </c>
      <c r="Z18" s="277">
        <f t="shared" si="15"/>
        <v>412.59519957455325</v>
      </c>
      <c r="AA18" s="277">
        <f t="shared" si="15"/>
        <v>441.80478171374187</v>
      </c>
      <c r="AB18" s="277">
        <f t="shared" si="15"/>
        <v>588.92141161742438</v>
      </c>
      <c r="AC18" s="277">
        <f t="shared" si="15"/>
        <v>717.19301187685096</v>
      </c>
      <c r="AD18" s="277">
        <f t="shared" si="15"/>
        <v>861.73238046119513</v>
      </c>
      <c r="AE18" s="275"/>
      <c r="AF18" s="277">
        <f t="shared" si="16"/>
        <v>391.95319027138726</v>
      </c>
      <c r="AG18" s="277">
        <f t="shared" si="16"/>
        <v>419.72502641576881</v>
      </c>
      <c r="AH18" s="277">
        <f t="shared" si="16"/>
        <v>559.48677128208897</v>
      </c>
      <c r="AI18" s="277">
        <f t="shared" si="16"/>
        <v>681.36315392476172</v>
      </c>
      <c r="AJ18" s="277">
        <f t="shared" si="16"/>
        <v>818.69055459842366</v>
      </c>
      <c r="AK18" s="275"/>
      <c r="AL18" s="277">
        <f t="shared" si="17"/>
        <v>20.642009303165985</v>
      </c>
      <c r="AM18" s="277">
        <f t="shared" si="17"/>
        <v>22.079755297973087</v>
      </c>
      <c r="AN18" s="277">
        <f t="shared" si="17"/>
        <v>29.434640335335327</v>
      </c>
      <c r="AO18" s="277">
        <f t="shared" si="17"/>
        <v>35.82985795208927</v>
      </c>
      <c r="AP18" s="277">
        <f t="shared" si="17"/>
        <v>43.041825862771589</v>
      </c>
      <c r="AQ18" s="276" t="str">
        <f t="shared" si="18"/>
        <v>65+</v>
      </c>
      <c r="AR18" s="277">
        <f t="shared" si="19"/>
        <v>309.63712262541355</v>
      </c>
      <c r="AS18" s="277">
        <f t="shared" si="19"/>
        <v>345.41016514607776</v>
      </c>
      <c r="AT18" s="277">
        <f t="shared" si="19"/>
        <v>465.83547889760985</v>
      </c>
      <c r="AU18" s="277">
        <f t="shared" si="19"/>
        <v>642.09606272848828</v>
      </c>
      <c r="AV18" s="277">
        <f t="shared" si="19"/>
        <v>863.68565915777276</v>
      </c>
      <c r="AW18" s="275"/>
      <c r="AX18" s="277">
        <f t="shared" si="20"/>
        <v>301.40115633884841</v>
      </c>
      <c r="AY18" s="277">
        <f t="shared" si="20"/>
        <v>336.56314669404765</v>
      </c>
      <c r="AZ18" s="277">
        <f t="shared" si="20"/>
        <v>453.89786151814837</v>
      </c>
      <c r="BA18" s="277">
        <f t="shared" si="20"/>
        <v>625.97097807950172</v>
      </c>
      <c r="BB18" s="277">
        <f t="shared" si="20"/>
        <v>842.26455696727317</v>
      </c>
      <c r="BC18" s="275"/>
      <c r="BD18" s="277">
        <f t="shared" si="21"/>
        <v>8.2359662865651462</v>
      </c>
      <c r="BE18" s="277">
        <f t="shared" si="21"/>
        <v>8.847018452030122</v>
      </c>
      <c r="BF18" s="277">
        <f t="shared" si="21"/>
        <v>11.937617379461411</v>
      </c>
      <c r="BG18" s="277">
        <f t="shared" si="21"/>
        <v>16.125084648986547</v>
      </c>
      <c r="BH18" s="277">
        <f t="shared" si="21"/>
        <v>21.421102190499685</v>
      </c>
    </row>
    <row r="19" spans="1:60" s="168" customFormat="1" x14ac:dyDescent="0.25">
      <c r="B19" s="277"/>
      <c r="C19" s="277"/>
      <c r="D19" s="275"/>
      <c r="E19" s="275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5"/>
      <c r="R19" s="275"/>
      <c r="S19" s="275"/>
      <c r="T19" s="169"/>
      <c r="U19" s="169"/>
      <c r="V19" s="169"/>
      <c r="W19" s="169"/>
      <c r="X19" s="169"/>
      <c r="Z19" s="277"/>
      <c r="AA19" s="277"/>
      <c r="AB19" s="275"/>
      <c r="AC19" s="275"/>
      <c r="AD19" s="275"/>
      <c r="AE19" s="275"/>
      <c r="AF19" s="275"/>
      <c r="AG19" s="275"/>
      <c r="AH19" s="275"/>
      <c r="AI19" s="275"/>
      <c r="AJ19" s="275"/>
      <c r="AK19" s="275"/>
      <c r="AL19" s="275"/>
      <c r="AM19" s="275"/>
      <c r="AN19" s="275"/>
      <c r="AO19" s="275"/>
      <c r="AP19" s="275"/>
      <c r="AR19" s="277"/>
      <c r="AS19" s="277"/>
      <c r="AT19" s="275"/>
      <c r="AU19" s="275"/>
      <c r="AV19" s="275"/>
      <c r="AW19" s="275"/>
      <c r="AX19" s="275"/>
      <c r="AY19" s="275"/>
      <c r="AZ19" s="275"/>
      <c r="BA19" s="275"/>
      <c r="BB19" s="275"/>
      <c r="BC19" s="275"/>
      <c r="BD19" s="275"/>
      <c r="BE19" s="275"/>
      <c r="BF19" s="275"/>
      <c r="BG19" s="275"/>
      <c r="BH19" s="275"/>
    </row>
    <row r="20" spans="1:60" s="168" customFormat="1" x14ac:dyDescent="0.25">
      <c r="A20" s="263" t="s">
        <v>98</v>
      </c>
      <c r="B20" s="278"/>
      <c r="C20" s="278"/>
      <c r="D20" s="278"/>
      <c r="E20" s="278"/>
      <c r="F20" s="277"/>
      <c r="G20" s="277"/>
      <c r="H20" s="277"/>
      <c r="I20" s="277"/>
      <c r="J20" s="277"/>
      <c r="K20" s="277"/>
      <c r="L20" s="277"/>
      <c r="M20" s="277"/>
      <c r="N20" s="277"/>
      <c r="O20" s="277"/>
      <c r="P20" s="277"/>
      <c r="Q20" s="277"/>
      <c r="R20" s="277"/>
      <c r="S20" s="277"/>
      <c r="T20" s="278"/>
      <c r="U20" s="278"/>
      <c r="V20" s="169"/>
      <c r="W20" s="169"/>
      <c r="X20" s="169"/>
      <c r="Y20" s="282" t="str">
        <f t="shared" si="14"/>
        <v>Males</v>
      </c>
      <c r="Z20" s="278"/>
      <c r="AA20" s="278"/>
      <c r="AB20" s="278"/>
      <c r="AC20" s="278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82" t="str">
        <f>A20</f>
        <v>Males</v>
      </c>
      <c r="AR20" s="278"/>
      <c r="AS20" s="278"/>
      <c r="AT20" s="278"/>
      <c r="AU20" s="278"/>
      <c r="AV20" s="277"/>
      <c r="AW20" s="277"/>
      <c r="AX20" s="277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</row>
    <row r="21" spans="1:60" s="168" customFormat="1" x14ac:dyDescent="0.25">
      <c r="A21" s="269" t="str">
        <f>$A$7</f>
        <v>15+</v>
      </c>
      <c r="B21" s="277">
        <f>SUM(B22:B32)</f>
        <v>1620.2473852146525</v>
      </c>
      <c r="C21" s="277">
        <f t="shared" ref="C21:F21" si="22">SUM(C22:C32)</f>
        <v>1614.229579565203</v>
      </c>
      <c r="D21" s="277">
        <f t="shared" si="22"/>
        <v>1473.336267790763</v>
      </c>
      <c r="E21" s="277">
        <f t="shared" si="22"/>
        <v>1328.0088879474006</v>
      </c>
      <c r="F21" s="277">
        <f t="shared" si="22"/>
        <v>1173.6897154992268</v>
      </c>
      <c r="G21" s="277"/>
      <c r="H21" s="277">
        <f>SUM(H22:H32)</f>
        <v>716.1464894810149</v>
      </c>
      <c r="I21" s="277">
        <f t="shared" ref="I21:L21" si="23">SUM(I22:I32)</f>
        <v>715.64405967986499</v>
      </c>
      <c r="J21" s="277">
        <f t="shared" si="23"/>
        <v>655.33170359679184</v>
      </c>
      <c r="K21" s="277">
        <f t="shared" si="23"/>
        <v>588.71852138985469</v>
      </c>
      <c r="L21" s="277">
        <f t="shared" si="23"/>
        <v>511.80228655523888</v>
      </c>
      <c r="M21" s="277"/>
      <c r="N21" s="277">
        <f>SUM(N22:N32)</f>
        <v>904.1008957336378</v>
      </c>
      <c r="O21" s="277">
        <f t="shared" ref="O21:R21" si="24">SUM(O22:O32)</f>
        <v>898.5855198853385</v>
      </c>
      <c r="P21" s="277">
        <f t="shared" si="24"/>
        <v>818.00456419397131</v>
      </c>
      <c r="Q21" s="277">
        <f t="shared" si="24"/>
        <v>739.29036655754555</v>
      </c>
      <c r="R21" s="277">
        <f t="shared" si="24"/>
        <v>661.88742894398808</v>
      </c>
      <c r="S21" s="277"/>
      <c r="T21" s="277">
        <f>SUM(T22:T32)</f>
        <v>0</v>
      </c>
      <c r="U21" s="277">
        <f t="shared" ref="U21:X21" si="25">SUM(U22:U32)</f>
        <v>0</v>
      </c>
      <c r="V21" s="277">
        <f t="shared" si="25"/>
        <v>0</v>
      </c>
      <c r="W21" s="277">
        <f t="shared" si="25"/>
        <v>0</v>
      </c>
      <c r="X21" s="277">
        <f t="shared" si="25"/>
        <v>0</v>
      </c>
      <c r="Y21" s="269" t="str">
        <f>$A$7</f>
        <v>15+</v>
      </c>
      <c r="Z21" s="277">
        <f>SUM(Z22:Z32)</f>
        <v>1577.3024491368396</v>
      </c>
      <c r="AA21" s="277">
        <f t="shared" ref="AA21:AD21" si="26">SUM(AA22:AA32)</f>
        <v>1562.2040994555152</v>
      </c>
      <c r="AB21" s="277">
        <f t="shared" si="26"/>
        <v>1749.398715210659</v>
      </c>
      <c r="AC21" s="277">
        <f t="shared" si="26"/>
        <v>1909.488504579884</v>
      </c>
      <c r="AD21" s="277">
        <f t="shared" si="26"/>
        <v>2081.0684990931632</v>
      </c>
      <c r="AE21" s="277"/>
      <c r="AF21" s="277">
        <f>SUM(AF22:AF32)</f>
        <v>1499.7774540648427</v>
      </c>
      <c r="AG21" s="277">
        <f t="shared" ref="AG21:AJ21" si="27">SUM(AG22:AG32)</f>
        <v>1486.1007164675289</v>
      </c>
      <c r="AH21" s="277">
        <f t="shared" si="27"/>
        <v>1664.4597911861424</v>
      </c>
      <c r="AI21" s="277">
        <f t="shared" si="27"/>
        <v>1816.8390130222895</v>
      </c>
      <c r="AJ21" s="277">
        <f t="shared" si="27"/>
        <v>1980.4678395589967</v>
      </c>
      <c r="AK21" s="277"/>
      <c r="AL21" s="277">
        <f>SUM(AL22:AL32)</f>
        <v>77.524995071996941</v>
      </c>
      <c r="AM21" s="277">
        <f t="shared" ref="AM21:AP21" si="28">SUM(AM22:AM32)</f>
        <v>76.103382987986208</v>
      </c>
      <c r="AN21" s="277">
        <f t="shared" si="28"/>
        <v>84.938924024516524</v>
      </c>
      <c r="AO21" s="277">
        <f t="shared" si="28"/>
        <v>92.649491557594388</v>
      </c>
      <c r="AP21" s="277">
        <f t="shared" si="28"/>
        <v>100.60065953416633</v>
      </c>
      <c r="AQ21" s="269" t="str">
        <f>A21</f>
        <v>15+</v>
      </c>
      <c r="AR21" s="277">
        <f>SUM(AR22:AR32)</f>
        <v>1106.6731656485081</v>
      </c>
      <c r="AS21" s="277">
        <f t="shared" ref="AS21:AV21" si="29">SUM(AS22:AS32)</f>
        <v>1199.3363209792817</v>
      </c>
      <c r="AT21" s="277">
        <f t="shared" si="29"/>
        <v>1365.5690169985778</v>
      </c>
      <c r="AU21" s="277">
        <f t="shared" si="29"/>
        <v>1541.874607472716</v>
      </c>
      <c r="AV21" s="277">
        <f t="shared" si="29"/>
        <v>1748.1917854076103</v>
      </c>
      <c r="AW21" s="277"/>
      <c r="AX21" s="277">
        <f>SUM(AX22:AX32)</f>
        <v>1077.4599726477079</v>
      </c>
      <c r="AY21" s="277">
        <f t="shared" ref="AY21:BB21" si="30">SUM(AY22:AY32)</f>
        <v>1167.5793096493508</v>
      </c>
      <c r="AZ21" s="277">
        <f t="shared" si="30"/>
        <v>1328.8583394486275</v>
      </c>
      <c r="BA21" s="277">
        <f t="shared" si="30"/>
        <v>1499.4805167904162</v>
      </c>
      <c r="BB21" s="277">
        <f t="shared" si="30"/>
        <v>1698.9799024688193</v>
      </c>
      <c r="BC21" s="277"/>
      <c r="BD21" s="277">
        <f>SUM(BD22:BD32)</f>
        <v>29.213193000800217</v>
      </c>
      <c r="BE21" s="277">
        <f t="shared" ref="BE21:BH21" si="31">SUM(BE22:BE32)</f>
        <v>31.757011329930545</v>
      </c>
      <c r="BF21" s="277">
        <f t="shared" si="31"/>
        <v>36.710677549950461</v>
      </c>
      <c r="BG21" s="277">
        <f t="shared" si="31"/>
        <v>42.394090682299776</v>
      </c>
      <c r="BH21" s="277">
        <f t="shared" si="31"/>
        <v>49.211882938790794</v>
      </c>
    </row>
    <row r="22" spans="1:60" s="168" customFormat="1" x14ac:dyDescent="0.25">
      <c r="A22" s="269" t="str">
        <f>$A$8</f>
        <v>15-19</v>
      </c>
      <c r="B22" s="277">
        <v>265.87910321369338</v>
      </c>
      <c r="C22" s="277">
        <v>258.0443726840308</v>
      </c>
      <c r="D22" s="277">
        <v>243.141770298518</v>
      </c>
      <c r="E22" s="277">
        <v>242.0329033496289</v>
      </c>
      <c r="F22" s="275">
        <v>259.48953414978911</v>
      </c>
      <c r="G22" s="277"/>
      <c r="H22" s="277">
        <v>65.502301380201217</v>
      </c>
      <c r="I22" s="277">
        <v>63.57213501074979</v>
      </c>
      <c r="J22" s="277">
        <v>59.900673398189532</v>
      </c>
      <c r="K22" s="277">
        <v>59.627470660231161</v>
      </c>
      <c r="L22" s="275">
        <v>63.928125917066254</v>
      </c>
      <c r="M22" s="277"/>
      <c r="N22" s="277">
        <v>200.37680183349218</v>
      </c>
      <c r="O22" s="277">
        <v>194.47223767328106</v>
      </c>
      <c r="P22" s="277">
        <v>183.2410969003285</v>
      </c>
      <c r="Q22" s="277">
        <v>182.40543268939777</v>
      </c>
      <c r="R22" s="275">
        <v>195.56140823272287</v>
      </c>
      <c r="S22" s="277"/>
      <c r="T22" s="277">
        <v>0</v>
      </c>
      <c r="U22" s="277">
        <v>0</v>
      </c>
      <c r="V22" s="277">
        <v>0</v>
      </c>
      <c r="W22" s="277">
        <v>0</v>
      </c>
      <c r="X22" s="275">
        <v>0</v>
      </c>
      <c r="Y22" s="269" t="str">
        <f>$A$8</f>
        <v>15-19</v>
      </c>
      <c r="Z22" s="277">
        <v>66.511132470586716</v>
      </c>
      <c r="AA22" s="277">
        <v>73.411299772273082</v>
      </c>
      <c r="AB22" s="277">
        <v>80.502722532222251</v>
      </c>
      <c r="AC22" s="277">
        <v>87.416701640226961</v>
      </c>
      <c r="AD22" s="275">
        <v>102.22230692001014</v>
      </c>
      <c r="AE22" s="277"/>
      <c r="AF22" s="277">
        <v>65.408785510809949</v>
      </c>
      <c r="AG22" s="277">
        <v>72.194629595921498</v>
      </c>
      <c r="AH22" s="277">
        <v>79.16853183013346</v>
      </c>
      <c r="AI22" s="277">
        <v>85.967955058277127</v>
      </c>
      <c r="AJ22" s="275">
        <v>100.52812602924274</v>
      </c>
      <c r="AK22" s="277"/>
      <c r="AL22" s="277">
        <v>1.1023469597767663</v>
      </c>
      <c r="AM22" s="277">
        <v>1.2166701763515873</v>
      </c>
      <c r="AN22" s="277">
        <v>1.3341907020887731</v>
      </c>
      <c r="AO22" s="277">
        <v>1.4487465819498317</v>
      </c>
      <c r="AP22" s="275">
        <v>1.6941808907673945</v>
      </c>
      <c r="AQ22" s="269" t="str">
        <f t="shared" ref="AQ22:AQ32" si="32">A22</f>
        <v>15-19</v>
      </c>
      <c r="AR22" s="277">
        <v>0.47976431571996198</v>
      </c>
      <c r="AS22" s="277">
        <v>0.72732754369609554</v>
      </c>
      <c r="AT22" s="277">
        <v>0.48550716925975612</v>
      </c>
      <c r="AU22" s="277">
        <v>0.49439501014410386</v>
      </c>
      <c r="AV22" s="275">
        <v>0.54315893020071748</v>
      </c>
      <c r="AW22" s="277"/>
      <c r="AX22" s="277">
        <v>0.424231447426622</v>
      </c>
      <c r="AY22" s="277">
        <v>0.64301397638445978</v>
      </c>
      <c r="AZ22" s="277">
        <v>0.4293477578901575</v>
      </c>
      <c r="BA22" s="277">
        <v>0.43712398467357205</v>
      </c>
      <c r="BB22" s="275">
        <v>0.4802635949877026</v>
      </c>
      <c r="BC22" s="277"/>
      <c r="BD22" s="277">
        <v>5.5532868293339949E-2</v>
      </c>
      <c r="BE22" s="277">
        <v>8.4313567311635793E-2</v>
      </c>
      <c r="BF22" s="277">
        <v>5.6159411369598657E-2</v>
      </c>
      <c r="BG22" s="277">
        <v>5.7271025470531763E-2</v>
      </c>
      <c r="BH22" s="275">
        <v>6.2895335213014894E-2</v>
      </c>
    </row>
    <row r="23" spans="1:60" s="168" customFormat="1" x14ac:dyDescent="0.25">
      <c r="A23" s="269" t="str">
        <f>$A$9</f>
        <v>20-24</v>
      </c>
      <c r="B23" s="277">
        <v>62.563891293376557</v>
      </c>
      <c r="C23" s="277">
        <v>65.325512781581011</v>
      </c>
      <c r="D23" s="277">
        <v>67.029010553797633</v>
      </c>
      <c r="E23" s="277">
        <v>59.464637575430878</v>
      </c>
      <c r="F23" s="275">
        <v>54.38972351131563</v>
      </c>
      <c r="G23" s="277"/>
      <c r="H23" s="277">
        <v>17.754171051225015</v>
      </c>
      <c r="I23" s="277">
        <v>18.537831805843624</v>
      </c>
      <c r="J23" s="277">
        <v>19.021243659623707</v>
      </c>
      <c r="K23" s="277">
        <v>16.874679665555647</v>
      </c>
      <c r="L23" s="275">
        <v>15.434495406960504</v>
      </c>
      <c r="M23" s="277"/>
      <c r="N23" s="277">
        <v>44.809720242151542</v>
      </c>
      <c r="O23" s="277">
        <v>46.787680975737388</v>
      </c>
      <c r="P23" s="277">
        <v>48.00776689417394</v>
      </c>
      <c r="Q23" s="277">
        <v>42.589957909875231</v>
      </c>
      <c r="R23" s="275">
        <v>38.955228104355122</v>
      </c>
      <c r="S23" s="277"/>
      <c r="T23" s="277">
        <v>0</v>
      </c>
      <c r="U23" s="277">
        <v>0</v>
      </c>
      <c r="V23" s="277">
        <v>0</v>
      </c>
      <c r="W23" s="277">
        <v>0</v>
      </c>
      <c r="X23" s="275">
        <v>0</v>
      </c>
      <c r="Y23" s="269" t="str">
        <f>$A$9</f>
        <v>20-24</v>
      </c>
      <c r="Z23" s="277">
        <v>203.50469894139783</v>
      </c>
      <c r="AA23" s="277">
        <v>206.78831948241526</v>
      </c>
      <c r="AB23" s="277">
        <v>217.16688614689699</v>
      </c>
      <c r="AC23" s="277">
        <v>213.03529301815917</v>
      </c>
      <c r="AD23" s="275">
        <v>215.87448968593148</v>
      </c>
      <c r="AE23" s="277"/>
      <c r="AF23" s="277">
        <v>194.19340573185747</v>
      </c>
      <c r="AG23" s="277">
        <v>197.32683079971491</v>
      </c>
      <c r="AH23" s="277">
        <v>207.23048265883725</v>
      </c>
      <c r="AI23" s="277">
        <v>203.2879208070558</v>
      </c>
      <c r="AJ23" s="275">
        <v>205.99720170925298</v>
      </c>
      <c r="AK23" s="277"/>
      <c r="AL23" s="277">
        <v>9.3112932095403682</v>
      </c>
      <c r="AM23" s="277">
        <v>9.4614886827003613</v>
      </c>
      <c r="AN23" s="277">
        <v>9.936403488059721</v>
      </c>
      <c r="AO23" s="277">
        <v>9.7473722111033432</v>
      </c>
      <c r="AP23" s="275">
        <v>9.8772879766784918</v>
      </c>
      <c r="AQ23" s="269" t="str">
        <f t="shared" si="32"/>
        <v>20-24</v>
      </c>
      <c r="AR23" s="277">
        <v>55.35540976522563</v>
      </c>
      <c r="AS23" s="277">
        <v>59.428167736003701</v>
      </c>
      <c r="AT23" s="277">
        <v>76.351103299305365</v>
      </c>
      <c r="AU23" s="277">
        <v>82.69706940640998</v>
      </c>
      <c r="AV23" s="275">
        <v>92.251786802752903</v>
      </c>
      <c r="AW23" s="277"/>
      <c r="AX23" s="277">
        <v>55.171502233744391</v>
      </c>
      <c r="AY23" s="277">
        <v>59.230692610728923</v>
      </c>
      <c r="AZ23" s="277">
        <v>76.097464300047577</v>
      </c>
      <c r="BA23" s="277">
        <v>82.422307619001344</v>
      </c>
      <c r="BB23" s="275">
        <v>91.945269557157303</v>
      </c>
      <c r="BC23" s="277"/>
      <c r="BD23" s="277">
        <v>0.18390753148124411</v>
      </c>
      <c r="BE23" s="277">
        <v>0.19747512527477654</v>
      </c>
      <c r="BF23" s="277">
        <v>0.2536389992577906</v>
      </c>
      <c r="BG23" s="277">
        <v>0.27476178740863866</v>
      </c>
      <c r="BH23" s="275">
        <v>0.30651724559561289</v>
      </c>
    </row>
    <row r="24" spans="1:60" s="168" customFormat="1" x14ac:dyDescent="0.25">
      <c r="A24" s="269" t="str">
        <f>$A$10</f>
        <v>25-29</v>
      </c>
      <c r="B24" s="277">
        <v>66.398736675349255</v>
      </c>
      <c r="C24" s="277">
        <v>69.045212178063281</v>
      </c>
      <c r="D24" s="277">
        <v>66.627042081793974</v>
      </c>
      <c r="E24" s="277">
        <v>68.686692459413791</v>
      </c>
      <c r="F24" s="275">
        <v>61.118016987628771</v>
      </c>
      <c r="G24" s="277"/>
      <c r="H24" s="277">
        <v>22.566174767142297</v>
      </c>
      <c r="I24" s="277">
        <v>23.465649013403809</v>
      </c>
      <c r="J24" s="277">
        <v>22.643783635613381</v>
      </c>
      <c r="K24" s="277">
        <v>23.343782133688464</v>
      </c>
      <c r="L24" s="275">
        <v>20.771486527956</v>
      </c>
      <c r="M24" s="277"/>
      <c r="N24" s="277">
        <v>43.832561908206955</v>
      </c>
      <c r="O24" s="277">
        <v>45.579563164659476</v>
      </c>
      <c r="P24" s="277">
        <v>43.983258446180592</v>
      </c>
      <c r="Q24" s="277">
        <v>45.342910325725327</v>
      </c>
      <c r="R24" s="275">
        <v>40.346530459672763</v>
      </c>
      <c r="S24" s="277"/>
      <c r="T24" s="277">
        <v>0</v>
      </c>
      <c r="U24" s="277">
        <v>0</v>
      </c>
      <c r="V24" s="277">
        <v>0</v>
      </c>
      <c r="W24" s="277">
        <v>0</v>
      </c>
      <c r="X24" s="275">
        <v>0</v>
      </c>
      <c r="Y24" s="269" t="str">
        <f>$A$10</f>
        <v>25-29</v>
      </c>
      <c r="Z24" s="277">
        <v>157.53682636123301</v>
      </c>
      <c r="AA24" s="277">
        <v>146.82469164415315</v>
      </c>
      <c r="AB24" s="277">
        <v>162.09459077138558</v>
      </c>
      <c r="AC24" s="277">
        <v>176.76412293200428</v>
      </c>
      <c r="AD24" s="275">
        <v>178.0449747242445</v>
      </c>
      <c r="AE24" s="277"/>
      <c r="AF24" s="277">
        <v>147.64849438417414</v>
      </c>
      <c r="AG24" s="277">
        <v>137.60882551682283</v>
      </c>
      <c r="AH24" s="277">
        <v>151.92024178805138</v>
      </c>
      <c r="AI24" s="277">
        <v>165.66900835507411</v>
      </c>
      <c r="AJ24" s="275">
        <v>166.86940114891388</v>
      </c>
      <c r="AK24" s="277"/>
      <c r="AL24" s="277">
        <v>9.8883319770588862</v>
      </c>
      <c r="AM24" s="277">
        <v>9.21586612733031</v>
      </c>
      <c r="AN24" s="277">
        <v>10.174348983334211</v>
      </c>
      <c r="AO24" s="277">
        <v>11.095114576930154</v>
      </c>
      <c r="AP24" s="275">
        <v>11.175573575330596</v>
      </c>
      <c r="AQ24" s="269" t="str">
        <f t="shared" si="32"/>
        <v>25-29</v>
      </c>
      <c r="AR24" s="277">
        <v>119.99943696341774</v>
      </c>
      <c r="AS24" s="277">
        <v>129.39109617778351</v>
      </c>
      <c r="AT24" s="277">
        <v>137.02936714682045</v>
      </c>
      <c r="AU24" s="277">
        <v>151.42218460858194</v>
      </c>
      <c r="AV24" s="275">
        <v>154.61300828812676</v>
      </c>
      <c r="AW24" s="277"/>
      <c r="AX24" s="277">
        <v>118.70993980899782</v>
      </c>
      <c r="AY24" s="277">
        <v>128.00063464065943</v>
      </c>
      <c r="AZ24" s="277">
        <v>135.5567932955843</v>
      </c>
      <c r="BA24" s="277">
        <v>149.7950052068511</v>
      </c>
      <c r="BB24" s="275">
        <v>152.9514745672883</v>
      </c>
      <c r="BC24" s="277"/>
      <c r="BD24" s="277">
        <v>1.2894971544199207</v>
      </c>
      <c r="BE24" s="277">
        <v>1.3904615371240769</v>
      </c>
      <c r="BF24" s="277">
        <v>1.4725738512361566</v>
      </c>
      <c r="BG24" s="277">
        <v>1.6271794017308401</v>
      </c>
      <c r="BH24" s="275">
        <v>1.6615337208384582</v>
      </c>
    </row>
    <row r="25" spans="1:60" s="168" customFormat="1" x14ac:dyDescent="0.25">
      <c r="A25" s="269" t="str">
        <f>$A$11</f>
        <v>30-34</v>
      </c>
      <c r="B25" s="277">
        <v>68.283196879250426</v>
      </c>
      <c r="C25" s="277">
        <v>66.945802724107253</v>
      </c>
      <c r="D25" s="277">
        <v>66.03723253213704</v>
      </c>
      <c r="E25" s="277">
        <v>61.74876482433028</v>
      </c>
      <c r="F25" s="275">
        <v>53.450029841365982</v>
      </c>
      <c r="G25" s="277"/>
      <c r="H25" s="277">
        <v>24.544039774496266</v>
      </c>
      <c r="I25" s="277">
        <v>24.063322041545216</v>
      </c>
      <c r="J25" s="277">
        <v>23.736795331659089</v>
      </c>
      <c r="K25" s="277">
        <v>22.195343632842444</v>
      </c>
      <c r="L25" s="275">
        <v>19.212368288465317</v>
      </c>
      <c r="M25" s="277"/>
      <c r="N25" s="277">
        <v>43.739157104754149</v>
      </c>
      <c r="O25" s="277">
        <v>42.88248068256204</v>
      </c>
      <c r="P25" s="277">
        <v>42.300437200477958</v>
      </c>
      <c r="Q25" s="277">
        <v>39.553421191487843</v>
      </c>
      <c r="R25" s="275">
        <v>34.237661552900661</v>
      </c>
      <c r="S25" s="277"/>
      <c r="T25" s="277">
        <v>0</v>
      </c>
      <c r="U25" s="277">
        <v>0</v>
      </c>
      <c r="V25" s="277">
        <v>0</v>
      </c>
      <c r="W25" s="277">
        <v>0</v>
      </c>
      <c r="X25" s="275">
        <v>0</v>
      </c>
      <c r="Y25" s="269" t="str">
        <f>$A$11</f>
        <v>30-34</v>
      </c>
      <c r="Z25" s="277">
        <v>148.60780472425301</v>
      </c>
      <c r="AA25" s="277">
        <v>147.31893427815288</v>
      </c>
      <c r="AB25" s="277">
        <v>161.47366094590328</v>
      </c>
      <c r="AC25" s="277">
        <v>172.47340823028688</v>
      </c>
      <c r="AD25" s="275">
        <v>191.95713844294832</v>
      </c>
      <c r="AE25" s="277"/>
      <c r="AF25" s="277">
        <v>138.80683308840062</v>
      </c>
      <c r="AG25" s="277">
        <v>137.60298665378525</v>
      </c>
      <c r="AH25" s="277">
        <v>150.82413863510811</v>
      </c>
      <c r="AI25" s="277">
        <v>161.09845641798645</v>
      </c>
      <c r="AJ25" s="275">
        <v>179.29720884021523</v>
      </c>
      <c r="AK25" s="277"/>
      <c r="AL25" s="277">
        <v>9.8009716358523953</v>
      </c>
      <c r="AM25" s="277">
        <v>9.7159476243676277</v>
      </c>
      <c r="AN25" s="277">
        <v>10.649522310795193</v>
      </c>
      <c r="AO25" s="277">
        <v>11.374951812300438</v>
      </c>
      <c r="AP25" s="275">
        <v>12.659929602733092</v>
      </c>
      <c r="AQ25" s="269" t="str">
        <f t="shared" si="32"/>
        <v>30-34</v>
      </c>
      <c r="AR25" s="277">
        <v>129.43499839649661</v>
      </c>
      <c r="AS25" s="277">
        <v>136.9352629977399</v>
      </c>
      <c r="AT25" s="277">
        <v>146.86710652195967</v>
      </c>
      <c r="AU25" s="277">
        <v>156.94682694538284</v>
      </c>
      <c r="AV25" s="275">
        <v>178.67283171568567</v>
      </c>
      <c r="AW25" s="277"/>
      <c r="AX25" s="277">
        <v>126.08382142150504</v>
      </c>
      <c r="AY25" s="277">
        <v>133.38988826824271</v>
      </c>
      <c r="AZ25" s="277">
        <v>143.06466319041809</v>
      </c>
      <c r="BA25" s="277">
        <v>152.88342672901697</v>
      </c>
      <c r="BB25" s="275">
        <v>174.04687249714561</v>
      </c>
      <c r="BC25" s="277"/>
      <c r="BD25" s="277">
        <v>3.3511769749915721</v>
      </c>
      <c r="BE25" s="277">
        <v>3.5453747294971758</v>
      </c>
      <c r="BF25" s="277">
        <v>3.8024433315415691</v>
      </c>
      <c r="BG25" s="277">
        <v>4.0634002163658671</v>
      </c>
      <c r="BH25" s="275">
        <v>4.625959218540066</v>
      </c>
    </row>
    <row r="26" spans="1:60" s="168" customFormat="1" x14ac:dyDescent="0.25">
      <c r="A26" s="269" t="str">
        <f>$A$12</f>
        <v>35-39</v>
      </c>
      <c r="B26" s="277">
        <v>81.570107580789099</v>
      </c>
      <c r="C26" s="277">
        <v>83.089506586868126</v>
      </c>
      <c r="D26" s="277">
        <v>69.396955766521813</v>
      </c>
      <c r="E26" s="277">
        <v>57.477476782623199</v>
      </c>
      <c r="F26" s="275">
        <v>45.376437261099497</v>
      </c>
      <c r="G26" s="277"/>
      <c r="H26" s="277">
        <v>27.823839481647656</v>
      </c>
      <c r="I26" s="277">
        <v>28.342149363665129</v>
      </c>
      <c r="J26" s="277">
        <v>23.671532314933994</v>
      </c>
      <c r="K26" s="277">
        <v>19.605797942974593</v>
      </c>
      <c r="L26" s="275">
        <v>15.478099602590135</v>
      </c>
      <c r="M26" s="277"/>
      <c r="N26" s="277">
        <v>53.746268099141446</v>
      </c>
      <c r="O26" s="277">
        <v>54.747357223203004</v>
      </c>
      <c r="P26" s="277">
        <v>45.725423451587815</v>
      </c>
      <c r="Q26" s="277">
        <v>37.871678839648609</v>
      </c>
      <c r="R26" s="275">
        <v>29.898337658509362</v>
      </c>
      <c r="S26" s="277"/>
      <c r="T26" s="277">
        <v>0</v>
      </c>
      <c r="U26" s="277">
        <v>0</v>
      </c>
      <c r="V26" s="277">
        <v>0</v>
      </c>
      <c r="W26" s="277">
        <v>0</v>
      </c>
      <c r="X26" s="275">
        <v>0</v>
      </c>
      <c r="Y26" s="269" t="str">
        <f>$A$12</f>
        <v>35-39</v>
      </c>
      <c r="Z26" s="277">
        <v>172.87314170144836</v>
      </c>
      <c r="AA26" s="277">
        <v>151.81746175182639</v>
      </c>
      <c r="AB26" s="277">
        <v>156.19921187888309</v>
      </c>
      <c r="AC26" s="277">
        <v>170.06847351368867</v>
      </c>
      <c r="AD26" s="275">
        <v>183.91916269923121</v>
      </c>
      <c r="AE26" s="277"/>
      <c r="AF26" s="277">
        <v>162.99555148006215</v>
      </c>
      <c r="AG26" s="277">
        <v>143.14291162441359</v>
      </c>
      <c r="AH26" s="277">
        <v>147.27436031165053</v>
      </c>
      <c r="AI26" s="277">
        <v>160.35109660117249</v>
      </c>
      <c r="AJ26" s="275">
        <v>173.41038032330772</v>
      </c>
      <c r="AK26" s="277"/>
      <c r="AL26" s="277">
        <v>9.8775902213862175</v>
      </c>
      <c r="AM26" s="277">
        <v>8.6745501274128145</v>
      </c>
      <c r="AN26" s="277">
        <v>8.9248515672325688</v>
      </c>
      <c r="AO26" s="277">
        <v>9.7173769125161513</v>
      </c>
      <c r="AP26" s="275">
        <v>10.508782375923495</v>
      </c>
      <c r="AQ26" s="269" t="str">
        <f t="shared" si="32"/>
        <v>35-39</v>
      </c>
      <c r="AR26" s="277">
        <v>130.84375071776253</v>
      </c>
      <c r="AS26" s="277">
        <v>143.10303166130547</v>
      </c>
      <c r="AT26" s="277">
        <v>145.7508323545951</v>
      </c>
      <c r="AU26" s="277">
        <v>161.80904970368815</v>
      </c>
      <c r="AV26" s="275">
        <v>178.15540003966933</v>
      </c>
      <c r="AW26" s="277"/>
      <c r="AX26" s="277">
        <v>127.60652595957404</v>
      </c>
      <c r="AY26" s="277">
        <v>139.56251449676819</v>
      </c>
      <c r="AZ26" s="277">
        <v>142.14475173688641</v>
      </c>
      <c r="BA26" s="277">
        <v>157.80566912987618</v>
      </c>
      <c r="BB26" s="275">
        <v>173.74761952873018</v>
      </c>
      <c r="BC26" s="277"/>
      <c r="BD26" s="277">
        <v>3.237224758188491</v>
      </c>
      <c r="BE26" s="277">
        <v>3.5405171645372788</v>
      </c>
      <c r="BF26" s="277">
        <v>3.6060806177086793</v>
      </c>
      <c r="BG26" s="277">
        <v>4.003380573811949</v>
      </c>
      <c r="BH26" s="275">
        <v>4.4077805109391317</v>
      </c>
    </row>
    <row r="27" spans="1:60" s="168" customFormat="1" x14ac:dyDescent="0.25">
      <c r="A27" s="269" t="str">
        <f>$A$13</f>
        <v>40-44</v>
      </c>
      <c r="B27" s="277">
        <v>109.36258023994721</v>
      </c>
      <c r="C27" s="277">
        <v>100.65735353635027</v>
      </c>
      <c r="D27" s="277">
        <v>79.894996074335893</v>
      </c>
      <c r="E27" s="277">
        <v>58.266248681924139</v>
      </c>
      <c r="F27" s="275">
        <v>44.943691641188508</v>
      </c>
      <c r="G27" s="277"/>
      <c r="H27" s="277">
        <v>37.497201603751407</v>
      </c>
      <c r="I27" s="277">
        <v>34.512468517177361</v>
      </c>
      <c r="J27" s="277">
        <v>27.393678246007219</v>
      </c>
      <c r="K27" s="277">
        <v>19.977808097422283</v>
      </c>
      <c r="L27" s="275">
        <v>15.409876741628949</v>
      </c>
      <c r="M27" s="277"/>
      <c r="N27" s="277">
        <v>71.8653786361958</v>
      </c>
      <c r="O27" s="277">
        <v>66.144885019172918</v>
      </c>
      <c r="P27" s="277">
        <v>52.501317828328666</v>
      </c>
      <c r="Q27" s="277">
        <v>38.288440584501856</v>
      </c>
      <c r="R27" s="275">
        <v>29.533814899559559</v>
      </c>
      <c r="S27" s="277"/>
      <c r="T27" s="277">
        <v>0</v>
      </c>
      <c r="U27" s="277">
        <v>0</v>
      </c>
      <c r="V27" s="277">
        <v>0</v>
      </c>
      <c r="W27" s="277">
        <v>0</v>
      </c>
      <c r="X27" s="275">
        <v>0</v>
      </c>
      <c r="Y27" s="269" t="str">
        <f>$A$13</f>
        <v>40-44</v>
      </c>
      <c r="Z27" s="277">
        <v>173.78731454334542</v>
      </c>
      <c r="AA27" s="277">
        <v>163.77527356450886</v>
      </c>
      <c r="AB27" s="277">
        <v>162.60647900072252</v>
      </c>
      <c r="AC27" s="277">
        <v>166.47427183086532</v>
      </c>
      <c r="AD27" s="275">
        <v>181.69643068872716</v>
      </c>
      <c r="AE27" s="277"/>
      <c r="AF27" s="277">
        <v>165.32689297611799</v>
      </c>
      <c r="AG27" s="277">
        <v>155.80222756557217</v>
      </c>
      <c r="AH27" s="277">
        <v>154.69035923872957</v>
      </c>
      <c r="AI27" s="277">
        <v>158.36986274844344</v>
      </c>
      <c r="AJ27" s="275">
        <v>172.85093659793318</v>
      </c>
      <c r="AK27" s="277"/>
      <c r="AL27" s="277">
        <v>8.4604215672274528</v>
      </c>
      <c r="AM27" s="277">
        <v>7.9730459989366764</v>
      </c>
      <c r="AN27" s="277">
        <v>7.9161197619929249</v>
      </c>
      <c r="AO27" s="277">
        <v>8.1044090824218635</v>
      </c>
      <c r="AP27" s="275">
        <v>8.8454940907939719</v>
      </c>
      <c r="AQ27" s="269" t="str">
        <f t="shared" si="32"/>
        <v>40-44</v>
      </c>
      <c r="AR27" s="277">
        <v>128.62610521670734</v>
      </c>
      <c r="AS27" s="277">
        <v>136.39037289914091</v>
      </c>
      <c r="AT27" s="277">
        <v>148.07052492494154</v>
      </c>
      <c r="AU27" s="277">
        <v>154.31647948721056</v>
      </c>
      <c r="AV27" s="275">
        <v>171.30987767008435</v>
      </c>
      <c r="AW27" s="277"/>
      <c r="AX27" s="277">
        <v>125.76772964125814</v>
      </c>
      <c r="AY27" s="277">
        <v>133.35947800784845</v>
      </c>
      <c r="AZ27" s="277">
        <v>144.78005921667193</v>
      </c>
      <c r="BA27" s="277">
        <v>150.88727091047099</v>
      </c>
      <c r="BB27" s="275">
        <v>167.50296624498654</v>
      </c>
      <c r="BC27" s="277"/>
      <c r="BD27" s="277">
        <v>2.8583755754492008</v>
      </c>
      <c r="BE27" s="277">
        <v>3.030894891292423</v>
      </c>
      <c r="BF27" s="277">
        <v>3.2904657082695943</v>
      </c>
      <c r="BG27" s="277">
        <v>3.4292085767395757</v>
      </c>
      <c r="BH27" s="275">
        <v>3.8069114250978413</v>
      </c>
    </row>
    <row r="28" spans="1:60" s="168" customFormat="1" x14ac:dyDescent="0.25">
      <c r="A28" s="269" t="str">
        <f>$A$14</f>
        <v>45-49</v>
      </c>
      <c r="B28" s="277">
        <v>133.05883203982552</v>
      </c>
      <c r="C28" s="277">
        <v>130.62922404585686</v>
      </c>
      <c r="D28" s="277">
        <v>99.593963362259984</v>
      </c>
      <c r="E28" s="277">
        <v>77.436632042573009</v>
      </c>
      <c r="F28" s="275">
        <v>59.492715137111858</v>
      </c>
      <c r="G28" s="277"/>
      <c r="H28" s="277">
        <v>45.027200591392536</v>
      </c>
      <c r="I28" s="277">
        <v>44.204981813015024</v>
      </c>
      <c r="J28" s="277">
        <v>33.702642640591492</v>
      </c>
      <c r="K28" s="277">
        <v>26.204594261379921</v>
      </c>
      <c r="L28" s="275">
        <v>20.132393786098973</v>
      </c>
      <c r="M28" s="277"/>
      <c r="N28" s="277">
        <v>88.031631448432989</v>
      </c>
      <c r="O28" s="277">
        <v>86.424242232841848</v>
      </c>
      <c r="P28" s="277">
        <v>65.891320721668478</v>
      </c>
      <c r="Q28" s="277">
        <v>51.232037781193085</v>
      </c>
      <c r="R28" s="275">
        <v>39.360321351012892</v>
      </c>
      <c r="S28" s="277"/>
      <c r="T28" s="277">
        <v>0</v>
      </c>
      <c r="U28" s="277">
        <v>0</v>
      </c>
      <c r="V28" s="277">
        <v>0</v>
      </c>
      <c r="W28" s="277">
        <v>0</v>
      </c>
      <c r="X28" s="275">
        <v>0</v>
      </c>
      <c r="Y28" s="269" t="str">
        <f>$A$14</f>
        <v>45-49</v>
      </c>
      <c r="Z28" s="277">
        <v>147.70040930140374</v>
      </c>
      <c r="AA28" s="277">
        <v>150.78309476094216</v>
      </c>
      <c r="AB28" s="277">
        <v>165.92406107867228</v>
      </c>
      <c r="AC28" s="277">
        <v>170.02775905499576</v>
      </c>
      <c r="AD28" s="275">
        <v>173.29143493241449</v>
      </c>
      <c r="AE28" s="277"/>
      <c r="AF28" s="277">
        <v>141.54694322175274</v>
      </c>
      <c r="AG28" s="277">
        <v>144.50116492117996</v>
      </c>
      <c r="AH28" s="277">
        <v>159.01136074679223</v>
      </c>
      <c r="AI28" s="277">
        <v>162.94414401206637</v>
      </c>
      <c r="AJ28" s="275">
        <v>166.07180166684751</v>
      </c>
      <c r="AK28" s="277"/>
      <c r="AL28" s="277">
        <v>6.1534660796509844</v>
      </c>
      <c r="AM28" s="277">
        <v>6.2819298397621735</v>
      </c>
      <c r="AN28" s="277">
        <v>6.9127003318800542</v>
      </c>
      <c r="AO28" s="277">
        <v>7.0836150429293721</v>
      </c>
      <c r="AP28" s="275">
        <v>7.2196332655670084</v>
      </c>
      <c r="AQ28" s="269" t="str">
        <f t="shared" si="32"/>
        <v>45-49</v>
      </c>
      <c r="AR28" s="277">
        <v>123.31275865877076</v>
      </c>
      <c r="AS28" s="277">
        <v>132.41368119320103</v>
      </c>
      <c r="AT28" s="277">
        <v>140.53797555906777</v>
      </c>
      <c r="AU28" s="277">
        <v>145.28260890243126</v>
      </c>
      <c r="AV28" s="275">
        <v>149.41884993047367</v>
      </c>
      <c r="AW28" s="277"/>
      <c r="AX28" s="277">
        <v>120.05066515719325</v>
      </c>
      <c r="AY28" s="277">
        <v>128.91090449693274</v>
      </c>
      <c r="AZ28" s="277">
        <v>136.82028565996129</v>
      </c>
      <c r="BA28" s="277">
        <v>141.4394248982336</v>
      </c>
      <c r="BB28" s="275">
        <v>145.46618310656098</v>
      </c>
      <c r="BC28" s="277"/>
      <c r="BD28" s="277">
        <v>3.2620935015775157</v>
      </c>
      <c r="BE28" s="277">
        <v>3.5027766962682798</v>
      </c>
      <c r="BF28" s="277">
        <v>3.7176898991064919</v>
      </c>
      <c r="BG28" s="277">
        <v>3.8431840041976795</v>
      </c>
      <c r="BH28" s="275">
        <v>3.952666823912681</v>
      </c>
    </row>
    <row r="29" spans="1:60" s="168" customFormat="1" x14ac:dyDescent="0.25">
      <c r="A29" s="269" t="str">
        <f>$A$15</f>
        <v>50-54</v>
      </c>
      <c r="B29" s="277">
        <v>142.62528866518252</v>
      </c>
      <c r="C29" s="277">
        <v>144.67879652164194</v>
      </c>
      <c r="D29" s="277">
        <v>129.89288976403338</v>
      </c>
      <c r="E29" s="277">
        <v>108.5906384249285</v>
      </c>
      <c r="F29" s="275">
        <v>88.797023806023716</v>
      </c>
      <c r="G29" s="277"/>
      <c r="H29" s="277">
        <v>58.809677206890292</v>
      </c>
      <c r="I29" s="277">
        <v>59.656444402939428</v>
      </c>
      <c r="J29" s="277">
        <v>53.559622114055813</v>
      </c>
      <c r="K29" s="277">
        <v>44.77589197427843</v>
      </c>
      <c r="L29" s="275">
        <v>36.614290916009523</v>
      </c>
      <c r="M29" s="277"/>
      <c r="N29" s="277">
        <v>83.815611458292224</v>
      </c>
      <c r="O29" s="277">
        <v>85.022352118702528</v>
      </c>
      <c r="P29" s="277">
        <v>76.333267649977572</v>
      </c>
      <c r="Q29" s="277">
        <v>63.814746450650077</v>
      </c>
      <c r="R29" s="275">
        <v>52.182732890014194</v>
      </c>
      <c r="S29" s="277"/>
      <c r="T29" s="277">
        <v>0</v>
      </c>
      <c r="U29" s="277">
        <v>0</v>
      </c>
      <c r="V29" s="277">
        <v>0</v>
      </c>
      <c r="W29" s="277">
        <v>0</v>
      </c>
      <c r="X29" s="275">
        <v>0</v>
      </c>
      <c r="Y29" s="269" t="str">
        <f>$A$15</f>
        <v>50-54</v>
      </c>
      <c r="Z29" s="277">
        <v>128.12433076039389</v>
      </c>
      <c r="AA29" s="277">
        <v>131.63132793945925</v>
      </c>
      <c r="AB29" s="277">
        <v>150.56527705284162</v>
      </c>
      <c r="AC29" s="277">
        <v>157.47681805010433</v>
      </c>
      <c r="AD29" s="275">
        <v>161.81424705237774</v>
      </c>
      <c r="AE29" s="277"/>
      <c r="AF29" s="277">
        <v>122.55278649675924</v>
      </c>
      <c r="AG29" s="277">
        <v>125.90722170135525</v>
      </c>
      <c r="AH29" s="277">
        <v>144.01786562915689</v>
      </c>
      <c r="AI29" s="277">
        <v>150.62881683229153</v>
      </c>
      <c r="AJ29" s="275">
        <v>154.77764225506792</v>
      </c>
      <c r="AK29" s="277"/>
      <c r="AL29" s="277">
        <v>5.5715442636346637</v>
      </c>
      <c r="AM29" s="277">
        <v>5.7241062381040022</v>
      </c>
      <c r="AN29" s="277">
        <v>6.5474114236847223</v>
      </c>
      <c r="AO29" s="277">
        <v>6.848001217812798</v>
      </c>
      <c r="AP29" s="275">
        <v>7.0366047973098143</v>
      </c>
      <c r="AQ29" s="269" t="str">
        <f t="shared" si="32"/>
        <v>50-54</v>
      </c>
      <c r="AR29" s="277">
        <v>99.533380574423589</v>
      </c>
      <c r="AS29" s="277">
        <v>107.85887553889877</v>
      </c>
      <c r="AT29" s="277">
        <v>131.66083318312499</v>
      </c>
      <c r="AU29" s="277">
        <v>136.99154352496717</v>
      </c>
      <c r="AV29" s="275">
        <v>140.23672914159854</v>
      </c>
      <c r="AW29" s="277"/>
      <c r="AX29" s="277">
        <v>96.536032850777929</v>
      </c>
      <c r="AY29" s="277">
        <v>104.61089167560138</v>
      </c>
      <c r="AZ29" s="277">
        <v>127.6960784524572</v>
      </c>
      <c r="BA29" s="277">
        <v>132.86627000855998</v>
      </c>
      <c r="BB29" s="275">
        <v>136.01369492085831</v>
      </c>
      <c r="BC29" s="277"/>
      <c r="BD29" s="277">
        <v>2.9973477236456505</v>
      </c>
      <c r="BE29" s="277">
        <v>3.2479838632974087</v>
      </c>
      <c r="BF29" s="277">
        <v>3.9647547306677895</v>
      </c>
      <c r="BG29" s="277">
        <v>4.1252735164071801</v>
      </c>
      <c r="BH29" s="275">
        <v>4.2230342207402218</v>
      </c>
    </row>
    <row r="30" spans="1:60" s="168" customFormat="1" x14ac:dyDescent="0.25">
      <c r="A30" s="269" t="str">
        <f>$A$16</f>
        <v>55-59</v>
      </c>
      <c r="B30" s="277">
        <v>142.02345355885194</v>
      </c>
      <c r="C30" s="277">
        <v>143.44952230302076</v>
      </c>
      <c r="D30" s="277">
        <v>139.14959212331905</v>
      </c>
      <c r="E30" s="277">
        <v>133.10606492478584</v>
      </c>
      <c r="F30" s="275">
        <v>109.14650779855604</v>
      </c>
      <c r="G30" s="277"/>
      <c r="H30" s="277">
        <v>65.471577847382605</v>
      </c>
      <c r="I30" s="277">
        <v>66.128938994656224</v>
      </c>
      <c r="J30" s="277">
        <v>64.146760401718026</v>
      </c>
      <c r="K30" s="277">
        <v>61.360743377948751</v>
      </c>
      <c r="L30" s="275">
        <v>50.315564885494574</v>
      </c>
      <c r="M30" s="277"/>
      <c r="N30" s="277">
        <v>76.551875711469307</v>
      </c>
      <c r="O30" s="277">
        <v>77.320583308364533</v>
      </c>
      <c r="P30" s="277">
        <v>75.002831721601012</v>
      </c>
      <c r="Q30" s="277">
        <v>71.74532154683709</v>
      </c>
      <c r="R30" s="275">
        <v>58.830942913061456</v>
      </c>
      <c r="S30" s="277"/>
      <c r="T30" s="277">
        <v>0</v>
      </c>
      <c r="U30" s="277">
        <v>0</v>
      </c>
      <c r="V30" s="277">
        <v>0</v>
      </c>
      <c r="W30" s="277">
        <v>0</v>
      </c>
      <c r="X30" s="275">
        <v>0</v>
      </c>
      <c r="Y30" s="269" t="str">
        <f>$A$16</f>
        <v>55-59</v>
      </c>
      <c r="Z30" s="277">
        <v>109.05588764571488</v>
      </c>
      <c r="AA30" s="277">
        <v>103.02668159053177</v>
      </c>
      <c r="AB30" s="277">
        <v>125.61808852626254</v>
      </c>
      <c r="AC30" s="277">
        <v>146.63086089061352</v>
      </c>
      <c r="AD30" s="275">
        <v>154.81770782548793</v>
      </c>
      <c r="AE30" s="277"/>
      <c r="AF30" s="277">
        <v>103.75944425598405</v>
      </c>
      <c r="AG30" s="277">
        <v>98.023014500202649</v>
      </c>
      <c r="AH30" s="277">
        <v>119.51727296970975</v>
      </c>
      <c r="AI30" s="277">
        <v>139.509472215926</v>
      </c>
      <c r="AJ30" s="275">
        <v>147.29874653579841</v>
      </c>
      <c r="AK30" s="277"/>
      <c r="AL30" s="277">
        <v>5.296443389730813</v>
      </c>
      <c r="AM30" s="277">
        <v>5.0036670903291043</v>
      </c>
      <c r="AN30" s="277">
        <v>6.1008155565527895</v>
      </c>
      <c r="AO30" s="277">
        <v>7.1213886746875295</v>
      </c>
      <c r="AP30" s="275">
        <v>7.5189612896894937</v>
      </c>
      <c r="AQ30" s="269" t="str">
        <f t="shared" si="32"/>
        <v>55-59</v>
      </c>
      <c r="AR30" s="277">
        <v>86.859658795433134</v>
      </c>
      <c r="AS30" s="277">
        <v>96.998796106447443</v>
      </c>
      <c r="AT30" s="277">
        <v>110.9803193504184</v>
      </c>
      <c r="AU30" s="277">
        <v>123.37107418460066</v>
      </c>
      <c r="AV30" s="275">
        <v>131.50178437595608</v>
      </c>
      <c r="AW30" s="277"/>
      <c r="AX30" s="277">
        <v>84.146035314499002</v>
      </c>
      <c r="AY30" s="277">
        <v>93.968368312463639</v>
      </c>
      <c r="AZ30" s="277">
        <v>107.5131451192468</v>
      </c>
      <c r="BA30" s="277">
        <v>119.51673817354288</v>
      </c>
      <c r="BB30" s="275">
        <v>127.3934508351265</v>
      </c>
      <c r="BC30" s="277"/>
      <c r="BD30" s="277">
        <v>2.7136234809341366</v>
      </c>
      <c r="BE30" s="277">
        <v>3.030427793983804</v>
      </c>
      <c r="BF30" s="277">
        <v>3.4671742311715938</v>
      </c>
      <c r="BG30" s="277">
        <v>3.8543360110577858</v>
      </c>
      <c r="BH30" s="275">
        <v>4.1083335408295882</v>
      </c>
    </row>
    <row r="31" spans="1:60" s="168" customFormat="1" x14ac:dyDescent="0.25">
      <c r="A31" s="269" t="str">
        <f>$A$17</f>
        <v>60-64</v>
      </c>
      <c r="B31" s="277">
        <v>135.20871159850742</v>
      </c>
      <c r="C31" s="277">
        <v>139.14227803640441</v>
      </c>
      <c r="D31" s="277">
        <v>130.14619876262617</v>
      </c>
      <c r="E31" s="277">
        <v>116.92965912610188</v>
      </c>
      <c r="F31" s="275">
        <v>97.821165625616288</v>
      </c>
      <c r="G31" s="277"/>
      <c r="H31" s="277">
        <v>70.289274754240722</v>
      </c>
      <c r="I31" s="277">
        <v>72.334142210216811</v>
      </c>
      <c r="J31" s="277">
        <v>67.657493952962056</v>
      </c>
      <c r="K31" s="277">
        <v>60.786778379352796</v>
      </c>
      <c r="L31" s="275">
        <v>50.853075153050249</v>
      </c>
      <c r="M31" s="277"/>
      <c r="N31" s="277">
        <v>64.919436844266713</v>
      </c>
      <c r="O31" s="277">
        <v>66.808135826187581</v>
      </c>
      <c r="P31" s="277">
        <v>62.488704809664121</v>
      </c>
      <c r="Q31" s="277">
        <v>56.142880746749078</v>
      </c>
      <c r="R31" s="275">
        <v>46.968090472566033</v>
      </c>
      <c r="S31" s="277"/>
      <c r="T31" s="277">
        <v>0</v>
      </c>
      <c r="U31" s="277">
        <v>0</v>
      </c>
      <c r="V31" s="277">
        <v>0</v>
      </c>
      <c r="W31" s="277">
        <v>0</v>
      </c>
      <c r="X31" s="275">
        <v>0</v>
      </c>
      <c r="Y31" s="269" t="str">
        <f>$A$17</f>
        <v>60-64</v>
      </c>
      <c r="Z31" s="277">
        <v>86.312916170074814</v>
      </c>
      <c r="AA31" s="277">
        <v>87.978682675397692</v>
      </c>
      <c r="AB31" s="277">
        <v>102.45961005200583</v>
      </c>
      <c r="AC31" s="277">
        <v>124.91232684164649</v>
      </c>
      <c r="AD31" s="275">
        <v>146.90533839921289</v>
      </c>
      <c r="AE31" s="277"/>
      <c r="AF31" s="277">
        <v>82.494145323393639</v>
      </c>
      <c r="AG31" s="277">
        <v>84.086253978523061</v>
      </c>
      <c r="AH31" s="277">
        <v>97.926456664959204</v>
      </c>
      <c r="AI31" s="277">
        <v>119.38584315305835</v>
      </c>
      <c r="AJ31" s="275">
        <v>140.40583035374158</v>
      </c>
      <c r="AK31" s="277"/>
      <c r="AL31" s="277">
        <v>3.8187708466811769</v>
      </c>
      <c r="AM31" s="277">
        <v>3.8924286968746324</v>
      </c>
      <c r="AN31" s="277">
        <v>4.533153387046621</v>
      </c>
      <c r="AO31" s="277">
        <v>5.5264836885881472</v>
      </c>
      <c r="AP31" s="275">
        <v>6.4995080454712904</v>
      </c>
      <c r="AQ31" s="269" t="str">
        <f t="shared" si="32"/>
        <v>60-64</v>
      </c>
      <c r="AR31" s="277">
        <v>67.855372231417789</v>
      </c>
      <c r="AS31" s="277">
        <v>83.945039288197918</v>
      </c>
      <c r="AT31" s="277">
        <v>95.468191185367971</v>
      </c>
      <c r="AU31" s="277">
        <v>119.10401403225165</v>
      </c>
      <c r="AV31" s="275">
        <v>144.11749597517081</v>
      </c>
      <c r="AW31" s="277"/>
      <c r="AX31" s="277">
        <v>65.304426563134072</v>
      </c>
      <c r="AY31" s="277">
        <v>80.789147061586561</v>
      </c>
      <c r="AZ31" s="277">
        <v>91.879108865414764</v>
      </c>
      <c r="BA31" s="277">
        <v>114.62635921396409</v>
      </c>
      <c r="BB31" s="275">
        <v>138.69950783520864</v>
      </c>
      <c r="BC31" s="277"/>
      <c r="BD31" s="277">
        <v>2.5509456682837173</v>
      </c>
      <c r="BE31" s="277">
        <v>3.1558922266113782</v>
      </c>
      <c r="BF31" s="277">
        <v>3.5890823199532207</v>
      </c>
      <c r="BG31" s="277">
        <v>4.4776548182875615</v>
      </c>
      <c r="BH31" s="275">
        <v>5.4179881399621461</v>
      </c>
    </row>
    <row r="32" spans="1:60" s="168" customFormat="1" x14ac:dyDescent="0.25">
      <c r="A32" s="269" t="str">
        <f>$A$18</f>
        <v>65+</v>
      </c>
      <c r="B32" s="277">
        <v>413.27348346987924</v>
      </c>
      <c r="C32" s="277">
        <v>413.22199816727857</v>
      </c>
      <c r="D32" s="277">
        <v>382.42661647142006</v>
      </c>
      <c r="E32" s="277">
        <v>344.26916975565996</v>
      </c>
      <c r="F32" s="275">
        <v>299.66486973953153</v>
      </c>
      <c r="G32" s="277"/>
      <c r="H32" s="277">
        <v>280.86103102264485</v>
      </c>
      <c r="I32" s="277">
        <v>280.82599650665259</v>
      </c>
      <c r="J32" s="277">
        <v>259.89747790143747</v>
      </c>
      <c r="K32" s="277">
        <v>233.96563126418033</v>
      </c>
      <c r="L32" s="275">
        <v>203.65250932991842</v>
      </c>
      <c r="M32" s="277"/>
      <c r="N32" s="277">
        <v>132.41245244723444</v>
      </c>
      <c r="O32" s="277">
        <v>132.39600166062604</v>
      </c>
      <c r="P32" s="277">
        <v>122.52913856998256</v>
      </c>
      <c r="Q32" s="277">
        <v>110.30353849147959</v>
      </c>
      <c r="R32" s="275">
        <v>96.012360409613152</v>
      </c>
      <c r="S32" s="277"/>
      <c r="T32" s="277">
        <v>0</v>
      </c>
      <c r="U32" s="277">
        <v>0</v>
      </c>
      <c r="V32" s="277">
        <v>0</v>
      </c>
      <c r="W32" s="277">
        <v>0</v>
      </c>
      <c r="X32" s="275">
        <v>0</v>
      </c>
      <c r="Y32" s="269" t="str">
        <f>$A$18</f>
        <v>65+</v>
      </c>
      <c r="Z32" s="277">
        <v>183.28798651698779</v>
      </c>
      <c r="AA32" s="277">
        <v>198.84833199585475</v>
      </c>
      <c r="AB32" s="277">
        <v>264.78812722486305</v>
      </c>
      <c r="AC32" s="277">
        <v>324.20846857729254</v>
      </c>
      <c r="AD32" s="275">
        <v>390.52526772257721</v>
      </c>
      <c r="AE32" s="277"/>
      <c r="AF32" s="277">
        <v>175.04417159553057</v>
      </c>
      <c r="AG32" s="277">
        <v>189.90464961003784</v>
      </c>
      <c r="AH32" s="277">
        <v>252.8787207130141</v>
      </c>
      <c r="AI32" s="277">
        <v>309.62643682093773</v>
      </c>
      <c r="AJ32" s="275">
        <v>372.96056409867555</v>
      </c>
      <c r="AK32" s="277"/>
      <c r="AL32" s="277">
        <v>8.243814921457215</v>
      </c>
      <c r="AM32" s="277">
        <v>8.9436823858169294</v>
      </c>
      <c r="AN32" s="277">
        <v>11.909406511848935</v>
      </c>
      <c r="AO32" s="277">
        <v>14.582031756354773</v>
      </c>
      <c r="AP32" s="275">
        <v>17.564703623901661</v>
      </c>
      <c r="AQ32" s="269" t="str">
        <f t="shared" si="32"/>
        <v>65+</v>
      </c>
      <c r="AR32" s="277">
        <v>164.37253001313297</v>
      </c>
      <c r="AS32" s="277">
        <v>172.14466983686671</v>
      </c>
      <c r="AT32" s="277">
        <v>232.36725630371686</v>
      </c>
      <c r="AU32" s="277">
        <v>309.43936166704759</v>
      </c>
      <c r="AV32" s="275">
        <v>407.37086253789136</v>
      </c>
      <c r="AW32" s="277"/>
      <c r="AX32" s="277">
        <v>157.65906224959758</v>
      </c>
      <c r="AY32" s="277">
        <v>165.11377610213441</v>
      </c>
      <c r="AZ32" s="277">
        <v>222.87664185404887</v>
      </c>
      <c r="BA32" s="277">
        <v>296.80092091622549</v>
      </c>
      <c r="BB32" s="275">
        <v>390.73259978076936</v>
      </c>
      <c r="BC32" s="277"/>
      <c r="BD32" s="277">
        <v>6.7134677635354318</v>
      </c>
      <c r="BE32" s="277">
        <v>7.0308937347323051</v>
      </c>
      <c r="BF32" s="277">
        <v>9.4906144496679747</v>
      </c>
      <c r="BG32" s="277">
        <v>12.63844075082217</v>
      </c>
      <c r="BH32" s="275">
        <v>16.638262757122035</v>
      </c>
    </row>
    <row r="33" spans="1:60" s="168" customFormat="1" x14ac:dyDescent="0.25">
      <c r="B33" s="277"/>
      <c r="C33" s="277"/>
      <c r="D33" s="277"/>
      <c r="E33" s="277"/>
      <c r="F33" s="275"/>
      <c r="G33" s="275"/>
      <c r="H33" s="275"/>
      <c r="I33" s="275"/>
      <c r="J33" s="275"/>
      <c r="K33" s="275"/>
      <c r="L33" s="275"/>
      <c r="M33" s="275"/>
      <c r="N33" s="275"/>
      <c r="O33" s="275"/>
      <c r="P33" s="275"/>
      <c r="Q33" s="275"/>
      <c r="R33" s="275"/>
      <c r="S33" s="275"/>
      <c r="T33" s="169"/>
      <c r="U33" s="169"/>
      <c r="V33" s="169"/>
      <c r="W33" s="169"/>
      <c r="X33" s="169"/>
      <c r="Z33" s="277"/>
      <c r="AA33" s="277"/>
      <c r="AB33" s="277"/>
      <c r="AC33" s="277"/>
      <c r="AD33" s="275"/>
      <c r="AE33" s="275"/>
      <c r="AF33" s="275"/>
      <c r="AG33" s="275"/>
      <c r="AH33" s="275"/>
      <c r="AI33" s="275"/>
      <c r="AJ33" s="275"/>
      <c r="AK33" s="275"/>
      <c r="AL33" s="275"/>
      <c r="AM33" s="275"/>
      <c r="AN33" s="275"/>
      <c r="AO33" s="275"/>
      <c r="AP33" s="275"/>
      <c r="AR33" s="277"/>
      <c r="AS33" s="277"/>
      <c r="AT33" s="277"/>
      <c r="AU33" s="277"/>
      <c r="AV33" s="275"/>
      <c r="AW33" s="275"/>
      <c r="AX33" s="275"/>
      <c r="AY33" s="275"/>
      <c r="AZ33" s="275"/>
      <c r="BA33" s="275"/>
      <c r="BB33" s="275"/>
      <c r="BC33" s="275"/>
      <c r="BD33" s="275"/>
      <c r="BE33" s="275"/>
      <c r="BF33" s="275"/>
      <c r="BG33" s="275"/>
      <c r="BH33" s="275"/>
    </row>
    <row r="34" spans="1:60" s="168" customFormat="1" x14ac:dyDescent="0.25">
      <c r="A34" s="224" t="s">
        <v>99</v>
      </c>
      <c r="B34" s="277"/>
      <c r="C34" s="277"/>
      <c r="D34" s="277"/>
      <c r="E34" s="277"/>
      <c r="F34" s="275"/>
      <c r="G34" s="275"/>
      <c r="H34" s="275"/>
      <c r="I34" s="275"/>
      <c r="J34" s="275"/>
      <c r="K34" s="275"/>
      <c r="L34" s="275"/>
      <c r="M34" s="275"/>
      <c r="N34" s="275"/>
      <c r="O34" s="275"/>
      <c r="P34" s="275"/>
      <c r="Q34" s="275"/>
      <c r="R34" s="275"/>
      <c r="S34" s="275"/>
      <c r="T34" s="169"/>
      <c r="U34" s="169"/>
      <c r="V34" s="169"/>
      <c r="W34" s="169"/>
      <c r="X34" s="169"/>
      <c r="Y34" s="224" t="str">
        <f>A34</f>
        <v>Females</v>
      </c>
      <c r="Z34" s="278"/>
      <c r="AA34" s="278"/>
      <c r="AB34" s="278"/>
      <c r="AC34" s="278"/>
      <c r="AD34" s="275"/>
      <c r="AE34" s="275"/>
      <c r="AF34" s="275"/>
      <c r="AG34" s="275"/>
      <c r="AH34" s="275"/>
      <c r="AI34" s="275"/>
      <c r="AJ34" s="275"/>
      <c r="AK34" s="275"/>
      <c r="AL34" s="275"/>
      <c r="AM34" s="275"/>
      <c r="AN34" s="275"/>
      <c r="AO34" s="275"/>
      <c r="AP34" s="275"/>
      <c r="AQ34" s="224" t="str">
        <f>A34</f>
        <v>Females</v>
      </c>
      <c r="AR34" s="278"/>
      <c r="AS34" s="278"/>
      <c r="AT34" s="278"/>
      <c r="AU34" s="278"/>
      <c r="AV34" s="275"/>
      <c r="AW34" s="275"/>
      <c r="AX34" s="275"/>
      <c r="AY34" s="275"/>
      <c r="AZ34" s="275"/>
      <c r="BA34" s="275"/>
      <c r="BB34" s="275"/>
      <c r="BC34" s="275"/>
      <c r="BD34" s="275"/>
      <c r="BE34" s="275"/>
      <c r="BF34" s="275"/>
      <c r="BG34" s="275"/>
      <c r="BH34" s="275"/>
    </row>
    <row r="35" spans="1:60" s="168" customFormat="1" x14ac:dyDescent="0.25">
      <c r="A35" s="269" t="str">
        <f>$A$7</f>
        <v>15+</v>
      </c>
      <c r="B35" s="277">
        <f>SUM(B36:B46)</f>
        <v>1839.2166575000715</v>
      </c>
      <c r="C35" s="277">
        <f t="shared" ref="C35:F35" si="33">SUM(C36:C46)</f>
        <v>1786.0603742980511</v>
      </c>
      <c r="D35" s="277">
        <f t="shared" si="33"/>
        <v>1572.103997262989</v>
      </c>
      <c r="E35" s="277">
        <f t="shared" si="33"/>
        <v>1350.9626109662327</v>
      </c>
      <c r="F35" s="277">
        <f t="shared" si="33"/>
        <v>1143.3207917146487</v>
      </c>
      <c r="G35" s="275"/>
      <c r="H35" s="277">
        <f>SUM(H36:H46)</f>
        <v>963.2794859618532</v>
      </c>
      <c r="I35" s="277">
        <f t="shared" ref="I35:L35" si="34">SUM(I36:I46)</f>
        <v>932.67382880597597</v>
      </c>
      <c r="J35" s="277">
        <f t="shared" si="34"/>
        <v>822.41738994957336</v>
      </c>
      <c r="K35" s="277">
        <f t="shared" si="34"/>
        <v>699.51116772963974</v>
      </c>
      <c r="L35" s="277">
        <f t="shared" si="34"/>
        <v>576.46624793891874</v>
      </c>
      <c r="M35" s="275"/>
      <c r="N35" s="277">
        <f>SUM(N36:N46)</f>
        <v>875.93717153821831</v>
      </c>
      <c r="O35" s="277">
        <f t="shared" ref="O35:R35" si="35">SUM(O36:O46)</f>
        <v>853.38654549207513</v>
      </c>
      <c r="P35" s="277">
        <f t="shared" si="35"/>
        <v>749.68660731341538</v>
      </c>
      <c r="Q35" s="277">
        <f t="shared" si="35"/>
        <v>651.45144323659315</v>
      </c>
      <c r="R35" s="277">
        <f t="shared" si="35"/>
        <v>566.85454377573012</v>
      </c>
      <c r="S35" s="275"/>
      <c r="T35" s="277">
        <f>SUM(T36:T46)</f>
        <v>0</v>
      </c>
      <c r="U35" s="277">
        <f t="shared" ref="U35:X35" si="36">SUM(U36:U46)</f>
        <v>0</v>
      </c>
      <c r="V35" s="277">
        <f t="shared" si="36"/>
        <v>0</v>
      </c>
      <c r="W35" s="277">
        <f t="shared" si="36"/>
        <v>0</v>
      </c>
      <c r="X35" s="277">
        <f t="shared" si="36"/>
        <v>0</v>
      </c>
      <c r="Y35" s="269" t="str">
        <f>$A$7</f>
        <v>15+</v>
      </c>
      <c r="Z35" s="277">
        <f>SUM(Z36:Z46)</f>
        <v>1514.4894356563314</v>
      </c>
      <c r="AA35" s="277">
        <f t="shared" ref="AA35:AD35" si="37">SUM(AA36:AA46)</f>
        <v>1503.6765075089238</v>
      </c>
      <c r="AB35" s="277">
        <f t="shared" si="37"/>
        <v>1659.9026427502681</v>
      </c>
      <c r="AC35" s="277">
        <f t="shared" si="37"/>
        <v>1797.4464428451124</v>
      </c>
      <c r="AD35" s="277">
        <f t="shared" si="37"/>
        <v>1939.4301277122679</v>
      </c>
      <c r="AE35" s="277"/>
      <c r="AF35" s="277">
        <f>SUM(AF36:AF46)</f>
        <v>1427.6490102140683</v>
      </c>
      <c r="AG35" s="277">
        <f t="shared" ref="AG35:AJ35" si="38">SUM(AG36:AG46)</f>
        <v>1417.9494245743583</v>
      </c>
      <c r="AH35" s="277">
        <f t="shared" si="38"/>
        <v>1565.6898030959378</v>
      </c>
      <c r="AI35" s="277">
        <f t="shared" si="38"/>
        <v>1695.8037388732168</v>
      </c>
      <c r="AJ35" s="277">
        <f t="shared" si="38"/>
        <v>1830.7085872896366</v>
      </c>
      <c r="AK35" s="277"/>
      <c r="AL35" s="277">
        <f>SUM(AL36:AL46)</f>
        <v>86.840425442262955</v>
      </c>
      <c r="AM35" s="277">
        <f t="shared" ref="AM35:AP35" si="39">SUM(AM36:AM46)</f>
        <v>85.727082934565459</v>
      </c>
      <c r="AN35" s="277">
        <f t="shared" si="39"/>
        <v>94.212839654330281</v>
      </c>
      <c r="AO35" s="277">
        <f t="shared" si="39"/>
        <v>101.64270397189549</v>
      </c>
      <c r="AP35" s="277">
        <f t="shared" si="39"/>
        <v>108.72154042263139</v>
      </c>
      <c r="AQ35" s="269" t="str">
        <f>$A$7</f>
        <v>15+</v>
      </c>
      <c r="AR35" s="277">
        <f>SUM(AR36:AR46)</f>
        <v>1208.4819068435977</v>
      </c>
      <c r="AS35" s="277">
        <f t="shared" ref="AS35:AV35" si="40">SUM(AS36:AS46)</f>
        <v>1342.1641181930254</v>
      </c>
      <c r="AT35" s="277">
        <f t="shared" si="40"/>
        <v>1576.2403599867432</v>
      </c>
      <c r="AU35" s="277">
        <f t="shared" si="40"/>
        <v>1829.5899461886547</v>
      </c>
      <c r="AV35" s="277">
        <f t="shared" si="40"/>
        <v>2104.1100805730839</v>
      </c>
      <c r="AW35" s="277"/>
      <c r="AX35" s="277">
        <f>SUM(AX36:AX46)</f>
        <v>1195.8231128172695</v>
      </c>
      <c r="AY35" s="277">
        <f t="shared" ref="AY35:BB35" si="41">SUM(AY36:AY46)</f>
        <v>1327.9996346900398</v>
      </c>
      <c r="AZ35" s="277">
        <f t="shared" si="41"/>
        <v>1559.651180973065</v>
      </c>
      <c r="BA35" s="277">
        <f t="shared" si="41"/>
        <v>1810.1453176220125</v>
      </c>
      <c r="BB35" s="277">
        <f t="shared" si="41"/>
        <v>2081.5851755357075</v>
      </c>
      <c r="BC35" s="277"/>
      <c r="BD35" s="277">
        <f>SUM(BD36:BD46)</f>
        <v>12.658794026328057</v>
      </c>
      <c r="BE35" s="277">
        <f t="shared" ref="BE35:BH35" si="42">SUM(BE36:BE46)</f>
        <v>14.164483502985499</v>
      </c>
      <c r="BF35" s="277">
        <f t="shared" si="42"/>
        <v>16.589179013678287</v>
      </c>
      <c r="BG35" s="277">
        <f t="shared" si="42"/>
        <v>19.444628566642407</v>
      </c>
      <c r="BH35" s="277">
        <f t="shared" si="42"/>
        <v>22.524905037375824</v>
      </c>
    </row>
    <row r="36" spans="1:60" s="168" customFormat="1" x14ac:dyDescent="0.25">
      <c r="A36" s="269" t="str">
        <f>$A$8</f>
        <v>15-19</v>
      </c>
      <c r="B36" s="277">
        <v>235.75197725192589</v>
      </c>
      <c r="C36" s="277">
        <v>235.32459036047223</v>
      </c>
      <c r="D36" s="277">
        <v>224.52607187954138</v>
      </c>
      <c r="E36" s="277">
        <v>225.53877970723389</v>
      </c>
      <c r="F36" s="275">
        <v>243.72400964127928</v>
      </c>
      <c r="G36" s="275"/>
      <c r="H36" s="277">
        <v>48.983534945390808</v>
      </c>
      <c r="I36" s="277">
        <v>48.894690177294805</v>
      </c>
      <c r="J36" s="277">
        <v>46.651003976088816</v>
      </c>
      <c r="K36" s="277">
        <v>46.861405382749254</v>
      </c>
      <c r="L36" s="275">
        <v>50.639873799695991</v>
      </c>
      <c r="M36" s="275"/>
      <c r="N36" s="277">
        <v>186.76844230653509</v>
      </c>
      <c r="O36" s="277">
        <v>186.42990018317741</v>
      </c>
      <c r="P36" s="277">
        <v>177.87506790345256</v>
      </c>
      <c r="Q36" s="277">
        <v>178.67737432448465</v>
      </c>
      <c r="R36" s="275">
        <v>193.08413584158328</v>
      </c>
      <c r="S36" s="275"/>
      <c r="T36" s="277">
        <v>0</v>
      </c>
      <c r="U36" s="277">
        <v>0</v>
      </c>
      <c r="V36" s="277">
        <v>0</v>
      </c>
      <c r="W36" s="277">
        <v>0</v>
      </c>
      <c r="X36" s="275">
        <v>0</v>
      </c>
      <c r="Y36" s="269" t="str">
        <f>$A$8</f>
        <v>15-19</v>
      </c>
      <c r="Z36" s="277">
        <v>83.569879527684336</v>
      </c>
      <c r="AA36" s="277">
        <v>82.526656420969161</v>
      </c>
      <c r="AB36" s="277">
        <v>84.494484512367791</v>
      </c>
      <c r="AC36" s="277">
        <v>90.946079800349651</v>
      </c>
      <c r="AD36" s="275">
        <v>105.28765306859901</v>
      </c>
      <c r="AE36" s="275"/>
      <c r="AF36" s="277">
        <v>82.46118212650282</v>
      </c>
      <c r="AG36" s="277">
        <v>81.431768542600082</v>
      </c>
      <c r="AH36" s="277">
        <v>83.373443742554031</v>
      </c>
      <c r="AI36" s="277">
        <v>89.739476773593154</v>
      </c>
      <c r="AJ36" s="275">
        <v>103.89079794445267</v>
      </c>
      <c r="AK36" s="275"/>
      <c r="AL36" s="277">
        <v>1.1086974011815047</v>
      </c>
      <c r="AM36" s="277">
        <v>1.0948878783690683</v>
      </c>
      <c r="AN36" s="277">
        <v>1.1210407698137705</v>
      </c>
      <c r="AO36" s="277">
        <v>1.2066030267565</v>
      </c>
      <c r="AP36" s="275">
        <v>1.3968551241463449</v>
      </c>
      <c r="AQ36" s="269" t="str">
        <f>$A$8</f>
        <v>15-19</v>
      </c>
      <c r="AR36" s="277">
        <v>0.12314322038975159</v>
      </c>
      <c r="AS36" s="277">
        <v>0.59775321855860108</v>
      </c>
      <c r="AT36" s="277">
        <v>1.4364436080908414</v>
      </c>
      <c r="AU36" s="277">
        <v>1.4711404924164426</v>
      </c>
      <c r="AV36" s="275">
        <v>1.6223372901217372</v>
      </c>
      <c r="AW36" s="275"/>
      <c r="AX36" s="277">
        <v>0.12314322038975159</v>
      </c>
      <c r="AY36" s="277">
        <v>0.59775321855860108</v>
      </c>
      <c r="AZ36" s="277">
        <v>1.4364436080908414</v>
      </c>
      <c r="BA36" s="277">
        <v>1.4711404924164426</v>
      </c>
      <c r="BB36" s="275">
        <v>1.6223372901217372</v>
      </c>
      <c r="BC36" s="275"/>
      <c r="BD36" s="277">
        <v>0</v>
      </c>
      <c r="BE36" s="277">
        <v>0</v>
      </c>
      <c r="BF36" s="277">
        <v>0</v>
      </c>
      <c r="BG36" s="277">
        <v>0</v>
      </c>
      <c r="BH36" s="275">
        <v>0</v>
      </c>
    </row>
    <row r="37" spans="1:60" s="168" customFormat="1" x14ac:dyDescent="0.25">
      <c r="A37" s="269" t="str">
        <f>$A$9</f>
        <v>20-24</v>
      </c>
      <c r="B37" s="277">
        <v>51.28667688291447</v>
      </c>
      <c r="C37" s="277">
        <v>50.325615142463022</v>
      </c>
      <c r="D37" s="277">
        <v>41.617556806647421</v>
      </c>
      <c r="E37" s="277">
        <v>36.381749805465141</v>
      </c>
      <c r="F37" s="275">
        <v>33.131944227953063</v>
      </c>
      <c r="G37" s="275"/>
      <c r="H37" s="277">
        <v>18.958252611047016</v>
      </c>
      <c r="I37" s="277">
        <v>18.60303815545123</v>
      </c>
      <c r="J37" s="277">
        <v>15.38403685205089</v>
      </c>
      <c r="K37" s="277">
        <v>13.448615257113641</v>
      </c>
      <c r="L37" s="275">
        <v>12.247310379881396</v>
      </c>
      <c r="M37" s="275"/>
      <c r="N37" s="277">
        <v>32.328424271867455</v>
      </c>
      <c r="O37" s="277">
        <v>31.722576987011788</v>
      </c>
      <c r="P37" s="277">
        <v>26.233519954596538</v>
      </c>
      <c r="Q37" s="277">
        <v>22.9331345483515</v>
      </c>
      <c r="R37" s="275">
        <v>20.884633848071665</v>
      </c>
      <c r="S37" s="275"/>
      <c r="T37" s="277">
        <v>0</v>
      </c>
      <c r="U37" s="277">
        <v>0</v>
      </c>
      <c r="V37" s="277">
        <v>0</v>
      </c>
      <c r="W37" s="277">
        <v>0</v>
      </c>
      <c r="X37" s="275">
        <v>0</v>
      </c>
      <c r="Y37" s="269" t="str">
        <f>$A$9</f>
        <v>20-24</v>
      </c>
      <c r="Z37" s="277">
        <v>179.47599670013653</v>
      </c>
      <c r="AA37" s="277">
        <v>187.56758244877105</v>
      </c>
      <c r="AB37" s="277">
        <v>195.70388276755187</v>
      </c>
      <c r="AC37" s="277">
        <v>186.34405047249078</v>
      </c>
      <c r="AD37" s="275">
        <v>185.01228504909878</v>
      </c>
      <c r="AE37" s="275"/>
      <c r="AF37" s="277">
        <v>169.79137146665974</v>
      </c>
      <c r="AG37" s="277">
        <v>177.44629400726811</v>
      </c>
      <c r="AH37" s="277">
        <v>185.14356605643363</v>
      </c>
      <c r="AI37" s="277">
        <v>176.28878253096943</v>
      </c>
      <c r="AJ37" s="275">
        <v>175.02885632439069</v>
      </c>
      <c r="AK37" s="275"/>
      <c r="AL37" s="277">
        <v>9.6846252334768117</v>
      </c>
      <c r="AM37" s="277">
        <v>10.121288441502955</v>
      </c>
      <c r="AN37" s="277">
        <v>10.560316711118229</v>
      </c>
      <c r="AO37" s="277">
        <v>10.055267941521366</v>
      </c>
      <c r="AP37" s="275">
        <v>9.9834287247081175</v>
      </c>
      <c r="AQ37" s="269" t="str">
        <f>$A$9</f>
        <v>20-24</v>
      </c>
      <c r="AR37" s="277">
        <v>88.329326416949002</v>
      </c>
      <c r="AS37" s="277">
        <v>91.282802408765903</v>
      </c>
      <c r="AT37" s="277">
        <v>110.63256042580073</v>
      </c>
      <c r="AU37" s="277">
        <v>118.86519972204405</v>
      </c>
      <c r="AV37" s="275">
        <v>132.58977072294817</v>
      </c>
      <c r="AW37" s="275"/>
      <c r="AX37" s="277">
        <v>88.165028914454396</v>
      </c>
      <c r="AY37" s="277">
        <v>91.112930485790656</v>
      </c>
      <c r="AZ37" s="277">
        <v>110.42669182995489</v>
      </c>
      <c r="BA37" s="277">
        <v>118.644032109338</v>
      </c>
      <c r="BB37" s="275">
        <v>132.3431042203359</v>
      </c>
      <c r="BC37" s="275"/>
      <c r="BD37" s="277">
        <v>0.16429750249460409</v>
      </c>
      <c r="BE37" s="277">
        <v>0.16987192297524076</v>
      </c>
      <c r="BF37" s="277">
        <v>0.2058685958458471</v>
      </c>
      <c r="BG37" s="277">
        <v>0.2211676127060439</v>
      </c>
      <c r="BH37" s="275">
        <v>0.2466665026122716</v>
      </c>
    </row>
    <row r="38" spans="1:60" s="168" customFormat="1" x14ac:dyDescent="0.25">
      <c r="A38" s="269" t="str">
        <f>$A$10</f>
        <v>25-29</v>
      </c>
      <c r="B38" s="277">
        <v>48.980336910061595</v>
      </c>
      <c r="C38" s="277">
        <v>58.029393144137778</v>
      </c>
      <c r="D38" s="277">
        <v>51.776100367683391</v>
      </c>
      <c r="E38" s="277">
        <v>49.053973946460331</v>
      </c>
      <c r="F38" s="275">
        <v>43.531243964596278</v>
      </c>
      <c r="G38" s="275"/>
      <c r="H38" s="277">
        <v>18.23204899869749</v>
      </c>
      <c r="I38" s="277">
        <v>21.600341017225613</v>
      </c>
      <c r="J38" s="277">
        <v>19.272660294510747</v>
      </c>
      <c r="K38" s="277">
        <v>18.259465614997644</v>
      </c>
      <c r="L38" s="275">
        <v>16.203686177787539</v>
      </c>
      <c r="M38" s="275"/>
      <c r="N38" s="277">
        <v>30.748287911364105</v>
      </c>
      <c r="O38" s="277">
        <v>36.429052126912168</v>
      </c>
      <c r="P38" s="277">
        <v>32.503440073172648</v>
      </c>
      <c r="Q38" s="277">
        <v>30.794508331462694</v>
      </c>
      <c r="R38" s="275">
        <v>27.32755778680874</v>
      </c>
      <c r="S38" s="275"/>
      <c r="T38" s="277">
        <v>0</v>
      </c>
      <c r="U38" s="277">
        <v>0</v>
      </c>
      <c r="V38" s="277">
        <v>0</v>
      </c>
      <c r="W38" s="277">
        <v>0</v>
      </c>
      <c r="X38" s="275">
        <v>0</v>
      </c>
      <c r="Y38" s="269" t="str">
        <f>$A$10</f>
        <v>25-29</v>
      </c>
      <c r="Z38" s="277">
        <v>127.78718872779281</v>
      </c>
      <c r="AA38" s="277">
        <v>119.37410820126239</v>
      </c>
      <c r="AB38" s="277">
        <v>118.02109899531821</v>
      </c>
      <c r="AC38" s="277">
        <v>118.58410734575391</v>
      </c>
      <c r="AD38" s="275">
        <v>111.69989644356696</v>
      </c>
      <c r="AE38" s="275"/>
      <c r="AF38" s="277">
        <v>117.06434284916277</v>
      </c>
      <c r="AG38" s="277">
        <v>109.35717668619014</v>
      </c>
      <c r="AH38" s="277">
        <v>108.11773722560081</v>
      </c>
      <c r="AI38" s="277">
        <v>108.63342670868553</v>
      </c>
      <c r="AJ38" s="275">
        <v>102.3269079217695</v>
      </c>
      <c r="AK38" s="275"/>
      <c r="AL38" s="277">
        <v>10.722845878630038</v>
      </c>
      <c r="AM38" s="277">
        <v>10.01693151507223</v>
      </c>
      <c r="AN38" s="277">
        <v>9.9033617697174048</v>
      </c>
      <c r="AO38" s="277">
        <v>9.9506806370683663</v>
      </c>
      <c r="AP38" s="275">
        <v>9.3729885217974456</v>
      </c>
      <c r="AQ38" s="269" t="str">
        <f>$A$10</f>
        <v>25-29</v>
      </c>
      <c r="AR38" s="277">
        <v>165.48947436214561</v>
      </c>
      <c r="AS38" s="277">
        <v>169.04449865459986</v>
      </c>
      <c r="AT38" s="277">
        <v>192.77780063699839</v>
      </c>
      <c r="AU38" s="277">
        <v>214.16091870778578</v>
      </c>
      <c r="AV38" s="275">
        <v>222.34985959183678</v>
      </c>
      <c r="AW38" s="275"/>
      <c r="AX38" s="277">
        <v>163.99516578961072</v>
      </c>
      <c r="AY38" s="277">
        <v>167.51816718569009</v>
      </c>
      <c r="AZ38" s="277">
        <v>191.03715957991898</v>
      </c>
      <c r="BA38" s="277">
        <v>212.22723208261212</v>
      </c>
      <c r="BB38" s="275">
        <v>220.34220948065195</v>
      </c>
      <c r="BC38" s="275"/>
      <c r="BD38" s="277">
        <v>1.4943085725348841</v>
      </c>
      <c r="BE38" s="277">
        <v>1.526331468909754</v>
      </c>
      <c r="BF38" s="277">
        <v>1.740641057079428</v>
      </c>
      <c r="BG38" s="277">
        <v>1.9336866251736855</v>
      </c>
      <c r="BH38" s="275">
        <v>2.0076501111848128</v>
      </c>
    </row>
    <row r="39" spans="1:60" s="168" customFormat="1" x14ac:dyDescent="0.25">
      <c r="A39" s="269" t="str">
        <f>$A$11</f>
        <v>30-34</v>
      </c>
      <c r="B39" s="277">
        <v>48.351616200732686</v>
      </c>
      <c r="C39" s="277">
        <v>54.81450484456311</v>
      </c>
      <c r="D39" s="277">
        <v>52.150998553698685</v>
      </c>
      <c r="E39" s="277">
        <v>48.164476439532713</v>
      </c>
      <c r="F39" s="275">
        <v>40.226027639053598</v>
      </c>
      <c r="G39" s="275"/>
      <c r="H39" s="277">
        <v>20.247488689226163</v>
      </c>
      <c r="I39" s="277">
        <v>22.95380254002168</v>
      </c>
      <c r="J39" s="277">
        <v>21.838502656747391</v>
      </c>
      <c r="K39" s="277">
        <v>20.169083304063328</v>
      </c>
      <c r="L39" s="275">
        <v>16.844826452036404</v>
      </c>
      <c r="M39" s="275"/>
      <c r="N39" s="277">
        <v>28.104127511506523</v>
      </c>
      <c r="O39" s="277">
        <v>31.86070230454143</v>
      </c>
      <c r="P39" s="277">
        <v>30.312495896951297</v>
      </c>
      <c r="Q39" s="277">
        <v>27.995393135469385</v>
      </c>
      <c r="R39" s="275">
        <v>23.381201187017187</v>
      </c>
      <c r="S39" s="275"/>
      <c r="T39" s="277">
        <v>0</v>
      </c>
      <c r="U39" s="277">
        <v>0</v>
      </c>
      <c r="V39" s="277">
        <v>0</v>
      </c>
      <c r="W39" s="277">
        <v>0</v>
      </c>
      <c r="X39" s="275">
        <v>0</v>
      </c>
      <c r="Y39" s="269" t="str">
        <f>$A$11</f>
        <v>30-34</v>
      </c>
      <c r="Z39" s="277">
        <v>126.59052603481021</v>
      </c>
      <c r="AA39" s="277">
        <v>118.76404254564063</v>
      </c>
      <c r="AB39" s="277">
        <v>124.03995863874285</v>
      </c>
      <c r="AC39" s="277">
        <v>123.84674741528471</v>
      </c>
      <c r="AD39" s="275">
        <v>125.93134426917472</v>
      </c>
      <c r="AE39" s="275"/>
      <c r="AF39" s="277">
        <v>116.68034085440465</v>
      </c>
      <c r="AG39" s="277">
        <v>109.46652247600598</v>
      </c>
      <c r="AH39" s="277">
        <v>114.32946398888731</v>
      </c>
      <c r="AI39" s="277">
        <v>114.15134413116714</v>
      </c>
      <c r="AJ39" s="275">
        <v>116.0727553396063</v>
      </c>
      <c r="AK39" s="275"/>
      <c r="AL39" s="277">
        <v>9.9101851804055663</v>
      </c>
      <c r="AM39" s="277">
        <v>9.2975200696346505</v>
      </c>
      <c r="AN39" s="277">
        <v>9.7104946498555318</v>
      </c>
      <c r="AO39" s="277">
        <v>9.6954032841175852</v>
      </c>
      <c r="AP39" s="275">
        <v>9.8585889295684215</v>
      </c>
      <c r="AQ39" s="269" t="str">
        <f>$A$11</f>
        <v>30-34</v>
      </c>
      <c r="AR39" s="277">
        <v>165.33285776445709</v>
      </c>
      <c r="AS39" s="277">
        <v>173.27745260979628</v>
      </c>
      <c r="AT39" s="277">
        <v>193.84104280755847</v>
      </c>
      <c r="AU39" s="277">
        <v>212.88877614518256</v>
      </c>
      <c r="AV39" s="275">
        <v>239.55062809177167</v>
      </c>
      <c r="AW39" s="275"/>
      <c r="AX39" s="277">
        <v>163.54698646509576</v>
      </c>
      <c r="AY39" s="277">
        <v>171.40581210762247</v>
      </c>
      <c r="AZ39" s="277">
        <v>191.74726433199922</v>
      </c>
      <c r="BA39" s="277">
        <v>210.58921239342598</v>
      </c>
      <c r="BB39" s="275">
        <v>236.96312770820174</v>
      </c>
      <c r="BC39" s="275"/>
      <c r="BD39" s="277">
        <v>1.785871299361329</v>
      </c>
      <c r="BE39" s="277">
        <v>1.8716405021737883</v>
      </c>
      <c r="BF39" s="277">
        <v>2.0937784755592417</v>
      </c>
      <c r="BG39" s="277">
        <v>2.2995637517565553</v>
      </c>
      <c r="BH39" s="275">
        <v>2.587500383569969</v>
      </c>
    </row>
    <row r="40" spans="1:60" s="168" customFormat="1" x14ac:dyDescent="0.25">
      <c r="A40" s="269" t="str">
        <f>$A$12</f>
        <v>35-39</v>
      </c>
      <c r="B40" s="277">
        <v>72.542037614782771</v>
      </c>
      <c r="C40" s="277">
        <v>65.06766726540738</v>
      </c>
      <c r="D40" s="277">
        <v>54.766784806672291</v>
      </c>
      <c r="E40" s="277">
        <v>45.523587094052431</v>
      </c>
      <c r="F40" s="275">
        <v>34.291330085724873</v>
      </c>
      <c r="G40" s="275"/>
      <c r="H40" s="277">
        <v>28.179422220811407</v>
      </c>
      <c r="I40" s="277">
        <v>25.275934699382731</v>
      </c>
      <c r="J40" s="277">
        <v>21.27450416950764</v>
      </c>
      <c r="K40" s="277">
        <v>17.683894029231208</v>
      </c>
      <c r="L40" s="275">
        <v>13.320662566860962</v>
      </c>
      <c r="M40" s="275"/>
      <c r="N40" s="277">
        <v>44.362615393971375</v>
      </c>
      <c r="O40" s="277">
        <v>39.791732566024642</v>
      </c>
      <c r="P40" s="277">
        <v>33.492280637164654</v>
      </c>
      <c r="Q40" s="277">
        <v>27.839693064821223</v>
      </c>
      <c r="R40" s="275">
        <v>20.97066751886392</v>
      </c>
      <c r="S40" s="275"/>
      <c r="T40" s="277">
        <v>0</v>
      </c>
      <c r="U40" s="277">
        <v>0</v>
      </c>
      <c r="V40" s="277">
        <v>0</v>
      </c>
      <c r="W40" s="277">
        <v>0</v>
      </c>
      <c r="X40" s="275">
        <v>0</v>
      </c>
      <c r="Y40" s="269" t="str">
        <f>$A$12</f>
        <v>35-39</v>
      </c>
      <c r="Z40" s="277">
        <v>150.0126567417164</v>
      </c>
      <c r="AA40" s="277">
        <v>135.68236231505094</v>
      </c>
      <c r="AB40" s="277">
        <v>124.7291826751361</v>
      </c>
      <c r="AC40" s="277">
        <v>129.47197272823703</v>
      </c>
      <c r="AD40" s="275">
        <v>133.15322905166937</v>
      </c>
      <c r="AE40" s="275"/>
      <c r="AF40" s="277">
        <v>140.37576984147361</v>
      </c>
      <c r="AG40" s="277">
        <v>126.96602473402704</v>
      </c>
      <c r="AH40" s="277">
        <v>116.71649206662644</v>
      </c>
      <c r="AI40" s="277">
        <v>121.15460882835858</v>
      </c>
      <c r="AJ40" s="275">
        <v>124.59942116921782</v>
      </c>
      <c r="AK40" s="275"/>
      <c r="AL40" s="277">
        <v>9.6368869002428053</v>
      </c>
      <c r="AM40" s="277">
        <v>8.7163375810238843</v>
      </c>
      <c r="AN40" s="277">
        <v>8.0126906085096579</v>
      </c>
      <c r="AO40" s="277">
        <v>8.3173638998784618</v>
      </c>
      <c r="AP40" s="275">
        <v>8.5538078824515384</v>
      </c>
      <c r="AQ40" s="269" t="str">
        <f>$A$12</f>
        <v>35-39</v>
      </c>
      <c r="AR40" s="277">
        <v>154.06830564350082</v>
      </c>
      <c r="AS40" s="277">
        <v>168.96597041954166</v>
      </c>
      <c r="AT40" s="277">
        <v>183.46103251819156</v>
      </c>
      <c r="AU40" s="277">
        <v>208.70844017771051</v>
      </c>
      <c r="AV40" s="275">
        <v>232.21144086260571</v>
      </c>
      <c r="AW40" s="275"/>
      <c r="AX40" s="277">
        <v>152.29837009196677</v>
      </c>
      <c r="AY40" s="277">
        <v>167.02491938857551</v>
      </c>
      <c r="AZ40" s="277">
        <v>181.35346640367695</v>
      </c>
      <c r="BA40" s="277">
        <v>206.31083395767615</v>
      </c>
      <c r="BB40" s="275">
        <v>229.54383629553598</v>
      </c>
      <c r="BC40" s="275"/>
      <c r="BD40" s="277">
        <v>1.7699355515340602</v>
      </c>
      <c r="BE40" s="277">
        <v>1.9410510309661682</v>
      </c>
      <c r="BF40" s="277">
        <v>2.1075661145145714</v>
      </c>
      <c r="BG40" s="277">
        <v>2.3976062200343793</v>
      </c>
      <c r="BH40" s="275">
        <v>2.6676045670697208</v>
      </c>
    </row>
    <row r="41" spans="1:60" s="168" customFormat="1" x14ac:dyDescent="0.25">
      <c r="A41" s="269" t="str">
        <f>$A$13</f>
        <v>40-44</v>
      </c>
      <c r="B41" s="277">
        <v>95.592148824351668</v>
      </c>
      <c r="C41" s="277">
        <v>82.616320455715311</v>
      </c>
      <c r="D41" s="277">
        <v>65.715939292358911</v>
      </c>
      <c r="E41" s="277">
        <v>45.625343125830476</v>
      </c>
      <c r="F41" s="275">
        <v>32.319365015981639</v>
      </c>
      <c r="G41" s="275"/>
      <c r="H41" s="277">
        <v>37.546766551729547</v>
      </c>
      <c r="I41" s="277">
        <v>32.450059589071273</v>
      </c>
      <c r="J41" s="277">
        <v>25.811957711373253</v>
      </c>
      <c r="K41" s="277">
        <v>17.920731648709907</v>
      </c>
      <c r="L41" s="275">
        <v>12.694407857730498</v>
      </c>
      <c r="M41" s="275"/>
      <c r="N41" s="277">
        <v>58.045382272622113</v>
      </c>
      <c r="O41" s="277">
        <v>50.166260866644031</v>
      </c>
      <c r="P41" s="277">
        <v>39.903981580985658</v>
      </c>
      <c r="Q41" s="277">
        <v>27.704611477120565</v>
      </c>
      <c r="R41" s="275">
        <v>19.624957158251146</v>
      </c>
      <c r="S41" s="275"/>
      <c r="T41" s="277">
        <v>0</v>
      </c>
      <c r="U41" s="277">
        <v>0</v>
      </c>
      <c r="V41" s="277">
        <v>0</v>
      </c>
      <c r="W41" s="277">
        <v>0</v>
      </c>
      <c r="X41" s="275">
        <v>0</v>
      </c>
      <c r="Y41" s="269" t="str">
        <f>$A$13</f>
        <v>40-44</v>
      </c>
      <c r="Z41" s="277">
        <v>162.09391868766315</v>
      </c>
      <c r="AA41" s="277">
        <v>149.15249146976197</v>
      </c>
      <c r="AB41" s="277">
        <v>139.74715456529819</v>
      </c>
      <c r="AC41" s="277">
        <v>140.1664801116975</v>
      </c>
      <c r="AD41" s="275">
        <v>150.93061003653065</v>
      </c>
      <c r="AE41" s="275"/>
      <c r="AF41" s="277">
        <v>153.25080642376565</v>
      </c>
      <c r="AG41" s="277">
        <v>141.01546291821501</v>
      </c>
      <c r="AH41" s="277">
        <v>132.12323273689802</v>
      </c>
      <c r="AI41" s="277">
        <v>132.51964992616811</v>
      </c>
      <c r="AJ41" s="275">
        <v>142.69650407013222</v>
      </c>
      <c r="AK41" s="275"/>
      <c r="AL41" s="277">
        <v>8.8431122638974973</v>
      </c>
      <c r="AM41" s="277">
        <v>8.1370285515469902</v>
      </c>
      <c r="AN41" s="277">
        <v>7.6239218284001815</v>
      </c>
      <c r="AO41" s="277">
        <v>7.6468301855293674</v>
      </c>
      <c r="AP41" s="275">
        <v>8.2341059663984471</v>
      </c>
      <c r="AQ41" s="269" t="str">
        <f>$A$13</f>
        <v>40-44</v>
      </c>
      <c r="AR41" s="277">
        <v>142.30393248798518</v>
      </c>
      <c r="AS41" s="277">
        <v>157.16218807452273</v>
      </c>
      <c r="AT41" s="277">
        <v>174.12990614234292</v>
      </c>
      <c r="AU41" s="277">
        <v>185.34617676247206</v>
      </c>
      <c r="AV41" s="275">
        <v>209.35902494748774</v>
      </c>
      <c r="AW41" s="275"/>
      <c r="AX41" s="277">
        <v>140.61932188279332</v>
      </c>
      <c r="AY41" s="277">
        <v>155.30162565099377</v>
      </c>
      <c r="AZ41" s="277">
        <v>172.06854465783039</v>
      </c>
      <c r="BA41" s="277">
        <v>183.15203689418161</v>
      </c>
      <c r="BB41" s="275">
        <v>206.8805346793352</v>
      </c>
      <c r="BC41" s="275"/>
      <c r="BD41" s="277">
        <v>1.6846106051918688</v>
      </c>
      <c r="BE41" s="277">
        <v>1.8605624235289417</v>
      </c>
      <c r="BF41" s="277">
        <v>2.061361484512561</v>
      </c>
      <c r="BG41" s="277">
        <v>2.1941398682904496</v>
      </c>
      <c r="BH41" s="275">
        <v>2.4784902681525449</v>
      </c>
    </row>
    <row r="42" spans="1:60" s="168" customFormat="1" x14ac:dyDescent="0.25">
      <c r="A42" s="269" t="str">
        <f>$A$14</f>
        <v>45-49</v>
      </c>
      <c r="B42" s="277">
        <v>121.60001747416324</v>
      </c>
      <c r="C42" s="277">
        <v>119.25515350242472</v>
      </c>
      <c r="D42" s="277">
        <v>78.884619183002073</v>
      </c>
      <c r="E42" s="277">
        <v>54.824500970236151</v>
      </c>
      <c r="F42" s="275">
        <v>37.259131610277123</v>
      </c>
      <c r="G42" s="275"/>
      <c r="H42" s="277">
        <v>52.054388742127969</v>
      </c>
      <c r="I42" s="277">
        <v>51.050559464587302</v>
      </c>
      <c r="J42" s="277">
        <v>33.768780739827292</v>
      </c>
      <c r="K42" s="277">
        <v>23.469200966687755</v>
      </c>
      <c r="L42" s="275">
        <v>15.949827829172355</v>
      </c>
      <c r="M42" s="275"/>
      <c r="N42" s="277">
        <v>69.545628732035269</v>
      </c>
      <c r="O42" s="277">
        <v>68.20459403783741</v>
      </c>
      <c r="P42" s="277">
        <v>45.115838443174781</v>
      </c>
      <c r="Q42" s="277">
        <v>31.355300003548397</v>
      </c>
      <c r="R42" s="275">
        <v>21.309303781104767</v>
      </c>
      <c r="S42" s="275"/>
      <c r="T42" s="277">
        <v>0</v>
      </c>
      <c r="U42" s="277">
        <v>0</v>
      </c>
      <c r="V42" s="277">
        <v>0</v>
      </c>
      <c r="W42" s="277">
        <v>0</v>
      </c>
      <c r="X42" s="275">
        <v>0</v>
      </c>
      <c r="Y42" s="269" t="str">
        <f>$A$14</f>
        <v>45-49</v>
      </c>
      <c r="Z42" s="277">
        <v>149.19037176042775</v>
      </c>
      <c r="AA42" s="277">
        <v>147.02780307619315</v>
      </c>
      <c r="AB42" s="277">
        <v>157.07832682690201</v>
      </c>
      <c r="AC42" s="277">
        <v>161.18355055313589</v>
      </c>
      <c r="AD42" s="275">
        <v>163.5645829534713</v>
      </c>
      <c r="AE42" s="275"/>
      <c r="AF42" s="277">
        <v>141.73208428692129</v>
      </c>
      <c r="AG42" s="277">
        <v>139.67761552454377</v>
      </c>
      <c r="AH42" s="277">
        <v>149.22576147745451</v>
      </c>
      <c r="AI42" s="277">
        <v>153.12567731056208</v>
      </c>
      <c r="AJ42" s="275">
        <v>155.38774863532086</v>
      </c>
      <c r="AK42" s="275"/>
      <c r="AL42" s="277">
        <v>7.4582874735064566</v>
      </c>
      <c r="AM42" s="277">
        <v>7.350187551649368</v>
      </c>
      <c r="AN42" s="277">
        <v>7.852565349447544</v>
      </c>
      <c r="AO42" s="277">
        <v>8.0578732425738266</v>
      </c>
      <c r="AP42" s="275">
        <v>8.1768343181504513</v>
      </c>
      <c r="AQ42" s="269" t="str">
        <f>$A$14</f>
        <v>45-49</v>
      </c>
      <c r="AR42" s="277">
        <v>127.15261076540904</v>
      </c>
      <c r="AS42" s="277">
        <v>139.95804342138214</v>
      </c>
      <c r="AT42" s="277">
        <v>158.0250539900959</v>
      </c>
      <c r="AU42" s="277">
        <v>167.70994847662797</v>
      </c>
      <c r="AV42" s="275">
        <v>175.15628543625161</v>
      </c>
      <c r="AW42" s="275"/>
      <c r="AX42" s="277">
        <v>125.59964483820595</v>
      </c>
      <c r="AY42" s="277">
        <v>138.24869825890119</v>
      </c>
      <c r="AZ42" s="277">
        <v>156.09507742676459</v>
      </c>
      <c r="BA42" s="277">
        <v>165.66165535163051</v>
      </c>
      <c r="BB42" s="275">
        <v>173.01706017357083</v>
      </c>
      <c r="BC42" s="275"/>
      <c r="BD42" s="277">
        <v>1.5529659272030856</v>
      </c>
      <c r="BE42" s="277">
        <v>1.7093451624809444</v>
      </c>
      <c r="BF42" s="277">
        <v>1.9299765633313342</v>
      </c>
      <c r="BG42" s="277">
        <v>2.0482931249974619</v>
      </c>
      <c r="BH42" s="275">
        <v>2.1392252626807844</v>
      </c>
    </row>
    <row r="43" spans="1:60" s="168" customFormat="1" x14ac:dyDescent="0.25">
      <c r="A43" s="269" t="str">
        <f>$A$15</f>
        <v>50-54</v>
      </c>
      <c r="B43" s="277">
        <v>151.76046321416865</v>
      </c>
      <c r="C43" s="277">
        <v>142.31942173288223</v>
      </c>
      <c r="D43" s="277">
        <v>119.93293116047923</v>
      </c>
      <c r="E43" s="277">
        <v>88.171156371964599</v>
      </c>
      <c r="F43" s="275">
        <v>63.180524219714144</v>
      </c>
      <c r="G43" s="275"/>
      <c r="H43" s="277">
        <v>72.199699301024509</v>
      </c>
      <c r="I43" s="277">
        <v>67.708117557824508</v>
      </c>
      <c r="J43" s="277">
        <v>57.057834143300127</v>
      </c>
      <c r="K43" s="277">
        <v>41.9472270479773</v>
      </c>
      <c r="L43" s="275">
        <v>30.058003326770649</v>
      </c>
      <c r="M43" s="275"/>
      <c r="N43" s="277">
        <v>79.560763913144157</v>
      </c>
      <c r="O43" s="277">
        <v>74.611304175057768</v>
      </c>
      <c r="P43" s="277">
        <v>62.875097017179108</v>
      </c>
      <c r="Q43" s="277">
        <v>46.223929323987292</v>
      </c>
      <c r="R43" s="275">
        <v>33.122520892943498</v>
      </c>
      <c r="S43" s="275"/>
      <c r="T43" s="277">
        <v>0</v>
      </c>
      <c r="U43" s="277">
        <v>0</v>
      </c>
      <c r="V43" s="277">
        <v>0</v>
      </c>
      <c r="W43" s="277">
        <v>0</v>
      </c>
      <c r="X43" s="275">
        <v>0</v>
      </c>
      <c r="Y43" s="269" t="str">
        <f>$A$15</f>
        <v>50-54</v>
      </c>
      <c r="Z43" s="277">
        <v>124.24614829379526</v>
      </c>
      <c r="AA43" s="277">
        <v>130.25908800461309</v>
      </c>
      <c r="AB43" s="277">
        <v>149.14503167899258</v>
      </c>
      <c r="AC43" s="277">
        <v>157.9913676435533</v>
      </c>
      <c r="AD43" s="275">
        <v>164.67380902817911</v>
      </c>
      <c r="AE43" s="275"/>
      <c r="AF43" s="277">
        <v>117.87817168097233</v>
      </c>
      <c r="AG43" s="277">
        <v>123.5828772613132</v>
      </c>
      <c r="AH43" s="277">
        <v>141.50083699823233</v>
      </c>
      <c r="AI43" s="277">
        <v>149.89384905562815</v>
      </c>
      <c r="AJ43" s="275">
        <v>156.23374286788874</v>
      </c>
      <c r="AK43" s="275"/>
      <c r="AL43" s="277">
        <v>6.3679766128229192</v>
      </c>
      <c r="AM43" s="277">
        <v>6.6762107432998921</v>
      </c>
      <c r="AN43" s="277">
        <v>7.6441946807602736</v>
      </c>
      <c r="AO43" s="277">
        <v>8.0975185879251441</v>
      </c>
      <c r="AP43" s="275">
        <v>8.4400661602903408</v>
      </c>
      <c r="AQ43" s="269" t="str">
        <f>$A$15</f>
        <v>50-54</v>
      </c>
      <c r="AR43" s="277">
        <v>92.988388492036123</v>
      </c>
      <c r="AS43" s="277">
        <v>110.77949026250468</v>
      </c>
      <c r="AT43" s="277">
        <v>137.77303716052822</v>
      </c>
      <c r="AU43" s="277">
        <v>148.29147598448213</v>
      </c>
      <c r="AV43" s="275">
        <v>157.07466675210676</v>
      </c>
      <c r="AW43" s="275"/>
      <c r="AX43" s="277">
        <v>92.202593366663635</v>
      </c>
      <c r="AY43" s="277">
        <v>109.84331382664183</v>
      </c>
      <c r="AZ43" s="277">
        <v>136.60872759410435</v>
      </c>
      <c r="BA43" s="277">
        <v>147.03823447333156</v>
      </c>
      <c r="BB43" s="275">
        <v>155.74724028806634</v>
      </c>
      <c r="BC43" s="275"/>
      <c r="BD43" s="277">
        <v>0.78579512537246932</v>
      </c>
      <c r="BE43" s="277">
        <v>0.93617643586283261</v>
      </c>
      <c r="BF43" s="277">
        <v>1.1643095664238496</v>
      </c>
      <c r="BG43" s="277">
        <v>1.2532415111505675</v>
      </c>
      <c r="BH43" s="275">
        <v>1.3274264640404241</v>
      </c>
    </row>
    <row r="44" spans="1:60" s="168" customFormat="1" x14ac:dyDescent="0.25">
      <c r="A44" s="269" t="str">
        <f>$A$16</f>
        <v>55-59</v>
      </c>
      <c r="B44" s="277">
        <v>164.06581424258854</v>
      </c>
      <c r="C44" s="277">
        <v>150.69890471648134</v>
      </c>
      <c r="D44" s="277">
        <v>139.62009278798115</v>
      </c>
      <c r="E44" s="277">
        <v>115.66738771483223</v>
      </c>
      <c r="F44" s="275">
        <v>84.578879253283077</v>
      </c>
      <c r="G44" s="275"/>
      <c r="H44" s="277">
        <v>83.472280270866776</v>
      </c>
      <c r="I44" s="277">
        <v>76.671543299949803</v>
      </c>
      <c r="J44" s="277">
        <v>71.034930306068375</v>
      </c>
      <c r="K44" s="277">
        <v>58.848447605981825</v>
      </c>
      <c r="L44" s="275">
        <v>43.031510173276651</v>
      </c>
      <c r="M44" s="275"/>
      <c r="N44" s="277">
        <v>80.593533971721769</v>
      </c>
      <c r="O44" s="277">
        <v>74.027361416531534</v>
      </c>
      <c r="P44" s="277">
        <v>68.585162481912789</v>
      </c>
      <c r="Q44" s="277">
        <v>56.818940108850398</v>
      </c>
      <c r="R44" s="275">
        <v>41.547369080006419</v>
      </c>
      <c r="S44" s="275"/>
      <c r="T44" s="277">
        <v>0</v>
      </c>
      <c r="U44" s="277">
        <v>0</v>
      </c>
      <c r="V44" s="277">
        <v>0</v>
      </c>
      <c r="W44" s="277">
        <v>0</v>
      </c>
      <c r="X44" s="275">
        <v>0</v>
      </c>
      <c r="Y44" s="269" t="str">
        <f>$A$16</f>
        <v>55-59</v>
      </c>
      <c r="Z44" s="277">
        <v>103.85146408829428</v>
      </c>
      <c r="AA44" s="277">
        <v>105.31706169001831</v>
      </c>
      <c r="AB44" s="277">
        <v>133.62564527254057</v>
      </c>
      <c r="AC44" s="277">
        <v>158.51241512029338</v>
      </c>
      <c r="AD44" s="275">
        <v>167.67684572688086</v>
      </c>
      <c r="AE44" s="275"/>
      <c r="AF44" s="277">
        <v>97.635306286684369</v>
      </c>
      <c r="AG44" s="277">
        <v>99.013227711577329</v>
      </c>
      <c r="AH44" s="277">
        <v>125.62736470938835</v>
      </c>
      <c r="AI44" s="277">
        <v>149.02451048118331</v>
      </c>
      <c r="AJ44" s="275">
        <v>157.64040037339234</v>
      </c>
      <c r="AK44" s="275"/>
      <c r="AL44" s="277">
        <v>6.2161578016099055</v>
      </c>
      <c r="AM44" s="277">
        <v>6.3038339784409745</v>
      </c>
      <c r="AN44" s="277">
        <v>7.9982805631522167</v>
      </c>
      <c r="AO44" s="277">
        <v>9.4879046391100914</v>
      </c>
      <c r="AP44" s="275">
        <v>10.036445353488508</v>
      </c>
      <c r="AQ44" s="269" t="str">
        <f>$A$16</f>
        <v>55-59</v>
      </c>
      <c r="AR44" s="277">
        <v>71.118721669117207</v>
      </c>
      <c r="AS44" s="277">
        <v>89.960033593500384</v>
      </c>
      <c r="AT44" s="277">
        <v>106.67026193947827</v>
      </c>
      <c r="AU44" s="277">
        <v>129.27319716487438</v>
      </c>
      <c r="AV44" s="275">
        <v>139.76427501983605</v>
      </c>
      <c r="AW44" s="275"/>
      <c r="AX44" s="277">
        <v>70.361656937121666</v>
      </c>
      <c r="AY44" s="277">
        <v>89.002383349993565</v>
      </c>
      <c r="AZ44" s="277">
        <v>105.53473797538304</v>
      </c>
      <c r="BA44" s="277">
        <v>127.89702319588957</v>
      </c>
      <c r="BB44" s="275">
        <v>138.27638669068557</v>
      </c>
      <c r="BC44" s="275"/>
      <c r="BD44" s="277">
        <v>0.75706473199554847</v>
      </c>
      <c r="BE44" s="277">
        <v>0.95765024350680805</v>
      </c>
      <c r="BF44" s="277">
        <v>1.1355239640952357</v>
      </c>
      <c r="BG44" s="277">
        <v>1.3761739689848116</v>
      </c>
      <c r="BH44" s="275">
        <v>1.4878883291504774</v>
      </c>
    </row>
    <row r="45" spans="1:60" s="168" customFormat="1" x14ac:dyDescent="0.25">
      <c r="A45" s="269" t="str">
        <f>$A$17</f>
        <v>60-64</v>
      </c>
      <c r="B45" s="277">
        <v>165.06537455422799</v>
      </c>
      <c r="C45" s="277">
        <v>167.88674816060211</v>
      </c>
      <c r="D45" s="277">
        <v>145.42540941137864</v>
      </c>
      <c r="E45" s="277">
        <v>125.57390015162404</v>
      </c>
      <c r="F45" s="275">
        <v>98.802245415285199</v>
      </c>
      <c r="G45" s="275"/>
      <c r="H45" s="277">
        <v>93.553123450841682</v>
      </c>
      <c r="I45" s="277">
        <v>95.15219797521867</v>
      </c>
      <c r="J45" s="277">
        <v>82.421896218232547</v>
      </c>
      <c r="K45" s="277">
        <v>71.170799052200323</v>
      </c>
      <c r="L45" s="275">
        <v>55.997543894228997</v>
      </c>
      <c r="M45" s="275"/>
      <c r="N45" s="277">
        <v>71.512251103386319</v>
      </c>
      <c r="O45" s="277">
        <v>72.734550185383426</v>
      </c>
      <c r="P45" s="277">
        <v>63.003513193146112</v>
      </c>
      <c r="Q45" s="277">
        <v>54.403101099423715</v>
      </c>
      <c r="R45" s="275">
        <v>42.804701521056209</v>
      </c>
      <c r="S45" s="275"/>
      <c r="T45" s="277">
        <v>0</v>
      </c>
      <c r="U45" s="277">
        <v>0</v>
      </c>
      <c r="V45" s="277">
        <v>0</v>
      </c>
      <c r="W45" s="277">
        <v>0</v>
      </c>
      <c r="X45" s="275">
        <v>0</v>
      </c>
      <c r="Y45" s="269" t="str">
        <f>$A$17</f>
        <v>60-64</v>
      </c>
      <c r="Z45" s="277">
        <v>78.364072036445037</v>
      </c>
      <c r="AA45" s="277">
        <v>85.048861618755822</v>
      </c>
      <c r="AB45" s="277">
        <v>109.18459242485633</v>
      </c>
      <c r="AC45" s="277">
        <v>137.4151283547578</v>
      </c>
      <c r="AD45" s="275">
        <v>160.29275934647907</v>
      </c>
      <c r="AE45" s="275"/>
      <c r="AF45" s="277">
        <v>73.870615721664365</v>
      </c>
      <c r="AG45" s="277">
        <v>80.172077906886543</v>
      </c>
      <c r="AH45" s="277">
        <v>102.92385352478725</v>
      </c>
      <c r="AI45" s="277">
        <v>129.53569602307752</v>
      </c>
      <c r="AJ45" s="275">
        <v>151.10146214371721</v>
      </c>
      <c r="AK45" s="275"/>
      <c r="AL45" s="277">
        <v>4.4934563147806799</v>
      </c>
      <c r="AM45" s="277">
        <v>4.8767837118692912</v>
      </c>
      <c r="AN45" s="277">
        <v>6.2607389000690823</v>
      </c>
      <c r="AO45" s="277">
        <v>7.8794323316802695</v>
      </c>
      <c r="AP45" s="275">
        <v>9.191297202761854</v>
      </c>
      <c r="AQ45" s="269" t="str">
        <f>$A$17</f>
        <v>60-64</v>
      </c>
      <c r="AR45" s="277">
        <v>56.310553409327007</v>
      </c>
      <c r="AS45" s="277">
        <v>67.870390220642065</v>
      </c>
      <c r="AT45" s="277">
        <v>84.024998163765019</v>
      </c>
      <c r="AU45" s="277">
        <v>110.21797149361819</v>
      </c>
      <c r="AV45" s="275">
        <v>138.11699523823569</v>
      </c>
      <c r="AW45" s="275"/>
      <c r="AX45" s="277">
        <v>55.169107221716523</v>
      </c>
      <c r="AY45" s="277">
        <v>66.494660625358861</v>
      </c>
      <c r="AZ45" s="277">
        <v>82.321847901242236</v>
      </c>
      <c r="BA45" s="277">
        <v>107.98385950823412</v>
      </c>
      <c r="BB45" s="275">
        <v>135.3173815226985</v>
      </c>
      <c r="BC45" s="275"/>
      <c r="BD45" s="277">
        <v>1.1414461876104915</v>
      </c>
      <c r="BE45" s="277">
        <v>1.375729595283202</v>
      </c>
      <c r="BF45" s="277">
        <v>1.7031502625227839</v>
      </c>
      <c r="BG45" s="277">
        <v>2.2341119853840721</v>
      </c>
      <c r="BH45" s="275">
        <v>2.7996137155371672</v>
      </c>
    </row>
    <row r="46" spans="1:60" s="168" customFormat="1" x14ac:dyDescent="0.25">
      <c r="A46" s="269" t="str">
        <f>$A$18</f>
        <v>65+</v>
      </c>
      <c r="B46" s="277">
        <v>684.22019433015396</v>
      </c>
      <c r="C46" s="277">
        <v>659.7220549729019</v>
      </c>
      <c r="D46" s="277">
        <v>597.6874930135458</v>
      </c>
      <c r="E46" s="277">
        <v>516.4377556390009</v>
      </c>
      <c r="F46" s="275">
        <v>432.27609064150056</v>
      </c>
      <c r="G46" s="279"/>
      <c r="H46" s="277">
        <v>489.85248018008991</v>
      </c>
      <c r="I46" s="277">
        <v>472.31354432994846</v>
      </c>
      <c r="J46" s="277">
        <v>427.90128288186639</v>
      </c>
      <c r="K46" s="277">
        <v>369.73229781992757</v>
      </c>
      <c r="L46" s="275">
        <v>309.47859548147727</v>
      </c>
      <c r="M46" s="279"/>
      <c r="N46" s="277">
        <v>194.3677141500641</v>
      </c>
      <c r="O46" s="277">
        <v>187.40851064295344</v>
      </c>
      <c r="P46" s="277">
        <v>169.78621013167941</v>
      </c>
      <c r="Q46" s="277">
        <v>146.70545781907333</v>
      </c>
      <c r="R46" s="275">
        <v>122.79749516002329</v>
      </c>
      <c r="S46" s="279"/>
      <c r="T46" s="279">
        <v>0</v>
      </c>
      <c r="U46" s="279">
        <v>0</v>
      </c>
      <c r="V46" s="279">
        <v>0</v>
      </c>
      <c r="W46" s="279">
        <v>0</v>
      </c>
      <c r="X46" s="279">
        <v>0</v>
      </c>
      <c r="Y46" s="269" t="str">
        <f>$A$18</f>
        <v>65+</v>
      </c>
      <c r="Z46" s="277">
        <v>229.30721305756543</v>
      </c>
      <c r="AA46" s="277">
        <v>242.95644971788712</v>
      </c>
      <c r="AB46" s="277">
        <v>324.13328439256134</v>
      </c>
      <c r="AC46" s="277">
        <v>392.98454329955848</v>
      </c>
      <c r="AD46" s="275">
        <v>471.20711273861792</v>
      </c>
      <c r="AE46" s="279"/>
      <c r="AF46" s="277">
        <v>216.90901867585666</v>
      </c>
      <c r="AG46" s="277">
        <v>229.82037680573097</v>
      </c>
      <c r="AH46" s="277">
        <v>306.60805056907492</v>
      </c>
      <c r="AI46" s="277">
        <v>371.73671710382393</v>
      </c>
      <c r="AJ46" s="275">
        <v>445.72999049974806</v>
      </c>
      <c r="AK46" s="279"/>
      <c r="AL46" s="277">
        <v>12.398194381708771</v>
      </c>
      <c r="AM46" s="277">
        <v>13.136072912156155</v>
      </c>
      <c r="AN46" s="277">
        <v>17.525233823486392</v>
      </c>
      <c r="AO46" s="277">
        <v>21.247826195734497</v>
      </c>
      <c r="AP46" s="275">
        <v>25.477122238869928</v>
      </c>
      <c r="AQ46" s="269" t="str">
        <f>$A$18</f>
        <v>65+</v>
      </c>
      <c r="AR46" s="277">
        <v>145.26459261228058</v>
      </c>
      <c r="AS46" s="277">
        <v>173.26549530921105</v>
      </c>
      <c r="AT46" s="277">
        <v>233.46822259389299</v>
      </c>
      <c r="AU46" s="277">
        <v>332.65670106144069</v>
      </c>
      <c r="AV46" s="275">
        <v>456.31479661988146</v>
      </c>
      <c r="AW46" s="279"/>
      <c r="AX46" s="277">
        <v>143.74209408925086</v>
      </c>
      <c r="AY46" s="277">
        <v>171.44937059191324</v>
      </c>
      <c r="AZ46" s="277">
        <v>231.02121966409953</v>
      </c>
      <c r="BA46" s="277">
        <v>329.17005716327628</v>
      </c>
      <c r="BB46" s="275">
        <v>451.53195718650386</v>
      </c>
      <c r="BC46" s="279"/>
      <c r="BD46" s="277">
        <v>1.5224985230297139</v>
      </c>
      <c r="BE46" s="277">
        <v>1.8161247172978172</v>
      </c>
      <c r="BF46" s="277">
        <v>2.4470029297934355</v>
      </c>
      <c r="BG46" s="277">
        <v>3.4866438981643779</v>
      </c>
      <c r="BH46" s="275">
        <v>4.7828394333776503</v>
      </c>
    </row>
    <row r="47" spans="1:60" s="168" customFormat="1" x14ac:dyDescent="0.25">
      <c r="A47" s="280"/>
      <c r="B47" s="281"/>
      <c r="C47" s="281"/>
      <c r="D47" s="281"/>
      <c r="E47" s="281"/>
      <c r="F47" s="281"/>
      <c r="G47" s="281"/>
      <c r="H47" s="281"/>
      <c r="I47" s="281"/>
      <c r="J47" s="281"/>
      <c r="K47" s="281"/>
      <c r="L47" s="281"/>
      <c r="M47" s="281"/>
      <c r="N47" s="281"/>
      <c r="O47" s="281"/>
      <c r="P47" s="281"/>
      <c r="Q47" s="281"/>
      <c r="R47" s="281"/>
      <c r="S47" s="281"/>
      <c r="Y47" s="280"/>
      <c r="Z47" s="281"/>
      <c r="AA47" s="281"/>
      <c r="AB47" s="281"/>
      <c r="AC47" s="281"/>
      <c r="AD47" s="281"/>
      <c r="AE47" s="281"/>
      <c r="AF47" s="281"/>
      <c r="AG47" s="281"/>
      <c r="AH47" s="281"/>
      <c r="AI47" s="281"/>
      <c r="AJ47" s="281"/>
      <c r="AK47" s="281"/>
      <c r="AL47" s="281"/>
      <c r="AM47" s="281"/>
      <c r="AN47" s="281"/>
      <c r="AO47" s="281"/>
      <c r="AP47" s="281"/>
      <c r="AQ47" s="280"/>
      <c r="AR47" s="281"/>
      <c r="AS47" s="281"/>
      <c r="AT47" s="281"/>
      <c r="AU47" s="281"/>
      <c r="AV47" s="281"/>
      <c r="AW47" s="281"/>
      <c r="AX47" s="281"/>
      <c r="AY47" s="281"/>
      <c r="AZ47" s="281"/>
      <c r="BA47" s="281"/>
      <c r="BB47" s="281"/>
      <c r="BC47" s="281"/>
      <c r="BD47" s="281"/>
      <c r="BE47" s="281"/>
      <c r="BF47" s="281"/>
      <c r="BG47" s="281"/>
      <c r="BH47" s="281"/>
    </row>
    <row r="48" spans="1:60" s="168" customFormat="1" x14ac:dyDescent="0.25">
      <c r="B48" s="169"/>
      <c r="C48" s="169"/>
      <c r="D48" s="169"/>
      <c r="E48" s="169"/>
      <c r="Z48" s="169"/>
      <c r="AA48" s="169"/>
      <c r="AB48" s="169"/>
      <c r="AC48" s="169"/>
      <c r="AR48" s="169"/>
      <c r="AS48" s="169"/>
      <c r="AT48" s="169"/>
      <c r="AU48" s="169"/>
    </row>
    <row r="49" spans="1:60" s="168" customFormat="1" ht="15.6" x14ac:dyDescent="0.3">
      <c r="A49" s="23" t="str">
        <f>CONCATENATE("Basic Table 2b  Labour Force by Gender, Age Group and ISCED Qualification, ",Info!B8,", ",$B$5,"-",$F$5)</f>
        <v>Basic Table 2b  Labour Force by Gender, Age Group and ISCED Qualification, , 2008-2025</v>
      </c>
      <c r="Y49" s="23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23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s="168" customFormat="1" ht="12.75" customHeight="1" x14ac:dyDescent="0.25">
      <c r="W50" s="534" t="s">
        <v>13</v>
      </c>
      <c r="X50" s="534"/>
      <c r="AP50" s="268" t="str">
        <f>AP2</f>
        <v>Levels (000s)</v>
      </c>
      <c r="BH50" s="268" t="str">
        <f>BH2</f>
        <v>Levels (000s)</v>
      </c>
    </row>
    <row r="51" spans="1:60" s="168" customFormat="1" x14ac:dyDescent="0.25">
      <c r="A51" s="160" t="s">
        <v>102</v>
      </c>
      <c r="B51" s="270" t="str">
        <f>B3</f>
        <v>All Low qualifications</v>
      </c>
      <c r="C51" s="270"/>
      <c r="D51" s="271"/>
      <c r="E51" s="270"/>
      <c r="F51" s="270"/>
      <c r="G51" s="160"/>
      <c r="H51" s="272" t="str">
        <f>H3</f>
        <v>Pre-primary education</v>
      </c>
      <c r="I51" s="272"/>
      <c r="J51" s="272"/>
      <c r="K51" s="270"/>
      <c r="L51" s="270"/>
      <c r="M51" s="160"/>
      <c r="N51" s="272" t="str">
        <f>N3</f>
        <v>Primary education (1st stage basic)</v>
      </c>
      <c r="O51" s="272"/>
      <c r="P51" s="272"/>
      <c r="Q51" s="270"/>
      <c r="R51" s="270"/>
      <c r="S51" s="160"/>
      <c r="T51" s="533" t="str">
        <f>T3</f>
        <v>Lower secondary education (2nd stage basic)</v>
      </c>
      <c r="U51" s="533"/>
      <c r="V51" s="533"/>
      <c r="W51" s="533"/>
      <c r="X51" s="533"/>
      <c r="Y51" s="160" t="s">
        <v>102</v>
      </c>
      <c r="Z51" s="270" t="str">
        <f>Z3</f>
        <v>All Medium qualifications</v>
      </c>
      <c r="AA51" s="270"/>
      <c r="AB51" s="271"/>
      <c r="AC51" s="270"/>
      <c r="AD51" s="270"/>
      <c r="AE51" s="160"/>
      <c r="AF51" s="272" t="str">
        <f>AF3</f>
        <v>Upper secondary education</v>
      </c>
      <c r="AG51" s="272"/>
      <c r="AH51" s="272"/>
      <c r="AI51" s="270"/>
      <c r="AJ51" s="270"/>
      <c r="AK51" s="160"/>
      <c r="AL51" s="272" t="str">
        <f>AL3</f>
        <v>Post-secondary non-tertiary education</v>
      </c>
      <c r="AM51" s="272"/>
      <c r="AN51" s="272"/>
      <c r="AO51" s="270"/>
      <c r="AP51" s="270"/>
      <c r="AQ51" s="160" t="s">
        <v>102</v>
      </c>
      <c r="AR51" s="270" t="str">
        <f>AR3</f>
        <v>All High qualifications</v>
      </c>
      <c r="AS51" s="270"/>
      <c r="AT51" s="271"/>
      <c r="AU51" s="270"/>
      <c r="AV51" s="270"/>
      <c r="AW51" s="160"/>
      <c r="AX51" s="272" t="str">
        <f>AX3</f>
        <v>First stage of tertiary education</v>
      </c>
      <c r="AY51" s="272"/>
      <c r="AZ51" s="272"/>
      <c r="BA51" s="270"/>
      <c r="BB51" s="270"/>
      <c r="BC51" s="160"/>
      <c r="BD51" s="272" t="str">
        <f>BD3</f>
        <v>Second stage of tertiary education</v>
      </c>
      <c r="BE51" s="272"/>
      <c r="BF51" s="272"/>
      <c r="BG51" s="270"/>
      <c r="BH51" s="270"/>
    </row>
    <row r="52" spans="1:60" s="168" customFormat="1" x14ac:dyDescent="0.25">
      <c r="A52" s="264" t="s">
        <v>104</v>
      </c>
      <c r="B52" s="273"/>
      <c r="C52" s="273"/>
      <c r="D52" s="273"/>
      <c r="E52" s="273"/>
      <c r="F52" s="273"/>
      <c r="G52" s="126"/>
      <c r="H52" s="273"/>
      <c r="I52" s="273"/>
      <c r="J52" s="273"/>
      <c r="K52" s="273"/>
      <c r="L52" s="273"/>
      <c r="M52" s="126"/>
      <c r="N52" s="273"/>
      <c r="O52" s="273"/>
      <c r="P52" s="273"/>
      <c r="Q52" s="273"/>
      <c r="R52" s="273"/>
      <c r="S52" s="126"/>
      <c r="T52" s="273"/>
      <c r="U52" s="273"/>
      <c r="V52" s="273"/>
      <c r="W52" s="273"/>
      <c r="X52" s="273"/>
      <c r="Y52" s="264" t="s">
        <v>104</v>
      </c>
      <c r="Z52" s="273"/>
      <c r="AA52" s="273"/>
      <c r="AB52" s="273"/>
      <c r="AC52" s="273"/>
      <c r="AD52" s="273"/>
      <c r="AE52" s="126"/>
      <c r="AF52" s="273"/>
      <c r="AG52" s="273"/>
      <c r="AH52" s="273"/>
      <c r="AI52" s="273"/>
      <c r="AJ52" s="273"/>
      <c r="AK52" s="126"/>
      <c r="AL52" s="273"/>
      <c r="AM52" s="273"/>
      <c r="AN52" s="273"/>
      <c r="AO52" s="273"/>
      <c r="AP52" s="273"/>
      <c r="AQ52" s="264" t="s">
        <v>104</v>
      </c>
      <c r="AR52" s="273"/>
      <c r="AS52" s="273"/>
      <c r="AT52" s="273"/>
      <c r="AU52" s="273"/>
      <c r="AV52" s="273"/>
      <c r="AW52" s="126"/>
      <c r="AX52" s="273"/>
      <c r="AY52" s="273"/>
      <c r="AZ52" s="273"/>
      <c r="BA52" s="273"/>
      <c r="BB52" s="273"/>
      <c r="BC52" s="126"/>
      <c r="BD52" s="273"/>
      <c r="BE52" s="273"/>
      <c r="BF52" s="273"/>
      <c r="BG52" s="273"/>
      <c r="BH52" s="273"/>
    </row>
    <row r="53" spans="1:60" s="168" customFormat="1" x14ac:dyDescent="0.25">
      <c r="A53" s="261"/>
      <c r="B53" s="274">
        <v>2008</v>
      </c>
      <c r="C53" s="274">
        <v>2010</v>
      </c>
      <c r="D53" s="274">
        <v>2012</v>
      </c>
      <c r="E53" s="274">
        <v>2015</v>
      </c>
      <c r="F53" s="264">
        <v>2020</v>
      </c>
      <c r="G53" s="162"/>
      <c r="H53" s="162">
        <f>B53</f>
        <v>2008</v>
      </c>
      <c r="I53" s="162">
        <f>C53</f>
        <v>2010</v>
      </c>
      <c r="J53" s="162">
        <f>D53</f>
        <v>2012</v>
      </c>
      <c r="K53" s="162">
        <f>E53</f>
        <v>2015</v>
      </c>
      <c r="L53" s="162">
        <f>F53</f>
        <v>2020</v>
      </c>
      <c r="M53" s="162"/>
      <c r="N53" s="162">
        <f>B53</f>
        <v>2008</v>
      </c>
      <c r="O53" s="162">
        <f>C53</f>
        <v>2010</v>
      </c>
      <c r="P53" s="162">
        <f>D53</f>
        <v>2012</v>
      </c>
      <c r="Q53" s="162">
        <f>E53</f>
        <v>2015</v>
      </c>
      <c r="R53" s="162">
        <f>F53</f>
        <v>2020</v>
      </c>
      <c r="S53" s="162"/>
      <c r="T53" s="162">
        <f>B53</f>
        <v>2008</v>
      </c>
      <c r="U53" s="162">
        <f>C53</f>
        <v>2010</v>
      </c>
      <c r="V53" s="162">
        <f>D53</f>
        <v>2012</v>
      </c>
      <c r="W53" s="162">
        <f>E53</f>
        <v>2015</v>
      </c>
      <c r="X53" s="162">
        <f>F53</f>
        <v>2020</v>
      </c>
      <c r="Y53" s="261"/>
      <c r="Z53" s="274">
        <v>2008</v>
      </c>
      <c r="AA53" s="274">
        <v>2010</v>
      </c>
      <c r="AB53" s="274">
        <v>2012</v>
      </c>
      <c r="AC53" s="274">
        <v>2015</v>
      </c>
      <c r="AD53" s="264">
        <v>2020</v>
      </c>
      <c r="AE53" s="162"/>
      <c r="AF53" s="162">
        <f>Z53</f>
        <v>2008</v>
      </c>
      <c r="AG53" s="162">
        <f>AA53</f>
        <v>2010</v>
      </c>
      <c r="AH53" s="162">
        <f>AB53</f>
        <v>2012</v>
      </c>
      <c r="AI53" s="162">
        <f>AC53</f>
        <v>2015</v>
      </c>
      <c r="AJ53" s="162">
        <f>AD53</f>
        <v>2020</v>
      </c>
      <c r="AK53" s="162"/>
      <c r="AL53" s="162">
        <f>Z53</f>
        <v>2008</v>
      </c>
      <c r="AM53" s="162">
        <f>AA53</f>
        <v>2010</v>
      </c>
      <c r="AN53" s="162">
        <f>AB53</f>
        <v>2012</v>
      </c>
      <c r="AO53" s="162">
        <f>AC53</f>
        <v>2015</v>
      </c>
      <c r="AP53" s="162">
        <f>AD53</f>
        <v>2020</v>
      </c>
      <c r="AQ53" s="261"/>
      <c r="AR53" s="274">
        <v>2008</v>
      </c>
      <c r="AS53" s="274">
        <v>2010</v>
      </c>
      <c r="AT53" s="274">
        <v>2012</v>
      </c>
      <c r="AU53" s="274">
        <v>2015</v>
      </c>
      <c r="AV53" s="264">
        <v>2020</v>
      </c>
      <c r="AW53" s="162"/>
      <c r="AX53" s="162">
        <f>AR53</f>
        <v>2008</v>
      </c>
      <c r="AY53" s="162">
        <f>AS53</f>
        <v>2010</v>
      </c>
      <c r="AZ53" s="162">
        <f>AT53</f>
        <v>2012</v>
      </c>
      <c r="BA53" s="162">
        <f>AU53</f>
        <v>2015</v>
      </c>
      <c r="BB53" s="162">
        <f>AV53</f>
        <v>2020</v>
      </c>
      <c r="BC53" s="162"/>
      <c r="BD53" s="162">
        <f>AR53</f>
        <v>2008</v>
      </c>
      <c r="BE53" s="162">
        <f>AS53</f>
        <v>2010</v>
      </c>
      <c r="BF53" s="162">
        <f>AT53</f>
        <v>2012</v>
      </c>
      <c r="BG53" s="162">
        <f>AU53</f>
        <v>2015</v>
      </c>
      <c r="BH53" s="162">
        <f>AV53</f>
        <v>2020</v>
      </c>
    </row>
    <row r="54" spans="1:60" s="168" customFormat="1" x14ac:dyDescent="0.25">
      <c r="A54" s="263" t="str">
        <f>A6</f>
        <v>Males and females</v>
      </c>
      <c r="F54" s="275"/>
      <c r="G54" s="275"/>
      <c r="H54" s="275"/>
      <c r="I54" s="275"/>
      <c r="J54" s="275"/>
      <c r="K54" s="275"/>
      <c r="L54" s="275"/>
      <c r="M54" s="275"/>
      <c r="N54" s="275"/>
      <c r="O54" s="275"/>
      <c r="P54" s="275"/>
      <c r="Q54" s="275"/>
      <c r="R54" s="275"/>
      <c r="S54" s="275"/>
      <c r="Y54" s="263" t="str">
        <f>Y6</f>
        <v>Males and females</v>
      </c>
      <c r="AD54" s="275"/>
      <c r="AE54" s="275"/>
      <c r="AF54" s="275"/>
      <c r="AG54" s="275"/>
      <c r="AH54" s="275"/>
      <c r="AI54" s="275"/>
      <c r="AJ54" s="275"/>
      <c r="AK54" s="275"/>
      <c r="AL54" s="275"/>
      <c r="AM54" s="275"/>
      <c r="AN54" s="275"/>
      <c r="AO54" s="275"/>
      <c r="AP54" s="275"/>
      <c r="AQ54" s="263" t="str">
        <f>AQ6</f>
        <v>Males and females</v>
      </c>
      <c r="AV54" s="275"/>
      <c r="AW54" s="275"/>
      <c r="AX54" s="275"/>
      <c r="AY54" s="275"/>
      <c r="AZ54" s="275"/>
      <c r="BA54" s="275"/>
      <c r="BB54" s="275"/>
      <c r="BC54" s="275"/>
      <c r="BD54" s="275"/>
      <c r="BE54" s="275"/>
      <c r="BF54" s="275"/>
      <c r="BG54" s="275"/>
      <c r="BH54" s="275"/>
    </row>
    <row r="55" spans="1:60" s="168" customFormat="1" x14ac:dyDescent="0.25">
      <c r="A55" s="276" t="str">
        <f>A7</f>
        <v>15+</v>
      </c>
      <c r="B55" s="277">
        <f>SUM(B69,B83)</f>
        <v>1091.4118992738524</v>
      </c>
      <c r="C55" s="277">
        <f t="shared" ref="C55:F55" si="43">SUM(C69,C83)</f>
        <v>1100.0037861102892</v>
      </c>
      <c r="D55" s="277">
        <f t="shared" si="43"/>
        <v>916.42301941602898</v>
      </c>
      <c r="E55" s="277">
        <f t="shared" si="43"/>
        <v>787.47393586094222</v>
      </c>
      <c r="F55" s="277">
        <f t="shared" si="43"/>
        <v>647.93759918436888</v>
      </c>
      <c r="G55" s="275"/>
      <c r="H55" s="277">
        <f>SUM(H69,H83)</f>
        <v>362.47383711398129</v>
      </c>
      <c r="I55" s="277">
        <f t="shared" ref="I55:L55" si="44">SUM(I69,I83)</f>
        <v>367.09230695546</v>
      </c>
      <c r="J55" s="277">
        <f t="shared" si="44"/>
        <v>309.04252665358638</v>
      </c>
      <c r="K55" s="277">
        <f t="shared" si="44"/>
        <v>265.71661758383789</v>
      </c>
      <c r="L55" s="277">
        <f t="shared" si="44"/>
        <v>217.36047114432725</v>
      </c>
      <c r="M55" s="275"/>
      <c r="N55" s="277">
        <f>SUM(N69,N83)</f>
        <v>728.93806215987115</v>
      </c>
      <c r="O55" s="277">
        <f t="shared" ref="O55:R55" si="45">SUM(O69,O83)</f>
        <v>732.91147915482918</v>
      </c>
      <c r="P55" s="277">
        <f t="shared" si="45"/>
        <v>607.3804927624426</v>
      </c>
      <c r="Q55" s="277">
        <f t="shared" si="45"/>
        <v>521.75731827710433</v>
      </c>
      <c r="R55" s="277">
        <f t="shared" si="45"/>
        <v>430.57712804004166</v>
      </c>
      <c r="S55" s="275"/>
      <c r="T55" s="277">
        <f>SUM(T69,T83)</f>
        <v>0</v>
      </c>
      <c r="U55" s="277">
        <f t="shared" ref="U55:X55" si="46">SUM(U69,U83)</f>
        <v>0</v>
      </c>
      <c r="V55" s="277">
        <f t="shared" si="46"/>
        <v>0</v>
      </c>
      <c r="W55" s="277">
        <f t="shared" si="46"/>
        <v>0</v>
      </c>
      <c r="X55" s="277">
        <f t="shared" si="46"/>
        <v>0</v>
      </c>
      <c r="Y55" s="276" t="str">
        <f>Y7</f>
        <v>15+</v>
      </c>
      <c r="Z55" s="277">
        <f>SUM(Z69,Z83)</f>
        <v>1946.6117047650587</v>
      </c>
      <c r="AA55" s="277">
        <f t="shared" ref="AA55:AD55" si="47">SUM(AA69,AA83)</f>
        <v>1898.9657890695435</v>
      </c>
      <c r="AB55" s="277">
        <f t="shared" si="47"/>
        <v>1962.8308563745852</v>
      </c>
      <c r="AC55" s="277">
        <f t="shared" si="47"/>
        <v>2069.7042275623553</v>
      </c>
      <c r="AD55" s="277">
        <f t="shared" si="47"/>
        <v>2170.6375884387007</v>
      </c>
      <c r="AE55" s="275"/>
      <c r="AF55" s="277">
        <f>SUM(AF69,AF83)</f>
        <v>1824.1912882451829</v>
      </c>
      <c r="AG55" s="277">
        <f t="shared" ref="AG55:AJ55" si="48">SUM(AG69,AG83)</f>
        <v>1779.7966268394514</v>
      </c>
      <c r="AH55" s="277">
        <f t="shared" si="48"/>
        <v>1839.9843516955048</v>
      </c>
      <c r="AI55" s="277">
        <f t="shared" si="48"/>
        <v>1940.4817534613794</v>
      </c>
      <c r="AJ55" s="277">
        <f t="shared" si="48"/>
        <v>2035.5057599780253</v>
      </c>
      <c r="AK55" s="275"/>
      <c r="AL55" s="277">
        <f>SUM(AL69,AL83)</f>
        <v>122.42041651987563</v>
      </c>
      <c r="AM55" s="277">
        <f t="shared" ref="AM55:AP55" si="49">SUM(AM69,AM83)</f>
        <v>119.16916223009233</v>
      </c>
      <c r="AN55" s="277">
        <f t="shared" si="49"/>
        <v>122.84650467908108</v>
      </c>
      <c r="AO55" s="277">
        <f t="shared" si="49"/>
        <v>129.22247410097572</v>
      </c>
      <c r="AP55" s="277">
        <f t="shared" si="49"/>
        <v>135.13182846067508</v>
      </c>
      <c r="AQ55" s="276" t="str">
        <f>AQ7</f>
        <v>15+</v>
      </c>
      <c r="AR55" s="277">
        <f>SUM(AR69,AR83)</f>
        <v>1748.2863959610891</v>
      </c>
      <c r="AS55" s="277">
        <f t="shared" ref="AS55:AV55" si="50">SUM(AS69,AS83)</f>
        <v>1906.3674248201669</v>
      </c>
      <c r="AT55" s="277">
        <f t="shared" si="50"/>
        <v>2115.1681242093855</v>
      </c>
      <c r="AU55" s="277">
        <f t="shared" si="50"/>
        <v>2318.0908365767018</v>
      </c>
      <c r="AV55" s="277">
        <f t="shared" si="50"/>
        <v>2521.4978123769306</v>
      </c>
      <c r="AW55" s="275"/>
      <c r="AX55" s="277">
        <f>SUM(AX69,AX83)</f>
        <v>1717.00572023467</v>
      </c>
      <c r="AY55" s="277">
        <f t="shared" ref="AY55:BB55" si="51">SUM(AY69,AY83)</f>
        <v>1871.5654118320501</v>
      </c>
      <c r="AZ55" s="277">
        <f t="shared" si="51"/>
        <v>2075.3669628743173</v>
      </c>
      <c r="BA55" s="277">
        <f t="shared" si="51"/>
        <v>2274.1381911334825</v>
      </c>
      <c r="BB55" s="277">
        <f t="shared" si="51"/>
        <v>2472.9509757013893</v>
      </c>
      <c r="BC55" s="275"/>
      <c r="BD55" s="277">
        <f>SUM(BD69,BD83)</f>
        <v>31.280675726418963</v>
      </c>
      <c r="BE55" s="277">
        <f t="shared" ref="BE55:BH55" si="52">SUM(BE69,BE83)</f>
        <v>34.676945501519299</v>
      </c>
      <c r="BF55" s="277">
        <f t="shared" si="52"/>
        <v>39.483123423895734</v>
      </c>
      <c r="BG55" s="277">
        <f t="shared" si="52"/>
        <v>43.95264544321995</v>
      </c>
      <c r="BH55" s="277">
        <f t="shared" si="52"/>
        <v>48.546836675541741</v>
      </c>
    </row>
    <row r="56" spans="1:60" s="168" customFormat="1" x14ac:dyDescent="0.25">
      <c r="A56" s="276" t="str">
        <f t="shared" ref="A56:A66" si="53">A8</f>
        <v>15-19</v>
      </c>
      <c r="B56" s="277">
        <f t="shared" ref="B56:F66" si="54">SUM(B70,B84)</f>
        <v>33.922484918096792</v>
      </c>
      <c r="C56" s="277">
        <f t="shared" si="54"/>
        <v>33.428963380218356</v>
      </c>
      <c r="D56" s="277">
        <f t="shared" si="54"/>
        <v>25.618579168305843</v>
      </c>
      <c r="E56" s="277">
        <f t="shared" si="54"/>
        <v>27.576564899958772</v>
      </c>
      <c r="F56" s="277">
        <f t="shared" si="54"/>
        <v>31.444379921686618</v>
      </c>
      <c r="G56" s="275"/>
      <c r="H56" s="277">
        <f t="shared" ref="H56:L66" si="55">SUM(H70,H84)</f>
        <v>7.8573198535721822</v>
      </c>
      <c r="I56" s="277">
        <f t="shared" si="55"/>
        <v>7.5672034937247652</v>
      </c>
      <c r="J56" s="277">
        <f t="shared" si="55"/>
        <v>5.7747610908860949</v>
      </c>
      <c r="K56" s="277">
        <f t="shared" si="55"/>
        <v>6.3040880162625772</v>
      </c>
      <c r="L56" s="277">
        <f t="shared" si="55"/>
        <v>7.2506410354839996</v>
      </c>
      <c r="M56" s="275"/>
      <c r="N56" s="277">
        <f t="shared" ref="N56:R66" si="56">SUM(N70,N84)</f>
        <v>26.065165064524606</v>
      </c>
      <c r="O56" s="277">
        <f t="shared" si="56"/>
        <v>25.861759886493594</v>
      </c>
      <c r="P56" s="277">
        <f t="shared" si="56"/>
        <v>19.843818077419751</v>
      </c>
      <c r="Q56" s="277">
        <f t="shared" si="56"/>
        <v>21.272476883696193</v>
      </c>
      <c r="R56" s="277">
        <f t="shared" si="56"/>
        <v>24.193738886202624</v>
      </c>
      <c r="S56" s="275"/>
      <c r="T56" s="277">
        <f t="shared" ref="T56:X66" si="57">SUM(T70,T84)</f>
        <v>0</v>
      </c>
      <c r="U56" s="277">
        <f t="shared" si="57"/>
        <v>0</v>
      </c>
      <c r="V56" s="277">
        <f t="shared" si="57"/>
        <v>0</v>
      </c>
      <c r="W56" s="277">
        <f t="shared" si="57"/>
        <v>0</v>
      </c>
      <c r="X56" s="277">
        <f t="shared" si="57"/>
        <v>0</v>
      </c>
      <c r="Y56" s="276" t="str">
        <f t="shared" ref="Y56:Y66" si="58">Y8</f>
        <v>15-19</v>
      </c>
      <c r="Z56" s="277">
        <f t="shared" ref="Z56:AD66" si="59">SUM(Z70,Z84)</f>
        <v>28.669275921467221</v>
      </c>
      <c r="AA56" s="277">
        <f t="shared" si="59"/>
        <v>24.94017830051537</v>
      </c>
      <c r="AB56" s="277">
        <f t="shared" si="59"/>
        <v>22.096171672766943</v>
      </c>
      <c r="AC56" s="277">
        <f t="shared" si="59"/>
        <v>24.369923731987864</v>
      </c>
      <c r="AD56" s="277">
        <f t="shared" si="59"/>
        <v>28.847750118738247</v>
      </c>
      <c r="AE56" s="275"/>
      <c r="AF56" s="277">
        <f t="shared" ref="AF56:AJ66" si="60">SUM(AF70,AF84)</f>
        <v>27.131107622890386</v>
      </c>
      <c r="AG56" s="277">
        <f t="shared" si="60"/>
        <v>23.604856528669352</v>
      </c>
      <c r="AH56" s="277">
        <f t="shared" si="60"/>
        <v>20.910693259755835</v>
      </c>
      <c r="AI56" s="277">
        <f t="shared" si="60"/>
        <v>23.061501302502187</v>
      </c>
      <c r="AJ56" s="277">
        <f t="shared" si="60"/>
        <v>27.298051224460476</v>
      </c>
      <c r="AK56" s="275"/>
      <c r="AL56" s="277">
        <f t="shared" ref="AL56:AP66" si="61">SUM(AL70,AL84)</f>
        <v>1.538168298576831</v>
      </c>
      <c r="AM56" s="277">
        <f t="shared" si="61"/>
        <v>1.3353217718460186</v>
      </c>
      <c r="AN56" s="277">
        <f t="shared" si="61"/>
        <v>1.185478413011108</v>
      </c>
      <c r="AO56" s="277">
        <f t="shared" si="61"/>
        <v>1.3084224294856792</v>
      </c>
      <c r="AP56" s="277">
        <f t="shared" si="61"/>
        <v>1.5496988942777667</v>
      </c>
      <c r="AQ56" s="276" t="str">
        <f t="shared" ref="AQ56:AQ66" si="62">AQ8</f>
        <v>15-19</v>
      </c>
      <c r="AR56" s="277">
        <f t="shared" ref="AR56:AV66" si="63">SUM(AR70,AR84)</f>
        <v>0.22323916043599393</v>
      </c>
      <c r="AS56" s="277">
        <f t="shared" si="63"/>
        <v>0.23185831926626108</v>
      </c>
      <c r="AT56" s="277">
        <f t="shared" si="63"/>
        <v>0.31924915892721956</v>
      </c>
      <c r="AU56" s="277">
        <f t="shared" si="63"/>
        <v>0.32851136805335357</v>
      </c>
      <c r="AV56" s="277">
        <f t="shared" si="63"/>
        <v>0.36386995957513524</v>
      </c>
      <c r="AW56" s="275"/>
      <c r="AX56" s="277">
        <f t="shared" ref="AX56:BB66" si="64">SUM(AX70,AX84)</f>
        <v>0.18942213461700935</v>
      </c>
      <c r="AY56" s="277">
        <f t="shared" si="64"/>
        <v>7.0679138418197798E-2</v>
      </c>
      <c r="AZ56" s="277">
        <f t="shared" si="64"/>
        <v>8.014133599071727E-4</v>
      </c>
      <c r="BA56" s="277">
        <f t="shared" si="64"/>
        <v>0.32647088949339453</v>
      </c>
      <c r="BB56" s="277">
        <f t="shared" si="64"/>
        <v>0.3602016521563422</v>
      </c>
      <c r="BC56" s="275"/>
      <c r="BD56" s="277">
        <f t="shared" ref="BD56:BH66" si="65">SUM(BD70,BD84)</f>
        <v>3.3817025818984561E-2</v>
      </c>
      <c r="BE56" s="277">
        <f t="shared" si="65"/>
        <v>3.6111694250642229E-2</v>
      </c>
      <c r="BF56" s="277">
        <f t="shared" si="65"/>
        <v>4.0983439475890718E-4</v>
      </c>
      <c r="BG56" s="277">
        <f t="shared" si="65"/>
        <v>2.0404785599590159E-3</v>
      </c>
      <c r="BH56" s="277">
        <f t="shared" si="65"/>
        <v>3.6683074187930289E-3</v>
      </c>
    </row>
    <row r="57" spans="1:60" s="168" customFormat="1" x14ac:dyDescent="0.25">
      <c r="A57" s="276" t="str">
        <f t="shared" si="53"/>
        <v>20-24</v>
      </c>
      <c r="B57" s="277">
        <f t="shared" si="54"/>
        <v>69.997446885450401</v>
      </c>
      <c r="C57" s="277">
        <f t="shared" si="54"/>
        <v>73.885251785075525</v>
      </c>
      <c r="D57" s="277">
        <f t="shared" si="54"/>
        <v>60.82748778551305</v>
      </c>
      <c r="E57" s="277">
        <f t="shared" si="54"/>
        <v>52.336025748722321</v>
      </c>
      <c r="F57" s="277">
        <f t="shared" si="54"/>
        <v>47.838308330484821</v>
      </c>
      <c r="G57" s="275"/>
      <c r="H57" s="277">
        <f t="shared" si="55"/>
        <v>17.50666245872462</v>
      </c>
      <c r="I57" s="277">
        <f t="shared" si="55"/>
        <v>18.316843567871658</v>
      </c>
      <c r="J57" s="277">
        <f t="shared" si="55"/>
        <v>14.976024192054551</v>
      </c>
      <c r="K57" s="277">
        <f t="shared" si="55"/>
        <v>12.905149968073884</v>
      </c>
      <c r="L57" s="277">
        <f t="shared" si="55"/>
        <v>11.781306690276619</v>
      </c>
      <c r="M57" s="275"/>
      <c r="N57" s="277">
        <f t="shared" si="56"/>
        <v>52.490784426725781</v>
      </c>
      <c r="O57" s="277">
        <f t="shared" si="56"/>
        <v>55.568408217203867</v>
      </c>
      <c r="P57" s="277">
        <f t="shared" si="56"/>
        <v>45.851463593458497</v>
      </c>
      <c r="Q57" s="277">
        <f t="shared" si="56"/>
        <v>39.430875780648435</v>
      </c>
      <c r="R57" s="277">
        <f t="shared" si="56"/>
        <v>36.057001640208199</v>
      </c>
      <c r="S57" s="275"/>
      <c r="T57" s="277">
        <f t="shared" si="57"/>
        <v>0</v>
      </c>
      <c r="U57" s="277">
        <f t="shared" si="57"/>
        <v>0</v>
      </c>
      <c r="V57" s="277">
        <f t="shared" si="57"/>
        <v>0</v>
      </c>
      <c r="W57" s="277">
        <f t="shared" si="57"/>
        <v>0</v>
      </c>
      <c r="X57" s="277">
        <f t="shared" si="57"/>
        <v>0</v>
      </c>
      <c r="Y57" s="276" t="str">
        <f t="shared" si="58"/>
        <v>20-24</v>
      </c>
      <c r="Z57" s="277">
        <f t="shared" si="59"/>
        <v>200.63056393547677</v>
      </c>
      <c r="AA57" s="277">
        <f t="shared" si="59"/>
        <v>200.10878986052779</v>
      </c>
      <c r="AB57" s="277">
        <f t="shared" si="59"/>
        <v>192.82988811096317</v>
      </c>
      <c r="AC57" s="277">
        <f t="shared" si="59"/>
        <v>182.24243827723632</v>
      </c>
      <c r="AD57" s="277">
        <f t="shared" si="59"/>
        <v>183.10832552939812</v>
      </c>
      <c r="AE57" s="275"/>
      <c r="AF57" s="277">
        <f t="shared" si="60"/>
        <v>184.4013377657671</v>
      </c>
      <c r="AG57" s="277">
        <f t="shared" si="60"/>
        <v>183.88709709012173</v>
      </c>
      <c r="AH57" s="277">
        <f t="shared" si="60"/>
        <v>177.34938200988924</v>
      </c>
      <c r="AI57" s="277">
        <f t="shared" si="60"/>
        <v>167.58221623961009</v>
      </c>
      <c r="AJ57" s="277">
        <f t="shared" si="60"/>
        <v>168.42784713146324</v>
      </c>
      <c r="AK57" s="275"/>
      <c r="AL57" s="277">
        <f t="shared" si="61"/>
        <v>16.229226169709651</v>
      </c>
      <c r="AM57" s="277">
        <f t="shared" si="61"/>
        <v>16.221692770406051</v>
      </c>
      <c r="AN57" s="277">
        <f t="shared" si="61"/>
        <v>15.480506101073939</v>
      </c>
      <c r="AO57" s="277">
        <f t="shared" si="61"/>
        <v>14.660222037626259</v>
      </c>
      <c r="AP57" s="277">
        <f t="shared" si="61"/>
        <v>14.680478397934866</v>
      </c>
      <c r="AQ57" s="276" t="str">
        <f t="shared" si="62"/>
        <v>20-24</v>
      </c>
      <c r="AR57" s="277">
        <f t="shared" si="63"/>
        <v>100.04998917907284</v>
      </c>
      <c r="AS57" s="277">
        <f t="shared" si="63"/>
        <v>94.987958354396682</v>
      </c>
      <c r="AT57" s="277">
        <f t="shared" si="63"/>
        <v>103.98462410352381</v>
      </c>
      <c r="AU57" s="277">
        <f t="shared" si="63"/>
        <v>110.10453597404138</v>
      </c>
      <c r="AV57" s="277">
        <f t="shared" si="63"/>
        <v>122.21236614011708</v>
      </c>
      <c r="AW57" s="275"/>
      <c r="AX57" s="277">
        <f t="shared" si="64"/>
        <v>99.830703255982527</v>
      </c>
      <c r="AY57" s="277">
        <f t="shared" si="64"/>
        <v>94.78083623451991</v>
      </c>
      <c r="AZ57" s="277">
        <f t="shared" si="64"/>
        <v>103.75807484517797</v>
      </c>
      <c r="BA57" s="277">
        <f t="shared" si="64"/>
        <v>109.86373714713562</v>
      </c>
      <c r="BB57" s="277">
        <f t="shared" si="64"/>
        <v>121.94555113721529</v>
      </c>
      <c r="BC57" s="275"/>
      <c r="BD57" s="277">
        <f t="shared" si="65"/>
        <v>0.21928592309030701</v>
      </c>
      <c r="BE57" s="277">
        <f t="shared" si="65"/>
        <v>0.20712211987677406</v>
      </c>
      <c r="BF57" s="277">
        <f t="shared" si="65"/>
        <v>0.2265492583458453</v>
      </c>
      <c r="BG57" s="277">
        <f t="shared" si="65"/>
        <v>0.24079882690576235</v>
      </c>
      <c r="BH57" s="277">
        <f t="shared" si="65"/>
        <v>0.26681500290179178</v>
      </c>
    </row>
    <row r="58" spans="1:60" s="168" customFormat="1" x14ac:dyDescent="0.25">
      <c r="A58" s="276" t="str">
        <f t="shared" si="53"/>
        <v>25-29</v>
      </c>
      <c r="B58" s="277">
        <f t="shared" si="54"/>
        <v>83.10566032859262</v>
      </c>
      <c r="C58" s="277">
        <f t="shared" si="54"/>
        <v>92.922114197332945</v>
      </c>
      <c r="D58" s="277">
        <f t="shared" si="54"/>
        <v>81.756122550300972</v>
      </c>
      <c r="E58" s="277">
        <f t="shared" si="54"/>
        <v>81.088950586198422</v>
      </c>
      <c r="F58" s="277">
        <f t="shared" si="54"/>
        <v>71.085865926883031</v>
      </c>
      <c r="G58" s="275"/>
      <c r="H58" s="277">
        <f t="shared" si="55"/>
        <v>23.608107087454297</v>
      </c>
      <c r="I58" s="277">
        <f t="shared" si="55"/>
        <v>26.378552793035944</v>
      </c>
      <c r="J58" s="277">
        <f t="shared" si="55"/>
        <v>23.222779194804581</v>
      </c>
      <c r="K58" s="277">
        <f t="shared" si="55"/>
        <v>23.044303745971408</v>
      </c>
      <c r="L58" s="277">
        <f t="shared" si="55"/>
        <v>20.194793417876976</v>
      </c>
      <c r="M58" s="275"/>
      <c r="N58" s="277">
        <f t="shared" si="56"/>
        <v>59.49755324113832</v>
      </c>
      <c r="O58" s="277">
        <f t="shared" si="56"/>
        <v>66.543561404296995</v>
      </c>
      <c r="P58" s="277">
        <f t="shared" si="56"/>
        <v>58.533343355496399</v>
      </c>
      <c r="Q58" s="277">
        <f t="shared" si="56"/>
        <v>58.04464684022701</v>
      </c>
      <c r="R58" s="277">
        <f t="shared" si="56"/>
        <v>50.891072509006051</v>
      </c>
      <c r="S58" s="275"/>
      <c r="T58" s="277">
        <f t="shared" si="57"/>
        <v>0</v>
      </c>
      <c r="U58" s="277">
        <f t="shared" si="57"/>
        <v>0</v>
      </c>
      <c r="V58" s="277">
        <f t="shared" si="57"/>
        <v>0</v>
      </c>
      <c r="W58" s="277">
        <f t="shared" si="57"/>
        <v>0</v>
      </c>
      <c r="X58" s="277">
        <f t="shared" si="57"/>
        <v>0</v>
      </c>
      <c r="Y58" s="276" t="str">
        <f t="shared" si="58"/>
        <v>25-29</v>
      </c>
      <c r="Z58" s="277">
        <f t="shared" si="59"/>
        <v>253.52682972521137</v>
      </c>
      <c r="AA58" s="277">
        <f t="shared" si="59"/>
        <v>234.83645593614608</v>
      </c>
      <c r="AB58" s="277">
        <f t="shared" si="59"/>
        <v>239.38100582652388</v>
      </c>
      <c r="AC58" s="277">
        <f t="shared" si="59"/>
        <v>250.47379611646011</v>
      </c>
      <c r="AD58" s="277">
        <f t="shared" si="59"/>
        <v>242.75774055369266</v>
      </c>
      <c r="AE58" s="275"/>
      <c r="AF58" s="277">
        <f t="shared" si="60"/>
        <v>233.96361796129568</v>
      </c>
      <c r="AG58" s="277">
        <f t="shared" si="60"/>
        <v>216.69951214512702</v>
      </c>
      <c r="AH58" s="277">
        <f t="shared" si="60"/>
        <v>220.99938766367791</v>
      </c>
      <c r="AI58" s="277">
        <f t="shared" si="60"/>
        <v>231.32962388195671</v>
      </c>
      <c r="AJ58" s="277">
        <f t="shared" si="60"/>
        <v>224.27741219211396</v>
      </c>
      <c r="AK58" s="275"/>
      <c r="AL58" s="277">
        <f t="shared" si="61"/>
        <v>19.563211763915717</v>
      </c>
      <c r="AM58" s="277">
        <f t="shared" si="61"/>
        <v>18.13694379101905</v>
      </c>
      <c r="AN58" s="277">
        <f t="shared" si="61"/>
        <v>18.381618162845992</v>
      </c>
      <c r="AO58" s="277">
        <f t="shared" si="61"/>
        <v>19.144172234503415</v>
      </c>
      <c r="AP58" s="277">
        <f t="shared" si="61"/>
        <v>18.480328361578685</v>
      </c>
      <c r="AQ58" s="276" t="str">
        <f t="shared" si="62"/>
        <v>25-29</v>
      </c>
      <c r="AR58" s="277">
        <f t="shared" si="63"/>
        <v>268.657509946196</v>
      </c>
      <c r="AS58" s="277">
        <f t="shared" si="63"/>
        <v>278.23442986652105</v>
      </c>
      <c r="AT58" s="277">
        <f t="shared" si="63"/>
        <v>292.29787162317513</v>
      </c>
      <c r="AU58" s="277">
        <f t="shared" si="63"/>
        <v>322.87025329734149</v>
      </c>
      <c r="AV58" s="277">
        <f t="shared" si="63"/>
        <v>330.34739351942437</v>
      </c>
      <c r="AW58" s="275"/>
      <c r="AX58" s="277">
        <f t="shared" si="64"/>
        <v>266.3288913677211</v>
      </c>
      <c r="AY58" s="277">
        <f t="shared" si="64"/>
        <v>275.82018573820613</v>
      </c>
      <c r="AZ58" s="277">
        <f t="shared" si="64"/>
        <v>289.76922026464791</v>
      </c>
      <c r="BA58" s="277">
        <f t="shared" si="64"/>
        <v>320.08257546262871</v>
      </c>
      <c r="BB58" s="277">
        <f t="shared" si="64"/>
        <v>327.50130630655138</v>
      </c>
      <c r="BC58" s="275"/>
      <c r="BD58" s="277">
        <f t="shared" si="65"/>
        <v>2.3286185784749271</v>
      </c>
      <c r="BE58" s="277">
        <f t="shared" si="65"/>
        <v>2.414244128314877</v>
      </c>
      <c r="BF58" s="277">
        <f t="shared" si="65"/>
        <v>2.5286513585272092</v>
      </c>
      <c r="BG58" s="277">
        <f t="shared" si="65"/>
        <v>2.7876778347128019</v>
      </c>
      <c r="BH58" s="277">
        <f t="shared" si="65"/>
        <v>2.8460872128729875</v>
      </c>
    </row>
    <row r="59" spans="1:60" s="168" customFormat="1" x14ac:dyDescent="0.25">
      <c r="A59" s="276" t="str">
        <f t="shared" si="53"/>
        <v>30-34</v>
      </c>
      <c r="B59" s="277">
        <f t="shared" si="54"/>
        <v>88.294623576316411</v>
      </c>
      <c r="C59" s="277">
        <f t="shared" si="54"/>
        <v>89.184182813705448</v>
      </c>
      <c r="D59" s="277">
        <f t="shared" si="54"/>
        <v>78.82086492460455</v>
      </c>
      <c r="E59" s="277">
        <f t="shared" si="54"/>
        <v>73.409248466261431</v>
      </c>
      <c r="F59" s="277">
        <f t="shared" si="54"/>
        <v>62.433211012240555</v>
      </c>
      <c r="G59" s="275"/>
      <c r="H59" s="277">
        <f t="shared" si="55"/>
        <v>28.30985950772898</v>
      </c>
      <c r="I59" s="277">
        <f t="shared" si="55"/>
        <v>28.523912034677551</v>
      </c>
      <c r="J59" s="277">
        <f t="shared" si="55"/>
        <v>25.261997348079788</v>
      </c>
      <c r="K59" s="277">
        <f t="shared" si="55"/>
        <v>23.527246978251746</v>
      </c>
      <c r="L59" s="277">
        <f t="shared" si="55"/>
        <v>20.017532858379102</v>
      </c>
      <c r="M59" s="275"/>
      <c r="N59" s="277">
        <f t="shared" si="56"/>
        <v>59.984764068587438</v>
      </c>
      <c r="O59" s="277">
        <f t="shared" si="56"/>
        <v>60.660270779027904</v>
      </c>
      <c r="P59" s="277">
        <f t="shared" si="56"/>
        <v>53.558867576524761</v>
      </c>
      <c r="Q59" s="277">
        <f t="shared" si="56"/>
        <v>49.882001488009664</v>
      </c>
      <c r="R59" s="277">
        <f t="shared" si="56"/>
        <v>42.41567815386145</v>
      </c>
      <c r="S59" s="275"/>
      <c r="T59" s="277">
        <f t="shared" si="57"/>
        <v>0</v>
      </c>
      <c r="U59" s="277">
        <f t="shared" si="57"/>
        <v>0</v>
      </c>
      <c r="V59" s="277">
        <f t="shared" si="57"/>
        <v>0</v>
      </c>
      <c r="W59" s="277">
        <f t="shared" si="57"/>
        <v>0</v>
      </c>
      <c r="X59" s="277">
        <f t="shared" si="57"/>
        <v>0</v>
      </c>
      <c r="Y59" s="276" t="str">
        <f t="shared" si="58"/>
        <v>30-34</v>
      </c>
      <c r="Z59" s="277">
        <f t="shared" si="59"/>
        <v>252.02853262692997</v>
      </c>
      <c r="AA59" s="277">
        <f t="shared" si="59"/>
        <v>241.95757229192009</v>
      </c>
      <c r="AB59" s="277">
        <f t="shared" si="59"/>
        <v>250.36416862690376</v>
      </c>
      <c r="AC59" s="277">
        <f t="shared" si="59"/>
        <v>260.01917178438288</v>
      </c>
      <c r="AD59" s="277">
        <f t="shared" si="59"/>
        <v>277.87154542964436</v>
      </c>
      <c r="AE59" s="275"/>
      <c r="AF59" s="277">
        <f t="shared" si="60"/>
        <v>233.37617479742303</v>
      </c>
      <c r="AG59" s="277">
        <f t="shared" si="60"/>
        <v>224.1436906659363</v>
      </c>
      <c r="AH59" s="277">
        <f t="shared" si="60"/>
        <v>231.98013090632361</v>
      </c>
      <c r="AI59" s="277">
        <f t="shared" si="60"/>
        <v>240.99879756210669</v>
      </c>
      <c r="AJ59" s="277">
        <f t="shared" si="60"/>
        <v>257.66322853004982</v>
      </c>
      <c r="AK59" s="275"/>
      <c r="AL59" s="277">
        <f t="shared" si="61"/>
        <v>18.65235782950694</v>
      </c>
      <c r="AM59" s="277">
        <f t="shared" si="61"/>
        <v>17.813881625983782</v>
      </c>
      <c r="AN59" s="277">
        <f t="shared" si="61"/>
        <v>18.384037720580174</v>
      </c>
      <c r="AO59" s="277">
        <f t="shared" si="61"/>
        <v>19.02037422227616</v>
      </c>
      <c r="AP59" s="277">
        <f t="shared" si="61"/>
        <v>20.208316899594564</v>
      </c>
      <c r="AQ59" s="276" t="str">
        <f t="shared" si="62"/>
        <v>30-34</v>
      </c>
      <c r="AR59" s="277">
        <f t="shared" si="63"/>
        <v>280.69384379675364</v>
      </c>
      <c r="AS59" s="277">
        <f t="shared" si="63"/>
        <v>298.74624489437451</v>
      </c>
      <c r="AT59" s="277">
        <f t="shared" si="63"/>
        <v>315.83096644849167</v>
      </c>
      <c r="AU59" s="277">
        <f t="shared" si="63"/>
        <v>342.31857974935576</v>
      </c>
      <c r="AV59" s="277">
        <f t="shared" si="63"/>
        <v>384.08524355811511</v>
      </c>
      <c r="AW59" s="275"/>
      <c r="AX59" s="277">
        <f t="shared" si="64"/>
        <v>275.62991148902091</v>
      </c>
      <c r="AY59" s="277">
        <f t="shared" si="64"/>
        <v>293.35345054546065</v>
      </c>
      <c r="AZ59" s="277">
        <f t="shared" si="64"/>
        <v>310.17909296528001</v>
      </c>
      <c r="BA59" s="277">
        <f t="shared" si="64"/>
        <v>336.2348278556392</v>
      </c>
      <c r="BB59" s="277">
        <f t="shared" si="64"/>
        <v>377.23616137901718</v>
      </c>
      <c r="BC59" s="275"/>
      <c r="BD59" s="277">
        <f t="shared" si="65"/>
        <v>5.063932307732685</v>
      </c>
      <c r="BE59" s="277">
        <f t="shared" si="65"/>
        <v>5.3927943489138421</v>
      </c>
      <c r="BF59" s="277">
        <f t="shared" si="65"/>
        <v>5.6518734832116824</v>
      </c>
      <c r="BG59" s="277">
        <f t="shared" si="65"/>
        <v>6.0837518937165616</v>
      </c>
      <c r="BH59" s="277">
        <f t="shared" si="65"/>
        <v>6.8490821790979144</v>
      </c>
    </row>
    <row r="60" spans="1:60" s="168" customFormat="1" x14ac:dyDescent="0.25">
      <c r="A60" s="276" t="str">
        <f t="shared" si="53"/>
        <v>35-39</v>
      </c>
      <c r="B60" s="277">
        <f t="shared" si="54"/>
        <v>116.40573165092457</v>
      </c>
      <c r="C60" s="277">
        <f t="shared" si="54"/>
        <v>111.62087650319086</v>
      </c>
      <c r="D60" s="277">
        <f t="shared" si="54"/>
        <v>87.010674497835979</v>
      </c>
      <c r="E60" s="277">
        <f t="shared" si="54"/>
        <v>72.169455639072808</v>
      </c>
      <c r="F60" s="277">
        <f t="shared" si="54"/>
        <v>56.078787071994824</v>
      </c>
      <c r="G60" s="275"/>
      <c r="H60" s="277">
        <f t="shared" si="55"/>
        <v>35.263117567908004</v>
      </c>
      <c r="I60" s="277">
        <f t="shared" si="55"/>
        <v>33.826936328651151</v>
      </c>
      <c r="J60" s="277">
        <f t="shared" si="55"/>
        <v>26.372888660399127</v>
      </c>
      <c r="K60" s="277">
        <f t="shared" si="55"/>
        <v>21.873558995262968</v>
      </c>
      <c r="L60" s="277">
        <f t="shared" si="55"/>
        <v>16.999346797068803</v>
      </c>
      <c r="M60" s="275"/>
      <c r="N60" s="277">
        <f t="shared" si="56"/>
        <v>81.142614083016582</v>
      </c>
      <c r="O60" s="277">
        <f t="shared" si="56"/>
        <v>77.793940174539699</v>
      </c>
      <c r="P60" s="277">
        <f t="shared" si="56"/>
        <v>60.637785837436844</v>
      </c>
      <c r="Q60" s="277">
        <f t="shared" si="56"/>
        <v>50.29589664380984</v>
      </c>
      <c r="R60" s="277">
        <f t="shared" si="56"/>
        <v>39.079440274926021</v>
      </c>
      <c r="S60" s="275"/>
      <c r="T60" s="277">
        <f t="shared" si="57"/>
        <v>0</v>
      </c>
      <c r="U60" s="277">
        <f t="shared" si="57"/>
        <v>0</v>
      </c>
      <c r="V60" s="277">
        <f t="shared" si="57"/>
        <v>0</v>
      </c>
      <c r="W60" s="277">
        <f t="shared" si="57"/>
        <v>0</v>
      </c>
      <c r="X60" s="277">
        <f t="shared" si="57"/>
        <v>0</v>
      </c>
      <c r="Y60" s="276" t="str">
        <f t="shared" si="58"/>
        <v>35-39</v>
      </c>
      <c r="Z60" s="277">
        <f t="shared" si="59"/>
        <v>292.69516984616689</v>
      </c>
      <c r="AA60" s="277">
        <f t="shared" si="59"/>
        <v>264.43124011815416</v>
      </c>
      <c r="AB60" s="277">
        <f t="shared" si="59"/>
        <v>249.36383456629306</v>
      </c>
      <c r="AC60" s="277">
        <f t="shared" si="59"/>
        <v>265.62693121403328</v>
      </c>
      <c r="AD60" s="277">
        <f t="shared" si="59"/>
        <v>281.01300955525153</v>
      </c>
      <c r="AE60" s="275"/>
      <c r="AF60" s="277">
        <f t="shared" si="60"/>
        <v>274.90708265744615</v>
      </c>
      <c r="AG60" s="277">
        <f t="shared" si="60"/>
        <v>248.33674178769135</v>
      </c>
      <c r="AH60" s="277">
        <f t="shared" si="60"/>
        <v>234.22524163699583</v>
      </c>
      <c r="AI60" s="277">
        <f t="shared" si="60"/>
        <v>249.52613818829445</v>
      </c>
      <c r="AJ60" s="277">
        <f t="shared" si="60"/>
        <v>264.00561865600736</v>
      </c>
      <c r="AK60" s="275"/>
      <c r="AL60" s="277">
        <f t="shared" si="61"/>
        <v>17.788087188720716</v>
      </c>
      <c r="AM60" s="277">
        <f t="shared" si="61"/>
        <v>16.094498330462777</v>
      </c>
      <c r="AN60" s="277">
        <f t="shared" si="61"/>
        <v>15.138592929297266</v>
      </c>
      <c r="AO60" s="277">
        <f t="shared" si="61"/>
        <v>16.100793025738767</v>
      </c>
      <c r="AP60" s="277">
        <f t="shared" si="61"/>
        <v>17.007390899244211</v>
      </c>
      <c r="AQ60" s="276" t="str">
        <f t="shared" si="62"/>
        <v>35-39</v>
      </c>
      <c r="AR60" s="277">
        <f t="shared" si="63"/>
        <v>271.17009850290862</v>
      </c>
      <c r="AS60" s="277">
        <f t="shared" si="63"/>
        <v>299.350883378655</v>
      </c>
      <c r="AT60" s="277">
        <f t="shared" si="63"/>
        <v>309.54249093587089</v>
      </c>
      <c r="AU60" s="277">
        <f t="shared" si="63"/>
        <v>347.30661314689394</v>
      </c>
      <c r="AV60" s="277">
        <f t="shared" si="63"/>
        <v>383.85620337275361</v>
      </c>
      <c r="AW60" s="275"/>
      <c r="AX60" s="277">
        <f t="shared" si="64"/>
        <v>266.39031937491359</v>
      </c>
      <c r="AY60" s="277">
        <f t="shared" si="64"/>
        <v>294.09970734798696</v>
      </c>
      <c r="AZ60" s="277">
        <f t="shared" si="64"/>
        <v>304.18685308252333</v>
      </c>
      <c r="BA60" s="277">
        <f t="shared" si="64"/>
        <v>341.32613291295013</v>
      </c>
      <c r="BB60" s="277">
        <f t="shared" si="64"/>
        <v>377.26357305597628</v>
      </c>
      <c r="BC60" s="275"/>
      <c r="BD60" s="277">
        <f t="shared" si="65"/>
        <v>4.7797791279950284</v>
      </c>
      <c r="BE60" s="277">
        <f t="shared" si="65"/>
        <v>5.2511760306679776</v>
      </c>
      <c r="BF60" s="277">
        <f t="shared" si="65"/>
        <v>5.3556378533475719</v>
      </c>
      <c r="BG60" s="277">
        <f t="shared" si="65"/>
        <v>5.9804802339438368</v>
      </c>
      <c r="BH60" s="277">
        <f t="shared" si="65"/>
        <v>6.5926303167773872</v>
      </c>
    </row>
    <row r="61" spans="1:60" s="168" customFormat="1" x14ac:dyDescent="0.25">
      <c r="A61" s="276" t="str">
        <f t="shared" si="53"/>
        <v>40-44</v>
      </c>
      <c r="B61" s="277">
        <f t="shared" si="54"/>
        <v>156.26741886428681</v>
      </c>
      <c r="C61" s="277">
        <f t="shared" si="54"/>
        <v>138.06633532257501</v>
      </c>
      <c r="D61" s="277">
        <f t="shared" si="54"/>
        <v>102.04230405027101</v>
      </c>
      <c r="E61" s="277">
        <f t="shared" si="54"/>
        <v>72.607670352464169</v>
      </c>
      <c r="F61" s="277">
        <f t="shared" si="54"/>
        <v>53.870397558877769</v>
      </c>
      <c r="G61" s="275"/>
      <c r="H61" s="277">
        <f t="shared" si="55"/>
        <v>49.7957894254127</v>
      </c>
      <c r="I61" s="277">
        <f t="shared" si="55"/>
        <v>43.898270250594351</v>
      </c>
      <c r="J61" s="277">
        <f t="shared" si="55"/>
        <v>32.409044993954737</v>
      </c>
      <c r="K61" s="277">
        <f t="shared" si="55"/>
        <v>23.036152368803652</v>
      </c>
      <c r="L61" s="277">
        <f t="shared" si="55"/>
        <v>17.053911147098564</v>
      </c>
      <c r="M61" s="275"/>
      <c r="N61" s="277">
        <f t="shared" si="56"/>
        <v>106.47162943887409</v>
      </c>
      <c r="O61" s="277">
        <f t="shared" si="56"/>
        <v>94.168065071980649</v>
      </c>
      <c r="P61" s="277">
        <f t="shared" si="56"/>
        <v>69.633259056316291</v>
      </c>
      <c r="Q61" s="277">
        <f t="shared" si="56"/>
        <v>49.571517983660513</v>
      </c>
      <c r="R61" s="277">
        <f t="shared" si="56"/>
        <v>36.816486411779202</v>
      </c>
      <c r="S61" s="275"/>
      <c r="T61" s="277">
        <f t="shared" si="57"/>
        <v>0</v>
      </c>
      <c r="U61" s="277">
        <f t="shared" si="57"/>
        <v>0</v>
      </c>
      <c r="V61" s="277">
        <f t="shared" si="57"/>
        <v>0</v>
      </c>
      <c r="W61" s="277">
        <f t="shared" si="57"/>
        <v>0</v>
      </c>
      <c r="X61" s="277">
        <f t="shared" si="57"/>
        <v>0</v>
      </c>
      <c r="Y61" s="276" t="str">
        <f t="shared" si="58"/>
        <v>40-44</v>
      </c>
      <c r="Z61" s="277">
        <f t="shared" si="59"/>
        <v>297.53049844792429</v>
      </c>
      <c r="AA61" s="277">
        <f t="shared" si="59"/>
        <v>279.21152782576593</v>
      </c>
      <c r="AB61" s="277">
        <f t="shared" si="59"/>
        <v>264.15997152705989</v>
      </c>
      <c r="AC61" s="277">
        <f t="shared" si="59"/>
        <v>265.769688987834</v>
      </c>
      <c r="AD61" s="277">
        <f t="shared" si="59"/>
        <v>285.38300501207038</v>
      </c>
      <c r="AE61" s="275"/>
      <c r="AF61" s="277">
        <f t="shared" si="60"/>
        <v>281.6051488677208</v>
      </c>
      <c r="AG61" s="277">
        <f t="shared" si="60"/>
        <v>264.27565335337636</v>
      </c>
      <c r="AH61" s="277">
        <f t="shared" si="60"/>
        <v>250.06064702096575</v>
      </c>
      <c r="AI61" s="277">
        <f t="shared" si="60"/>
        <v>251.59948400746447</v>
      </c>
      <c r="AJ61" s="277">
        <f t="shared" si="60"/>
        <v>270.1868670204085</v>
      </c>
      <c r="AK61" s="275"/>
      <c r="AL61" s="277">
        <f t="shared" si="61"/>
        <v>15.925349580203488</v>
      </c>
      <c r="AM61" s="277">
        <f t="shared" si="61"/>
        <v>14.935874472389486</v>
      </c>
      <c r="AN61" s="277">
        <f t="shared" si="61"/>
        <v>14.099324506094138</v>
      </c>
      <c r="AO61" s="277">
        <f t="shared" si="61"/>
        <v>14.170204980369528</v>
      </c>
      <c r="AP61" s="277">
        <f t="shared" si="61"/>
        <v>15.196137991661878</v>
      </c>
      <c r="AQ61" s="276" t="str">
        <f t="shared" si="62"/>
        <v>40-44</v>
      </c>
      <c r="AR61" s="277">
        <f t="shared" si="63"/>
        <v>254.53008268778893</v>
      </c>
      <c r="AS61" s="277">
        <f t="shared" si="63"/>
        <v>277.04113685165908</v>
      </c>
      <c r="AT61" s="277">
        <f t="shared" si="63"/>
        <v>302.03972442266905</v>
      </c>
      <c r="AU61" s="277">
        <f t="shared" si="63"/>
        <v>315.32964065970185</v>
      </c>
      <c r="AV61" s="277">
        <f t="shared" si="63"/>
        <v>349.0545974290518</v>
      </c>
      <c r="AW61" s="275"/>
      <c r="AX61" s="277">
        <f t="shared" si="64"/>
        <v>250.24828407721705</v>
      </c>
      <c r="AY61" s="277">
        <f t="shared" si="64"/>
        <v>272.4224484468516</v>
      </c>
      <c r="AZ61" s="277">
        <f t="shared" si="64"/>
        <v>297.01618494130969</v>
      </c>
      <c r="BA61" s="277">
        <f t="shared" si="64"/>
        <v>310.0976851562209</v>
      </c>
      <c r="BB61" s="277">
        <f t="shared" si="64"/>
        <v>343.26501484324086</v>
      </c>
      <c r="BC61" s="275"/>
      <c r="BD61" s="277">
        <f t="shared" si="65"/>
        <v>4.2817986105719035</v>
      </c>
      <c r="BE61" s="277">
        <f t="shared" si="65"/>
        <v>4.6186884048075676</v>
      </c>
      <c r="BF61" s="277">
        <f t="shared" si="65"/>
        <v>5.0235394813593235</v>
      </c>
      <c r="BG61" s="277">
        <f t="shared" si="65"/>
        <v>5.2319555034809255</v>
      </c>
      <c r="BH61" s="277">
        <f t="shared" si="65"/>
        <v>5.7895825858109662</v>
      </c>
    </row>
    <row r="62" spans="1:60" s="168" customFormat="1" x14ac:dyDescent="0.25">
      <c r="A62" s="276" t="str">
        <f t="shared" si="53"/>
        <v>45-49</v>
      </c>
      <c r="B62" s="277">
        <f t="shared" si="54"/>
        <v>192.10532237663983</v>
      </c>
      <c r="C62" s="277">
        <f t="shared" si="54"/>
        <v>181.7014990686323</v>
      </c>
      <c r="D62" s="277">
        <f t="shared" si="54"/>
        <v>125.84366969436242</v>
      </c>
      <c r="E62" s="277">
        <f t="shared" si="54"/>
        <v>94.413771810554039</v>
      </c>
      <c r="F62" s="277">
        <f t="shared" si="54"/>
        <v>69.482068956144474</v>
      </c>
      <c r="G62" s="275"/>
      <c r="H62" s="277">
        <f t="shared" si="55"/>
        <v>63.114524104301118</v>
      </c>
      <c r="I62" s="277">
        <f t="shared" si="55"/>
        <v>59.680357878773279</v>
      </c>
      <c r="J62" s="277">
        <f t="shared" si="55"/>
        <v>41.135830568231285</v>
      </c>
      <c r="K62" s="277">
        <f t="shared" si="55"/>
        <v>30.734675124538327</v>
      </c>
      <c r="L62" s="277">
        <f t="shared" si="55"/>
        <v>22.525760365918362</v>
      </c>
      <c r="M62" s="275"/>
      <c r="N62" s="277">
        <f t="shared" si="56"/>
        <v>128.99079827233871</v>
      </c>
      <c r="O62" s="277">
        <f t="shared" si="56"/>
        <v>122.02114118985901</v>
      </c>
      <c r="P62" s="277">
        <f t="shared" si="56"/>
        <v>84.707839126131134</v>
      </c>
      <c r="Q62" s="277">
        <f t="shared" si="56"/>
        <v>63.679096686015725</v>
      </c>
      <c r="R62" s="277">
        <f t="shared" si="56"/>
        <v>46.956308590226101</v>
      </c>
      <c r="S62" s="275"/>
      <c r="T62" s="277">
        <f t="shared" si="57"/>
        <v>0</v>
      </c>
      <c r="U62" s="277">
        <f t="shared" si="57"/>
        <v>0</v>
      </c>
      <c r="V62" s="277">
        <f t="shared" si="57"/>
        <v>0</v>
      </c>
      <c r="W62" s="277">
        <f t="shared" si="57"/>
        <v>0</v>
      </c>
      <c r="X62" s="277">
        <f t="shared" si="57"/>
        <v>0</v>
      </c>
      <c r="Y62" s="276" t="str">
        <f t="shared" si="58"/>
        <v>45-49</v>
      </c>
      <c r="Z62" s="277">
        <f t="shared" si="59"/>
        <v>259.3931665564873</v>
      </c>
      <c r="AA62" s="277">
        <f t="shared" si="59"/>
        <v>259.85569110569543</v>
      </c>
      <c r="AB62" s="277">
        <f t="shared" si="59"/>
        <v>276.06033600610709</v>
      </c>
      <c r="AC62" s="277">
        <f t="shared" si="59"/>
        <v>283.54672387522641</v>
      </c>
      <c r="AD62" s="277">
        <f t="shared" si="59"/>
        <v>287.849736988811</v>
      </c>
      <c r="AE62" s="275"/>
      <c r="AF62" s="277">
        <f t="shared" si="60"/>
        <v>247.30603323034916</v>
      </c>
      <c r="AG62" s="277">
        <f t="shared" si="60"/>
        <v>247.7788871489098</v>
      </c>
      <c r="AH62" s="277">
        <f t="shared" si="60"/>
        <v>263.21646229283618</v>
      </c>
      <c r="AI62" s="277">
        <f t="shared" si="60"/>
        <v>270.34872282364341</v>
      </c>
      <c r="AJ62" s="277">
        <f t="shared" si="60"/>
        <v>274.44279780539426</v>
      </c>
      <c r="AK62" s="275"/>
      <c r="AL62" s="277">
        <f t="shared" si="61"/>
        <v>12.087133326138117</v>
      </c>
      <c r="AM62" s="277">
        <f t="shared" si="61"/>
        <v>12.076803956785602</v>
      </c>
      <c r="AN62" s="277">
        <f t="shared" si="61"/>
        <v>12.84387371327092</v>
      </c>
      <c r="AO62" s="277">
        <f t="shared" si="61"/>
        <v>13.198001051582985</v>
      </c>
      <c r="AP62" s="277">
        <f t="shared" si="61"/>
        <v>13.40693918341676</v>
      </c>
      <c r="AQ62" s="276" t="str">
        <f t="shared" si="62"/>
        <v>45-49</v>
      </c>
      <c r="AR62" s="277">
        <f t="shared" si="63"/>
        <v>233.19851106687287</v>
      </c>
      <c r="AS62" s="277">
        <f t="shared" si="63"/>
        <v>255.42780982567223</v>
      </c>
      <c r="AT62" s="277">
        <f t="shared" si="63"/>
        <v>278.84899429953055</v>
      </c>
      <c r="AU62" s="277">
        <f t="shared" si="63"/>
        <v>292.33350431421957</v>
      </c>
      <c r="AV62" s="277">
        <f t="shared" si="63"/>
        <v>302.44819405504461</v>
      </c>
      <c r="AW62" s="275"/>
      <c r="AX62" s="277">
        <f t="shared" si="64"/>
        <v>228.81453920689103</v>
      </c>
      <c r="AY62" s="277">
        <f t="shared" si="64"/>
        <v>250.65558136759938</v>
      </c>
      <c r="AZ62" s="277">
        <f t="shared" si="64"/>
        <v>273.711876568962</v>
      </c>
      <c r="BA62" s="277">
        <f t="shared" si="64"/>
        <v>286.97795838324782</v>
      </c>
      <c r="BB62" s="277">
        <f t="shared" si="64"/>
        <v>296.93591992657696</v>
      </c>
      <c r="BC62" s="275"/>
      <c r="BD62" s="277">
        <f t="shared" si="65"/>
        <v>4.3839718599818829</v>
      </c>
      <c r="BE62" s="277">
        <f t="shared" si="65"/>
        <v>4.7722284580728216</v>
      </c>
      <c r="BF62" s="277">
        <f t="shared" si="65"/>
        <v>5.1371177305685114</v>
      </c>
      <c r="BG62" s="277">
        <f t="shared" si="65"/>
        <v>5.3555459309717897</v>
      </c>
      <c r="BH62" s="277">
        <f t="shared" si="65"/>
        <v>5.5122741284676167</v>
      </c>
    </row>
    <row r="63" spans="1:60" s="168" customFormat="1" x14ac:dyDescent="0.25">
      <c r="A63" s="276" t="str">
        <f t="shared" si="53"/>
        <v>50-54</v>
      </c>
      <c r="B63" s="277">
        <f t="shared" si="54"/>
        <v>185.40604857322711</v>
      </c>
      <c r="C63" s="277">
        <f t="shared" si="54"/>
        <v>192.72292557560411</v>
      </c>
      <c r="D63" s="277">
        <f t="shared" si="54"/>
        <v>162.16719193834749</v>
      </c>
      <c r="E63" s="277">
        <f t="shared" si="54"/>
        <v>133.41410305220273</v>
      </c>
      <c r="F63" s="277">
        <f t="shared" si="54"/>
        <v>106.3528116102037</v>
      </c>
      <c r="G63" s="275"/>
      <c r="H63" s="277">
        <f t="shared" si="55"/>
        <v>66.691082872087563</v>
      </c>
      <c r="I63" s="277">
        <f t="shared" si="55"/>
        <v>69.308339401755902</v>
      </c>
      <c r="J63" s="277">
        <f t="shared" si="55"/>
        <v>58.294203339386414</v>
      </c>
      <c r="K63" s="277">
        <f t="shared" si="55"/>
        <v>47.904759864066669</v>
      </c>
      <c r="L63" s="277">
        <f t="shared" si="55"/>
        <v>38.151642732729172</v>
      </c>
      <c r="M63" s="275"/>
      <c r="N63" s="277">
        <f t="shared" si="56"/>
        <v>118.71496570113956</v>
      </c>
      <c r="O63" s="277">
        <f t="shared" si="56"/>
        <v>123.41458617384822</v>
      </c>
      <c r="P63" s="277">
        <f t="shared" si="56"/>
        <v>103.87298859896106</v>
      </c>
      <c r="Q63" s="277">
        <f t="shared" si="56"/>
        <v>85.509343188136071</v>
      </c>
      <c r="R63" s="277">
        <f t="shared" si="56"/>
        <v>68.201168877474544</v>
      </c>
      <c r="S63" s="275"/>
      <c r="T63" s="277">
        <f t="shared" si="57"/>
        <v>0</v>
      </c>
      <c r="U63" s="277">
        <f t="shared" si="57"/>
        <v>0</v>
      </c>
      <c r="V63" s="277">
        <f t="shared" si="57"/>
        <v>0</v>
      </c>
      <c r="W63" s="277">
        <f t="shared" si="57"/>
        <v>0</v>
      </c>
      <c r="X63" s="277">
        <f t="shared" si="57"/>
        <v>0</v>
      </c>
      <c r="Y63" s="276" t="str">
        <f t="shared" si="58"/>
        <v>50-54</v>
      </c>
      <c r="Z63" s="277">
        <f t="shared" si="59"/>
        <v>200.15705088001573</v>
      </c>
      <c r="AA63" s="277">
        <f t="shared" si="59"/>
        <v>218.54573674510601</v>
      </c>
      <c r="AB63" s="277">
        <f t="shared" si="59"/>
        <v>239.21960647496348</v>
      </c>
      <c r="AC63" s="277">
        <f t="shared" si="59"/>
        <v>257.81605841504751</v>
      </c>
      <c r="AD63" s="277">
        <f t="shared" si="59"/>
        <v>271.65581059286012</v>
      </c>
      <c r="AE63" s="275"/>
      <c r="AF63" s="277">
        <f t="shared" si="60"/>
        <v>190.04078964826027</v>
      </c>
      <c r="AG63" s="277">
        <f t="shared" si="60"/>
        <v>207.46488432579588</v>
      </c>
      <c r="AH63" s="277">
        <f t="shared" si="60"/>
        <v>227.09664617165495</v>
      </c>
      <c r="AI63" s="277">
        <f t="shared" si="60"/>
        <v>244.71475666454</v>
      </c>
      <c r="AJ63" s="277">
        <f t="shared" si="60"/>
        <v>257.79476785525156</v>
      </c>
      <c r="AK63" s="275"/>
      <c r="AL63" s="277">
        <f t="shared" si="61"/>
        <v>10.116261231755457</v>
      </c>
      <c r="AM63" s="277">
        <f t="shared" si="61"/>
        <v>11.080852419310158</v>
      </c>
      <c r="AN63" s="277">
        <f t="shared" si="61"/>
        <v>12.122960303308531</v>
      </c>
      <c r="AO63" s="277">
        <f t="shared" si="61"/>
        <v>13.101301750507519</v>
      </c>
      <c r="AP63" s="277">
        <f t="shared" si="61"/>
        <v>13.861042737608585</v>
      </c>
      <c r="AQ63" s="276" t="str">
        <f t="shared" si="62"/>
        <v>50-54</v>
      </c>
      <c r="AR63" s="277">
        <f t="shared" si="63"/>
        <v>172.51190054675715</v>
      </c>
      <c r="AS63" s="277">
        <f t="shared" si="63"/>
        <v>201.44733767928977</v>
      </c>
      <c r="AT63" s="277">
        <f t="shared" si="63"/>
        <v>243.89220158668905</v>
      </c>
      <c r="AU63" s="277">
        <f t="shared" si="63"/>
        <v>263.09583853274978</v>
      </c>
      <c r="AV63" s="277">
        <f t="shared" si="63"/>
        <v>278.2843777969361</v>
      </c>
      <c r="AW63" s="275"/>
      <c r="AX63" s="277">
        <f t="shared" si="64"/>
        <v>168.88787751101148</v>
      </c>
      <c r="AY63" s="277">
        <f t="shared" si="64"/>
        <v>197.35794837642953</v>
      </c>
      <c r="AZ63" s="277">
        <f t="shared" si="64"/>
        <v>238.9340888070729</v>
      </c>
      <c r="BA63" s="277">
        <f t="shared" si="64"/>
        <v>257.81671276903228</v>
      </c>
      <c r="BB63" s="277">
        <f t="shared" si="64"/>
        <v>272.79729732120262</v>
      </c>
      <c r="BC63" s="275"/>
      <c r="BD63" s="277">
        <f t="shared" si="65"/>
        <v>3.6240230357456578</v>
      </c>
      <c r="BE63" s="277">
        <f t="shared" si="65"/>
        <v>4.0893893028602495</v>
      </c>
      <c r="BF63" s="277">
        <f t="shared" si="65"/>
        <v>4.958112779616183</v>
      </c>
      <c r="BG63" s="277">
        <f t="shared" si="65"/>
        <v>5.2791257637175608</v>
      </c>
      <c r="BH63" s="277">
        <f t="shared" si="65"/>
        <v>5.4870804757334763</v>
      </c>
    </row>
    <row r="64" spans="1:60" s="168" customFormat="1" x14ac:dyDescent="0.25">
      <c r="A64" s="276" t="str">
        <f t="shared" si="53"/>
        <v>55-59</v>
      </c>
      <c r="B64" s="277">
        <f t="shared" si="54"/>
        <v>118.1352024705036</v>
      </c>
      <c r="C64" s="277">
        <f t="shared" si="54"/>
        <v>125.51688761373863</v>
      </c>
      <c r="D64" s="277">
        <f t="shared" si="54"/>
        <v>135.69347634171973</v>
      </c>
      <c r="E64" s="277">
        <f t="shared" si="54"/>
        <v>127.61999627132217</v>
      </c>
      <c r="F64" s="277">
        <f t="shared" si="54"/>
        <v>103.83680807778796</v>
      </c>
      <c r="G64" s="275"/>
      <c r="H64" s="277">
        <f t="shared" si="55"/>
        <v>47.020085047969616</v>
      </c>
      <c r="I64" s="277">
        <f t="shared" si="55"/>
        <v>49.942017947737568</v>
      </c>
      <c r="J64" s="277">
        <f t="shared" si="55"/>
        <v>53.996980542501134</v>
      </c>
      <c r="K64" s="277">
        <f t="shared" si="55"/>
        <v>50.765369807184982</v>
      </c>
      <c r="L64" s="277">
        <f t="shared" si="55"/>
        <v>41.29898124275995</v>
      </c>
      <c r="M64" s="275"/>
      <c r="N64" s="277">
        <f t="shared" si="56"/>
        <v>71.115117422534013</v>
      </c>
      <c r="O64" s="277">
        <f t="shared" si="56"/>
        <v>75.574869666001078</v>
      </c>
      <c r="P64" s="277">
        <f t="shared" si="56"/>
        <v>81.696495799218582</v>
      </c>
      <c r="Q64" s="277">
        <f t="shared" si="56"/>
        <v>76.854626464137169</v>
      </c>
      <c r="R64" s="277">
        <f t="shared" si="56"/>
        <v>62.537826835028014</v>
      </c>
      <c r="S64" s="275"/>
      <c r="T64" s="277">
        <f t="shared" si="57"/>
        <v>0</v>
      </c>
      <c r="U64" s="277">
        <f t="shared" si="57"/>
        <v>0</v>
      </c>
      <c r="V64" s="277">
        <f t="shared" si="57"/>
        <v>0</v>
      </c>
      <c r="W64" s="277">
        <f t="shared" si="57"/>
        <v>0</v>
      </c>
      <c r="X64" s="277">
        <f t="shared" si="57"/>
        <v>0</v>
      </c>
      <c r="Y64" s="276" t="str">
        <f t="shared" si="58"/>
        <v>55-59</v>
      </c>
      <c r="Z64" s="277">
        <f t="shared" si="59"/>
        <v>122.81319674265731</v>
      </c>
      <c r="AA64" s="277">
        <f t="shared" si="59"/>
        <v>127.76576484388534</v>
      </c>
      <c r="AB64" s="277">
        <f t="shared" si="59"/>
        <v>167.56934646025536</v>
      </c>
      <c r="AC64" s="277">
        <f t="shared" si="59"/>
        <v>201.55893986495374</v>
      </c>
      <c r="AD64" s="277">
        <f t="shared" si="59"/>
        <v>218.03560485524812</v>
      </c>
      <c r="AE64" s="275"/>
      <c r="AF64" s="277">
        <f t="shared" si="60"/>
        <v>115.33146461461402</v>
      </c>
      <c r="AG64" s="277">
        <f t="shared" si="60"/>
        <v>119.93869463814224</v>
      </c>
      <c r="AH64" s="277">
        <f t="shared" si="60"/>
        <v>157.20305952301629</v>
      </c>
      <c r="AI64" s="277">
        <f t="shared" si="60"/>
        <v>189.09467188304029</v>
      </c>
      <c r="AJ64" s="277">
        <f t="shared" si="60"/>
        <v>204.52603798057652</v>
      </c>
      <c r="AK64" s="275"/>
      <c r="AL64" s="277">
        <f t="shared" si="61"/>
        <v>7.4817321280432685</v>
      </c>
      <c r="AM64" s="277">
        <f t="shared" si="61"/>
        <v>7.8270702057431016</v>
      </c>
      <c r="AN64" s="277">
        <f t="shared" si="61"/>
        <v>10.366286937239055</v>
      </c>
      <c r="AO64" s="277">
        <f t="shared" si="61"/>
        <v>12.464267981913423</v>
      </c>
      <c r="AP64" s="277">
        <f t="shared" si="61"/>
        <v>13.509566874671609</v>
      </c>
      <c r="AQ64" s="276" t="str">
        <f t="shared" si="62"/>
        <v>55-59</v>
      </c>
      <c r="AR64" s="277">
        <f t="shared" si="63"/>
        <v>115.94160078683907</v>
      </c>
      <c r="AS64" s="277">
        <f t="shared" si="63"/>
        <v>135.51634754237602</v>
      </c>
      <c r="AT64" s="277">
        <f t="shared" si="63"/>
        <v>177.65217719802493</v>
      </c>
      <c r="AU64" s="277">
        <f t="shared" si="63"/>
        <v>208.31606386372408</v>
      </c>
      <c r="AV64" s="277">
        <f t="shared" si="63"/>
        <v>226.8625870669639</v>
      </c>
      <c r="AW64" s="275"/>
      <c r="AX64" s="277">
        <f t="shared" si="64"/>
        <v>112.73432150536409</v>
      </c>
      <c r="AY64" s="277">
        <f t="shared" si="64"/>
        <v>131.84828185573497</v>
      </c>
      <c r="AZ64" s="277">
        <f t="shared" si="64"/>
        <v>173.0031356627903</v>
      </c>
      <c r="BA64" s="277">
        <f t="shared" si="64"/>
        <v>202.93168009516813</v>
      </c>
      <c r="BB64" s="277">
        <f t="shared" si="64"/>
        <v>221.04132666504691</v>
      </c>
      <c r="BC64" s="275"/>
      <c r="BD64" s="277">
        <f t="shared" si="65"/>
        <v>3.2072792814749906</v>
      </c>
      <c r="BE64" s="277">
        <f t="shared" si="65"/>
        <v>3.6680656866410524</v>
      </c>
      <c r="BF64" s="277">
        <f t="shared" si="65"/>
        <v>4.6490415352346357</v>
      </c>
      <c r="BG64" s="277">
        <f t="shared" si="65"/>
        <v>5.3843837685559581</v>
      </c>
      <c r="BH64" s="277">
        <f t="shared" si="65"/>
        <v>5.8212604019169705</v>
      </c>
    </row>
    <row r="65" spans="1:60" s="168" customFormat="1" x14ac:dyDescent="0.25">
      <c r="A65" s="276" t="str">
        <f t="shared" si="53"/>
        <v>60-64</v>
      </c>
      <c r="B65" s="277">
        <f t="shared" si="54"/>
        <v>35.823218463615042</v>
      </c>
      <c r="C65" s="277">
        <f t="shared" si="54"/>
        <v>44.494263253571226</v>
      </c>
      <c r="D65" s="277">
        <f t="shared" si="54"/>
        <v>41.613632960941956</v>
      </c>
      <c r="E65" s="277">
        <f t="shared" si="54"/>
        <v>40.934965671055551</v>
      </c>
      <c r="F65" s="277">
        <f t="shared" si="54"/>
        <v>35.667541570413341</v>
      </c>
      <c r="G65" s="275"/>
      <c r="H65" s="277">
        <f t="shared" si="55"/>
        <v>16.931856207862616</v>
      </c>
      <c r="I65" s="277">
        <f t="shared" si="55"/>
        <v>21.062717164219428</v>
      </c>
      <c r="J65" s="277">
        <f t="shared" si="55"/>
        <v>19.717624343517112</v>
      </c>
      <c r="K65" s="277">
        <f t="shared" si="55"/>
        <v>19.381394399502241</v>
      </c>
      <c r="L65" s="277">
        <f t="shared" si="55"/>
        <v>16.879614538550584</v>
      </c>
      <c r="M65" s="275"/>
      <c r="N65" s="277">
        <f t="shared" si="56"/>
        <v>18.891362255752426</v>
      </c>
      <c r="O65" s="277">
        <f t="shared" si="56"/>
        <v>23.431546089351805</v>
      </c>
      <c r="P65" s="277">
        <f t="shared" si="56"/>
        <v>21.89600861742484</v>
      </c>
      <c r="Q65" s="277">
        <f t="shared" si="56"/>
        <v>21.553571271553317</v>
      </c>
      <c r="R65" s="277">
        <f t="shared" si="56"/>
        <v>18.787927031862754</v>
      </c>
      <c r="S65" s="275"/>
      <c r="T65" s="277">
        <f t="shared" si="57"/>
        <v>0</v>
      </c>
      <c r="U65" s="277">
        <f t="shared" si="57"/>
        <v>0</v>
      </c>
      <c r="V65" s="277">
        <f t="shared" si="57"/>
        <v>0</v>
      </c>
      <c r="W65" s="277">
        <f t="shared" si="57"/>
        <v>0</v>
      </c>
      <c r="X65" s="277">
        <f t="shared" si="57"/>
        <v>0</v>
      </c>
      <c r="Y65" s="276" t="str">
        <f t="shared" si="58"/>
        <v>60-64</v>
      </c>
      <c r="Z65" s="277">
        <f t="shared" si="59"/>
        <v>31.343339667083313</v>
      </c>
      <c r="AA65" s="277">
        <f t="shared" si="59"/>
        <v>37.400907742954743</v>
      </c>
      <c r="AB65" s="277">
        <f t="shared" si="59"/>
        <v>50.777770478130293</v>
      </c>
      <c r="AC65" s="277">
        <f t="shared" si="59"/>
        <v>66.266094080470012</v>
      </c>
      <c r="AD65" s="277">
        <f t="shared" si="59"/>
        <v>80.260766484007178</v>
      </c>
      <c r="AE65" s="275"/>
      <c r="AF65" s="277">
        <f t="shared" si="60"/>
        <v>29.203027553951088</v>
      </c>
      <c r="AG65" s="277">
        <f t="shared" si="60"/>
        <v>34.871395449563813</v>
      </c>
      <c r="AH65" s="277">
        <f t="shared" si="60"/>
        <v>47.209555911882788</v>
      </c>
      <c r="AI65" s="277">
        <f t="shared" si="60"/>
        <v>61.600974211672487</v>
      </c>
      <c r="AJ65" s="277">
        <f t="shared" si="60"/>
        <v>74.607227360463867</v>
      </c>
      <c r="AK65" s="275"/>
      <c r="AL65" s="277">
        <f t="shared" si="61"/>
        <v>2.1403121131322234</v>
      </c>
      <c r="AM65" s="277">
        <f t="shared" si="61"/>
        <v>2.5295122933909324</v>
      </c>
      <c r="AN65" s="277">
        <f t="shared" si="61"/>
        <v>3.5682145662475118</v>
      </c>
      <c r="AO65" s="277">
        <f t="shared" si="61"/>
        <v>4.6651198687975111</v>
      </c>
      <c r="AP65" s="277">
        <f t="shared" si="61"/>
        <v>5.6535391235433075</v>
      </c>
      <c r="AQ65" s="276" t="str">
        <f t="shared" si="62"/>
        <v>60-64</v>
      </c>
      <c r="AR65" s="277">
        <f t="shared" si="63"/>
        <v>38.517441869301649</v>
      </c>
      <c r="AS65" s="277">
        <f t="shared" si="63"/>
        <v>53.191829003474027</v>
      </c>
      <c r="AT65" s="277">
        <f t="shared" si="63"/>
        <v>71.393596560927747</v>
      </c>
      <c r="AU65" s="277">
        <f t="shared" si="63"/>
        <v>92.303940248474447</v>
      </c>
      <c r="AV65" s="277">
        <f t="shared" si="63"/>
        <v>113.97169194557949</v>
      </c>
      <c r="AW65" s="275"/>
      <c r="AX65" s="277">
        <f t="shared" si="64"/>
        <v>35.940957081944205</v>
      </c>
      <c r="AY65" s="277">
        <f t="shared" si="64"/>
        <v>49.626732053099445</v>
      </c>
      <c r="AZ65" s="277">
        <f t="shared" si="64"/>
        <v>66.596362264723197</v>
      </c>
      <c r="BA65" s="277">
        <f t="shared" si="64"/>
        <v>86.098448390329622</v>
      </c>
      <c r="BB65" s="277">
        <f t="shared" si="64"/>
        <v>106.3052407990122</v>
      </c>
      <c r="BC65" s="275"/>
      <c r="BD65" s="277">
        <f t="shared" si="65"/>
        <v>2.5764847873574377</v>
      </c>
      <c r="BE65" s="277">
        <f t="shared" si="65"/>
        <v>3.5650969503745911</v>
      </c>
      <c r="BF65" s="277">
        <f t="shared" si="65"/>
        <v>4.7972342962045555</v>
      </c>
      <c r="BG65" s="277">
        <f t="shared" si="65"/>
        <v>6.2054918581448213</v>
      </c>
      <c r="BH65" s="277">
        <f t="shared" si="65"/>
        <v>7.6664511465673009</v>
      </c>
    </row>
    <row r="66" spans="1:60" s="168" customFormat="1" x14ac:dyDescent="0.25">
      <c r="A66" s="276" t="str">
        <f t="shared" si="53"/>
        <v>65+</v>
      </c>
      <c r="B66" s="277">
        <f t="shared" si="54"/>
        <v>11.948741166199174</v>
      </c>
      <c r="C66" s="277">
        <f t="shared" si="54"/>
        <v>16.460486596644937</v>
      </c>
      <c r="D66" s="277">
        <f t="shared" si="54"/>
        <v>15.029015503825972</v>
      </c>
      <c r="E66" s="277">
        <f t="shared" si="54"/>
        <v>11.903183363129848</v>
      </c>
      <c r="F66" s="277">
        <f t="shared" si="54"/>
        <v>9.8474191476518342</v>
      </c>
      <c r="G66" s="275"/>
      <c r="H66" s="277">
        <f t="shared" si="55"/>
        <v>6.3754329809595625</v>
      </c>
      <c r="I66" s="277">
        <f t="shared" si="55"/>
        <v>8.5871560944185141</v>
      </c>
      <c r="J66" s="277">
        <f t="shared" si="55"/>
        <v>7.8803923797716067</v>
      </c>
      <c r="K66" s="277">
        <f t="shared" si="55"/>
        <v>6.2399183159193861</v>
      </c>
      <c r="L66" s="277">
        <f t="shared" si="55"/>
        <v>5.2069403181851044</v>
      </c>
      <c r="M66" s="275"/>
      <c r="N66" s="277">
        <f t="shared" si="56"/>
        <v>5.5733081852396102</v>
      </c>
      <c r="O66" s="277">
        <f t="shared" si="56"/>
        <v>7.8733305022264224</v>
      </c>
      <c r="P66" s="277">
        <f t="shared" si="56"/>
        <v>7.1486231240543656</v>
      </c>
      <c r="Q66" s="277">
        <f t="shared" si="56"/>
        <v>5.6632650472104613</v>
      </c>
      <c r="R66" s="277">
        <f t="shared" si="56"/>
        <v>4.6404788294667298</v>
      </c>
      <c r="S66" s="275"/>
      <c r="T66" s="277">
        <f t="shared" si="57"/>
        <v>0</v>
      </c>
      <c r="U66" s="277">
        <f t="shared" si="57"/>
        <v>0</v>
      </c>
      <c r="V66" s="277">
        <f t="shared" si="57"/>
        <v>0</v>
      </c>
      <c r="W66" s="277">
        <f t="shared" si="57"/>
        <v>0</v>
      </c>
      <c r="X66" s="277">
        <f t="shared" si="57"/>
        <v>0</v>
      </c>
      <c r="Y66" s="276" t="str">
        <f t="shared" si="58"/>
        <v>65+</v>
      </c>
      <c r="Z66" s="277">
        <f t="shared" si="59"/>
        <v>7.8240804156386137</v>
      </c>
      <c r="AA66" s="277">
        <f t="shared" si="59"/>
        <v>9.9119242988728669</v>
      </c>
      <c r="AB66" s="277">
        <f t="shared" si="59"/>
        <v>11.008756624618567</v>
      </c>
      <c r="AC66" s="277">
        <f t="shared" si="59"/>
        <v>12.01446121472337</v>
      </c>
      <c r="AD66" s="277">
        <f t="shared" si="59"/>
        <v>13.854293318978709</v>
      </c>
      <c r="AE66" s="275"/>
      <c r="AF66" s="277">
        <f t="shared" si="60"/>
        <v>6.9255035254653912</v>
      </c>
      <c r="AG66" s="277">
        <f t="shared" si="60"/>
        <v>8.7952137061175186</v>
      </c>
      <c r="AH66" s="277">
        <f t="shared" si="60"/>
        <v>9.7331452985061144</v>
      </c>
      <c r="AI66" s="277">
        <f t="shared" si="60"/>
        <v>10.624866696548906</v>
      </c>
      <c r="AJ66" s="277">
        <f t="shared" si="60"/>
        <v>12.275904221835862</v>
      </c>
      <c r="AK66" s="275"/>
      <c r="AL66" s="277">
        <f t="shared" si="61"/>
        <v>0.89857689017322329</v>
      </c>
      <c r="AM66" s="277">
        <f t="shared" si="61"/>
        <v>1.1167105927553487</v>
      </c>
      <c r="AN66" s="277">
        <f t="shared" si="61"/>
        <v>1.2756113261124509</v>
      </c>
      <c r="AO66" s="277">
        <f t="shared" si="61"/>
        <v>1.389594518174466</v>
      </c>
      <c r="AP66" s="277">
        <f t="shared" si="61"/>
        <v>1.5783890971428471</v>
      </c>
      <c r="AQ66" s="276" t="str">
        <f t="shared" si="62"/>
        <v>65+</v>
      </c>
      <c r="AR66" s="277">
        <f t="shared" si="63"/>
        <v>12.792178418162218</v>
      </c>
      <c r="AS66" s="277">
        <f t="shared" si="63"/>
        <v>12.19158910448219</v>
      </c>
      <c r="AT66" s="277">
        <f t="shared" si="63"/>
        <v>19.366227871555463</v>
      </c>
      <c r="AU66" s="277">
        <f t="shared" si="63"/>
        <v>23.78335542214678</v>
      </c>
      <c r="AV66" s="277">
        <f t="shared" si="63"/>
        <v>30.011287533369462</v>
      </c>
      <c r="AW66" s="275"/>
      <c r="AX66" s="277">
        <f t="shared" si="64"/>
        <v>12.010493229987055</v>
      </c>
      <c r="AY66" s="277">
        <f t="shared" si="64"/>
        <v>11.529560727743291</v>
      </c>
      <c r="AZ66" s="277">
        <f t="shared" si="64"/>
        <v>18.211272058470012</v>
      </c>
      <c r="BA66" s="277">
        <f t="shared" si="64"/>
        <v>22.381962071636803</v>
      </c>
      <c r="BB66" s="277">
        <f t="shared" si="64"/>
        <v>28.299382615392936</v>
      </c>
      <c r="BC66" s="275"/>
      <c r="BD66" s="277">
        <f t="shared" si="65"/>
        <v>0.78168518817516097</v>
      </c>
      <c r="BE66" s="277">
        <f t="shared" si="65"/>
        <v>0.66202837673890058</v>
      </c>
      <c r="BF66" s="277">
        <f t="shared" si="65"/>
        <v>1.1549558130854503</v>
      </c>
      <c r="BG66" s="277">
        <f t="shared" si="65"/>
        <v>1.4013933505099772</v>
      </c>
      <c r="BH66" s="277">
        <f t="shared" si="65"/>
        <v>1.7119049179765302</v>
      </c>
    </row>
    <row r="67" spans="1:60" s="168" customFormat="1" x14ac:dyDescent="0.25">
      <c r="B67" s="277"/>
      <c r="C67" s="277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5"/>
      <c r="P67" s="275"/>
      <c r="Q67" s="275"/>
      <c r="R67" s="275"/>
      <c r="S67" s="275"/>
      <c r="T67" s="169"/>
      <c r="U67" s="169"/>
      <c r="V67" s="169"/>
      <c r="W67" s="169"/>
      <c r="X67" s="169"/>
      <c r="Z67" s="277"/>
      <c r="AA67" s="277"/>
      <c r="AB67" s="275"/>
      <c r="AC67" s="275"/>
      <c r="AD67" s="275"/>
      <c r="AE67" s="275"/>
      <c r="AF67" s="275"/>
      <c r="AG67" s="275"/>
      <c r="AH67" s="275"/>
      <c r="AI67" s="275"/>
      <c r="AJ67" s="275"/>
      <c r="AK67" s="275"/>
      <c r="AL67" s="275"/>
      <c r="AM67" s="275"/>
      <c r="AN67" s="275"/>
      <c r="AO67" s="275"/>
      <c r="AP67" s="275"/>
      <c r="AR67" s="277"/>
      <c r="AS67" s="277"/>
      <c r="AT67" s="275"/>
      <c r="AU67" s="275"/>
      <c r="AV67" s="275"/>
      <c r="AW67" s="275"/>
      <c r="AX67" s="275"/>
      <c r="AY67" s="275"/>
      <c r="AZ67" s="275"/>
      <c r="BA67" s="275"/>
      <c r="BB67" s="275"/>
      <c r="BC67" s="275"/>
      <c r="BD67" s="275"/>
      <c r="BE67" s="275"/>
      <c r="BF67" s="275"/>
      <c r="BG67" s="275"/>
      <c r="BH67" s="275"/>
    </row>
    <row r="68" spans="1:60" s="168" customFormat="1" x14ac:dyDescent="0.25">
      <c r="A68" s="263" t="str">
        <f>A20</f>
        <v>Males</v>
      </c>
      <c r="B68" s="278"/>
      <c r="C68" s="278"/>
      <c r="D68" s="278"/>
      <c r="E68" s="278"/>
      <c r="F68" s="277"/>
      <c r="G68" s="277"/>
      <c r="H68" s="277"/>
      <c r="I68" s="277"/>
      <c r="J68" s="277"/>
      <c r="K68" s="277"/>
      <c r="L68" s="277"/>
      <c r="M68" s="277"/>
      <c r="N68" s="277"/>
      <c r="O68" s="277"/>
      <c r="P68" s="277"/>
      <c r="Q68" s="277"/>
      <c r="R68" s="277"/>
      <c r="S68" s="277"/>
      <c r="T68" s="278"/>
      <c r="U68" s="278"/>
      <c r="V68" s="169"/>
      <c r="W68" s="169"/>
      <c r="X68" s="169"/>
      <c r="Y68" s="263" t="str">
        <f>Y20</f>
        <v>Males</v>
      </c>
      <c r="Z68" s="278"/>
      <c r="AA68" s="278"/>
      <c r="AB68" s="278"/>
      <c r="AC68" s="278"/>
      <c r="AD68" s="277"/>
      <c r="AE68" s="277"/>
      <c r="AF68" s="277"/>
      <c r="AG68" s="277"/>
      <c r="AH68" s="277"/>
      <c r="AI68" s="277"/>
      <c r="AJ68" s="277"/>
      <c r="AK68" s="277"/>
      <c r="AL68" s="277"/>
      <c r="AM68" s="277"/>
      <c r="AN68" s="277"/>
      <c r="AO68" s="277"/>
      <c r="AP68" s="277"/>
      <c r="AQ68" s="263" t="str">
        <f>AQ20</f>
        <v>Males</v>
      </c>
      <c r="AR68" s="278"/>
      <c r="AS68" s="278"/>
      <c r="AT68" s="278"/>
      <c r="AU68" s="278"/>
      <c r="AV68" s="277"/>
      <c r="AW68" s="277"/>
      <c r="AX68" s="277"/>
      <c r="AY68" s="277"/>
      <c r="AZ68" s="277"/>
      <c r="BA68" s="277"/>
      <c r="BB68" s="277"/>
      <c r="BC68" s="277"/>
      <c r="BD68" s="277"/>
      <c r="BE68" s="277"/>
      <c r="BF68" s="277"/>
      <c r="BG68" s="277"/>
      <c r="BH68" s="277"/>
    </row>
    <row r="69" spans="1:60" s="168" customFormat="1" x14ac:dyDescent="0.25">
      <c r="A69" s="269" t="str">
        <f>A21</f>
        <v>15+</v>
      </c>
      <c r="B69" s="277">
        <f>SUM(B70:B80)</f>
        <v>668.34829787442732</v>
      </c>
      <c r="C69" s="277">
        <f t="shared" ref="C69:F69" si="66">SUM(C70:C80)</f>
        <v>679.97434318708918</v>
      </c>
      <c r="D69" s="277">
        <f t="shared" si="66"/>
        <v>576.0987188576471</v>
      </c>
      <c r="E69" s="277">
        <f t="shared" si="66"/>
        <v>506.60924483387572</v>
      </c>
      <c r="F69" s="277">
        <f t="shared" si="66"/>
        <v>424.17079532170612</v>
      </c>
      <c r="G69" s="277"/>
      <c r="H69" s="277">
        <f>SUM(H70:H80)</f>
        <v>216.57689663424574</v>
      </c>
      <c r="I69" s="277">
        <f t="shared" ref="I69:L69" si="67">SUM(I70:I80)</f>
        <v>222.01749682244036</v>
      </c>
      <c r="J69" s="277">
        <f t="shared" si="67"/>
        <v>189.97263257060061</v>
      </c>
      <c r="K69" s="277">
        <f t="shared" si="67"/>
        <v>168.03119397716577</v>
      </c>
      <c r="L69" s="277">
        <f t="shared" si="67"/>
        <v>140.23377379308036</v>
      </c>
      <c r="M69" s="277"/>
      <c r="N69" s="277">
        <f>SUM(N70:N80)</f>
        <v>451.77140124018155</v>
      </c>
      <c r="O69" s="277">
        <f t="shared" ref="O69:R69" si="68">SUM(O70:O80)</f>
        <v>457.95684636464887</v>
      </c>
      <c r="P69" s="277">
        <f t="shared" si="68"/>
        <v>386.12608628704652</v>
      </c>
      <c r="Q69" s="277">
        <f t="shared" si="68"/>
        <v>338.57805085670992</v>
      </c>
      <c r="R69" s="277">
        <f t="shared" si="68"/>
        <v>283.93702152862579</v>
      </c>
      <c r="S69" s="277"/>
      <c r="T69" s="277">
        <f>SUM(T70:T80)</f>
        <v>0</v>
      </c>
      <c r="U69" s="277">
        <f t="shared" ref="U69:X69" si="69">SUM(U70:U80)</f>
        <v>0</v>
      </c>
      <c r="V69" s="277">
        <f t="shared" si="69"/>
        <v>0</v>
      </c>
      <c r="W69" s="277">
        <f t="shared" si="69"/>
        <v>0</v>
      </c>
      <c r="X69" s="277">
        <f t="shared" si="69"/>
        <v>0</v>
      </c>
      <c r="Y69" s="269" t="str">
        <f>Y21</f>
        <v>15+</v>
      </c>
      <c r="Z69" s="277">
        <f>SUM(Z70:Z80)</f>
        <v>1110.8221091376672</v>
      </c>
      <c r="AA69" s="277">
        <f t="shared" ref="AA69:AD69" si="70">SUM(AA70:AA80)</f>
        <v>1081.2462760791657</v>
      </c>
      <c r="AB69" s="277">
        <f t="shared" si="70"/>
        <v>1129.3696341240161</v>
      </c>
      <c r="AC69" s="277">
        <f t="shared" si="70"/>
        <v>1196.947412591609</v>
      </c>
      <c r="AD69" s="277">
        <f t="shared" si="70"/>
        <v>1263.8735341848089</v>
      </c>
      <c r="AE69" s="277"/>
      <c r="AF69" s="277">
        <f>SUM(AF70:AF80)</f>
        <v>1048.6925402059803</v>
      </c>
      <c r="AG69" s="277">
        <f t="shared" ref="AG69:AJ69" si="71">SUM(AG70:AG80)</f>
        <v>1020.9879008290815</v>
      </c>
      <c r="AH69" s="277">
        <f t="shared" si="71"/>
        <v>1066.4680897558023</v>
      </c>
      <c r="AI69" s="277">
        <f t="shared" si="71"/>
        <v>1130.4132844970143</v>
      </c>
      <c r="AJ69" s="277">
        <f t="shared" si="71"/>
        <v>1193.6123831216405</v>
      </c>
      <c r="AK69" s="277"/>
      <c r="AL69" s="277">
        <f>SUM(AL70:AL80)</f>
        <v>62.12956893168694</v>
      </c>
      <c r="AM69" s="277">
        <f t="shared" ref="AM69:AP69" si="72">SUM(AM70:AM80)</f>
        <v>60.258375250084285</v>
      </c>
      <c r="AN69" s="277">
        <f t="shared" si="72"/>
        <v>62.90154436821414</v>
      </c>
      <c r="AO69" s="277">
        <f t="shared" si="72"/>
        <v>66.534128094594536</v>
      </c>
      <c r="AP69" s="277">
        <f t="shared" si="72"/>
        <v>70.261151063168086</v>
      </c>
      <c r="AQ69" s="269" t="str">
        <f>AQ21</f>
        <v>15+</v>
      </c>
      <c r="AR69" s="277">
        <f>SUM(AR70:AR80)</f>
        <v>858.87759298790547</v>
      </c>
      <c r="AS69" s="277">
        <f t="shared" ref="AS69:AV69" si="73">SUM(AS70:AS80)</f>
        <v>924.03238073374484</v>
      </c>
      <c r="AT69" s="277">
        <f t="shared" si="73"/>
        <v>1006.6636470183364</v>
      </c>
      <c r="AU69" s="277">
        <f t="shared" si="73"/>
        <v>1087.2593425745151</v>
      </c>
      <c r="AV69" s="277">
        <f t="shared" si="73"/>
        <v>1172.5296704934854</v>
      </c>
      <c r="AW69" s="277"/>
      <c r="AX69" s="277">
        <f>SUM(AX70:AX80)</f>
        <v>837.25747303433036</v>
      </c>
      <c r="AY69" s="277">
        <f t="shared" ref="AY69:BB69" si="74">SUM(AY70:AY80)</f>
        <v>900.46119959493876</v>
      </c>
      <c r="AZ69" s="277">
        <f t="shared" si="74"/>
        <v>980.19920817165428</v>
      </c>
      <c r="BA69" s="277">
        <f t="shared" si="74"/>
        <v>1058.1193206787443</v>
      </c>
      <c r="BB69" s="277">
        <f t="shared" si="74"/>
        <v>1140.618907885826</v>
      </c>
      <c r="BC69" s="277"/>
      <c r="BD69" s="277">
        <f>SUM(BD70:BD80)</f>
        <v>21.620119953575205</v>
      </c>
      <c r="BE69" s="277">
        <f t="shared" ref="BE69:BH69" si="75">SUM(BE70:BE80)</f>
        <v>23.571181138806118</v>
      </c>
      <c r="BF69" s="277">
        <f t="shared" si="75"/>
        <v>26.464438846682153</v>
      </c>
      <c r="BG69" s="277">
        <f t="shared" si="75"/>
        <v>29.140021895771127</v>
      </c>
      <c r="BH69" s="277">
        <f t="shared" si="75"/>
        <v>31.910762607659223</v>
      </c>
    </row>
    <row r="70" spans="1:60" s="168" customFormat="1" x14ac:dyDescent="0.25">
      <c r="A70" s="269" t="str">
        <f t="shared" ref="A70:A80" si="76">A22</f>
        <v>15-19</v>
      </c>
      <c r="B70" s="277">
        <v>21.970306906103936</v>
      </c>
      <c r="C70" s="277">
        <v>20.026076119996116</v>
      </c>
      <c r="D70" s="277">
        <v>15.121179094017016</v>
      </c>
      <c r="E70" s="277">
        <v>17.089485140563891</v>
      </c>
      <c r="F70" s="275">
        <v>20.063648634933156</v>
      </c>
      <c r="G70" s="277"/>
      <c r="H70" s="277">
        <v>5.926181505924986</v>
      </c>
      <c r="I70" s="277">
        <v>5.4017609070647374</v>
      </c>
      <c r="J70" s="277">
        <v>4.0787280675207782</v>
      </c>
      <c r="K70" s="277">
        <v>4.6096697076419106</v>
      </c>
      <c r="L70" s="275">
        <v>5.4118921208641293</v>
      </c>
      <c r="M70" s="277"/>
      <c r="N70" s="277">
        <v>16.044125400178949</v>
      </c>
      <c r="O70" s="277">
        <v>14.624315212931378</v>
      </c>
      <c r="P70" s="277">
        <v>11.04245102649624</v>
      </c>
      <c r="Q70" s="277">
        <v>12.479815432921979</v>
      </c>
      <c r="R70" s="275">
        <v>14.651756514069028</v>
      </c>
      <c r="S70" s="277"/>
      <c r="T70" s="277">
        <v>0</v>
      </c>
      <c r="U70" s="277">
        <v>0</v>
      </c>
      <c r="V70" s="277">
        <v>0</v>
      </c>
      <c r="W70" s="277">
        <v>0</v>
      </c>
      <c r="X70" s="275">
        <v>0</v>
      </c>
      <c r="Y70" s="269" t="str">
        <f t="shared" ref="Y70:Y80" si="77">Y22</f>
        <v>15-19</v>
      </c>
      <c r="Z70" s="277">
        <v>17.840683082880268</v>
      </c>
      <c r="AA70" s="277">
        <v>14.680133047335039</v>
      </c>
      <c r="AB70" s="277">
        <v>13.72560965822832</v>
      </c>
      <c r="AC70" s="277">
        <v>15.436484788467865</v>
      </c>
      <c r="AD70" s="275">
        <v>18.541508530812692</v>
      </c>
      <c r="AE70" s="277"/>
      <c r="AF70" s="277">
        <v>16.8611671563519</v>
      </c>
      <c r="AG70" s="277">
        <v>13.874168165612016</v>
      </c>
      <c r="AH70" s="277">
        <v>12.972040867641711</v>
      </c>
      <c r="AI70" s="277">
        <v>14.588974970800006</v>
      </c>
      <c r="AJ70" s="275">
        <v>17.523528875034817</v>
      </c>
      <c r="AK70" s="277"/>
      <c r="AL70" s="277">
        <v>0.9795159265283645</v>
      </c>
      <c r="AM70" s="277">
        <v>0.80596488172302239</v>
      </c>
      <c r="AN70" s="277">
        <v>0.75356879058660964</v>
      </c>
      <c r="AO70" s="277">
        <v>0.84750981766786149</v>
      </c>
      <c r="AP70" s="275">
        <v>1.0179796557778724</v>
      </c>
      <c r="AQ70" s="269" t="str">
        <f t="shared" ref="AQ70:AQ80" si="78">AQ22</f>
        <v>15-19</v>
      </c>
      <c r="AR70" s="277">
        <v>0.10001001101580378</v>
      </c>
      <c r="AS70" s="277">
        <v>0.10679083266884004</v>
      </c>
      <c r="AT70" s="277">
        <v>1.2112477546660798E-3</v>
      </c>
      <c r="AU70" s="277">
        <v>6.0300709682370914E-3</v>
      </c>
      <c r="AV70" s="275">
        <v>1.0842834254153347E-2</v>
      </c>
      <c r="AW70" s="277"/>
      <c r="AX70" s="277">
        <v>6.6192985196819223E-2</v>
      </c>
      <c r="AY70" s="277">
        <v>7.0679138418197798E-2</v>
      </c>
      <c r="AZ70" s="277">
        <v>8.014133599071727E-4</v>
      </c>
      <c r="BA70" s="277">
        <v>3.9895924082780755E-3</v>
      </c>
      <c r="BB70" s="275">
        <v>7.1745268353603188E-3</v>
      </c>
      <c r="BC70" s="277"/>
      <c r="BD70" s="277">
        <v>3.3817025818984561E-2</v>
      </c>
      <c r="BE70" s="277">
        <v>3.6111694250642229E-2</v>
      </c>
      <c r="BF70" s="277">
        <v>4.0983439475890718E-4</v>
      </c>
      <c r="BG70" s="277">
        <v>2.0404785599590159E-3</v>
      </c>
      <c r="BH70" s="275">
        <v>3.6683074187930289E-3</v>
      </c>
    </row>
    <row r="71" spans="1:60" s="168" customFormat="1" x14ac:dyDescent="0.25">
      <c r="A71" s="269" t="str">
        <f t="shared" si="76"/>
        <v>20-24</v>
      </c>
      <c r="B71" s="277">
        <v>42.835372944962316</v>
      </c>
      <c r="C71" s="277">
        <v>48.066292311616593</v>
      </c>
      <c r="D71" s="277">
        <v>41.397068793006476</v>
      </c>
      <c r="E71" s="277">
        <v>35.270255608267561</v>
      </c>
      <c r="F71" s="275">
        <v>32.498817128536295</v>
      </c>
      <c r="G71" s="277"/>
      <c r="H71" s="277">
        <v>9.7684866793085128</v>
      </c>
      <c r="I71" s="277">
        <v>10.961327650529908</v>
      </c>
      <c r="J71" s="277">
        <v>9.4404947503411645</v>
      </c>
      <c r="K71" s="277">
        <v>8.0432844087857056</v>
      </c>
      <c r="L71" s="275">
        <v>7.4112487352797149</v>
      </c>
      <c r="M71" s="277"/>
      <c r="N71" s="277">
        <v>33.0668862656538</v>
      </c>
      <c r="O71" s="277">
        <v>37.104964661086683</v>
      </c>
      <c r="P71" s="277">
        <v>31.956574042665309</v>
      </c>
      <c r="Q71" s="277">
        <v>27.226971199481849</v>
      </c>
      <c r="R71" s="275">
        <v>25.087568393256582</v>
      </c>
      <c r="S71" s="277"/>
      <c r="T71" s="277">
        <v>0</v>
      </c>
      <c r="U71" s="277">
        <v>0</v>
      </c>
      <c r="V71" s="277">
        <v>0</v>
      </c>
      <c r="W71" s="277">
        <v>0</v>
      </c>
      <c r="X71" s="275">
        <v>0</v>
      </c>
      <c r="Y71" s="269" t="str">
        <f t="shared" si="77"/>
        <v>20-24</v>
      </c>
      <c r="Z71" s="277">
        <v>117.60066097337621</v>
      </c>
      <c r="AA71" s="277">
        <v>116.00972577437592</v>
      </c>
      <c r="AB71" s="277">
        <v>117.37387172072432</v>
      </c>
      <c r="AC71" s="277">
        <v>109.8328571099937</v>
      </c>
      <c r="AD71" s="275">
        <v>112.18324785696579</v>
      </c>
      <c r="AE71" s="277"/>
      <c r="AF71" s="277">
        <v>109.40519835653062</v>
      </c>
      <c r="AG71" s="277">
        <v>107.92518380300695</v>
      </c>
      <c r="AH71" s="277">
        <v>109.19423291573709</v>
      </c>
      <c r="AI71" s="277">
        <v>102.17877037651678</v>
      </c>
      <c r="AJ71" s="275">
        <v>104.36530258032673</v>
      </c>
      <c r="AK71" s="277"/>
      <c r="AL71" s="277">
        <v>8.1954626168455889</v>
      </c>
      <c r="AM71" s="277">
        <v>8.0845419713689743</v>
      </c>
      <c r="AN71" s="277">
        <v>8.1796388049872402</v>
      </c>
      <c r="AO71" s="277">
        <v>7.6540867334769196</v>
      </c>
      <c r="AP71" s="275">
        <v>7.8179452766390698</v>
      </c>
      <c r="AQ71" s="269" t="str">
        <f t="shared" si="78"/>
        <v>20-24</v>
      </c>
      <c r="AR71" s="277">
        <v>35.953966081661484</v>
      </c>
      <c r="AS71" s="277">
        <v>35.412981914007489</v>
      </c>
      <c r="AT71" s="277">
        <v>39.05605948626922</v>
      </c>
      <c r="AU71" s="277">
        <v>40.227887281738759</v>
      </c>
      <c r="AV71" s="275">
        <v>45.244935014497926</v>
      </c>
      <c r="AW71" s="277"/>
      <c r="AX71" s="277">
        <v>35.894388197223741</v>
      </c>
      <c r="AY71" s="277">
        <v>35.354282498596831</v>
      </c>
      <c r="AZ71" s="277">
        <v>38.991316542918099</v>
      </c>
      <c r="BA71" s="277">
        <v>40.161217830179162</v>
      </c>
      <c r="BB71" s="275">
        <v>45.169897221289091</v>
      </c>
      <c r="BC71" s="277"/>
      <c r="BD71" s="277">
        <v>5.9577884437741695E-2</v>
      </c>
      <c r="BE71" s="277">
        <v>5.8699415410650713E-2</v>
      </c>
      <c r="BF71" s="277">
        <v>6.4742943351118576E-2</v>
      </c>
      <c r="BG71" s="277">
        <v>6.6669451559595388E-2</v>
      </c>
      <c r="BH71" s="275">
        <v>7.5037793208839618E-2</v>
      </c>
    </row>
    <row r="72" spans="1:60" s="168" customFormat="1" x14ac:dyDescent="0.25">
      <c r="A72" s="269" t="str">
        <f t="shared" si="76"/>
        <v>25-29</v>
      </c>
      <c r="B72" s="277">
        <v>54.132987761997782</v>
      </c>
      <c r="C72" s="277">
        <v>59.30277365778997</v>
      </c>
      <c r="D72" s="277">
        <v>53.119400404129237</v>
      </c>
      <c r="E72" s="277">
        <v>53.434184420591016</v>
      </c>
      <c r="F72" s="275">
        <v>46.384829749714591</v>
      </c>
      <c r="G72" s="277"/>
      <c r="H72" s="277">
        <v>15.657402965414564</v>
      </c>
      <c r="I72" s="277">
        <v>17.15271266465906</v>
      </c>
      <c r="J72" s="277">
        <v>15.364227768456015</v>
      </c>
      <c r="K72" s="277">
        <v>15.455258797856304</v>
      </c>
      <c r="L72" s="275">
        <v>13.416311066916181</v>
      </c>
      <c r="M72" s="277"/>
      <c r="N72" s="277">
        <v>38.47558479658322</v>
      </c>
      <c r="O72" s="277">
        <v>42.150060993130907</v>
      </c>
      <c r="P72" s="277">
        <v>37.755172635673226</v>
      </c>
      <c r="Q72" s="277">
        <v>37.978925622734714</v>
      </c>
      <c r="R72" s="275">
        <v>32.968518682798404</v>
      </c>
      <c r="S72" s="277"/>
      <c r="T72" s="277">
        <v>0</v>
      </c>
      <c r="U72" s="277">
        <v>0</v>
      </c>
      <c r="V72" s="277">
        <v>0</v>
      </c>
      <c r="W72" s="277">
        <v>0</v>
      </c>
      <c r="X72" s="275">
        <v>0</v>
      </c>
      <c r="Y72" s="269" t="str">
        <f t="shared" si="77"/>
        <v>25-29</v>
      </c>
      <c r="Z72" s="277">
        <v>149.16941523155822</v>
      </c>
      <c r="AA72" s="277">
        <v>137.65111832560171</v>
      </c>
      <c r="AB72" s="277">
        <v>143.78119393240843</v>
      </c>
      <c r="AC72" s="277">
        <v>153.35525074005449</v>
      </c>
      <c r="AD72" s="275">
        <v>151.04532202229836</v>
      </c>
      <c r="AE72" s="277"/>
      <c r="AF72" s="277">
        <v>139.54207798178672</v>
      </c>
      <c r="AG72" s="277">
        <v>128.76718250907044</v>
      </c>
      <c r="AH72" s="277">
        <v>134.50166828917818</v>
      </c>
      <c r="AI72" s="277">
        <v>143.4577811169944</v>
      </c>
      <c r="AJ72" s="275">
        <v>141.29698663959073</v>
      </c>
      <c r="AK72" s="277"/>
      <c r="AL72" s="277">
        <v>9.6273372497715179</v>
      </c>
      <c r="AM72" s="277">
        <v>8.8839358165312774</v>
      </c>
      <c r="AN72" s="277">
        <v>9.2795256432302509</v>
      </c>
      <c r="AO72" s="277">
        <v>9.8974696230601076</v>
      </c>
      <c r="AP72" s="275">
        <v>9.7483353827076193</v>
      </c>
      <c r="AQ72" s="269" t="str">
        <f t="shared" si="78"/>
        <v>25-29</v>
      </c>
      <c r="AR72" s="277">
        <v>114.08059700644398</v>
      </c>
      <c r="AS72" s="277">
        <v>119.54710801660832</v>
      </c>
      <c r="AT72" s="277">
        <v>121.54440566346231</v>
      </c>
      <c r="AU72" s="277">
        <v>131.36556483935448</v>
      </c>
      <c r="AV72" s="275">
        <v>131.1628482279871</v>
      </c>
      <c r="AW72" s="277"/>
      <c r="AX72" s="277">
        <v>112.96810261144897</v>
      </c>
      <c r="AY72" s="277">
        <v>118.38128469844733</v>
      </c>
      <c r="AZ72" s="277">
        <v>120.35910614116368</v>
      </c>
      <c r="BA72" s="277">
        <v>130.08456385999412</v>
      </c>
      <c r="BB72" s="275">
        <v>129.88383705598</v>
      </c>
      <c r="BC72" s="277"/>
      <c r="BD72" s="277">
        <v>1.1124943949950061</v>
      </c>
      <c r="BE72" s="277">
        <v>1.1658233181609874</v>
      </c>
      <c r="BF72" s="277">
        <v>1.1852995222986344</v>
      </c>
      <c r="BG72" s="277">
        <v>1.2810009793603585</v>
      </c>
      <c r="BH72" s="275">
        <v>1.2790111720071109</v>
      </c>
    </row>
    <row r="73" spans="1:60" s="168" customFormat="1" x14ac:dyDescent="0.25">
      <c r="A73" s="269" t="str">
        <f t="shared" si="76"/>
        <v>30-34</v>
      </c>
      <c r="B73" s="277">
        <v>59.746194470013975</v>
      </c>
      <c r="C73" s="277">
        <v>55.826048413105191</v>
      </c>
      <c r="D73" s="277">
        <v>52.687517039427384</v>
      </c>
      <c r="E73" s="277">
        <v>49.043992638223799</v>
      </c>
      <c r="F73" s="275">
        <v>42.215560181056873</v>
      </c>
      <c r="G73" s="277"/>
      <c r="H73" s="277">
        <v>19.460449413601172</v>
      </c>
      <c r="I73" s="277">
        <v>18.183578385321248</v>
      </c>
      <c r="J73" s="277">
        <v>17.161250414897957</v>
      </c>
      <c r="K73" s="277">
        <v>15.974514770585094</v>
      </c>
      <c r="L73" s="275">
        <v>13.750439228926275</v>
      </c>
      <c r="M73" s="277"/>
      <c r="N73" s="277">
        <v>40.285745056412807</v>
      </c>
      <c r="O73" s="277">
        <v>37.642470027783951</v>
      </c>
      <c r="P73" s="277">
        <v>35.526266624529427</v>
      </c>
      <c r="Q73" s="277">
        <v>33.069477867638696</v>
      </c>
      <c r="R73" s="275">
        <v>28.465120952130594</v>
      </c>
      <c r="S73" s="277"/>
      <c r="T73" s="277">
        <v>0</v>
      </c>
      <c r="U73" s="277">
        <v>0</v>
      </c>
      <c r="V73" s="277">
        <v>0</v>
      </c>
      <c r="W73" s="277">
        <v>0</v>
      </c>
      <c r="X73" s="275">
        <v>0</v>
      </c>
      <c r="Y73" s="269" t="str">
        <f t="shared" si="77"/>
        <v>30-34</v>
      </c>
      <c r="Z73" s="277">
        <v>143.97550755975615</v>
      </c>
      <c r="AA73" s="277">
        <v>143.04692062923695</v>
      </c>
      <c r="AB73" s="277">
        <v>150.54112992034914</v>
      </c>
      <c r="AC73" s="277">
        <v>160.10889854017847</v>
      </c>
      <c r="AD73" s="275">
        <v>177.21576862141688</v>
      </c>
      <c r="AE73" s="277"/>
      <c r="AF73" s="277">
        <v>134.51151244341474</v>
      </c>
      <c r="AG73" s="277">
        <v>133.6439199496856</v>
      </c>
      <c r="AH73" s="277">
        <v>140.64555798795368</v>
      </c>
      <c r="AI73" s="277">
        <v>149.58441151968711</v>
      </c>
      <c r="AJ73" s="275">
        <v>165.5667550636862</v>
      </c>
      <c r="AK73" s="277"/>
      <c r="AL73" s="277">
        <v>9.4639951163413958</v>
      </c>
      <c r="AM73" s="277">
        <v>9.4030006795513597</v>
      </c>
      <c r="AN73" s="277">
        <v>9.8955719323954607</v>
      </c>
      <c r="AO73" s="277">
        <v>10.524487020491364</v>
      </c>
      <c r="AP73" s="275">
        <v>11.649013557730687</v>
      </c>
      <c r="AQ73" s="269" t="str">
        <f t="shared" si="78"/>
        <v>30-34</v>
      </c>
      <c r="AR73" s="277">
        <v>126.29229797022987</v>
      </c>
      <c r="AS73" s="277">
        <v>134.62703095765789</v>
      </c>
      <c r="AT73" s="277">
        <v>139.10335304022348</v>
      </c>
      <c r="AU73" s="277">
        <v>148.01810882159774</v>
      </c>
      <c r="AV73" s="275">
        <v>167.58267119752625</v>
      </c>
      <c r="AW73" s="277"/>
      <c r="AX73" s="277">
        <v>122.95073277336256</v>
      </c>
      <c r="AY73" s="277">
        <v>131.06497700319039</v>
      </c>
      <c r="AZ73" s="277">
        <v>135.42281890028266</v>
      </c>
      <c r="BA73" s="277">
        <v>144.10171770063747</v>
      </c>
      <c r="BB73" s="275">
        <v>163.14861509949301</v>
      </c>
      <c r="BC73" s="277"/>
      <c r="BD73" s="277">
        <v>3.3415651968673079</v>
      </c>
      <c r="BE73" s="277">
        <v>3.5620539544675016</v>
      </c>
      <c r="BF73" s="277">
        <v>3.6805341399408</v>
      </c>
      <c r="BG73" s="277">
        <v>3.9163911209602649</v>
      </c>
      <c r="BH73" s="275">
        <v>4.434056098033226</v>
      </c>
    </row>
    <row r="74" spans="1:60" s="168" customFormat="1" x14ac:dyDescent="0.25">
      <c r="A74" s="269" t="str">
        <f t="shared" si="76"/>
        <v>35-39</v>
      </c>
      <c r="B74" s="277">
        <v>72.389274390689224</v>
      </c>
      <c r="C74" s="277">
        <v>71.644104598988108</v>
      </c>
      <c r="D74" s="277">
        <v>56.546565915153813</v>
      </c>
      <c r="E74" s="277">
        <v>46.727112769454443</v>
      </c>
      <c r="F74" s="275">
        <v>36.765389039064232</v>
      </c>
      <c r="G74" s="277"/>
      <c r="H74" s="277">
        <v>22.092351099930109</v>
      </c>
      <c r="I74" s="277">
        <v>21.864916566985048</v>
      </c>
      <c r="J74" s="277">
        <v>17.257326348768249</v>
      </c>
      <c r="K74" s="277">
        <v>14.26057413503738</v>
      </c>
      <c r="L74" s="275">
        <v>11.220343143702051</v>
      </c>
      <c r="M74" s="277"/>
      <c r="N74" s="277">
        <v>50.296923290759125</v>
      </c>
      <c r="O74" s="277">
        <v>49.779188032003056</v>
      </c>
      <c r="P74" s="277">
        <v>39.289239566385561</v>
      </c>
      <c r="Q74" s="277">
        <v>32.466538634417063</v>
      </c>
      <c r="R74" s="275">
        <v>25.545045895362183</v>
      </c>
      <c r="S74" s="277"/>
      <c r="T74" s="277">
        <v>0</v>
      </c>
      <c r="U74" s="277">
        <v>0</v>
      </c>
      <c r="V74" s="277">
        <v>0</v>
      </c>
      <c r="W74" s="277">
        <v>0</v>
      </c>
      <c r="X74" s="275">
        <v>0</v>
      </c>
      <c r="Y74" s="269" t="str">
        <f t="shared" si="77"/>
        <v>35-39</v>
      </c>
      <c r="Z74" s="277">
        <v>168.36341500024318</v>
      </c>
      <c r="AA74" s="277">
        <v>149.22804572146893</v>
      </c>
      <c r="AB74" s="277">
        <v>145.3653492467291</v>
      </c>
      <c r="AC74" s="277">
        <v>157.84177384899948</v>
      </c>
      <c r="AD74" s="275">
        <v>170.08164787734725</v>
      </c>
      <c r="AE74" s="277"/>
      <c r="AF74" s="277">
        <v>158.73056855159768</v>
      </c>
      <c r="AG74" s="277">
        <v>140.68998106739087</v>
      </c>
      <c r="AH74" s="277">
        <v>137.0482794654304</v>
      </c>
      <c r="AI74" s="277">
        <v>148.81088905475639</v>
      </c>
      <c r="AJ74" s="275">
        <v>160.35047022072709</v>
      </c>
      <c r="AK74" s="277"/>
      <c r="AL74" s="277">
        <v>9.632846448645493</v>
      </c>
      <c r="AM74" s="277">
        <v>8.53806465407804</v>
      </c>
      <c r="AN74" s="277">
        <v>8.3170697812987289</v>
      </c>
      <c r="AO74" s="277">
        <v>9.0308847942430752</v>
      </c>
      <c r="AP74" s="275">
        <v>9.7311776566201527</v>
      </c>
      <c r="AQ74" s="269" t="str">
        <f t="shared" si="78"/>
        <v>35-39</v>
      </c>
      <c r="AR74" s="277">
        <v>130.00931060906763</v>
      </c>
      <c r="AS74" s="277">
        <v>141.63984967954292</v>
      </c>
      <c r="AT74" s="277">
        <v>140.96708483811705</v>
      </c>
      <c r="AU74" s="277">
        <v>156.05411338154607</v>
      </c>
      <c r="AV74" s="275">
        <v>171.1889630835885</v>
      </c>
      <c r="AW74" s="277"/>
      <c r="AX74" s="277">
        <v>126.80367098267918</v>
      </c>
      <c r="AY74" s="277">
        <v>138.14739398786907</v>
      </c>
      <c r="AZ74" s="277">
        <v>137.49128574990962</v>
      </c>
      <c r="BA74" s="277">
        <v>152.20632202622306</v>
      </c>
      <c r="BB74" s="275">
        <v>166.96792004521947</v>
      </c>
      <c r="BC74" s="277"/>
      <c r="BD74" s="277">
        <v>3.2056396263884279</v>
      </c>
      <c r="BE74" s="277">
        <v>3.4924556916738441</v>
      </c>
      <c r="BF74" s="277">
        <v>3.4757990882074257</v>
      </c>
      <c r="BG74" s="277">
        <v>3.8477913553230336</v>
      </c>
      <c r="BH74" s="275">
        <v>4.2210430383690394</v>
      </c>
    </row>
    <row r="75" spans="1:60" s="168" customFormat="1" x14ac:dyDescent="0.25">
      <c r="A75" s="269" t="str">
        <f t="shared" si="76"/>
        <v>40-44</v>
      </c>
      <c r="B75" s="277">
        <v>93.704921018490225</v>
      </c>
      <c r="C75" s="277">
        <v>86.025081460274208</v>
      </c>
      <c r="D75" s="277">
        <v>64.749495706932109</v>
      </c>
      <c r="E75" s="277">
        <v>46.877352399091471</v>
      </c>
      <c r="F75" s="275">
        <v>36.022235674570041</v>
      </c>
      <c r="G75" s="277"/>
      <c r="H75" s="277">
        <v>28.726825295106707</v>
      </c>
      <c r="I75" s="277">
        <v>26.372500122799597</v>
      </c>
      <c r="J75" s="277">
        <v>19.850090685545279</v>
      </c>
      <c r="K75" s="277">
        <v>14.37105615293013</v>
      </c>
      <c r="L75" s="275">
        <v>11.043233820019529</v>
      </c>
      <c r="M75" s="277"/>
      <c r="N75" s="277">
        <v>64.978095723383518</v>
      </c>
      <c r="O75" s="277">
        <v>59.652581337474615</v>
      </c>
      <c r="P75" s="277">
        <v>44.899405021386841</v>
      </c>
      <c r="Q75" s="277">
        <v>32.506296246161341</v>
      </c>
      <c r="R75" s="275">
        <v>24.979001854550507</v>
      </c>
      <c r="S75" s="277"/>
      <c r="T75" s="277">
        <v>0</v>
      </c>
      <c r="U75" s="277">
        <v>0</v>
      </c>
      <c r="V75" s="277">
        <v>0</v>
      </c>
      <c r="W75" s="277">
        <v>0</v>
      </c>
      <c r="X75" s="275">
        <v>0</v>
      </c>
      <c r="Y75" s="269" t="str">
        <f t="shared" si="77"/>
        <v>40-44</v>
      </c>
      <c r="Z75" s="277">
        <v>164.09838718909504</v>
      </c>
      <c r="AA75" s="277">
        <v>154.9023270474899</v>
      </c>
      <c r="AB75" s="277">
        <v>149.73668224901951</v>
      </c>
      <c r="AC75" s="277">
        <v>152.17875641282711</v>
      </c>
      <c r="AD75" s="275">
        <v>165.42214209784782</v>
      </c>
      <c r="AE75" s="277"/>
      <c r="AF75" s="277">
        <v>156.03959735584664</v>
      </c>
      <c r="AG75" s="277">
        <v>147.29512638226808</v>
      </c>
      <c r="AH75" s="277">
        <v>142.38323098553826</v>
      </c>
      <c r="AI75" s="277">
        <v>144.70535111932526</v>
      </c>
      <c r="AJ75" s="275">
        <v>157.29833296840684</v>
      </c>
      <c r="AK75" s="277"/>
      <c r="AL75" s="277">
        <v>8.0587898332483814</v>
      </c>
      <c r="AM75" s="277">
        <v>7.6072006652217956</v>
      </c>
      <c r="AN75" s="277">
        <v>7.3534512634812508</v>
      </c>
      <c r="AO75" s="277">
        <v>7.4734052935018527</v>
      </c>
      <c r="AP75" s="275">
        <v>8.1238091294409802</v>
      </c>
      <c r="AQ75" s="269" t="str">
        <f t="shared" si="78"/>
        <v>40-44</v>
      </c>
      <c r="AR75" s="277">
        <v>126.01269179241478</v>
      </c>
      <c r="AS75" s="277">
        <v>132.67959149223591</v>
      </c>
      <c r="AT75" s="277">
        <v>143.37582204404833</v>
      </c>
      <c r="AU75" s="277">
        <v>148.33089118808141</v>
      </c>
      <c r="AV75" s="275">
        <v>163.98362222758209</v>
      </c>
      <c r="AW75" s="277"/>
      <c r="AX75" s="277">
        <v>123.30009020573293</v>
      </c>
      <c r="AY75" s="277">
        <v>129.8235193902282</v>
      </c>
      <c r="AZ75" s="277">
        <v>140.28954114726304</v>
      </c>
      <c r="BA75" s="277">
        <v>145.13792831010065</v>
      </c>
      <c r="BB75" s="275">
        <v>160.4537346018306</v>
      </c>
      <c r="BC75" s="277"/>
      <c r="BD75" s="277">
        <v>2.7126015866818696</v>
      </c>
      <c r="BE75" s="277">
        <v>2.85607210200773</v>
      </c>
      <c r="BF75" s="277">
        <v>3.0862808967852815</v>
      </c>
      <c r="BG75" s="277">
        <v>3.1929628779807668</v>
      </c>
      <c r="BH75" s="275">
        <v>3.5298876257514915</v>
      </c>
    </row>
    <row r="76" spans="1:60" s="168" customFormat="1" x14ac:dyDescent="0.25">
      <c r="A76" s="269" t="str">
        <f t="shared" si="76"/>
        <v>45-49</v>
      </c>
      <c r="B76" s="277">
        <v>115.30181592604359</v>
      </c>
      <c r="C76" s="277">
        <v>109.33182845391168</v>
      </c>
      <c r="D76" s="277">
        <v>79.086091683348073</v>
      </c>
      <c r="E76" s="277">
        <v>61.499061829076247</v>
      </c>
      <c r="F76" s="275">
        <v>46.838498328679577</v>
      </c>
      <c r="G76" s="277"/>
      <c r="H76" s="277">
        <v>35.170555457916208</v>
      </c>
      <c r="I76" s="277">
        <v>33.349530919839154</v>
      </c>
      <c r="J76" s="277">
        <v>24.123666078720824</v>
      </c>
      <c r="K76" s="277">
        <v>18.759060670682956</v>
      </c>
      <c r="L76" s="275">
        <v>14.287158175019892</v>
      </c>
      <c r="M76" s="277"/>
      <c r="N76" s="277">
        <v>80.131260468127394</v>
      </c>
      <c r="O76" s="277">
        <v>75.982297534072529</v>
      </c>
      <c r="P76" s="277">
        <v>54.962425604627256</v>
      </c>
      <c r="Q76" s="277">
        <v>42.740001158393298</v>
      </c>
      <c r="R76" s="275">
        <v>32.55134015365968</v>
      </c>
      <c r="S76" s="277"/>
      <c r="T76" s="277">
        <v>0</v>
      </c>
      <c r="U76" s="277">
        <v>0</v>
      </c>
      <c r="V76" s="277">
        <v>0</v>
      </c>
      <c r="W76" s="277">
        <v>0</v>
      </c>
      <c r="X76" s="275">
        <v>0</v>
      </c>
      <c r="Y76" s="269" t="str">
        <f t="shared" si="77"/>
        <v>45-49</v>
      </c>
      <c r="Z76" s="277">
        <v>139.47645471921948</v>
      </c>
      <c r="AA76" s="277">
        <v>142.31555594986082</v>
      </c>
      <c r="AB76" s="277">
        <v>150.05821621827403</v>
      </c>
      <c r="AC76" s="277">
        <v>153.64746661870106</v>
      </c>
      <c r="AD76" s="275">
        <v>155.27997647346041</v>
      </c>
      <c r="AE76" s="277"/>
      <c r="AF76" s="277">
        <v>133.76971424566429</v>
      </c>
      <c r="AG76" s="277">
        <v>136.49269012868396</v>
      </c>
      <c r="AH76" s="277">
        <v>143.91849594775999</v>
      </c>
      <c r="AI76" s="277">
        <v>147.36094259416896</v>
      </c>
      <c r="AJ76" s="275">
        <v>148.92665752037087</v>
      </c>
      <c r="AK76" s="277"/>
      <c r="AL76" s="277">
        <v>5.7067404735551852</v>
      </c>
      <c r="AM76" s="277">
        <v>5.8228658211768556</v>
      </c>
      <c r="AN76" s="277">
        <v>6.1397202705140401</v>
      </c>
      <c r="AO76" s="277">
        <v>6.2865240245320777</v>
      </c>
      <c r="AP76" s="275">
        <v>6.3533189530895484</v>
      </c>
      <c r="AQ76" s="269" t="str">
        <f t="shared" si="78"/>
        <v>45-49</v>
      </c>
      <c r="AR76" s="277">
        <v>120.1197293547369</v>
      </c>
      <c r="AS76" s="277">
        <v>129.44461559622746</v>
      </c>
      <c r="AT76" s="277">
        <v>136.0726920983779</v>
      </c>
      <c r="AU76" s="277">
        <v>140.49347155222273</v>
      </c>
      <c r="AV76" s="275">
        <v>143.29652519786003</v>
      </c>
      <c r="AW76" s="277"/>
      <c r="AX76" s="277">
        <v>117.05294273548799</v>
      </c>
      <c r="AY76" s="277">
        <v>126.13980543389869</v>
      </c>
      <c r="AZ76" s="277">
        <v>132.59867152271417</v>
      </c>
      <c r="BA76" s="277">
        <v>136.90652744386634</v>
      </c>
      <c r="BB76" s="275">
        <v>139.63803926200524</v>
      </c>
      <c r="BC76" s="277"/>
      <c r="BD76" s="277">
        <v>3.0667866192489188</v>
      </c>
      <c r="BE76" s="277">
        <v>3.3048101623287747</v>
      </c>
      <c r="BF76" s="277">
        <v>3.4740205756637477</v>
      </c>
      <c r="BG76" s="277">
        <v>3.5869441083564158</v>
      </c>
      <c r="BH76" s="275">
        <v>3.6584859358547694</v>
      </c>
    </row>
    <row r="77" spans="1:60" s="168" customFormat="1" x14ac:dyDescent="0.25">
      <c r="A77" s="269" t="str">
        <f t="shared" si="76"/>
        <v>50-54</v>
      </c>
      <c r="B77" s="277">
        <v>111.27520275605481</v>
      </c>
      <c r="C77" s="277">
        <v>116.43002391638842</v>
      </c>
      <c r="D77" s="277">
        <v>99.298446084176007</v>
      </c>
      <c r="E77" s="277">
        <v>84.486604991419114</v>
      </c>
      <c r="F77" s="275">
        <v>69.243878653988489</v>
      </c>
      <c r="G77" s="277"/>
      <c r="H77" s="277">
        <v>39.173130960659876</v>
      </c>
      <c r="I77" s="277">
        <v>40.987832117041947</v>
      </c>
      <c r="J77" s="277">
        <v>34.956838880438383</v>
      </c>
      <c r="K77" s="277">
        <v>29.742505447101941</v>
      </c>
      <c r="L77" s="275">
        <v>24.376494465649984</v>
      </c>
      <c r="M77" s="277"/>
      <c r="N77" s="277">
        <v>72.102071795394934</v>
      </c>
      <c r="O77" s="277">
        <v>75.442191799346489</v>
      </c>
      <c r="P77" s="277">
        <v>64.34160720373761</v>
      </c>
      <c r="Q77" s="277">
        <v>54.74409954431718</v>
      </c>
      <c r="R77" s="275">
        <v>44.867384188338512</v>
      </c>
      <c r="S77" s="277"/>
      <c r="T77" s="277">
        <v>0</v>
      </c>
      <c r="U77" s="277">
        <v>0</v>
      </c>
      <c r="V77" s="277">
        <v>0</v>
      </c>
      <c r="W77" s="277">
        <v>0</v>
      </c>
      <c r="X77" s="275">
        <v>0</v>
      </c>
      <c r="Y77" s="269" t="str">
        <f t="shared" si="77"/>
        <v>50-54</v>
      </c>
      <c r="Z77" s="277">
        <v>113.3960574955765</v>
      </c>
      <c r="AA77" s="277">
        <v>121.59249637417638</v>
      </c>
      <c r="AB77" s="277">
        <v>133.48105449911949</v>
      </c>
      <c r="AC77" s="277">
        <v>141.58741797337134</v>
      </c>
      <c r="AD77" s="275">
        <v>145.63112009368126</v>
      </c>
      <c r="AE77" s="277"/>
      <c r="AF77" s="277">
        <v>108.44421929852143</v>
      </c>
      <c r="AG77" s="277">
        <v>116.28270261170104</v>
      </c>
      <c r="AH77" s="277">
        <v>127.65209448250005</v>
      </c>
      <c r="AI77" s="277">
        <v>135.40448983032255</v>
      </c>
      <c r="AJ77" s="275">
        <v>139.27159339268175</v>
      </c>
      <c r="AK77" s="277"/>
      <c r="AL77" s="277">
        <v>4.9518381970550793</v>
      </c>
      <c r="AM77" s="277">
        <v>5.3097937624753415</v>
      </c>
      <c r="AN77" s="277">
        <v>5.828960016619444</v>
      </c>
      <c r="AO77" s="277">
        <v>6.1829281430488319</v>
      </c>
      <c r="AP77" s="275">
        <v>6.3595267009995187</v>
      </c>
      <c r="AQ77" s="269" t="str">
        <f t="shared" si="78"/>
        <v>50-54</v>
      </c>
      <c r="AR77" s="277">
        <v>95.512739748368674</v>
      </c>
      <c r="AS77" s="277">
        <v>104.88647970943516</v>
      </c>
      <c r="AT77" s="277">
        <v>127.31949941670452</v>
      </c>
      <c r="AU77" s="277">
        <v>134.10597703520958</v>
      </c>
      <c r="AV77" s="275">
        <v>137.3260012523302</v>
      </c>
      <c r="AW77" s="277"/>
      <c r="AX77" s="277">
        <v>92.592908798161787</v>
      </c>
      <c r="AY77" s="277">
        <v>101.68009864647333</v>
      </c>
      <c r="AZ77" s="277">
        <v>123.42737975287275</v>
      </c>
      <c r="BA77" s="277">
        <v>130.00642315954263</v>
      </c>
      <c r="BB77" s="275">
        <v>133.12800670973192</v>
      </c>
      <c r="BC77" s="277"/>
      <c r="BD77" s="277">
        <v>2.9198309502068871</v>
      </c>
      <c r="BE77" s="277">
        <v>3.2063810629618299</v>
      </c>
      <c r="BF77" s="277">
        <v>3.892119663831775</v>
      </c>
      <c r="BG77" s="277">
        <v>4.0995538756669365</v>
      </c>
      <c r="BH77" s="275">
        <v>4.1979945425982796</v>
      </c>
    </row>
    <row r="78" spans="1:60" s="168" customFormat="1" x14ac:dyDescent="0.25">
      <c r="A78" s="269" t="str">
        <f t="shared" si="76"/>
        <v>55-59</v>
      </c>
      <c r="B78" s="277">
        <v>68.012091171952278</v>
      </c>
      <c r="C78" s="277">
        <v>76.192899119068656</v>
      </c>
      <c r="D78" s="277">
        <v>80.959107437946358</v>
      </c>
      <c r="E78" s="277">
        <v>80.741803905128123</v>
      </c>
      <c r="F78" s="275">
        <v>67.11887912992232</v>
      </c>
      <c r="G78" s="277"/>
      <c r="H78" s="277">
        <v>26.951872424022827</v>
      </c>
      <c r="I78" s="277">
        <v>30.193746005149503</v>
      </c>
      <c r="J78" s="277">
        <v>32.082502271621657</v>
      </c>
      <c r="K78" s="277">
        <v>31.996398811217055</v>
      </c>
      <c r="L78" s="275">
        <v>26.597935178999514</v>
      </c>
      <c r="M78" s="277"/>
      <c r="N78" s="277">
        <v>41.060218747929468</v>
      </c>
      <c r="O78" s="277">
        <v>45.999153113919157</v>
      </c>
      <c r="P78" s="277">
        <v>48.876605166324701</v>
      </c>
      <c r="Q78" s="277">
        <v>48.74540509391106</v>
      </c>
      <c r="R78" s="275">
        <v>40.520943950922806</v>
      </c>
      <c r="S78" s="277"/>
      <c r="T78" s="277">
        <v>0</v>
      </c>
      <c r="U78" s="277">
        <v>0</v>
      </c>
      <c r="V78" s="277">
        <v>0</v>
      </c>
      <c r="W78" s="277">
        <v>0</v>
      </c>
      <c r="X78" s="275">
        <v>0</v>
      </c>
      <c r="Y78" s="269" t="str">
        <f t="shared" si="77"/>
        <v>55-59</v>
      </c>
      <c r="Z78" s="277">
        <v>72.790478327088792</v>
      </c>
      <c r="AA78" s="277">
        <v>72.824377516205331</v>
      </c>
      <c r="AB78" s="277">
        <v>88.796407596616632</v>
      </c>
      <c r="AC78" s="277">
        <v>107.12135329397736</v>
      </c>
      <c r="AD78" s="275">
        <v>114.12115272286486</v>
      </c>
      <c r="AE78" s="277"/>
      <c r="AF78" s="277">
        <v>68.801294834834081</v>
      </c>
      <c r="AG78" s="277">
        <v>68.83331603311845</v>
      </c>
      <c r="AH78" s="277">
        <v>83.930009776338608</v>
      </c>
      <c r="AI78" s="277">
        <v>101.25067814642075</v>
      </c>
      <c r="AJ78" s="275">
        <v>107.86683113473264</v>
      </c>
      <c r="AK78" s="277"/>
      <c r="AL78" s="277">
        <v>3.9891834922546994</v>
      </c>
      <c r="AM78" s="277">
        <v>3.9910614830868849</v>
      </c>
      <c r="AN78" s="277">
        <v>4.8663978202780056</v>
      </c>
      <c r="AO78" s="277">
        <v>5.8706751475565877</v>
      </c>
      <c r="AP78" s="275">
        <v>6.2543215881322256</v>
      </c>
      <c r="AQ78" s="269" t="str">
        <f t="shared" si="78"/>
        <v>55-59</v>
      </c>
      <c r="AR78" s="277">
        <v>71.997430500958913</v>
      </c>
      <c r="AS78" s="277">
        <v>80.286723364726001</v>
      </c>
      <c r="AT78" s="277">
        <v>97.623484965437029</v>
      </c>
      <c r="AU78" s="277">
        <v>111.25484280089452</v>
      </c>
      <c r="AV78" s="275">
        <v>119.13196814721282</v>
      </c>
      <c r="AW78" s="277"/>
      <c r="AX78" s="277">
        <v>69.435486947844097</v>
      </c>
      <c r="AY78" s="277">
        <v>77.429759529039274</v>
      </c>
      <c r="AZ78" s="277">
        <v>94.149691730122299</v>
      </c>
      <c r="BA78" s="277">
        <v>107.29594200979159</v>
      </c>
      <c r="BB78" s="275">
        <v>114.89276509261856</v>
      </c>
      <c r="BC78" s="277"/>
      <c r="BD78" s="277">
        <v>2.5619435531148169</v>
      </c>
      <c r="BE78" s="277">
        <v>2.8569638356867268</v>
      </c>
      <c r="BF78" s="277">
        <v>3.4737932353147438</v>
      </c>
      <c r="BG78" s="277">
        <v>3.9589007911029319</v>
      </c>
      <c r="BH78" s="275">
        <v>4.2392030545942614</v>
      </c>
    </row>
    <row r="79" spans="1:60" s="168" customFormat="1" x14ac:dyDescent="0.25">
      <c r="A79" s="269" t="str">
        <f t="shared" si="76"/>
        <v>60-64</v>
      </c>
      <c r="B79" s="277">
        <v>22.058986538549966</v>
      </c>
      <c r="C79" s="277">
        <v>25.725899636040516</v>
      </c>
      <c r="D79" s="277">
        <v>23.105090180247199</v>
      </c>
      <c r="E79" s="277">
        <v>23.482130526076944</v>
      </c>
      <c r="F79" s="275">
        <v>20.863456754363423</v>
      </c>
      <c r="G79" s="277"/>
      <c r="H79" s="277">
        <v>10.261625462059436</v>
      </c>
      <c r="I79" s="277">
        <v>11.967431555445883</v>
      </c>
      <c r="J79" s="277">
        <v>10.748274288790256</v>
      </c>
      <c r="K79" s="277">
        <v>10.923637169620605</v>
      </c>
      <c r="L79" s="275">
        <v>9.7054628731438477</v>
      </c>
      <c r="M79" s="277"/>
      <c r="N79" s="277">
        <v>11.797361076490528</v>
      </c>
      <c r="O79" s="277">
        <v>13.758468080594636</v>
      </c>
      <c r="P79" s="277">
        <v>12.356815891456941</v>
      </c>
      <c r="Q79" s="277">
        <v>12.558493356456339</v>
      </c>
      <c r="R79" s="275">
        <v>11.157993881219575</v>
      </c>
      <c r="S79" s="277"/>
      <c r="T79" s="277">
        <v>0</v>
      </c>
      <c r="U79" s="277">
        <v>0</v>
      </c>
      <c r="V79" s="277">
        <v>0</v>
      </c>
      <c r="W79" s="277">
        <v>0</v>
      </c>
      <c r="X79" s="275">
        <v>0</v>
      </c>
      <c r="Y79" s="269" t="str">
        <f t="shared" si="77"/>
        <v>60-64</v>
      </c>
      <c r="Z79" s="277">
        <v>19.033134372987352</v>
      </c>
      <c r="AA79" s="277">
        <v>23.139563185511207</v>
      </c>
      <c r="AB79" s="277">
        <v>29.062611970564706</v>
      </c>
      <c r="AC79" s="277">
        <v>37.775985439184019</v>
      </c>
      <c r="AD79" s="275">
        <v>45.699503561805081</v>
      </c>
      <c r="AE79" s="277"/>
      <c r="AF79" s="277">
        <v>18.159098770843201</v>
      </c>
      <c r="AG79" s="277">
        <v>22.076986233291766</v>
      </c>
      <c r="AH79" s="277">
        <v>27.728037414140051</v>
      </c>
      <c r="AI79" s="277">
        <v>36.041367319946715</v>
      </c>
      <c r="AJ79" s="275">
        <v>43.600996459396789</v>
      </c>
      <c r="AK79" s="277"/>
      <c r="AL79" s="277">
        <v>0.87403560214415288</v>
      </c>
      <c r="AM79" s="277">
        <v>1.0625769522194444</v>
      </c>
      <c r="AN79" s="277">
        <v>1.3345745564246547</v>
      </c>
      <c r="AO79" s="277">
        <v>1.7346181192372983</v>
      </c>
      <c r="AP79" s="275">
        <v>2.0985071024082935</v>
      </c>
      <c r="AQ79" s="269" t="str">
        <f t="shared" si="78"/>
        <v>60-64</v>
      </c>
      <c r="AR79" s="277">
        <v>28.502879088462684</v>
      </c>
      <c r="AS79" s="277">
        <v>37.330537178448267</v>
      </c>
      <c r="AT79" s="277">
        <v>46.611297849188091</v>
      </c>
      <c r="AU79" s="277">
        <v>59.348884034739037</v>
      </c>
      <c r="AV79" s="275">
        <v>72.006039683831503</v>
      </c>
      <c r="AW79" s="277"/>
      <c r="AX79" s="277">
        <v>26.621847428232694</v>
      </c>
      <c r="AY79" s="277">
        <v>34.866929781336395</v>
      </c>
      <c r="AZ79" s="277">
        <v>43.535121181596431</v>
      </c>
      <c r="BA79" s="277">
        <v>55.432075117845166</v>
      </c>
      <c r="BB79" s="275">
        <v>67.253939495670267</v>
      </c>
      <c r="BC79" s="277"/>
      <c r="BD79" s="277">
        <v>1.881031660229987</v>
      </c>
      <c r="BE79" s="277">
        <v>2.463607397111879</v>
      </c>
      <c r="BF79" s="277">
        <v>3.0761766675916631</v>
      </c>
      <c r="BG79" s="277">
        <v>3.9168089168938671</v>
      </c>
      <c r="BH79" s="275">
        <v>4.7521001881612417</v>
      </c>
    </row>
    <row r="80" spans="1:60" s="168" customFormat="1" x14ac:dyDescent="0.25">
      <c r="A80" s="269" t="str">
        <f t="shared" si="76"/>
        <v>65+</v>
      </c>
      <c r="B80" s="277">
        <v>6.9211439895691509</v>
      </c>
      <c r="C80" s="277">
        <v>11.403315499909841</v>
      </c>
      <c r="D80" s="277">
        <v>10.028756519263442</v>
      </c>
      <c r="E80" s="277">
        <v>7.9572606059831097</v>
      </c>
      <c r="F80" s="275">
        <v>6.1556020468771537</v>
      </c>
      <c r="G80" s="277"/>
      <c r="H80" s="277">
        <v>3.3880153703013169</v>
      </c>
      <c r="I80" s="277">
        <v>5.5821599276043257</v>
      </c>
      <c r="J80" s="277">
        <v>4.9092330155000692</v>
      </c>
      <c r="K80" s="277">
        <v>3.8952339057066752</v>
      </c>
      <c r="L80" s="275">
        <v>3.0132549845592425</v>
      </c>
      <c r="M80" s="277"/>
      <c r="N80" s="277">
        <v>3.5331286192678335</v>
      </c>
      <c r="O80" s="277">
        <v>5.8211555723055133</v>
      </c>
      <c r="P80" s="277">
        <v>5.1195235037633742</v>
      </c>
      <c r="Q80" s="277">
        <v>4.0620267002764345</v>
      </c>
      <c r="R80" s="275">
        <v>3.1423470623179108</v>
      </c>
      <c r="S80" s="277"/>
      <c r="T80" s="277">
        <v>0</v>
      </c>
      <c r="U80" s="277">
        <v>0</v>
      </c>
      <c r="V80" s="277">
        <v>0</v>
      </c>
      <c r="W80" s="277">
        <v>0</v>
      </c>
      <c r="X80" s="275">
        <v>0</v>
      </c>
      <c r="Y80" s="269" t="str">
        <f t="shared" si="77"/>
        <v>65+</v>
      </c>
      <c r="Z80" s="277">
        <v>5.0779151858860399</v>
      </c>
      <c r="AA80" s="277">
        <v>5.8560125079035359</v>
      </c>
      <c r="AB80" s="277">
        <v>7.4475071119826133</v>
      </c>
      <c r="AC80" s="277">
        <v>8.0611678258540653</v>
      </c>
      <c r="AD80" s="275">
        <v>8.6521443263082798</v>
      </c>
      <c r="AE80" s="277"/>
      <c r="AF80" s="277">
        <v>4.4280912105889678</v>
      </c>
      <c r="AG80" s="277">
        <v>5.1066439452522596</v>
      </c>
      <c r="AH80" s="277">
        <v>6.4944416235841498</v>
      </c>
      <c r="AI80" s="277">
        <v>7.0296284480755258</v>
      </c>
      <c r="AJ80" s="275">
        <v>7.5449282666861546</v>
      </c>
      <c r="AK80" s="277"/>
      <c r="AL80" s="277">
        <v>0.64982397529707225</v>
      </c>
      <c r="AM80" s="277">
        <v>0.74936856265127538</v>
      </c>
      <c r="AN80" s="277">
        <v>0.95306548839846261</v>
      </c>
      <c r="AO80" s="277">
        <v>1.03153937777854</v>
      </c>
      <c r="AP80" s="275">
        <v>1.1072160596221259</v>
      </c>
      <c r="AQ80" s="269" t="str">
        <f t="shared" si="78"/>
        <v>65+</v>
      </c>
      <c r="AR80" s="277">
        <v>10.295940824544813</v>
      </c>
      <c r="AS80" s="277">
        <v>8.0706719921866217</v>
      </c>
      <c r="AT80" s="277">
        <v>14.988736368753946</v>
      </c>
      <c r="AU80" s="277">
        <v>18.053571568162823</v>
      </c>
      <c r="AV80" s="275">
        <v>21.595253626814571</v>
      </c>
      <c r="AW80" s="277"/>
      <c r="AX80" s="277">
        <v>9.5711093689595526</v>
      </c>
      <c r="AY80" s="277">
        <v>7.5024694874410747</v>
      </c>
      <c r="AZ80" s="277">
        <v>13.933474089451744</v>
      </c>
      <c r="BA80" s="277">
        <v>16.782613628155822</v>
      </c>
      <c r="BB80" s="275">
        <v>20.07497877515241</v>
      </c>
      <c r="BC80" s="277"/>
      <c r="BD80" s="277">
        <v>0.72483145558525974</v>
      </c>
      <c r="BE80" s="277">
        <v>0.5682025047455489</v>
      </c>
      <c r="BF80" s="277">
        <v>1.0552622793022017</v>
      </c>
      <c r="BG80" s="277">
        <v>1.2709579400070001</v>
      </c>
      <c r="BH80" s="275">
        <v>1.5202748516621645</v>
      </c>
    </row>
    <row r="81" spans="1:60" s="168" customFormat="1" x14ac:dyDescent="0.25">
      <c r="B81" s="275"/>
      <c r="C81" s="275"/>
      <c r="D81" s="275"/>
      <c r="E81" s="275"/>
      <c r="F81" s="275"/>
      <c r="G81" s="275"/>
      <c r="H81" s="275"/>
      <c r="I81" s="275"/>
      <c r="J81" s="275"/>
      <c r="K81" s="275"/>
      <c r="L81" s="275"/>
      <c r="M81" s="275"/>
      <c r="N81" s="275"/>
      <c r="O81" s="275"/>
      <c r="P81" s="275"/>
      <c r="Q81" s="275"/>
      <c r="R81" s="275"/>
      <c r="S81" s="275"/>
      <c r="T81" s="169"/>
      <c r="U81" s="169"/>
      <c r="V81" s="169"/>
      <c r="W81" s="169"/>
      <c r="X81" s="169"/>
      <c r="Z81" s="275"/>
      <c r="AA81" s="275"/>
      <c r="AB81" s="275"/>
      <c r="AC81" s="275"/>
      <c r="AD81" s="275"/>
      <c r="AE81" s="275"/>
      <c r="AF81" s="275"/>
      <c r="AG81" s="275"/>
      <c r="AH81" s="275"/>
      <c r="AI81" s="275"/>
      <c r="AJ81" s="275"/>
      <c r="AK81" s="275"/>
      <c r="AL81" s="275"/>
      <c r="AM81" s="275"/>
      <c r="AN81" s="275"/>
      <c r="AO81" s="275"/>
      <c r="AP81" s="275"/>
      <c r="AR81" s="277"/>
      <c r="AS81" s="277"/>
      <c r="AT81" s="277"/>
      <c r="AU81" s="277"/>
      <c r="AV81" s="275"/>
      <c r="AW81" s="275"/>
      <c r="AX81" s="275"/>
      <c r="AY81" s="275"/>
      <c r="AZ81" s="275"/>
      <c r="BA81" s="275"/>
      <c r="BB81" s="275"/>
      <c r="BC81" s="275"/>
      <c r="BD81" s="275"/>
      <c r="BE81" s="275"/>
      <c r="BF81" s="275"/>
      <c r="BG81" s="275"/>
      <c r="BH81" s="275"/>
    </row>
    <row r="82" spans="1:60" s="168" customFormat="1" x14ac:dyDescent="0.25">
      <c r="A82" s="224" t="str">
        <f>A34</f>
        <v>Females</v>
      </c>
      <c r="B82" s="275"/>
      <c r="C82" s="275"/>
      <c r="D82" s="275"/>
      <c r="E82" s="275"/>
      <c r="F82" s="275"/>
      <c r="G82" s="275"/>
      <c r="H82" s="275"/>
      <c r="I82" s="275"/>
      <c r="J82" s="275"/>
      <c r="K82" s="275"/>
      <c r="L82" s="275"/>
      <c r="M82" s="275"/>
      <c r="N82" s="275"/>
      <c r="O82" s="275"/>
      <c r="P82" s="275"/>
      <c r="Q82" s="275"/>
      <c r="R82" s="275"/>
      <c r="S82" s="275"/>
      <c r="T82" s="169"/>
      <c r="U82" s="169"/>
      <c r="V82" s="169"/>
      <c r="W82" s="169"/>
      <c r="X82" s="169"/>
      <c r="Y82" s="224" t="str">
        <f>Y34</f>
        <v>Females</v>
      </c>
      <c r="Z82" s="275"/>
      <c r="AA82" s="275"/>
      <c r="AB82" s="275"/>
      <c r="AC82" s="275"/>
      <c r="AD82" s="275"/>
      <c r="AE82" s="275"/>
      <c r="AF82" s="275"/>
      <c r="AG82" s="275"/>
      <c r="AH82" s="275"/>
      <c r="AI82" s="275"/>
      <c r="AJ82" s="275"/>
      <c r="AK82" s="275"/>
      <c r="AL82" s="275"/>
      <c r="AM82" s="275"/>
      <c r="AN82" s="275"/>
      <c r="AO82" s="275"/>
      <c r="AP82" s="275"/>
      <c r="AQ82" s="224" t="str">
        <f>AQ34</f>
        <v>Females</v>
      </c>
      <c r="AR82" s="278"/>
      <c r="AS82" s="278"/>
      <c r="AT82" s="278"/>
      <c r="AU82" s="278"/>
      <c r="AV82" s="275"/>
      <c r="AW82" s="275"/>
      <c r="AX82" s="275"/>
      <c r="AY82" s="275"/>
      <c r="AZ82" s="275"/>
      <c r="BA82" s="275"/>
      <c r="BB82" s="275"/>
      <c r="BC82" s="275"/>
      <c r="BD82" s="275"/>
      <c r="BE82" s="275"/>
      <c r="BF82" s="275"/>
      <c r="BG82" s="275"/>
      <c r="BH82" s="275"/>
    </row>
    <row r="83" spans="1:60" s="168" customFormat="1" x14ac:dyDescent="0.25">
      <c r="A83" s="269" t="str">
        <f>A35</f>
        <v>15+</v>
      </c>
      <c r="B83" s="277">
        <f>SUM(B84:B94)</f>
        <v>423.06360139942507</v>
      </c>
      <c r="C83" s="277">
        <f t="shared" ref="C83:F83" si="79">SUM(C84:C94)</f>
        <v>420.02944292320001</v>
      </c>
      <c r="D83" s="277">
        <f t="shared" si="79"/>
        <v>340.32430055838188</v>
      </c>
      <c r="E83" s="277">
        <f t="shared" si="79"/>
        <v>280.86469102706656</v>
      </c>
      <c r="F83" s="277">
        <f t="shared" si="79"/>
        <v>223.76680386266278</v>
      </c>
      <c r="G83" s="277"/>
      <c r="H83" s="277">
        <f>SUM(H84:H94)</f>
        <v>145.89694047973552</v>
      </c>
      <c r="I83" s="277">
        <f t="shared" ref="I83:L83" si="80">SUM(I84:I94)</f>
        <v>145.07481013301967</v>
      </c>
      <c r="J83" s="277">
        <f t="shared" si="80"/>
        <v>119.0698940829858</v>
      </c>
      <c r="K83" s="277">
        <f t="shared" si="80"/>
        <v>97.685423606672089</v>
      </c>
      <c r="L83" s="277">
        <f t="shared" si="80"/>
        <v>77.126697351246889</v>
      </c>
      <c r="M83" s="277"/>
      <c r="N83" s="277">
        <f>SUM(N84:N94)</f>
        <v>277.16666091968955</v>
      </c>
      <c r="O83" s="277">
        <f t="shared" ref="O83:R83" si="81">SUM(O84:O94)</f>
        <v>274.95463279018031</v>
      </c>
      <c r="P83" s="277">
        <f t="shared" si="81"/>
        <v>221.25440647539608</v>
      </c>
      <c r="Q83" s="277">
        <f t="shared" si="81"/>
        <v>183.17926742039447</v>
      </c>
      <c r="R83" s="277">
        <f t="shared" si="81"/>
        <v>146.64010651141589</v>
      </c>
      <c r="S83" s="277"/>
      <c r="T83" s="277">
        <f>SUM(T84:T94)</f>
        <v>0</v>
      </c>
      <c r="U83" s="277">
        <f t="shared" ref="U83:X83" si="82">SUM(U84:U94)</f>
        <v>0</v>
      </c>
      <c r="V83" s="277">
        <f t="shared" si="82"/>
        <v>0</v>
      </c>
      <c r="W83" s="277">
        <f t="shared" si="82"/>
        <v>0</v>
      </c>
      <c r="X83" s="277">
        <f t="shared" si="82"/>
        <v>0</v>
      </c>
      <c r="Y83" s="269" t="str">
        <f>Y35</f>
        <v>15+</v>
      </c>
      <c r="Z83" s="277">
        <f>SUM(Z84:Z94)</f>
        <v>835.78959562739158</v>
      </c>
      <c r="AA83" s="277">
        <f t="shared" ref="AA83:AD83" si="83">SUM(AA84:AA94)</f>
        <v>817.71951299037789</v>
      </c>
      <c r="AB83" s="277">
        <f t="shared" si="83"/>
        <v>833.46122225056911</v>
      </c>
      <c r="AC83" s="277">
        <f t="shared" si="83"/>
        <v>872.7568149707464</v>
      </c>
      <c r="AD83" s="277">
        <f t="shared" si="83"/>
        <v>906.76405425389191</v>
      </c>
      <c r="AE83" s="277"/>
      <c r="AF83" s="277">
        <f>SUM(AF84:AF94)</f>
        <v>775.49874803920272</v>
      </c>
      <c r="AG83" s="277">
        <f t="shared" ref="AG83:AJ83" si="84">SUM(AG84:AG94)</f>
        <v>758.80872601036992</v>
      </c>
      <c r="AH83" s="277">
        <f t="shared" si="84"/>
        <v>773.5162619397023</v>
      </c>
      <c r="AI83" s="277">
        <f t="shared" si="84"/>
        <v>810.06846896436525</v>
      </c>
      <c r="AJ83" s="277">
        <f t="shared" si="84"/>
        <v>841.89337685638475</v>
      </c>
      <c r="AK83" s="277"/>
      <c r="AL83" s="277">
        <f>SUM(AL84:AL94)</f>
        <v>60.29084758818869</v>
      </c>
      <c r="AM83" s="277">
        <f t="shared" ref="AM83:AP83" si="85">SUM(AM84:AM94)</f>
        <v>58.910786980008034</v>
      </c>
      <c r="AN83" s="277">
        <f t="shared" si="85"/>
        <v>59.944960310866939</v>
      </c>
      <c r="AO83" s="277">
        <f t="shared" si="85"/>
        <v>62.688346006381188</v>
      </c>
      <c r="AP83" s="277">
        <f t="shared" si="85"/>
        <v>64.870677397506995</v>
      </c>
      <c r="AQ83" s="269" t="str">
        <f>AQ35</f>
        <v>15+</v>
      </c>
      <c r="AR83" s="277">
        <f>SUM(AR84:AR94)</f>
        <v>889.40880297318358</v>
      </c>
      <c r="AS83" s="277">
        <f t="shared" ref="AS83:AV83" si="86">SUM(AS84:AS94)</f>
        <v>982.33504408642204</v>
      </c>
      <c r="AT83" s="277">
        <f t="shared" si="86"/>
        <v>1108.5044771910491</v>
      </c>
      <c r="AU83" s="277">
        <f t="shared" si="86"/>
        <v>1230.8314940021869</v>
      </c>
      <c r="AV83" s="277">
        <f t="shared" si="86"/>
        <v>1348.9681418834455</v>
      </c>
      <c r="AW83" s="277"/>
      <c r="AX83" s="277">
        <f>SUM(AX84:AX94)</f>
        <v>879.74824720033962</v>
      </c>
      <c r="AY83" s="277">
        <f t="shared" ref="AY83:BB83" si="87">SUM(AY84:AY94)</f>
        <v>971.10421223711137</v>
      </c>
      <c r="AZ83" s="277">
        <f t="shared" si="87"/>
        <v>1095.1677547026629</v>
      </c>
      <c r="BA83" s="277">
        <f t="shared" si="87"/>
        <v>1216.0188704547381</v>
      </c>
      <c r="BB83" s="277">
        <f t="shared" si="87"/>
        <v>1332.3320678155631</v>
      </c>
      <c r="BC83" s="277"/>
      <c r="BD83" s="277">
        <f>SUM(BD84:BD94)</f>
        <v>9.6605557728437574</v>
      </c>
      <c r="BE83" s="277">
        <f t="shared" ref="BE83:BH83" si="88">SUM(BE84:BE94)</f>
        <v>11.105764362713181</v>
      </c>
      <c r="BF83" s="277">
        <f t="shared" si="88"/>
        <v>13.018684577213577</v>
      </c>
      <c r="BG83" s="277">
        <f t="shared" si="88"/>
        <v>14.812623547448824</v>
      </c>
      <c r="BH83" s="277">
        <f t="shared" si="88"/>
        <v>16.636074067882518</v>
      </c>
    </row>
    <row r="84" spans="1:60" s="168" customFormat="1" x14ac:dyDescent="0.25">
      <c r="A84" s="269" t="str">
        <f t="shared" ref="A84:A94" si="89">A36</f>
        <v>15-19</v>
      </c>
      <c r="B84" s="277">
        <v>11.952178011992856</v>
      </c>
      <c r="C84" s="277">
        <v>13.402887260222242</v>
      </c>
      <c r="D84" s="277">
        <v>10.497400074288828</v>
      </c>
      <c r="E84" s="277">
        <v>10.487079759394881</v>
      </c>
      <c r="F84" s="275">
        <v>11.380731286753464</v>
      </c>
      <c r="G84" s="275"/>
      <c r="H84" s="277">
        <v>1.9311383476471966</v>
      </c>
      <c r="I84" s="277">
        <v>2.1654425866600273</v>
      </c>
      <c r="J84" s="277">
        <v>1.6960330233653167</v>
      </c>
      <c r="K84" s="277">
        <v>1.6944183086206663</v>
      </c>
      <c r="L84" s="275">
        <v>1.8387489146198699</v>
      </c>
      <c r="M84" s="275"/>
      <c r="N84" s="277">
        <v>10.021039664345659</v>
      </c>
      <c r="O84" s="277">
        <v>11.237444673562216</v>
      </c>
      <c r="P84" s="277">
        <v>8.8013670509235116</v>
      </c>
      <c r="Q84" s="277">
        <v>8.7926614507742151</v>
      </c>
      <c r="R84" s="275">
        <v>9.5419823721335941</v>
      </c>
      <c r="S84" s="275"/>
      <c r="T84" s="277">
        <v>0</v>
      </c>
      <c r="U84" s="277">
        <v>0</v>
      </c>
      <c r="V84" s="277">
        <v>0</v>
      </c>
      <c r="W84" s="277">
        <v>0</v>
      </c>
      <c r="X84" s="275">
        <v>0</v>
      </c>
      <c r="Y84" s="269" t="str">
        <f t="shared" ref="Y84:Y94" si="90">Y36</f>
        <v>15-19</v>
      </c>
      <c r="Z84" s="277">
        <v>10.828592838586953</v>
      </c>
      <c r="AA84" s="277">
        <v>10.260045253180333</v>
      </c>
      <c r="AB84" s="277">
        <v>8.3705620145386224</v>
      </c>
      <c r="AC84" s="277">
        <v>8.9334389435199988</v>
      </c>
      <c r="AD84" s="275">
        <v>10.306241587925554</v>
      </c>
      <c r="AE84" s="275"/>
      <c r="AF84" s="277">
        <v>10.269940466538486</v>
      </c>
      <c r="AG84" s="277">
        <v>9.7306883630573378</v>
      </c>
      <c r="AH84" s="277">
        <v>7.9386523921141237</v>
      </c>
      <c r="AI84" s="277">
        <v>8.4725263317021824</v>
      </c>
      <c r="AJ84" s="275">
        <v>9.7745223494256592</v>
      </c>
      <c r="AK84" s="275"/>
      <c r="AL84" s="277">
        <v>0.55865237204846663</v>
      </c>
      <c r="AM84" s="277">
        <v>0.52935689012299614</v>
      </c>
      <c r="AN84" s="277">
        <v>0.43190962242449843</v>
      </c>
      <c r="AO84" s="277">
        <v>0.46091261181781773</v>
      </c>
      <c r="AP84" s="275">
        <v>0.53171923849989433</v>
      </c>
      <c r="AQ84" s="269" t="str">
        <f t="shared" ref="AQ84:AQ94" si="91">AQ36</f>
        <v>15-19</v>
      </c>
      <c r="AR84" s="277">
        <v>0.12322914942019014</v>
      </c>
      <c r="AS84" s="277">
        <v>0.12506748659742103</v>
      </c>
      <c r="AT84" s="277">
        <v>0.31803791117255348</v>
      </c>
      <c r="AU84" s="277">
        <v>0.32248129708511647</v>
      </c>
      <c r="AV84" s="275">
        <v>0.3530271253209819</v>
      </c>
      <c r="AW84" s="275"/>
      <c r="AX84" s="277">
        <v>0.12322914942019014</v>
      </c>
      <c r="AY84" s="277">
        <v>0</v>
      </c>
      <c r="AZ84" s="277">
        <v>0</v>
      </c>
      <c r="BA84" s="277">
        <v>0.32248129708511647</v>
      </c>
      <c r="BB84" s="275">
        <v>0.3530271253209819</v>
      </c>
      <c r="BC84" s="275"/>
      <c r="BD84" s="277">
        <v>0</v>
      </c>
      <c r="BE84" s="277">
        <v>0</v>
      </c>
      <c r="BF84" s="277">
        <v>0</v>
      </c>
      <c r="BG84" s="277">
        <v>0</v>
      </c>
      <c r="BH84" s="275">
        <v>0</v>
      </c>
    </row>
    <row r="85" spans="1:60" s="168" customFormat="1" x14ac:dyDescent="0.25">
      <c r="A85" s="269" t="str">
        <f t="shared" si="89"/>
        <v>20-24</v>
      </c>
      <c r="B85" s="277">
        <v>27.162073940488085</v>
      </c>
      <c r="C85" s="277">
        <v>25.818959473458939</v>
      </c>
      <c r="D85" s="277">
        <v>19.430418992506574</v>
      </c>
      <c r="E85" s="277">
        <v>17.065770140454763</v>
      </c>
      <c r="F85" s="275">
        <v>15.339491201948526</v>
      </c>
      <c r="G85" s="275"/>
      <c r="H85" s="277">
        <v>7.738175779416105</v>
      </c>
      <c r="I85" s="277">
        <v>7.3555159173417479</v>
      </c>
      <c r="J85" s="277">
        <v>5.5355294417133862</v>
      </c>
      <c r="K85" s="277">
        <v>4.8618655592881783</v>
      </c>
      <c r="L85" s="275">
        <v>4.370057954996903</v>
      </c>
      <c r="M85" s="275"/>
      <c r="N85" s="277">
        <v>19.423898161071982</v>
      </c>
      <c r="O85" s="277">
        <v>18.463443556117188</v>
      </c>
      <c r="P85" s="277">
        <v>13.894889550793188</v>
      </c>
      <c r="Q85" s="277">
        <v>12.203904581166585</v>
      </c>
      <c r="R85" s="275">
        <v>10.96943324695162</v>
      </c>
      <c r="S85" s="275"/>
      <c r="T85" s="277">
        <v>0</v>
      </c>
      <c r="U85" s="277">
        <v>0</v>
      </c>
      <c r="V85" s="277">
        <v>0</v>
      </c>
      <c r="W85" s="277">
        <v>0</v>
      </c>
      <c r="X85" s="275">
        <v>0</v>
      </c>
      <c r="Y85" s="269" t="str">
        <f t="shared" si="90"/>
        <v>20-24</v>
      </c>
      <c r="Z85" s="277">
        <v>83.029902962100564</v>
      </c>
      <c r="AA85" s="277">
        <v>84.099064086151856</v>
      </c>
      <c r="AB85" s="277">
        <v>75.456016390238844</v>
      </c>
      <c r="AC85" s="277">
        <v>72.409581167242635</v>
      </c>
      <c r="AD85" s="275">
        <v>70.925077672432323</v>
      </c>
      <c r="AE85" s="275"/>
      <c r="AF85" s="277">
        <v>74.996139409236491</v>
      </c>
      <c r="AG85" s="277">
        <v>75.961913287114783</v>
      </c>
      <c r="AH85" s="277">
        <v>68.155149094152151</v>
      </c>
      <c r="AI85" s="277">
        <v>65.403445863093296</v>
      </c>
      <c r="AJ85" s="275">
        <v>64.062544551136526</v>
      </c>
      <c r="AK85" s="275"/>
      <c r="AL85" s="277">
        <v>8.0337635528640625</v>
      </c>
      <c r="AM85" s="277">
        <v>8.1371507990370748</v>
      </c>
      <c r="AN85" s="277">
        <v>7.3008672960866994</v>
      </c>
      <c r="AO85" s="277">
        <v>7.0061353041493399</v>
      </c>
      <c r="AP85" s="275">
        <v>6.8625331212957974</v>
      </c>
      <c r="AQ85" s="269" t="str">
        <f t="shared" si="91"/>
        <v>20-24</v>
      </c>
      <c r="AR85" s="277">
        <v>64.096023097411347</v>
      </c>
      <c r="AS85" s="277">
        <v>59.5749764403892</v>
      </c>
      <c r="AT85" s="277">
        <v>64.928564617254594</v>
      </c>
      <c r="AU85" s="277">
        <v>69.876648692302624</v>
      </c>
      <c r="AV85" s="275">
        <v>76.967431125619157</v>
      </c>
      <c r="AW85" s="275"/>
      <c r="AX85" s="277">
        <v>63.936315058758787</v>
      </c>
      <c r="AY85" s="277">
        <v>59.426553735923072</v>
      </c>
      <c r="AZ85" s="277">
        <v>64.766758302259873</v>
      </c>
      <c r="BA85" s="277">
        <v>69.702519316956455</v>
      </c>
      <c r="BB85" s="275">
        <v>76.775653915926199</v>
      </c>
      <c r="BC85" s="275"/>
      <c r="BD85" s="277">
        <v>0.1597080386525653</v>
      </c>
      <c r="BE85" s="277">
        <v>0.14842270446612335</v>
      </c>
      <c r="BF85" s="277">
        <v>0.16180631499472672</v>
      </c>
      <c r="BG85" s="277">
        <v>0.17412937534616696</v>
      </c>
      <c r="BH85" s="275">
        <v>0.19177720969295214</v>
      </c>
    </row>
    <row r="86" spans="1:60" s="168" customFormat="1" x14ac:dyDescent="0.25">
      <c r="A86" s="269" t="str">
        <f t="shared" si="89"/>
        <v>25-29</v>
      </c>
      <c r="B86" s="277">
        <v>28.972672566594831</v>
      </c>
      <c r="C86" s="277">
        <v>33.619340539542968</v>
      </c>
      <c r="D86" s="277">
        <v>28.636722146171739</v>
      </c>
      <c r="E86" s="277">
        <v>27.654766165607402</v>
      </c>
      <c r="F86" s="275">
        <v>24.701036177168444</v>
      </c>
      <c r="G86" s="275"/>
      <c r="H86" s="277">
        <v>7.950704122039733</v>
      </c>
      <c r="I86" s="277">
        <v>9.2258401283768823</v>
      </c>
      <c r="J86" s="277">
        <v>7.8585514263485647</v>
      </c>
      <c r="K86" s="277">
        <v>7.589044948115105</v>
      </c>
      <c r="L86" s="275">
        <v>6.778482350960795</v>
      </c>
      <c r="M86" s="275"/>
      <c r="N86" s="277">
        <v>21.021968444555103</v>
      </c>
      <c r="O86" s="277">
        <v>24.393500411166084</v>
      </c>
      <c r="P86" s="277">
        <v>20.778170719823173</v>
      </c>
      <c r="Q86" s="277">
        <v>20.065721217492296</v>
      </c>
      <c r="R86" s="275">
        <v>17.922553826207647</v>
      </c>
      <c r="S86" s="275"/>
      <c r="T86" s="277">
        <v>0</v>
      </c>
      <c r="U86" s="277">
        <v>0</v>
      </c>
      <c r="V86" s="277">
        <v>0</v>
      </c>
      <c r="W86" s="277">
        <v>0</v>
      </c>
      <c r="X86" s="275">
        <v>0</v>
      </c>
      <c r="Y86" s="269" t="str">
        <f t="shared" si="90"/>
        <v>25-29</v>
      </c>
      <c r="Z86" s="277">
        <v>104.35741449365315</v>
      </c>
      <c r="AA86" s="277">
        <v>97.185337610544352</v>
      </c>
      <c r="AB86" s="277">
        <v>95.599811894115447</v>
      </c>
      <c r="AC86" s="277">
        <v>97.118545376405621</v>
      </c>
      <c r="AD86" s="275">
        <v>91.712418531394292</v>
      </c>
      <c r="AE86" s="275"/>
      <c r="AF86" s="277">
        <v>94.421539979508964</v>
      </c>
      <c r="AG86" s="277">
        <v>87.932329636056579</v>
      </c>
      <c r="AH86" s="277">
        <v>86.497719374499709</v>
      </c>
      <c r="AI86" s="277">
        <v>87.87184276496231</v>
      </c>
      <c r="AJ86" s="275">
        <v>82.980425552523215</v>
      </c>
      <c r="AK86" s="275"/>
      <c r="AL86" s="277">
        <v>9.9358745141441993</v>
      </c>
      <c r="AM86" s="277">
        <v>9.2530079744877742</v>
      </c>
      <c r="AN86" s="277">
        <v>9.1020925196157414</v>
      </c>
      <c r="AO86" s="277">
        <v>9.2467026114433057</v>
      </c>
      <c r="AP86" s="275">
        <v>8.7319929788710677</v>
      </c>
      <c r="AQ86" s="269" t="str">
        <f t="shared" si="91"/>
        <v>25-29</v>
      </c>
      <c r="AR86" s="277">
        <v>154.57691293975205</v>
      </c>
      <c r="AS86" s="277">
        <v>158.68732184991271</v>
      </c>
      <c r="AT86" s="277">
        <v>170.7534659597128</v>
      </c>
      <c r="AU86" s="277">
        <v>191.50468845798702</v>
      </c>
      <c r="AV86" s="275">
        <v>199.18454529143727</v>
      </c>
      <c r="AW86" s="275"/>
      <c r="AX86" s="277">
        <v>153.36078875627214</v>
      </c>
      <c r="AY86" s="277">
        <v>157.4389010397588</v>
      </c>
      <c r="AZ86" s="277">
        <v>169.41011412348425</v>
      </c>
      <c r="BA86" s="277">
        <v>189.99801160263456</v>
      </c>
      <c r="BB86" s="275">
        <v>197.61746925057139</v>
      </c>
      <c r="BC86" s="275"/>
      <c r="BD86" s="277">
        <v>1.216124183479921</v>
      </c>
      <c r="BE86" s="277">
        <v>1.2484208101538898</v>
      </c>
      <c r="BF86" s="277">
        <v>1.3433518362285748</v>
      </c>
      <c r="BG86" s="277">
        <v>1.5066768553524434</v>
      </c>
      <c r="BH86" s="275">
        <v>1.5670760408658764</v>
      </c>
    </row>
    <row r="87" spans="1:60" s="168" customFormat="1" x14ac:dyDescent="0.25">
      <c r="A87" s="269" t="str">
        <f t="shared" si="89"/>
        <v>30-34</v>
      </c>
      <c r="B87" s="277">
        <v>28.548429106302432</v>
      </c>
      <c r="C87" s="277">
        <v>33.358134400600257</v>
      </c>
      <c r="D87" s="277">
        <v>26.133347885177166</v>
      </c>
      <c r="E87" s="277">
        <v>24.365255828037625</v>
      </c>
      <c r="F87" s="275">
        <v>20.217650831183683</v>
      </c>
      <c r="G87" s="275"/>
      <c r="H87" s="277">
        <v>8.8494100941278067</v>
      </c>
      <c r="I87" s="277">
        <v>10.340333649356303</v>
      </c>
      <c r="J87" s="277">
        <v>8.1007469331818331</v>
      </c>
      <c r="K87" s="277">
        <v>7.5527322076666525</v>
      </c>
      <c r="L87" s="275">
        <v>6.2670936294528277</v>
      </c>
      <c r="M87" s="275"/>
      <c r="N87" s="277">
        <v>19.699019012174627</v>
      </c>
      <c r="O87" s="277">
        <v>23.017800751243954</v>
      </c>
      <c r="P87" s="277">
        <v>18.032600951995331</v>
      </c>
      <c r="Q87" s="277">
        <v>16.812523620370971</v>
      </c>
      <c r="R87" s="275">
        <v>13.950557201730856</v>
      </c>
      <c r="S87" s="275"/>
      <c r="T87" s="277">
        <v>0</v>
      </c>
      <c r="U87" s="277">
        <v>0</v>
      </c>
      <c r="V87" s="277">
        <v>0</v>
      </c>
      <c r="W87" s="277">
        <v>0</v>
      </c>
      <c r="X87" s="275">
        <v>0</v>
      </c>
      <c r="Y87" s="269" t="str">
        <f t="shared" si="90"/>
        <v>30-34</v>
      </c>
      <c r="Z87" s="277">
        <v>108.05302506717383</v>
      </c>
      <c r="AA87" s="277">
        <v>98.910651662683122</v>
      </c>
      <c r="AB87" s="277">
        <v>99.823038706554627</v>
      </c>
      <c r="AC87" s="277">
        <v>99.91027324420439</v>
      </c>
      <c r="AD87" s="275">
        <v>100.65577680822747</v>
      </c>
      <c r="AE87" s="275"/>
      <c r="AF87" s="277">
        <v>98.864662354008289</v>
      </c>
      <c r="AG87" s="277">
        <v>90.499770716250708</v>
      </c>
      <c r="AH87" s="277">
        <v>91.334572918369915</v>
      </c>
      <c r="AI87" s="277">
        <v>91.414386042419594</v>
      </c>
      <c r="AJ87" s="275">
        <v>92.096473466363605</v>
      </c>
      <c r="AK87" s="275"/>
      <c r="AL87" s="277">
        <v>9.1883627131655423</v>
      </c>
      <c r="AM87" s="277">
        <v>8.4108809464324228</v>
      </c>
      <c r="AN87" s="277">
        <v>8.4884657881847136</v>
      </c>
      <c r="AO87" s="277">
        <v>8.4958872017847948</v>
      </c>
      <c r="AP87" s="275">
        <v>8.5593033418638793</v>
      </c>
      <c r="AQ87" s="269" t="str">
        <f t="shared" si="91"/>
        <v>30-34</v>
      </c>
      <c r="AR87" s="277">
        <v>154.40154582652374</v>
      </c>
      <c r="AS87" s="277">
        <v>164.11921393671662</v>
      </c>
      <c r="AT87" s="277">
        <v>176.72761340826818</v>
      </c>
      <c r="AU87" s="277">
        <v>194.300470927758</v>
      </c>
      <c r="AV87" s="275">
        <v>216.50257236058886</v>
      </c>
      <c r="AW87" s="275"/>
      <c r="AX87" s="277">
        <v>152.67917871565837</v>
      </c>
      <c r="AY87" s="277">
        <v>162.28847354227025</v>
      </c>
      <c r="AZ87" s="277">
        <v>174.75627406499731</v>
      </c>
      <c r="BA87" s="277">
        <v>192.1331101550017</v>
      </c>
      <c r="BB87" s="275">
        <v>214.08754627952416</v>
      </c>
      <c r="BC87" s="275"/>
      <c r="BD87" s="277">
        <v>1.7223671108653775</v>
      </c>
      <c r="BE87" s="277">
        <v>1.8307403944463407</v>
      </c>
      <c r="BF87" s="277">
        <v>1.9713393432708828</v>
      </c>
      <c r="BG87" s="277">
        <v>2.1673607727562971</v>
      </c>
      <c r="BH87" s="275">
        <v>2.415026081064688</v>
      </c>
    </row>
    <row r="88" spans="1:60" s="168" customFormat="1" x14ac:dyDescent="0.25">
      <c r="A88" s="269" t="str">
        <f t="shared" si="89"/>
        <v>35-39</v>
      </c>
      <c r="B88" s="277">
        <v>44.016457260235349</v>
      </c>
      <c r="C88" s="277">
        <v>39.976771904202742</v>
      </c>
      <c r="D88" s="277">
        <v>30.464108582682162</v>
      </c>
      <c r="E88" s="277">
        <v>25.442342869618368</v>
      </c>
      <c r="F88" s="275">
        <v>19.313398032930589</v>
      </c>
      <c r="G88" s="275"/>
      <c r="H88" s="277">
        <v>13.170766467977897</v>
      </c>
      <c r="I88" s="277">
        <v>11.962019761666104</v>
      </c>
      <c r="J88" s="277">
        <v>9.1155623116308764</v>
      </c>
      <c r="K88" s="277">
        <v>7.6129848602255867</v>
      </c>
      <c r="L88" s="275">
        <v>5.7790036533667513</v>
      </c>
      <c r="M88" s="275"/>
      <c r="N88" s="277">
        <v>30.845690792257454</v>
      </c>
      <c r="O88" s="277">
        <v>28.014752142536643</v>
      </c>
      <c r="P88" s="277">
        <v>21.348546271051283</v>
      </c>
      <c r="Q88" s="277">
        <v>17.829358009392781</v>
      </c>
      <c r="R88" s="275">
        <v>13.534394379563837</v>
      </c>
      <c r="S88" s="275"/>
      <c r="T88" s="277">
        <v>0</v>
      </c>
      <c r="U88" s="277">
        <v>0</v>
      </c>
      <c r="V88" s="277">
        <v>0</v>
      </c>
      <c r="W88" s="277">
        <v>0</v>
      </c>
      <c r="X88" s="275">
        <v>0</v>
      </c>
      <c r="Y88" s="269" t="str">
        <f t="shared" si="90"/>
        <v>35-39</v>
      </c>
      <c r="Z88" s="277">
        <v>124.3317548459237</v>
      </c>
      <c r="AA88" s="277">
        <v>115.20319439668521</v>
      </c>
      <c r="AB88" s="277">
        <v>103.99848531956397</v>
      </c>
      <c r="AC88" s="277">
        <v>107.78515736503378</v>
      </c>
      <c r="AD88" s="275">
        <v>110.93136167790429</v>
      </c>
      <c r="AE88" s="275"/>
      <c r="AF88" s="277">
        <v>116.17651410584847</v>
      </c>
      <c r="AG88" s="277">
        <v>107.64676072030048</v>
      </c>
      <c r="AH88" s="277">
        <v>97.176962171565435</v>
      </c>
      <c r="AI88" s="277">
        <v>100.71524913353808</v>
      </c>
      <c r="AJ88" s="275">
        <v>103.65514843528025</v>
      </c>
      <c r="AK88" s="275"/>
      <c r="AL88" s="277">
        <v>8.1552407400752234</v>
      </c>
      <c r="AM88" s="277">
        <v>7.5564336763847377</v>
      </c>
      <c r="AN88" s="277">
        <v>6.821523147998537</v>
      </c>
      <c r="AO88" s="277">
        <v>7.06990823149569</v>
      </c>
      <c r="AP88" s="275">
        <v>7.2762132426240571</v>
      </c>
      <c r="AQ88" s="269" t="str">
        <f t="shared" si="91"/>
        <v>35-39</v>
      </c>
      <c r="AR88" s="277">
        <v>141.16078789384099</v>
      </c>
      <c r="AS88" s="277">
        <v>157.71103369911205</v>
      </c>
      <c r="AT88" s="277">
        <v>168.57540609775387</v>
      </c>
      <c r="AU88" s="277">
        <v>191.25249976534786</v>
      </c>
      <c r="AV88" s="275">
        <v>212.66724028916508</v>
      </c>
      <c r="AW88" s="275"/>
      <c r="AX88" s="277">
        <v>139.58664839223439</v>
      </c>
      <c r="AY88" s="277">
        <v>155.9523133601179</v>
      </c>
      <c r="AZ88" s="277">
        <v>166.69556733261371</v>
      </c>
      <c r="BA88" s="277">
        <v>189.11981088672707</v>
      </c>
      <c r="BB88" s="275">
        <v>210.29565301075678</v>
      </c>
      <c r="BC88" s="275"/>
      <c r="BD88" s="277">
        <v>1.5741395016066007</v>
      </c>
      <c r="BE88" s="277">
        <v>1.758720338994133</v>
      </c>
      <c r="BF88" s="277">
        <v>1.8798387651401465</v>
      </c>
      <c r="BG88" s="277">
        <v>2.1326888786208036</v>
      </c>
      <c r="BH88" s="275">
        <v>2.3715872784083478</v>
      </c>
    </row>
    <row r="89" spans="1:60" s="168" customFormat="1" x14ac:dyDescent="0.25">
      <c r="A89" s="269" t="str">
        <f t="shared" si="89"/>
        <v>40-44</v>
      </c>
      <c r="B89" s="277">
        <v>62.562497845796578</v>
      </c>
      <c r="C89" s="277">
        <v>52.041253862300799</v>
      </c>
      <c r="D89" s="277">
        <v>37.292808343338905</v>
      </c>
      <c r="E89" s="277">
        <v>25.730317953372698</v>
      </c>
      <c r="F89" s="275">
        <v>17.848161884307732</v>
      </c>
      <c r="G89" s="275"/>
      <c r="H89" s="277">
        <v>21.068964130305993</v>
      </c>
      <c r="I89" s="277">
        <v>17.525770127794758</v>
      </c>
      <c r="J89" s="277">
        <v>12.558954308409454</v>
      </c>
      <c r="K89" s="277">
        <v>8.6650962158735219</v>
      </c>
      <c r="L89" s="275">
        <v>6.0106773270790361</v>
      </c>
      <c r="M89" s="275"/>
      <c r="N89" s="277">
        <v>41.493533715490578</v>
      </c>
      <c r="O89" s="277">
        <v>34.515483734506034</v>
      </c>
      <c r="P89" s="277">
        <v>24.73385403492945</v>
      </c>
      <c r="Q89" s="277">
        <v>17.065221737499176</v>
      </c>
      <c r="R89" s="275">
        <v>11.837484557228693</v>
      </c>
      <c r="S89" s="275"/>
      <c r="T89" s="277">
        <v>0</v>
      </c>
      <c r="U89" s="277">
        <v>0</v>
      </c>
      <c r="V89" s="277">
        <v>0</v>
      </c>
      <c r="W89" s="277">
        <v>0</v>
      </c>
      <c r="X89" s="275">
        <v>0</v>
      </c>
      <c r="Y89" s="269" t="str">
        <f t="shared" si="90"/>
        <v>40-44</v>
      </c>
      <c r="Z89" s="277">
        <v>133.43211125882925</v>
      </c>
      <c r="AA89" s="277">
        <v>124.30920077827601</v>
      </c>
      <c r="AB89" s="277">
        <v>114.42328927804037</v>
      </c>
      <c r="AC89" s="277">
        <v>113.59093257500689</v>
      </c>
      <c r="AD89" s="275">
        <v>119.96086291422256</v>
      </c>
      <c r="AE89" s="275"/>
      <c r="AF89" s="277">
        <v>125.56555151187415</v>
      </c>
      <c r="AG89" s="277">
        <v>116.9805269711083</v>
      </c>
      <c r="AH89" s="277">
        <v>107.6774160354275</v>
      </c>
      <c r="AI89" s="277">
        <v>106.89413288813921</v>
      </c>
      <c r="AJ89" s="275">
        <v>112.88853405200165</v>
      </c>
      <c r="AK89" s="275"/>
      <c r="AL89" s="277">
        <v>7.8665597469551063</v>
      </c>
      <c r="AM89" s="277">
        <v>7.3286738071676902</v>
      </c>
      <c r="AN89" s="277">
        <v>6.7458732426128867</v>
      </c>
      <c r="AO89" s="277">
        <v>6.6967996868676751</v>
      </c>
      <c r="AP89" s="275">
        <v>7.0723288622208971</v>
      </c>
      <c r="AQ89" s="269" t="str">
        <f t="shared" si="91"/>
        <v>40-44</v>
      </c>
      <c r="AR89" s="277">
        <v>128.51739089537415</v>
      </c>
      <c r="AS89" s="277">
        <v>144.36154535942319</v>
      </c>
      <c r="AT89" s="277">
        <v>158.66390237862072</v>
      </c>
      <c r="AU89" s="277">
        <v>166.99874947162044</v>
      </c>
      <c r="AV89" s="275">
        <v>185.07097520146974</v>
      </c>
      <c r="AW89" s="275"/>
      <c r="AX89" s="277">
        <v>126.94819387148412</v>
      </c>
      <c r="AY89" s="277">
        <v>142.59892905662338</v>
      </c>
      <c r="AZ89" s="277">
        <v>156.72664379404665</v>
      </c>
      <c r="BA89" s="277">
        <v>164.95975684612029</v>
      </c>
      <c r="BB89" s="275">
        <v>182.81128024141026</v>
      </c>
      <c r="BC89" s="275"/>
      <c r="BD89" s="277">
        <v>1.5691970238900339</v>
      </c>
      <c r="BE89" s="277">
        <v>1.7626163027998376</v>
      </c>
      <c r="BF89" s="277">
        <v>1.937258584574042</v>
      </c>
      <c r="BG89" s="277">
        <v>2.0389926255001587</v>
      </c>
      <c r="BH89" s="275">
        <v>2.2596949600594747</v>
      </c>
    </row>
    <row r="90" spans="1:60" s="168" customFormat="1" x14ac:dyDescent="0.25">
      <c r="A90" s="269" t="str">
        <f t="shared" si="89"/>
        <v>45-49</v>
      </c>
      <c r="B90" s="277">
        <v>76.803506450596231</v>
      </c>
      <c r="C90" s="277">
        <v>72.369670614720619</v>
      </c>
      <c r="D90" s="277">
        <v>46.757578011014346</v>
      </c>
      <c r="E90" s="277">
        <v>32.914709981477799</v>
      </c>
      <c r="F90" s="275">
        <v>22.643570627464889</v>
      </c>
      <c r="G90" s="275"/>
      <c r="H90" s="277">
        <v>27.94396864638491</v>
      </c>
      <c r="I90" s="277">
        <v>26.330826958934129</v>
      </c>
      <c r="J90" s="277">
        <v>17.012164489510464</v>
      </c>
      <c r="K90" s="277">
        <v>11.975614453855373</v>
      </c>
      <c r="L90" s="275">
        <v>8.2386021908984706</v>
      </c>
      <c r="M90" s="275"/>
      <c r="N90" s="277">
        <v>48.859537804211321</v>
      </c>
      <c r="O90" s="277">
        <v>46.038843655786486</v>
      </c>
      <c r="P90" s="277">
        <v>29.745413521503881</v>
      </c>
      <c r="Q90" s="277">
        <v>20.939095527622428</v>
      </c>
      <c r="R90" s="275">
        <v>14.404968436566421</v>
      </c>
      <c r="S90" s="275"/>
      <c r="T90" s="277">
        <v>0</v>
      </c>
      <c r="U90" s="277">
        <v>0</v>
      </c>
      <c r="V90" s="277">
        <v>0</v>
      </c>
      <c r="W90" s="277">
        <v>0</v>
      </c>
      <c r="X90" s="275">
        <v>0</v>
      </c>
      <c r="Y90" s="269" t="str">
        <f t="shared" si="90"/>
        <v>45-49</v>
      </c>
      <c r="Z90" s="277">
        <v>119.91671183726781</v>
      </c>
      <c r="AA90" s="277">
        <v>117.54013515583459</v>
      </c>
      <c r="AB90" s="277">
        <v>126.00211978783305</v>
      </c>
      <c r="AC90" s="277">
        <v>129.89925725652535</v>
      </c>
      <c r="AD90" s="275">
        <v>132.56976051535059</v>
      </c>
      <c r="AE90" s="275"/>
      <c r="AF90" s="277">
        <v>113.53631898468487</v>
      </c>
      <c r="AG90" s="277">
        <v>111.28619702022586</v>
      </c>
      <c r="AH90" s="277">
        <v>119.29796634507618</v>
      </c>
      <c r="AI90" s="277">
        <v>122.98778022947444</v>
      </c>
      <c r="AJ90" s="275">
        <v>125.51614028502338</v>
      </c>
      <c r="AK90" s="275"/>
      <c r="AL90" s="277">
        <v>6.3803928525829319</v>
      </c>
      <c r="AM90" s="277">
        <v>6.2539381356087462</v>
      </c>
      <c r="AN90" s="277">
        <v>6.7041534427568807</v>
      </c>
      <c r="AO90" s="277">
        <v>6.9114770270509069</v>
      </c>
      <c r="AP90" s="275">
        <v>7.0536202303272111</v>
      </c>
      <c r="AQ90" s="269" t="str">
        <f t="shared" si="91"/>
        <v>45-49</v>
      </c>
      <c r="AR90" s="277">
        <v>113.07878171213598</v>
      </c>
      <c r="AS90" s="277">
        <v>125.98319422944476</v>
      </c>
      <c r="AT90" s="277">
        <v>142.77630220115262</v>
      </c>
      <c r="AU90" s="277">
        <v>151.84003276199684</v>
      </c>
      <c r="AV90" s="275">
        <v>159.15166885718455</v>
      </c>
      <c r="AW90" s="275"/>
      <c r="AX90" s="277">
        <v>111.76159647140302</v>
      </c>
      <c r="AY90" s="277">
        <v>124.51577593370071</v>
      </c>
      <c r="AZ90" s="277">
        <v>141.11320504624786</v>
      </c>
      <c r="BA90" s="277">
        <v>150.07143093938149</v>
      </c>
      <c r="BB90" s="275">
        <v>157.29788066457172</v>
      </c>
      <c r="BC90" s="275"/>
      <c r="BD90" s="277">
        <v>1.3171852407329641</v>
      </c>
      <c r="BE90" s="277">
        <v>1.4674182957440471</v>
      </c>
      <c r="BF90" s="277">
        <v>1.663097154904764</v>
      </c>
      <c r="BG90" s="277">
        <v>1.7686018226153735</v>
      </c>
      <c r="BH90" s="275">
        <v>1.8537881926128472</v>
      </c>
    </row>
    <row r="91" spans="1:60" s="168" customFormat="1" x14ac:dyDescent="0.25">
      <c r="A91" s="269" t="str">
        <f t="shared" si="89"/>
        <v>50-54</v>
      </c>
      <c r="B91" s="277">
        <v>74.130845817172315</v>
      </c>
      <c r="C91" s="277">
        <v>76.292901659215687</v>
      </c>
      <c r="D91" s="277">
        <v>62.868745854171486</v>
      </c>
      <c r="E91" s="277">
        <v>48.927498060783627</v>
      </c>
      <c r="F91" s="275">
        <v>37.108932956215206</v>
      </c>
      <c r="G91" s="275"/>
      <c r="H91" s="277">
        <v>27.517951911427684</v>
      </c>
      <c r="I91" s="277">
        <v>28.320507284713951</v>
      </c>
      <c r="J91" s="277">
        <v>23.337364458948031</v>
      </c>
      <c r="K91" s="277">
        <v>18.162254416964728</v>
      </c>
      <c r="L91" s="275">
        <v>13.775148267079187</v>
      </c>
      <c r="M91" s="275"/>
      <c r="N91" s="277">
        <v>46.612893905744635</v>
      </c>
      <c r="O91" s="277">
        <v>47.972394374501732</v>
      </c>
      <c r="P91" s="277">
        <v>39.531381395223455</v>
      </c>
      <c r="Q91" s="277">
        <v>30.765243643818895</v>
      </c>
      <c r="R91" s="275">
        <v>23.333784689136024</v>
      </c>
      <c r="S91" s="275"/>
      <c r="T91" s="277">
        <v>0</v>
      </c>
      <c r="U91" s="277">
        <v>0</v>
      </c>
      <c r="V91" s="277">
        <v>0</v>
      </c>
      <c r="W91" s="277">
        <v>0</v>
      </c>
      <c r="X91" s="275">
        <v>0</v>
      </c>
      <c r="Y91" s="269" t="str">
        <f t="shared" si="90"/>
        <v>50-54</v>
      </c>
      <c r="Z91" s="277">
        <v>86.760993384439232</v>
      </c>
      <c r="AA91" s="277">
        <v>96.953240370929649</v>
      </c>
      <c r="AB91" s="277">
        <v>105.73855197584399</v>
      </c>
      <c r="AC91" s="277">
        <v>116.22864044167615</v>
      </c>
      <c r="AD91" s="275">
        <v>126.02469049917889</v>
      </c>
      <c r="AE91" s="275"/>
      <c r="AF91" s="277">
        <v>81.596570349738855</v>
      </c>
      <c r="AG91" s="277">
        <v>91.182181714094824</v>
      </c>
      <c r="AH91" s="277">
        <v>99.444551689154906</v>
      </c>
      <c r="AI91" s="277">
        <v>109.31026683421746</v>
      </c>
      <c r="AJ91" s="275">
        <v>118.52317446256983</v>
      </c>
      <c r="AK91" s="275"/>
      <c r="AL91" s="277">
        <v>5.1644230347003779</v>
      </c>
      <c r="AM91" s="277">
        <v>5.7710586568348159</v>
      </c>
      <c r="AN91" s="277">
        <v>6.2940002866890863</v>
      </c>
      <c r="AO91" s="277">
        <v>6.9183736074586868</v>
      </c>
      <c r="AP91" s="275">
        <v>7.5015160366090656</v>
      </c>
      <c r="AQ91" s="269" t="str">
        <f t="shared" si="91"/>
        <v>50-54</v>
      </c>
      <c r="AR91" s="277">
        <v>76.999160798388473</v>
      </c>
      <c r="AS91" s="277">
        <v>96.560857969854624</v>
      </c>
      <c r="AT91" s="277">
        <v>116.57270216998455</v>
      </c>
      <c r="AU91" s="277">
        <v>128.98986149754023</v>
      </c>
      <c r="AV91" s="275">
        <v>140.9583765446059</v>
      </c>
      <c r="AW91" s="275"/>
      <c r="AX91" s="277">
        <v>76.294968712849709</v>
      </c>
      <c r="AY91" s="277">
        <v>95.677849729956222</v>
      </c>
      <c r="AZ91" s="277">
        <v>115.50670905420014</v>
      </c>
      <c r="BA91" s="277">
        <v>127.81028960948962</v>
      </c>
      <c r="BB91" s="275">
        <v>139.6692906114707</v>
      </c>
      <c r="BC91" s="275"/>
      <c r="BD91" s="277">
        <v>0.70419208553877055</v>
      </c>
      <c r="BE91" s="277">
        <v>0.88300823989842003</v>
      </c>
      <c r="BF91" s="277">
        <v>1.0659931157844085</v>
      </c>
      <c r="BG91" s="277">
        <v>1.1795718880506243</v>
      </c>
      <c r="BH91" s="275">
        <v>1.2890859331351963</v>
      </c>
    </row>
    <row r="92" spans="1:60" s="168" customFormat="1" x14ac:dyDescent="0.25">
      <c r="A92" s="269" t="str">
        <f t="shared" si="89"/>
        <v>55-59</v>
      </c>
      <c r="B92" s="277">
        <v>50.123111298551322</v>
      </c>
      <c r="C92" s="277">
        <v>49.323988494669976</v>
      </c>
      <c r="D92" s="277">
        <v>54.734368903773372</v>
      </c>
      <c r="E92" s="277">
        <v>46.878192366194043</v>
      </c>
      <c r="F92" s="275">
        <v>36.717928947865651</v>
      </c>
      <c r="G92" s="275"/>
      <c r="H92" s="277">
        <v>20.068212623946785</v>
      </c>
      <c r="I92" s="277">
        <v>19.748271942588062</v>
      </c>
      <c r="J92" s="277">
        <v>21.914478270879478</v>
      </c>
      <c r="K92" s="277">
        <v>18.76897099596793</v>
      </c>
      <c r="L92" s="275">
        <v>14.701046063760439</v>
      </c>
      <c r="M92" s="275"/>
      <c r="N92" s="277">
        <v>30.054898674604537</v>
      </c>
      <c r="O92" s="277">
        <v>29.575716552081918</v>
      </c>
      <c r="P92" s="277">
        <v>32.819890632893888</v>
      </c>
      <c r="Q92" s="277">
        <v>28.109221370226116</v>
      </c>
      <c r="R92" s="275">
        <v>22.016882884105211</v>
      </c>
      <c r="S92" s="275"/>
      <c r="T92" s="277">
        <v>0</v>
      </c>
      <c r="U92" s="277">
        <v>0</v>
      </c>
      <c r="V92" s="277">
        <v>0</v>
      </c>
      <c r="W92" s="277">
        <v>0</v>
      </c>
      <c r="X92" s="275">
        <v>0</v>
      </c>
      <c r="Y92" s="269" t="str">
        <f t="shared" si="90"/>
        <v>55-59</v>
      </c>
      <c r="Z92" s="277">
        <v>50.022718415568512</v>
      </c>
      <c r="AA92" s="277">
        <v>54.941387327680005</v>
      </c>
      <c r="AB92" s="277">
        <v>78.772938863638728</v>
      </c>
      <c r="AC92" s="277">
        <v>94.437586570976393</v>
      </c>
      <c r="AD92" s="275">
        <v>103.91445213238326</v>
      </c>
      <c r="AE92" s="275"/>
      <c r="AF92" s="277">
        <v>46.530169779779939</v>
      </c>
      <c r="AG92" s="277">
        <v>51.105378605023787</v>
      </c>
      <c r="AH92" s="277">
        <v>73.273049746677671</v>
      </c>
      <c r="AI92" s="277">
        <v>87.843993736619538</v>
      </c>
      <c r="AJ92" s="275">
        <v>96.659206845843883</v>
      </c>
      <c r="AK92" s="275"/>
      <c r="AL92" s="277">
        <v>3.4925486357885691</v>
      </c>
      <c r="AM92" s="277">
        <v>3.8360087226562167</v>
      </c>
      <c r="AN92" s="277">
        <v>5.4998891169610493</v>
      </c>
      <c r="AO92" s="277">
        <v>6.5935928343568344</v>
      </c>
      <c r="AP92" s="275">
        <v>7.2552452865393828</v>
      </c>
      <c r="AQ92" s="269" t="str">
        <f t="shared" si="91"/>
        <v>55-59</v>
      </c>
      <c r="AR92" s="277">
        <v>43.944170285880162</v>
      </c>
      <c r="AS92" s="277">
        <v>55.229624177650017</v>
      </c>
      <c r="AT92" s="277">
        <v>80.0286922325879</v>
      </c>
      <c r="AU92" s="277">
        <v>97.06122106282956</v>
      </c>
      <c r="AV92" s="275">
        <v>107.73061891975107</v>
      </c>
      <c r="AW92" s="275"/>
      <c r="AX92" s="277">
        <v>43.298834557519996</v>
      </c>
      <c r="AY92" s="277">
        <v>54.418522326695687</v>
      </c>
      <c r="AZ92" s="277">
        <v>78.853443932668</v>
      </c>
      <c r="BA92" s="277">
        <v>95.635738085376531</v>
      </c>
      <c r="BB92" s="275">
        <v>106.14856157242835</v>
      </c>
      <c r="BC92" s="275"/>
      <c r="BD92" s="277">
        <v>0.64533572836017361</v>
      </c>
      <c r="BE92" s="277">
        <v>0.81110185095432563</v>
      </c>
      <c r="BF92" s="277">
        <v>1.1752482999198919</v>
      </c>
      <c r="BG92" s="277">
        <v>1.4254829774530267</v>
      </c>
      <c r="BH92" s="275">
        <v>1.5820573473227093</v>
      </c>
    </row>
    <row r="93" spans="1:60" s="168" customFormat="1" x14ac:dyDescent="0.25">
      <c r="A93" s="269" t="str">
        <f t="shared" si="89"/>
        <v>60-64</v>
      </c>
      <c r="B93" s="277">
        <v>13.764231925065078</v>
      </c>
      <c r="C93" s="277">
        <v>18.76836361753071</v>
      </c>
      <c r="D93" s="277">
        <v>18.508542780694757</v>
      </c>
      <c r="E93" s="277">
        <v>17.452835144978611</v>
      </c>
      <c r="F93" s="275">
        <v>14.804084816049919</v>
      </c>
      <c r="G93" s="275"/>
      <c r="H93" s="277">
        <v>6.6702307458031802</v>
      </c>
      <c r="I93" s="277">
        <v>9.0952856087735459</v>
      </c>
      <c r="J93" s="277">
        <v>8.9693500547268563</v>
      </c>
      <c r="K93" s="277">
        <v>8.4577572298816346</v>
      </c>
      <c r="L93" s="275">
        <v>7.1741516654067379</v>
      </c>
      <c r="M93" s="275"/>
      <c r="N93" s="277">
        <v>7.0940011792618973</v>
      </c>
      <c r="O93" s="277">
        <v>9.6730780087571677</v>
      </c>
      <c r="P93" s="277">
        <v>9.5391927259679008</v>
      </c>
      <c r="Q93" s="277">
        <v>8.9950779150969762</v>
      </c>
      <c r="R93" s="275">
        <v>7.62993315064318</v>
      </c>
      <c r="S93" s="275"/>
      <c r="T93" s="277">
        <v>0</v>
      </c>
      <c r="U93" s="277">
        <v>0</v>
      </c>
      <c r="V93" s="277">
        <v>0</v>
      </c>
      <c r="W93" s="277">
        <v>0</v>
      </c>
      <c r="X93" s="275">
        <v>0</v>
      </c>
      <c r="Y93" s="269" t="str">
        <f t="shared" si="90"/>
        <v>60-64</v>
      </c>
      <c r="Z93" s="277">
        <v>12.31020529409596</v>
      </c>
      <c r="AA93" s="277">
        <v>14.261344557443534</v>
      </c>
      <c r="AB93" s="277">
        <v>21.71515850756559</v>
      </c>
      <c r="AC93" s="277">
        <v>28.490108641285989</v>
      </c>
      <c r="AD93" s="275">
        <v>34.561262922202097</v>
      </c>
      <c r="AE93" s="275"/>
      <c r="AF93" s="277">
        <v>11.043928783107889</v>
      </c>
      <c r="AG93" s="277">
        <v>12.794409216272046</v>
      </c>
      <c r="AH93" s="277">
        <v>19.481518497742734</v>
      </c>
      <c r="AI93" s="277">
        <v>25.559606891725771</v>
      </c>
      <c r="AJ93" s="275">
        <v>31.006230901067084</v>
      </c>
      <c r="AK93" s="275"/>
      <c r="AL93" s="277">
        <v>1.2662765109880707</v>
      </c>
      <c r="AM93" s="277">
        <v>1.4669353411714883</v>
      </c>
      <c r="AN93" s="277">
        <v>2.233640009822857</v>
      </c>
      <c r="AO93" s="277">
        <v>2.9305017495602126</v>
      </c>
      <c r="AP93" s="275">
        <v>3.5550320211350139</v>
      </c>
      <c r="AQ93" s="269" t="str">
        <f t="shared" si="91"/>
        <v>60-64</v>
      </c>
      <c r="AR93" s="277">
        <v>10.014562780838963</v>
      </c>
      <c r="AS93" s="277">
        <v>15.861291825025759</v>
      </c>
      <c r="AT93" s="277">
        <v>24.782298711739656</v>
      </c>
      <c r="AU93" s="277">
        <v>32.955056213735411</v>
      </c>
      <c r="AV93" s="275">
        <v>41.965652261747991</v>
      </c>
      <c r="AW93" s="275"/>
      <c r="AX93" s="277">
        <v>9.3191096537115143</v>
      </c>
      <c r="AY93" s="277">
        <v>14.759802271763046</v>
      </c>
      <c r="AZ93" s="277">
        <v>23.061241083126763</v>
      </c>
      <c r="BA93" s="277">
        <v>30.666373272484456</v>
      </c>
      <c r="BB93" s="275">
        <v>39.05130130334193</v>
      </c>
      <c r="BC93" s="275"/>
      <c r="BD93" s="277">
        <v>0.69545312712745089</v>
      </c>
      <c r="BE93" s="277">
        <v>1.1014895532627123</v>
      </c>
      <c r="BF93" s="277">
        <v>1.721057628612892</v>
      </c>
      <c r="BG93" s="277">
        <v>2.2886829412509542</v>
      </c>
      <c r="BH93" s="275">
        <v>2.9143509584060596</v>
      </c>
    </row>
    <row r="94" spans="1:60" s="168" customFormat="1" x14ac:dyDescent="0.25">
      <c r="A94" s="126" t="str">
        <f t="shared" si="89"/>
        <v>65+</v>
      </c>
      <c r="B94" s="277">
        <v>5.0275971766300218</v>
      </c>
      <c r="C94" s="277">
        <v>5.0571710967350976</v>
      </c>
      <c r="D94" s="277">
        <v>5.0002589845625298</v>
      </c>
      <c r="E94" s="277">
        <v>3.9459227571467377</v>
      </c>
      <c r="F94" s="275">
        <v>3.6918171007746805</v>
      </c>
      <c r="G94" s="279"/>
      <c r="H94" s="277">
        <v>2.987417610658246</v>
      </c>
      <c r="I94" s="277">
        <v>3.0049961668141885</v>
      </c>
      <c r="J94" s="277">
        <v>2.9711593642715379</v>
      </c>
      <c r="K94" s="277">
        <v>2.3446844102127109</v>
      </c>
      <c r="L94" s="275">
        <v>2.1936853336258615</v>
      </c>
      <c r="M94" s="279"/>
      <c r="N94" s="277">
        <v>2.0401795659717767</v>
      </c>
      <c r="O94" s="277">
        <v>2.0521749299209091</v>
      </c>
      <c r="P94" s="277">
        <v>2.0290996202909919</v>
      </c>
      <c r="Q94" s="277">
        <v>1.6012383469340266</v>
      </c>
      <c r="R94" s="275">
        <v>1.4981317671488188</v>
      </c>
      <c r="S94" s="279"/>
      <c r="T94" s="279">
        <v>0</v>
      </c>
      <c r="U94" s="279">
        <v>0</v>
      </c>
      <c r="V94" s="279">
        <v>0</v>
      </c>
      <c r="W94" s="279">
        <v>0</v>
      </c>
      <c r="X94" s="279">
        <v>0</v>
      </c>
      <c r="Y94" s="126" t="str">
        <f t="shared" si="90"/>
        <v>65+</v>
      </c>
      <c r="Z94" s="277">
        <v>2.7461652297525743</v>
      </c>
      <c r="AA94" s="277">
        <v>4.055911790969331</v>
      </c>
      <c r="AB94" s="277">
        <v>3.5612495126359529</v>
      </c>
      <c r="AC94" s="277">
        <v>3.9532933888693056</v>
      </c>
      <c r="AD94" s="275">
        <v>5.2021489926704287</v>
      </c>
      <c r="AE94" s="279"/>
      <c r="AF94" s="277">
        <v>2.4974123148764233</v>
      </c>
      <c r="AG94" s="277">
        <v>3.6885697608652581</v>
      </c>
      <c r="AH94" s="277">
        <v>3.2387036749219651</v>
      </c>
      <c r="AI94" s="277">
        <v>3.5952382484733798</v>
      </c>
      <c r="AJ94" s="275">
        <v>4.7309759551497086</v>
      </c>
      <c r="AK94" s="279"/>
      <c r="AL94" s="277">
        <v>0.24875291487615106</v>
      </c>
      <c r="AM94" s="277">
        <v>0.3673420301040734</v>
      </c>
      <c r="AN94" s="277">
        <v>0.32254583771398837</v>
      </c>
      <c r="AO94" s="277">
        <v>0.35805514039592606</v>
      </c>
      <c r="AP94" s="275">
        <v>0.47117303752072126</v>
      </c>
      <c r="AQ94" s="126" t="str">
        <f t="shared" si="91"/>
        <v>65+</v>
      </c>
      <c r="AR94" s="277">
        <v>2.4962375936174048</v>
      </c>
      <c r="AS94" s="277">
        <v>4.1209171122955697</v>
      </c>
      <c r="AT94" s="277">
        <v>4.3774915028015169</v>
      </c>
      <c r="AU94" s="277">
        <v>5.7297838539839567</v>
      </c>
      <c r="AV94" s="275">
        <v>8.4160339065548904</v>
      </c>
      <c r="AW94" s="279"/>
      <c r="AX94" s="277">
        <v>2.4393838610275034</v>
      </c>
      <c r="AY94" s="277">
        <v>4.0270912403022177</v>
      </c>
      <c r="AZ94" s="277">
        <v>4.2777979690182679</v>
      </c>
      <c r="BA94" s="277">
        <v>5.5993484434809799</v>
      </c>
      <c r="BB94" s="275">
        <v>8.2244038402405248</v>
      </c>
      <c r="BC94" s="279"/>
      <c r="BD94" s="277">
        <v>5.6853732589901257E-2</v>
      </c>
      <c r="BE94" s="277">
        <v>9.3825871993351684E-2</v>
      </c>
      <c r="BF94" s="277">
        <v>9.9693533783248439E-2</v>
      </c>
      <c r="BG94" s="277">
        <v>0.13043541050297702</v>
      </c>
      <c r="BH94" s="275">
        <v>0.19163006631436572</v>
      </c>
    </row>
    <row r="95" spans="1:60" s="168" customFormat="1" x14ac:dyDescent="0.25">
      <c r="A95" s="280"/>
      <c r="B95" s="281"/>
      <c r="C95" s="281"/>
      <c r="D95" s="281"/>
      <c r="E95" s="281"/>
      <c r="F95" s="281"/>
      <c r="G95" s="281"/>
      <c r="H95" s="281"/>
      <c r="I95" s="281"/>
      <c r="J95" s="281"/>
      <c r="K95" s="281"/>
      <c r="L95" s="281"/>
      <c r="M95" s="281"/>
      <c r="N95" s="281"/>
      <c r="O95" s="281"/>
      <c r="P95" s="281"/>
      <c r="Q95" s="281"/>
      <c r="R95" s="281"/>
      <c r="S95" s="281"/>
      <c r="Y95" s="280"/>
      <c r="Z95" s="281"/>
      <c r="AA95" s="281"/>
      <c r="AB95" s="281"/>
      <c r="AC95" s="281"/>
      <c r="AD95" s="281"/>
      <c r="AE95" s="281"/>
      <c r="AF95" s="281"/>
      <c r="AG95" s="281"/>
      <c r="AH95" s="281"/>
      <c r="AI95" s="281"/>
      <c r="AJ95" s="281"/>
      <c r="AK95" s="281"/>
      <c r="AL95" s="281"/>
      <c r="AM95" s="281"/>
      <c r="AN95" s="281"/>
      <c r="AO95" s="281"/>
      <c r="AP95" s="281"/>
      <c r="AQ95" s="280"/>
      <c r="AR95" s="281"/>
      <c r="AS95" s="281"/>
      <c r="AT95" s="281"/>
      <c r="AU95" s="281"/>
      <c r="AV95" s="281"/>
      <c r="AW95" s="281"/>
      <c r="AX95" s="281"/>
      <c r="AY95" s="281"/>
      <c r="AZ95" s="281"/>
      <c r="BA95" s="281"/>
      <c r="BB95" s="281"/>
      <c r="BC95" s="281"/>
      <c r="BD95" s="281"/>
      <c r="BE95" s="281"/>
      <c r="BF95" s="281"/>
      <c r="BG95" s="281"/>
      <c r="BH95" s="281"/>
    </row>
    <row r="97" spans="1:1" x14ac:dyDescent="0.25">
      <c r="A97" s="168" t="s">
        <v>106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43"/>
  <sheetViews>
    <sheetView zoomScale="85" zoomScaleNormal="85" workbookViewId="0">
      <pane ySplit="2" topLeftCell="A3" activePane="bottomLeft" state="frozen"/>
      <selection pane="bottomLeft" activeCell="C9" sqref="C9"/>
    </sheetView>
  </sheetViews>
  <sheetFormatPr defaultRowHeight="13.2" x14ac:dyDescent="0.25"/>
  <cols>
    <col min="1" max="3" width="26.6640625" customWidth="1"/>
    <col min="4" max="4" width="46.5546875" customWidth="1"/>
    <col min="5" max="5" width="36.33203125" customWidth="1"/>
    <col min="6" max="6" width="34.6640625" customWidth="1"/>
    <col min="7" max="7" width="34.6640625" style="286" customWidth="1"/>
    <col min="8" max="8" width="6.109375" customWidth="1"/>
    <col min="9" max="9" width="20.33203125" style="158" customWidth="1"/>
    <col min="10" max="10" width="4.88671875" style="158" customWidth="1"/>
    <col min="11" max="11" width="24.6640625" style="174" customWidth="1"/>
    <col min="12" max="12" width="9.109375" customWidth="1"/>
  </cols>
  <sheetData>
    <row r="1" spans="1:12" x14ac:dyDescent="0.25">
      <c r="A1" s="329" t="s">
        <v>248</v>
      </c>
      <c r="B1" s="329" t="s">
        <v>308</v>
      </c>
      <c r="C1" s="329" t="s">
        <v>4</v>
      </c>
      <c r="D1" s="329" t="s">
        <v>321</v>
      </c>
      <c r="E1" s="329" t="s">
        <v>348</v>
      </c>
      <c r="F1" s="331" t="s">
        <v>358</v>
      </c>
      <c r="G1" s="331" t="s">
        <v>377</v>
      </c>
      <c r="H1" s="331" t="s">
        <v>360</v>
      </c>
      <c r="I1" s="331"/>
      <c r="J1" s="331" t="s">
        <v>361</v>
      </c>
      <c r="K1" s="173"/>
      <c r="L1" s="1"/>
    </row>
    <row r="2" spans="1:12" s="15" customFormat="1" x14ac:dyDescent="0.25">
      <c r="A2" s="330" t="s">
        <v>379</v>
      </c>
      <c r="B2" s="330" t="s">
        <v>375</v>
      </c>
      <c r="C2" s="330" t="s">
        <v>376</v>
      </c>
      <c r="D2" s="173" t="s">
        <v>322</v>
      </c>
      <c r="E2" s="173" t="s">
        <v>349</v>
      </c>
      <c r="F2" s="330" t="s">
        <v>38</v>
      </c>
      <c r="G2" s="330" t="s">
        <v>378</v>
      </c>
      <c r="H2" s="173" t="s">
        <v>362</v>
      </c>
      <c r="I2" s="173" t="s">
        <v>100</v>
      </c>
      <c r="J2" s="173" t="s">
        <v>363</v>
      </c>
      <c r="K2" s="173" t="s">
        <v>364</v>
      </c>
      <c r="L2" s="106"/>
    </row>
    <row r="3" spans="1:12" x14ac:dyDescent="0.25">
      <c r="A3" s="328" t="s">
        <v>0</v>
      </c>
      <c r="B3" s="173" t="s">
        <v>0</v>
      </c>
      <c r="C3" s="328" t="s">
        <v>0</v>
      </c>
      <c r="D3" s="173" t="s">
        <v>10</v>
      </c>
      <c r="E3" s="173" t="s">
        <v>10</v>
      </c>
      <c r="F3" s="173" t="s">
        <v>37</v>
      </c>
      <c r="G3" s="173" t="s">
        <v>37</v>
      </c>
      <c r="H3" s="173" t="s">
        <v>365</v>
      </c>
      <c r="I3" s="173" t="s">
        <v>98</v>
      </c>
      <c r="J3" s="173" t="s">
        <v>366</v>
      </c>
      <c r="K3" s="173" t="s">
        <v>367</v>
      </c>
      <c r="L3" s="225"/>
    </row>
    <row r="4" spans="1:12" x14ac:dyDescent="0.25">
      <c r="A4" s="328" t="s">
        <v>80</v>
      </c>
      <c r="B4" s="173" t="s">
        <v>309</v>
      </c>
      <c r="C4" s="328" t="s">
        <v>245</v>
      </c>
      <c r="D4" s="173" t="s">
        <v>323</v>
      </c>
      <c r="E4" s="173" t="s">
        <v>350</v>
      </c>
      <c r="F4" s="173" t="s">
        <v>502</v>
      </c>
      <c r="G4" s="173" t="s">
        <v>510</v>
      </c>
      <c r="H4" s="173" t="s">
        <v>368</v>
      </c>
      <c r="I4" s="173" t="s">
        <v>99</v>
      </c>
      <c r="J4" s="173" t="s">
        <v>369</v>
      </c>
      <c r="K4" s="173" t="s">
        <v>370</v>
      </c>
      <c r="L4" s="225"/>
    </row>
    <row r="5" spans="1:12" x14ac:dyDescent="0.25">
      <c r="A5" s="328" t="s">
        <v>249</v>
      </c>
      <c r="B5" s="173" t="s">
        <v>81</v>
      </c>
      <c r="C5" s="328" t="s">
        <v>8</v>
      </c>
      <c r="D5" s="173" t="s">
        <v>324</v>
      </c>
      <c r="E5" s="173" t="s">
        <v>351</v>
      </c>
      <c r="F5" s="173" t="s">
        <v>503</v>
      </c>
      <c r="G5" s="173" t="s">
        <v>511</v>
      </c>
      <c r="H5" s="173"/>
      <c r="I5" s="173"/>
      <c r="J5" s="173" t="s">
        <v>371</v>
      </c>
      <c r="K5" s="173" t="s">
        <v>372</v>
      </c>
      <c r="L5" s="225"/>
    </row>
    <row r="6" spans="1:12" x14ac:dyDescent="0.25">
      <c r="A6" s="328" t="s">
        <v>250</v>
      </c>
      <c r="B6" s="173" t="s">
        <v>310</v>
      </c>
      <c r="C6" s="328" t="s">
        <v>2</v>
      </c>
      <c r="D6" s="173" t="s">
        <v>325</v>
      </c>
      <c r="E6" s="173" t="s">
        <v>352</v>
      </c>
      <c r="F6" s="173" t="s">
        <v>504</v>
      </c>
      <c r="G6" s="173" t="s">
        <v>507</v>
      </c>
      <c r="H6" s="173"/>
      <c r="I6" s="173"/>
      <c r="J6" s="173" t="s">
        <v>373</v>
      </c>
      <c r="K6" s="173" t="s">
        <v>374</v>
      </c>
      <c r="L6" s="225"/>
    </row>
    <row r="7" spans="1:12" x14ac:dyDescent="0.25">
      <c r="A7" s="328" t="s">
        <v>251</v>
      </c>
      <c r="B7" s="173" t="s">
        <v>5</v>
      </c>
      <c r="C7" s="328" t="s">
        <v>246</v>
      </c>
      <c r="D7" s="173" t="s">
        <v>326</v>
      </c>
      <c r="E7" s="173" t="s">
        <v>353</v>
      </c>
      <c r="F7" s="173" t="s">
        <v>505</v>
      </c>
      <c r="G7" s="173" t="s">
        <v>508</v>
      </c>
      <c r="L7" s="225"/>
    </row>
    <row r="8" spans="1:12" x14ac:dyDescent="0.25">
      <c r="A8" s="328" t="s">
        <v>252</v>
      </c>
      <c r="B8" s="173" t="s">
        <v>6</v>
      </c>
      <c r="C8" s="328" t="s">
        <v>247</v>
      </c>
      <c r="D8" s="173" t="s">
        <v>327</v>
      </c>
      <c r="E8" s="173" t="s">
        <v>354</v>
      </c>
      <c r="F8" s="173" t="s">
        <v>506</v>
      </c>
      <c r="G8" s="173" t="s">
        <v>509</v>
      </c>
      <c r="L8" s="225"/>
    </row>
    <row r="9" spans="1:12" x14ac:dyDescent="0.25">
      <c r="A9" s="328" t="s">
        <v>253</v>
      </c>
      <c r="B9" s="173" t="s">
        <v>311</v>
      </c>
      <c r="C9" s="328" t="s">
        <v>514</v>
      </c>
      <c r="D9" s="173" t="s">
        <v>328</v>
      </c>
      <c r="E9" s="173" t="s">
        <v>355</v>
      </c>
      <c r="F9" s="173" t="s">
        <v>507</v>
      </c>
      <c r="G9" s="173" t="s">
        <v>359</v>
      </c>
      <c r="L9" s="225"/>
    </row>
    <row r="10" spans="1:12" x14ac:dyDescent="0.25">
      <c r="A10" s="328" t="s">
        <v>254</v>
      </c>
      <c r="B10" s="173" t="s">
        <v>312</v>
      </c>
      <c r="C10" s="286" t="s">
        <v>11</v>
      </c>
      <c r="D10" s="173" t="s">
        <v>329</v>
      </c>
      <c r="E10" s="173" t="s">
        <v>356</v>
      </c>
      <c r="F10" s="173" t="s">
        <v>508</v>
      </c>
      <c r="G10" s="173"/>
      <c r="L10" s="225"/>
    </row>
    <row r="11" spans="1:12" x14ac:dyDescent="0.25">
      <c r="A11" s="328" t="s">
        <v>255</v>
      </c>
      <c r="B11" s="173" t="s">
        <v>2</v>
      </c>
      <c r="C11" s="286" t="s">
        <v>11</v>
      </c>
      <c r="D11" s="173" t="s">
        <v>330</v>
      </c>
      <c r="E11" s="173" t="s">
        <v>357</v>
      </c>
      <c r="F11" s="173" t="s">
        <v>509</v>
      </c>
      <c r="G11" s="173"/>
      <c r="I11" s="106"/>
      <c r="L11" s="225"/>
    </row>
    <row r="12" spans="1:12" x14ac:dyDescent="0.25">
      <c r="A12" s="328" t="s">
        <v>256</v>
      </c>
      <c r="B12" s="173" t="s">
        <v>83</v>
      </c>
      <c r="C12" s="286" t="s">
        <v>11</v>
      </c>
      <c r="D12" s="173" t="s">
        <v>331</v>
      </c>
      <c r="E12" s="173" t="s">
        <v>9</v>
      </c>
      <c r="F12" s="173" t="s">
        <v>359</v>
      </c>
      <c r="G12" s="173"/>
      <c r="L12" s="225"/>
    </row>
    <row r="13" spans="1:12" x14ac:dyDescent="0.25">
      <c r="A13" s="328" t="s">
        <v>257</v>
      </c>
      <c r="B13" s="173" t="s">
        <v>313</v>
      </c>
      <c r="C13" s="286" t="s">
        <v>11</v>
      </c>
      <c r="D13" s="173" t="s">
        <v>332</v>
      </c>
      <c r="L13" s="225"/>
    </row>
    <row r="14" spans="1:12" x14ac:dyDescent="0.25">
      <c r="A14" s="328" t="s">
        <v>1</v>
      </c>
      <c r="B14" s="173" t="s">
        <v>314</v>
      </c>
      <c r="C14" s="286" t="s">
        <v>11</v>
      </c>
      <c r="D14" s="173" t="s">
        <v>333</v>
      </c>
      <c r="E14" t="s">
        <v>11</v>
      </c>
      <c r="L14" s="225"/>
    </row>
    <row r="15" spans="1:12" x14ac:dyDescent="0.25">
      <c r="A15" s="328" t="s">
        <v>258</v>
      </c>
      <c r="B15" s="173" t="s">
        <v>84</v>
      </c>
      <c r="C15" s="286" t="s">
        <v>11</v>
      </c>
      <c r="D15" s="173" t="s">
        <v>334</v>
      </c>
      <c r="E15" t="s">
        <v>11</v>
      </c>
      <c r="I15" s="106"/>
      <c r="L15" s="225"/>
    </row>
    <row r="16" spans="1:12" x14ac:dyDescent="0.25">
      <c r="A16" s="328" t="s">
        <v>259</v>
      </c>
      <c r="B16" s="173" t="s">
        <v>315</v>
      </c>
      <c r="C16" s="286" t="s">
        <v>11</v>
      </c>
      <c r="D16" s="173" t="s">
        <v>335</v>
      </c>
      <c r="E16" t="s">
        <v>11</v>
      </c>
      <c r="L16" s="225"/>
    </row>
    <row r="17" spans="1:12" x14ac:dyDescent="0.25">
      <c r="A17" s="328" t="s">
        <v>260</v>
      </c>
      <c r="B17" s="173" t="s">
        <v>316</v>
      </c>
      <c r="C17" s="286" t="s">
        <v>11</v>
      </c>
      <c r="D17" s="173" t="s">
        <v>336</v>
      </c>
      <c r="E17" t="s">
        <v>11</v>
      </c>
      <c r="I17" s="106"/>
      <c r="L17" s="225"/>
    </row>
    <row r="18" spans="1:12" x14ac:dyDescent="0.25">
      <c r="A18" s="328" t="s">
        <v>261</v>
      </c>
      <c r="B18" s="173" t="s">
        <v>286</v>
      </c>
      <c r="C18" s="286" t="s">
        <v>11</v>
      </c>
      <c r="D18" s="173" t="s">
        <v>337</v>
      </c>
      <c r="E18" t="s">
        <v>11</v>
      </c>
      <c r="L18" s="225"/>
    </row>
    <row r="19" spans="1:12" x14ac:dyDescent="0.25">
      <c r="A19" s="328" t="s">
        <v>262</v>
      </c>
      <c r="B19" s="173" t="s">
        <v>317</v>
      </c>
      <c r="C19" s="286" t="s">
        <v>11</v>
      </c>
      <c r="D19" s="173" t="s">
        <v>338</v>
      </c>
      <c r="E19" t="s">
        <v>11</v>
      </c>
      <c r="L19" s="225"/>
    </row>
    <row r="20" spans="1:12" x14ac:dyDescent="0.25">
      <c r="A20" s="328" t="s">
        <v>82</v>
      </c>
      <c r="B20" s="173" t="s">
        <v>318</v>
      </c>
      <c r="C20" s="286" t="s">
        <v>11</v>
      </c>
      <c r="D20" s="173" t="s">
        <v>339</v>
      </c>
      <c r="E20" t="s">
        <v>11</v>
      </c>
      <c r="L20" s="225"/>
    </row>
    <row r="21" spans="1:12" x14ac:dyDescent="0.25">
      <c r="A21" s="328" t="s">
        <v>263</v>
      </c>
      <c r="B21" s="173" t="s">
        <v>319</v>
      </c>
      <c r="C21" s="286" t="s">
        <v>11</v>
      </c>
      <c r="D21" s="173" t="s">
        <v>340</v>
      </c>
      <c r="L21" s="225"/>
    </row>
    <row r="22" spans="1:12" x14ac:dyDescent="0.25">
      <c r="A22" s="328" t="s">
        <v>264</v>
      </c>
      <c r="B22" s="173" t="s">
        <v>3</v>
      </c>
      <c r="C22" s="286" t="s">
        <v>11</v>
      </c>
      <c r="D22" s="173" t="s">
        <v>341</v>
      </c>
      <c r="E22" t="s">
        <v>11</v>
      </c>
      <c r="F22" s="229"/>
      <c r="I22" s="106"/>
      <c r="L22" s="225"/>
    </row>
    <row r="23" spans="1:12" x14ac:dyDescent="0.25">
      <c r="A23" s="328" t="s">
        <v>265</v>
      </c>
      <c r="B23" s="173" t="s">
        <v>7</v>
      </c>
      <c r="C23" s="286" t="s">
        <v>11</v>
      </c>
      <c r="D23" s="173" t="s">
        <v>342</v>
      </c>
      <c r="E23" t="s">
        <v>11</v>
      </c>
      <c r="F23" s="229"/>
      <c r="L23" s="225"/>
    </row>
    <row r="24" spans="1:12" x14ac:dyDescent="0.25">
      <c r="A24" s="328" t="s">
        <v>266</v>
      </c>
      <c r="B24" s="173" t="s">
        <v>87</v>
      </c>
      <c r="C24" s="286" t="s">
        <v>11</v>
      </c>
      <c r="D24" s="173" t="s">
        <v>343</v>
      </c>
      <c r="E24" t="s">
        <v>11</v>
      </c>
      <c r="F24" s="229"/>
      <c r="L24" s="225"/>
    </row>
    <row r="25" spans="1:12" x14ac:dyDescent="0.25">
      <c r="A25" s="328" t="s">
        <v>128</v>
      </c>
      <c r="B25" s="173" t="s">
        <v>320</v>
      </c>
      <c r="C25" s="286" t="s">
        <v>11</v>
      </c>
      <c r="D25" s="173" t="s">
        <v>344</v>
      </c>
      <c r="E25" t="s">
        <v>11</v>
      </c>
      <c r="F25" s="229"/>
      <c r="L25" s="225"/>
    </row>
    <row r="26" spans="1:12" x14ac:dyDescent="0.25">
      <c r="A26" s="328" t="s">
        <v>267</v>
      </c>
      <c r="B26" s="286"/>
      <c r="C26" s="286" t="s">
        <v>11</v>
      </c>
      <c r="D26" s="173" t="s">
        <v>345</v>
      </c>
      <c r="E26" t="s">
        <v>11</v>
      </c>
      <c r="F26" s="229"/>
      <c r="I26" s="106"/>
      <c r="L26" s="225"/>
    </row>
    <row r="27" spans="1:12" x14ac:dyDescent="0.25">
      <c r="A27" s="328" t="s">
        <v>268</v>
      </c>
      <c r="B27" s="286"/>
      <c r="C27" s="286" t="s">
        <v>11</v>
      </c>
      <c r="D27" s="173" t="s">
        <v>346</v>
      </c>
      <c r="E27" t="s">
        <v>11</v>
      </c>
      <c r="F27" s="229"/>
      <c r="L27" s="225"/>
    </row>
    <row r="28" spans="1:12" x14ac:dyDescent="0.25">
      <c r="A28" s="328" t="s">
        <v>269</v>
      </c>
      <c r="B28" s="286"/>
      <c r="C28" s="286" t="s">
        <v>11</v>
      </c>
      <c r="D28" s="173" t="s">
        <v>347</v>
      </c>
      <c r="E28" t="s">
        <v>11</v>
      </c>
      <c r="F28" s="229"/>
      <c r="L28" s="225"/>
    </row>
    <row r="29" spans="1:12" x14ac:dyDescent="0.25">
      <c r="A29" s="328" t="s">
        <v>129</v>
      </c>
      <c r="B29" s="286"/>
      <c r="C29" s="286" t="s">
        <v>11</v>
      </c>
      <c r="E29" t="s">
        <v>11</v>
      </c>
      <c r="F29" s="229"/>
      <c r="L29" s="225"/>
    </row>
    <row r="30" spans="1:12" x14ac:dyDescent="0.25">
      <c r="A30" s="328" t="s">
        <v>270</v>
      </c>
      <c r="B30" s="286"/>
      <c r="C30" s="286" t="s">
        <v>11</v>
      </c>
      <c r="E30" t="s">
        <v>11</v>
      </c>
      <c r="F30" s="229"/>
      <c r="L30" s="225"/>
    </row>
    <row r="31" spans="1:12" x14ac:dyDescent="0.25">
      <c r="A31" s="328" t="s">
        <v>2</v>
      </c>
      <c r="B31" s="286"/>
      <c r="C31" s="286" t="s">
        <v>11</v>
      </c>
      <c r="D31" t="s">
        <v>11</v>
      </c>
      <c r="E31" t="s">
        <v>11</v>
      </c>
      <c r="F31" s="229"/>
      <c r="L31" s="225"/>
    </row>
    <row r="32" spans="1:12" x14ac:dyDescent="0.25">
      <c r="A32" s="328" t="s">
        <v>130</v>
      </c>
      <c r="B32" s="286"/>
      <c r="C32" s="286" t="s">
        <v>11</v>
      </c>
      <c r="D32" t="s">
        <v>11</v>
      </c>
      <c r="E32" t="s">
        <v>11</v>
      </c>
      <c r="F32" s="229"/>
      <c r="I32" s="106"/>
      <c r="L32" s="225"/>
    </row>
    <row r="33" spans="1:12" x14ac:dyDescent="0.25">
      <c r="A33" s="328" t="s">
        <v>271</v>
      </c>
      <c r="B33" s="286"/>
      <c r="C33" s="286" t="s">
        <v>11</v>
      </c>
      <c r="D33" t="s">
        <v>11</v>
      </c>
      <c r="E33" t="s">
        <v>11</v>
      </c>
      <c r="F33" s="229"/>
      <c r="L33" s="225"/>
    </row>
    <row r="34" spans="1:12" x14ac:dyDescent="0.25">
      <c r="A34" s="328" t="s">
        <v>272</v>
      </c>
      <c r="B34" s="286"/>
      <c r="C34" s="286" t="s">
        <v>11</v>
      </c>
      <c r="D34" t="s">
        <v>11</v>
      </c>
      <c r="E34" t="s">
        <v>11</v>
      </c>
      <c r="F34" s="229"/>
      <c r="L34" s="225"/>
    </row>
    <row r="35" spans="1:12" x14ac:dyDescent="0.25">
      <c r="A35" s="328" t="s">
        <v>273</v>
      </c>
      <c r="B35" s="286"/>
      <c r="C35" s="286" t="s">
        <v>11</v>
      </c>
      <c r="D35" t="s">
        <v>11</v>
      </c>
      <c r="E35" t="s">
        <v>11</v>
      </c>
      <c r="F35" s="229"/>
      <c r="L35" s="225"/>
    </row>
    <row r="36" spans="1:12" x14ac:dyDescent="0.25">
      <c r="A36" s="328" t="s">
        <v>274</v>
      </c>
      <c r="B36" s="286"/>
      <c r="C36" s="286" t="s">
        <v>11</v>
      </c>
      <c r="D36" t="s">
        <v>11</v>
      </c>
      <c r="E36" t="s">
        <v>11</v>
      </c>
      <c r="F36" s="229"/>
      <c r="L36" s="225"/>
    </row>
    <row r="37" spans="1:12" x14ac:dyDescent="0.25">
      <c r="A37" s="328" t="s">
        <v>275</v>
      </c>
      <c r="B37" s="286"/>
      <c r="C37" s="286" t="s">
        <v>11</v>
      </c>
      <c r="D37" t="s">
        <v>11</v>
      </c>
      <c r="E37" t="s">
        <v>11</v>
      </c>
      <c r="F37" s="229"/>
      <c r="L37" s="225"/>
    </row>
    <row r="38" spans="1:12" x14ac:dyDescent="0.25">
      <c r="A38" s="328" t="s">
        <v>131</v>
      </c>
      <c r="B38" s="286"/>
      <c r="C38" s="286" t="s">
        <v>11</v>
      </c>
      <c r="D38" t="s">
        <v>11</v>
      </c>
      <c r="E38" t="s">
        <v>11</v>
      </c>
      <c r="F38" s="229"/>
      <c r="L38" s="225"/>
    </row>
    <row r="39" spans="1:12" x14ac:dyDescent="0.25">
      <c r="A39" s="328" t="s">
        <v>132</v>
      </c>
      <c r="B39" s="286"/>
      <c r="C39" s="286" t="s">
        <v>11</v>
      </c>
      <c r="D39" t="s">
        <v>11</v>
      </c>
      <c r="E39" t="s">
        <v>11</v>
      </c>
      <c r="F39" s="229"/>
      <c r="I39" s="167"/>
      <c r="L39" s="225"/>
    </row>
    <row r="40" spans="1:12" x14ac:dyDescent="0.25">
      <c r="A40" s="328" t="s">
        <v>276</v>
      </c>
      <c r="B40" s="286"/>
      <c r="C40" s="286" t="s">
        <v>11</v>
      </c>
      <c r="D40" t="s">
        <v>11</v>
      </c>
      <c r="E40" t="s">
        <v>11</v>
      </c>
      <c r="F40" s="229"/>
      <c r="I40" s="106"/>
      <c r="L40" s="225"/>
    </row>
    <row r="41" spans="1:12" x14ac:dyDescent="0.25">
      <c r="A41" s="328" t="s">
        <v>277</v>
      </c>
      <c r="B41" s="286"/>
      <c r="C41" s="286" t="s">
        <v>11</v>
      </c>
      <c r="D41" t="s">
        <v>11</v>
      </c>
      <c r="E41" t="s">
        <v>11</v>
      </c>
      <c r="F41" s="229"/>
      <c r="L41" s="225"/>
    </row>
    <row r="42" spans="1:12" x14ac:dyDescent="0.25">
      <c r="A42" s="328" t="s">
        <v>133</v>
      </c>
      <c r="B42" s="286"/>
      <c r="C42" s="286" t="s">
        <v>11</v>
      </c>
      <c r="D42" t="s">
        <v>11</v>
      </c>
      <c r="E42" t="s">
        <v>11</v>
      </c>
      <c r="F42" s="229"/>
      <c r="L42" s="225"/>
    </row>
    <row r="43" spans="1:12" x14ac:dyDescent="0.25">
      <c r="A43" s="328" t="s">
        <v>278</v>
      </c>
      <c r="B43" s="286"/>
      <c r="C43" s="286" t="s">
        <v>11</v>
      </c>
      <c r="D43" t="s">
        <v>11</v>
      </c>
      <c r="E43" t="s">
        <v>11</v>
      </c>
      <c r="F43" s="229"/>
      <c r="L43" s="225"/>
    </row>
    <row r="44" spans="1:12" x14ac:dyDescent="0.25">
      <c r="A44" s="328" t="s">
        <v>134</v>
      </c>
      <c r="B44" s="286"/>
      <c r="C44" s="286"/>
      <c r="D44" t="s">
        <v>11</v>
      </c>
      <c r="E44" t="s">
        <v>11</v>
      </c>
      <c r="F44" s="229"/>
      <c r="L44" s="225"/>
    </row>
    <row r="45" spans="1:12" x14ac:dyDescent="0.25">
      <c r="A45" s="328" t="s">
        <v>279</v>
      </c>
      <c r="F45" s="229"/>
    </row>
    <row r="46" spans="1:12" x14ac:dyDescent="0.25">
      <c r="A46" s="328" t="s">
        <v>280</v>
      </c>
      <c r="F46" s="229"/>
      <c r="I46" s="106"/>
    </row>
    <row r="47" spans="1:12" x14ac:dyDescent="0.25">
      <c r="A47" s="328" t="s">
        <v>85</v>
      </c>
      <c r="F47" s="229"/>
    </row>
    <row r="48" spans="1:12" x14ac:dyDescent="0.25">
      <c r="A48" s="328" t="s">
        <v>281</v>
      </c>
      <c r="F48" s="229"/>
    </row>
    <row r="49" spans="1:9" x14ac:dyDescent="0.25">
      <c r="A49" s="328" t="s">
        <v>282</v>
      </c>
      <c r="F49" s="229"/>
    </row>
    <row r="50" spans="1:9" x14ac:dyDescent="0.25">
      <c r="A50" s="328" t="s">
        <v>283</v>
      </c>
      <c r="F50" s="229"/>
    </row>
    <row r="51" spans="1:9" x14ac:dyDescent="0.25">
      <c r="A51" s="328" t="s">
        <v>284</v>
      </c>
      <c r="F51" s="229"/>
      <c r="I51" s="106"/>
    </row>
    <row r="52" spans="1:9" x14ac:dyDescent="0.25">
      <c r="A52" s="328" t="s">
        <v>285</v>
      </c>
      <c r="F52" s="229"/>
    </row>
    <row r="53" spans="1:9" x14ac:dyDescent="0.25">
      <c r="A53" s="328" t="s">
        <v>286</v>
      </c>
    </row>
    <row r="54" spans="1:9" x14ac:dyDescent="0.25">
      <c r="A54" s="328" t="s">
        <v>287</v>
      </c>
    </row>
    <row r="55" spans="1:9" x14ac:dyDescent="0.25">
      <c r="A55" s="328" t="s">
        <v>288</v>
      </c>
    </row>
    <row r="56" spans="1:9" x14ac:dyDescent="0.25">
      <c r="A56" s="328" t="s">
        <v>289</v>
      </c>
      <c r="I56" s="106"/>
    </row>
    <row r="57" spans="1:9" x14ac:dyDescent="0.25">
      <c r="A57" s="328" t="s">
        <v>135</v>
      </c>
    </row>
    <row r="58" spans="1:9" x14ac:dyDescent="0.25">
      <c r="A58" s="328" t="s">
        <v>290</v>
      </c>
    </row>
    <row r="59" spans="1:9" x14ac:dyDescent="0.25">
      <c r="A59" s="328" t="s">
        <v>291</v>
      </c>
    </row>
    <row r="60" spans="1:9" x14ac:dyDescent="0.25">
      <c r="A60" s="328" t="s">
        <v>292</v>
      </c>
    </row>
    <row r="61" spans="1:9" x14ac:dyDescent="0.25">
      <c r="A61" s="328" t="s">
        <v>293</v>
      </c>
    </row>
    <row r="62" spans="1:9" x14ac:dyDescent="0.25">
      <c r="A62" s="328" t="s">
        <v>136</v>
      </c>
    </row>
    <row r="63" spans="1:9" x14ac:dyDescent="0.25">
      <c r="A63" s="328" t="s">
        <v>294</v>
      </c>
    </row>
    <row r="64" spans="1:9" x14ac:dyDescent="0.25">
      <c r="A64" s="328" t="s">
        <v>295</v>
      </c>
    </row>
    <row r="65" spans="1:9" x14ac:dyDescent="0.25">
      <c r="A65" s="328" t="s">
        <v>296</v>
      </c>
      <c r="I65" s="106"/>
    </row>
    <row r="66" spans="1:9" x14ac:dyDescent="0.25">
      <c r="A66" s="328" t="s">
        <v>297</v>
      </c>
    </row>
    <row r="67" spans="1:9" x14ac:dyDescent="0.25">
      <c r="A67" s="328" t="s">
        <v>298</v>
      </c>
    </row>
    <row r="68" spans="1:9" x14ac:dyDescent="0.25">
      <c r="A68" s="328" t="s">
        <v>299</v>
      </c>
    </row>
    <row r="69" spans="1:9" x14ac:dyDescent="0.25">
      <c r="A69" s="328" t="s">
        <v>86</v>
      </c>
    </row>
    <row r="70" spans="1:9" x14ac:dyDescent="0.25">
      <c r="A70" s="328" t="s">
        <v>300</v>
      </c>
    </row>
    <row r="71" spans="1:9" x14ac:dyDescent="0.25">
      <c r="A71" s="328" t="s">
        <v>301</v>
      </c>
      <c r="I71" s="106"/>
    </row>
    <row r="72" spans="1:9" x14ac:dyDescent="0.25">
      <c r="A72" s="328" t="s">
        <v>87</v>
      </c>
    </row>
    <row r="73" spans="1:9" x14ac:dyDescent="0.25">
      <c r="A73" s="328" t="s">
        <v>302</v>
      </c>
    </row>
    <row r="74" spans="1:9" x14ac:dyDescent="0.25">
      <c r="A74" s="328" t="s">
        <v>303</v>
      </c>
      <c r="I74" s="106"/>
    </row>
    <row r="75" spans="1:9" x14ac:dyDescent="0.25">
      <c r="A75" s="328" t="s">
        <v>304</v>
      </c>
    </row>
    <row r="76" spans="1:9" x14ac:dyDescent="0.25">
      <c r="A76" s="328" t="s">
        <v>305</v>
      </c>
    </row>
    <row r="77" spans="1:9" x14ac:dyDescent="0.25">
      <c r="A77" s="328" t="s">
        <v>306</v>
      </c>
    </row>
    <row r="78" spans="1:9" x14ac:dyDescent="0.25">
      <c r="A78" s="328" t="s">
        <v>307</v>
      </c>
    </row>
    <row r="81" spans="9:9" x14ac:dyDescent="0.25">
      <c r="I81" s="106"/>
    </row>
    <row r="85" spans="9:9" x14ac:dyDescent="0.25">
      <c r="I85" s="106"/>
    </row>
    <row r="91" spans="9:9" x14ac:dyDescent="0.25">
      <c r="I91" s="106"/>
    </row>
    <row r="96" spans="9:9" x14ac:dyDescent="0.25">
      <c r="I96" s="106"/>
    </row>
    <row r="101" spans="9:9" x14ac:dyDescent="0.25">
      <c r="I101" s="106"/>
    </row>
    <row r="106" spans="9:9" x14ac:dyDescent="0.25">
      <c r="I106" s="106"/>
    </row>
    <row r="111" spans="9:9" x14ac:dyDescent="0.25">
      <c r="I111" s="106"/>
    </row>
    <row r="119" spans="9:9" x14ac:dyDescent="0.25">
      <c r="I119" s="106"/>
    </row>
    <row r="129" spans="9:9" x14ac:dyDescent="0.25">
      <c r="I129" s="106"/>
    </row>
    <row r="134" spans="9:9" x14ac:dyDescent="0.25">
      <c r="I134" s="106"/>
    </row>
    <row r="141" spans="9:9" x14ac:dyDescent="0.25">
      <c r="I141" s="106"/>
    </row>
    <row r="143" spans="9:9" x14ac:dyDescent="0.25">
      <c r="I143" s="106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orientation="portrait" r:id="rId1"/>
  <headerFooter alignWithMargins="0"/>
  <colBreaks count="1" manualBreakCount="1">
    <brk id="3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D60"/>
  <sheetViews>
    <sheetView zoomScale="85" zoomScaleNormal="85" workbookViewId="0"/>
  </sheetViews>
  <sheetFormatPr defaultRowHeight="13.2" x14ac:dyDescent="0.25"/>
  <cols>
    <col min="1" max="1" width="27.5546875" customWidth="1"/>
    <col min="2" max="145" width="3" customWidth="1"/>
  </cols>
  <sheetData>
    <row r="1" spans="1:82" s="286" customFormat="1" x14ac:dyDescent="0.25">
      <c r="A1" s="1" t="str">
        <f>CONCATENATE("Aggregation 75 industries to 22 ",name!$B$2)</f>
        <v>Aggregation 75 industries to 22 Industry groups</v>
      </c>
    </row>
    <row r="2" spans="1:82" s="286" customFormat="1" ht="164.25" customHeight="1" thickBot="1" x14ac:dyDescent="0.3">
      <c r="B2" s="171" t="str">
        <f t="array" ref="B2:BX2">TRANSPOSE(name!$A$4:$A$78)</f>
        <v>Agriculture, etc</v>
      </c>
      <c r="C2" s="171" t="str">
        <v>Coal, oil &amp; gas; Mining &amp; related</v>
      </c>
      <c r="D2" s="171" t="str">
        <v>Food products</v>
      </c>
      <c r="E2" s="171" t="str">
        <v>Beverages and tobacco</v>
      </c>
      <c r="F2" s="171" t="str">
        <v>Textiles</v>
      </c>
      <c r="G2" s="171" t="str">
        <v>Wearing apparel; Leather, etc</v>
      </c>
      <c r="H2" s="171" t="str">
        <v xml:space="preserve">Wood and cork </v>
      </c>
      <c r="I2" s="171" t="str">
        <v>Paper, etc</v>
      </c>
      <c r="J2" s="171" t="str">
        <v>Printing and recording</v>
      </c>
      <c r="K2" s="171" t="str">
        <v>Coke and petroleum; Chemicals, etc</v>
      </c>
      <c r="L2" s="171" t="str">
        <v>Pharmaceuticals</v>
      </c>
      <c r="M2" s="171" t="str">
        <v>Rubber and plastic</v>
      </c>
      <c r="N2" s="171" t="str">
        <v>Other non-metallic</v>
      </c>
      <c r="O2" s="171" t="str">
        <v>Basic metals</v>
      </c>
      <c r="P2" s="171" t="str">
        <v>Metal products</v>
      </c>
      <c r="Q2" s="171" t="str">
        <v>Computer, etc</v>
      </c>
      <c r="R2" s="171" t="str">
        <v>Electrical equipment</v>
      </c>
      <c r="S2" s="171" t="str">
        <v>Machinery n.e.c.</v>
      </c>
      <c r="T2" s="171" t="str">
        <v>Motor vehicles, etc</v>
      </c>
      <c r="U2" s="171" t="str">
        <v>Other transport equipment</v>
      </c>
      <c r="V2" s="171" t="str">
        <v>Furniture</v>
      </c>
      <c r="W2" s="171" t="str">
        <v>Other manufacturing</v>
      </c>
      <c r="X2" s="171" t="str">
        <v>Repair and installation</v>
      </c>
      <c r="Y2" s="171" t="str">
        <v>Electricity, gas, etc</v>
      </c>
      <c r="Z2" s="171" t="str">
        <v>Water</v>
      </c>
      <c r="AA2" s="171" t="str">
        <v>Sewerage</v>
      </c>
      <c r="AB2" s="171" t="str">
        <v>Waste management</v>
      </c>
      <c r="AC2" s="171" t="str">
        <v>Construction</v>
      </c>
      <c r="AD2" s="171" t="str">
        <v>Civil engineering</v>
      </c>
      <c r="AE2" s="171" t="str">
        <v>Specialised construction</v>
      </c>
      <c r="AF2" s="171" t="str">
        <v>Motor vehicle trade</v>
      </c>
      <c r="AG2" s="171" t="str">
        <v>Wholesale trade</v>
      </c>
      <c r="AH2" s="171" t="str">
        <v>Retail trade</v>
      </c>
      <c r="AI2" s="171" t="str">
        <v>Land transport, etc</v>
      </c>
      <c r="AJ2" s="171" t="str">
        <v>Water transport</v>
      </c>
      <c r="AK2" s="171" t="str">
        <v>Air transport</v>
      </c>
      <c r="AL2" s="171" t="str">
        <v>Warehousing, etc</v>
      </c>
      <c r="AM2" s="171" t="str">
        <v>Postal and courier</v>
      </c>
      <c r="AN2" s="171" t="str">
        <v>Accommodation</v>
      </c>
      <c r="AO2" s="171" t="str">
        <v>Food and beverage services</v>
      </c>
      <c r="AP2" s="171" t="str">
        <v>Publishing activities</v>
      </c>
      <c r="AQ2" s="171" t="str">
        <v>Film and music</v>
      </c>
      <c r="AR2" s="171" t="str">
        <v>Broadcasting</v>
      </c>
      <c r="AS2" s="171" t="str">
        <v>Telecommunications</v>
      </c>
      <c r="AT2" s="171" t="str">
        <v>Computing services</v>
      </c>
      <c r="AU2" s="171" t="str">
        <v>Information services</v>
      </c>
      <c r="AV2" s="171" t="str">
        <v>Financial services</v>
      </c>
      <c r="AW2" s="171" t="str">
        <v>Insurance and pensions</v>
      </c>
      <c r="AX2" s="171" t="str">
        <v>Auxiliary financial services</v>
      </c>
      <c r="AY2" s="171" t="str">
        <v>Real estate</v>
      </c>
      <c r="AZ2" s="171" t="str">
        <v>Legal and accounting</v>
      </c>
      <c r="BA2" s="171" t="str">
        <v>Head offices, etc</v>
      </c>
      <c r="BB2" s="171" t="str">
        <v>Architectural and related</v>
      </c>
      <c r="BC2" s="171" t="str">
        <v>Scientific research and development</v>
      </c>
      <c r="BD2" s="171" t="str">
        <v>Advertising, etc</v>
      </c>
      <c r="BE2" s="171" t="str">
        <v>Other professional</v>
      </c>
      <c r="BF2" s="171" t="str">
        <v>Veterinary</v>
      </c>
      <c r="BG2" s="171" t="str">
        <v>Rental and leasing</v>
      </c>
      <c r="BH2" s="171" t="str">
        <v>Employment activities</v>
      </c>
      <c r="BI2" s="171" t="str">
        <v>Travel, etc</v>
      </c>
      <c r="BJ2" s="171" t="str">
        <v>Security, etc</v>
      </c>
      <c r="BK2" s="171" t="str">
        <v>Services to buildings</v>
      </c>
      <c r="BL2" s="171" t="str">
        <v>Office administrative</v>
      </c>
      <c r="BM2" s="171" t="str">
        <v>Public administration and defence</v>
      </c>
      <c r="BN2" s="171" t="str">
        <v xml:space="preserve">Education </v>
      </c>
      <c r="BO2" s="171" t="str">
        <v>Health</v>
      </c>
      <c r="BP2" s="171" t="str">
        <v>Residential care</v>
      </c>
      <c r="BQ2" s="171" t="str">
        <v>Social work</v>
      </c>
      <c r="BR2" s="171" t="str">
        <v>Arts and entertainment</v>
      </c>
      <c r="BS2" s="171" t="str">
        <v>Libraries, etc</v>
      </c>
      <c r="BT2" s="171" t="str">
        <v>Gambling and betting</v>
      </c>
      <c r="BU2" s="171" t="str">
        <v>Sport and recreation</v>
      </c>
      <c r="BV2" s="171" t="str">
        <v>Membership organisations</v>
      </c>
      <c r="BW2" s="171" t="str">
        <v>Repair of goods</v>
      </c>
      <c r="BX2" s="171" t="str">
        <v>Other personal service</v>
      </c>
      <c r="BY2" s="171"/>
      <c r="BZ2" s="171"/>
      <c r="CA2" s="171"/>
      <c r="CB2" s="171"/>
      <c r="CC2" s="171"/>
      <c r="CD2" s="171"/>
    </row>
    <row r="3" spans="1:82" s="286" customFormat="1" x14ac:dyDescent="0.25">
      <c r="A3" s="286" t="str">
        <f>name!B4</f>
        <v>Agriculture</v>
      </c>
      <c r="B3" s="291">
        <v>1</v>
      </c>
      <c r="C3" s="335">
        <v>0</v>
      </c>
      <c r="D3" s="335">
        <v>0</v>
      </c>
      <c r="E3" s="335">
        <v>0</v>
      </c>
      <c r="F3" s="335">
        <v>0</v>
      </c>
      <c r="G3" s="33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I3" s="5">
        <v>0</v>
      </c>
      <c r="AJ3" s="5">
        <v>0</v>
      </c>
      <c r="AK3" s="5">
        <v>0</v>
      </c>
      <c r="AL3" s="5">
        <v>0</v>
      </c>
      <c r="AM3" s="5">
        <v>0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0</v>
      </c>
      <c r="BA3" s="5">
        <v>0</v>
      </c>
      <c r="BB3" s="5">
        <v>0</v>
      </c>
      <c r="BC3" s="5">
        <v>0</v>
      </c>
      <c r="BD3" s="5">
        <v>0</v>
      </c>
      <c r="BE3" s="5">
        <v>0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5">
        <v>0</v>
      </c>
      <c r="BR3" s="5">
        <v>0</v>
      </c>
      <c r="BS3" s="5">
        <v>0</v>
      </c>
      <c r="BT3" s="5">
        <v>0</v>
      </c>
      <c r="BU3" s="5">
        <v>0</v>
      </c>
      <c r="BV3" s="5">
        <v>0</v>
      </c>
      <c r="BW3" s="5">
        <v>0</v>
      </c>
      <c r="BX3" s="6">
        <v>0</v>
      </c>
      <c r="BY3" s="286">
        <v>1</v>
      </c>
    </row>
    <row r="4" spans="1:82" s="286" customFormat="1" x14ac:dyDescent="0.25">
      <c r="A4" s="286" t="str">
        <f>name!B5</f>
        <v>Mining and quarrying</v>
      </c>
      <c r="B4" s="7">
        <v>0</v>
      </c>
      <c r="C4" s="2">
        <v>1</v>
      </c>
      <c r="D4" s="2">
        <v>0</v>
      </c>
      <c r="E4" s="332">
        <v>0</v>
      </c>
      <c r="F4" s="332">
        <v>0</v>
      </c>
      <c r="G4" s="332">
        <v>0</v>
      </c>
      <c r="H4" s="255">
        <v>0</v>
      </c>
      <c r="I4" s="255">
        <v>0</v>
      </c>
      <c r="J4" s="255">
        <v>0</v>
      </c>
      <c r="K4" s="255">
        <v>0</v>
      </c>
      <c r="L4" s="255">
        <v>0</v>
      </c>
      <c r="M4" s="255">
        <v>0</v>
      </c>
      <c r="N4" s="255">
        <v>0</v>
      </c>
      <c r="O4" s="255">
        <v>0</v>
      </c>
      <c r="P4" s="255">
        <v>0</v>
      </c>
      <c r="Q4" s="255">
        <v>0</v>
      </c>
      <c r="R4" s="255">
        <v>0</v>
      </c>
      <c r="S4" s="255">
        <v>0</v>
      </c>
      <c r="T4" s="255">
        <v>0</v>
      </c>
      <c r="U4" s="255">
        <v>0</v>
      </c>
      <c r="V4" s="255">
        <v>0</v>
      </c>
      <c r="W4" s="255">
        <v>0</v>
      </c>
      <c r="X4" s="255">
        <v>0</v>
      </c>
      <c r="Y4" s="255">
        <v>0</v>
      </c>
      <c r="Z4" s="255">
        <v>0</v>
      </c>
      <c r="AA4" s="255">
        <v>0</v>
      </c>
      <c r="AB4" s="255">
        <v>0</v>
      </c>
      <c r="AC4" s="255">
        <v>0</v>
      </c>
      <c r="AD4" s="255">
        <v>0</v>
      </c>
      <c r="AE4" s="255">
        <v>0</v>
      </c>
      <c r="AF4" s="255">
        <v>0</v>
      </c>
      <c r="AG4" s="255">
        <v>0</v>
      </c>
      <c r="AH4" s="255">
        <v>0</v>
      </c>
      <c r="AI4" s="255">
        <v>0</v>
      </c>
      <c r="AJ4" s="255">
        <v>0</v>
      </c>
      <c r="AK4" s="255">
        <v>0</v>
      </c>
      <c r="AL4" s="255">
        <v>0</v>
      </c>
      <c r="AM4" s="255">
        <v>0</v>
      </c>
      <c r="AN4" s="255">
        <v>0</v>
      </c>
      <c r="AO4" s="255">
        <v>0</v>
      </c>
      <c r="AP4" s="255">
        <v>0</v>
      </c>
      <c r="AQ4" s="255">
        <v>0</v>
      </c>
      <c r="AR4" s="255">
        <v>0</v>
      </c>
      <c r="AS4" s="255">
        <v>0</v>
      </c>
      <c r="AT4" s="255">
        <v>0</v>
      </c>
      <c r="AU4" s="255">
        <v>0</v>
      </c>
      <c r="AV4" s="255">
        <v>0</v>
      </c>
      <c r="AW4" s="255">
        <v>0</v>
      </c>
      <c r="AX4" s="255">
        <v>0</v>
      </c>
      <c r="AY4" s="255">
        <v>0</v>
      </c>
      <c r="AZ4" s="255">
        <v>0</v>
      </c>
      <c r="BA4" s="255">
        <v>0</v>
      </c>
      <c r="BB4" s="255">
        <v>0</v>
      </c>
      <c r="BC4" s="255">
        <v>0</v>
      </c>
      <c r="BD4" s="255">
        <v>0</v>
      </c>
      <c r="BE4" s="255">
        <v>0</v>
      </c>
      <c r="BF4" s="255">
        <v>0</v>
      </c>
      <c r="BG4" s="255">
        <v>0</v>
      </c>
      <c r="BH4" s="255">
        <v>0</v>
      </c>
      <c r="BI4" s="255">
        <v>0</v>
      </c>
      <c r="BJ4" s="255">
        <v>0</v>
      </c>
      <c r="BK4" s="255">
        <v>0</v>
      </c>
      <c r="BL4" s="255">
        <v>0</v>
      </c>
      <c r="BM4" s="255">
        <v>0</v>
      </c>
      <c r="BN4" s="255">
        <v>0</v>
      </c>
      <c r="BO4" s="2">
        <v>0</v>
      </c>
      <c r="BP4" s="2">
        <v>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8">
        <v>0</v>
      </c>
      <c r="BY4" s="286">
        <v>2</v>
      </c>
    </row>
    <row r="5" spans="1:82" s="286" customFormat="1" x14ac:dyDescent="0.25">
      <c r="A5" s="286" t="str">
        <f>name!B6</f>
        <v>Food drink and tobacco</v>
      </c>
      <c r="B5" s="7">
        <v>0</v>
      </c>
      <c r="C5" s="2">
        <v>0</v>
      </c>
      <c r="D5" s="2">
        <v>1</v>
      </c>
      <c r="E5" s="3">
        <v>1</v>
      </c>
      <c r="F5" s="3">
        <v>0</v>
      </c>
      <c r="G5" s="3">
        <v>0</v>
      </c>
      <c r="H5" s="332">
        <v>0</v>
      </c>
      <c r="I5" s="255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</v>
      </c>
      <c r="BK5" s="3">
        <v>0</v>
      </c>
      <c r="BL5" s="3">
        <v>0</v>
      </c>
      <c r="BM5" s="3">
        <v>0</v>
      </c>
      <c r="BN5" s="3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8">
        <v>0</v>
      </c>
      <c r="BY5" s="286">
        <v>3</v>
      </c>
    </row>
    <row r="6" spans="1:82" s="286" customFormat="1" x14ac:dyDescent="0.25">
      <c r="A6" s="286" t="str">
        <f>name!B7</f>
        <v>Engineering</v>
      </c>
      <c r="B6" s="7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255">
        <v>0</v>
      </c>
      <c r="I6" s="332">
        <v>0</v>
      </c>
      <c r="J6" s="292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1</v>
      </c>
      <c r="R6" s="3">
        <v>1</v>
      </c>
      <c r="S6" s="3">
        <v>1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</v>
      </c>
      <c r="BF6" s="3">
        <v>0</v>
      </c>
      <c r="BG6" s="3">
        <v>0</v>
      </c>
      <c r="BH6" s="3">
        <v>0</v>
      </c>
      <c r="BI6" s="3">
        <v>0</v>
      </c>
      <c r="BJ6" s="3">
        <v>0</v>
      </c>
      <c r="BK6" s="3">
        <v>0</v>
      </c>
      <c r="BL6" s="3">
        <v>0</v>
      </c>
      <c r="BM6" s="3">
        <v>0</v>
      </c>
      <c r="BN6" s="3">
        <v>0</v>
      </c>
      <c r="BO6" s="2">
        <v>0</v>
      </c>
      <c r="BP6" s="2">
        <v>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8">
        <v>0</v>
      </c>
      <c r="BY6" s="286">
        <v>4</v>
      </c>
    </row>
    <row r="7" spans="1:82" s="286" customFormat="1" x14ac:dyDescent="0.25">
      <c r="A7" s="286" t="str">
        <f>name!B8</f>
        <v>Rest of manufacturing</v>
      </c>
      <c r="B7" s="7">
        <v>0</v>
      </c>
      <c r="C7" s="3">
        <v>0</v>
      </c>
      <c r="D7" s="3">
        <v>0</v>
      </c>
      <c r="E7" s="3">
        <v>0</v>
      </c>
      <c r="F7" s="3">
        <v>1</v>
      </c>
      <c r="G7" s="3">
        <v>1</v>
      </c>
      <c r="H7" s="292">
        <v>1</v>
      </c>
      <c r="I7" s="292">
        <v>1</v>
      </c>
      <c r="J7" s="254">
        <v>1</v>
      </c>
      <c r="K7" s="254">
        <v>1</v>
      </c>
      <c r="L7" s="254">
        <v>1</v>
      </c>
      <c r="M7" s="255">
        <v>1</v>
      </c>
      <c r="N7" s="255">
        <v>1</v>
      </c>
      <c r="O7" s="255">
        <v>1</v>
      </c>
      <c r="P7" s="255">
        <v>1</v>
      </c>
      <c r="Q7" s="3">
        <v>0</v>
      </c>
      <c r="R7" s="3">
        <v>0</v>
      </c>
      <c r="S7" s="3">
        <v>0</v>
      </c>
      <c r="T7" s="3">
        <v>1</v>
      </c>
      <c r="U7" s="3">
        <v>1</v>
      </c>
      <c r="V7" s="3">
        <v>1</v>
      </c>
      <c r="W7" s="3">
        <v>1</v>
      </c>
      <c r="X7" s="3">
        <v>1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2">
        <v>0</v>
      </c>
      <c r="BP7" s="2">
        <v>0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0</v>
      </c>
      <c r="BX7" s="8">
        <v>0</v>
      </c>
      <c r="BY7" s="286">
        <v>5</v>
      </c>
    </row>
    <row r="8" spans="1:82" s="286" customFormat="1" x14ac:dyDescent="0.25">
      <c r="A8" s="286" t="str">
        <f>name!B9</f>
        <v>Electricity and gas</v>
      </c>
      <c r="B8" s="7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292">
        <v>0</v>
      </c>
      <c r="I8" s="292">
        <v>0</v>
      </c>
      <c r="J8" s="292">
        <v>0</v>
      </c>
      <c r="K8" s="292">
        <v>0</v>
      </c>
      <c r="L8" s="255">
        <v>0</v>
      </c>
      <c r="M8" s="332">
        <v>0</v>
      </c>
      <c r="N8" s="255">
        <v>0</v>
      </c>
      <c r="O8" s="255">
        <v>0</v>
      </c>
      <c r="P8" s="255">
        <v>0</v>
      </c>
      <c r="Q8" s="255">
        <v>0</v>
      </c>
      <c r="R8" s="255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1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>
        <v>0</v>
      </c>
      <c r="BE8" s="3">
        <v>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</v>
      </c>
      <c r="BN8" s="3">
        <v>0</v>
      </c>
      <c r="BO8" s="2">
        <v>0</v>
      </c>
      <c r="BP8" s="2">
        <v>0</v>
      </c>
      <c r="BQ8" s="2">
        <v>0</v>
      </c>
      <c r="BR8" s="2">
        <v>0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8">
        <v>0</v>
      </c>
      <c r="BY8" s="286">
        <v>6</v>
      </c>
    </row>
    <row r="9" spans="1:82" s="286" customFormat="1" x14ac:dyDescent="0.25">
      <c r="A9" s="286" t="str">
        <f>name!B10</f>
        <v>Water and sewerage</v>
      </c>
      <c r="B9" s="7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292">
        <v>0</v>
      </c>
      <c r="I9" s="292">
        <v>0</v>
      </c>
      <c r="J9" s="292">
        <v>0</v>
      </c>
      <c r="K9" s="292">
        <v>0</v>
      </c>
      <c r="L9" s="255">
        <v>0</v>
      </c>
      <c r="M9" s="255">
        <v>0</v>
      </c>
      <c r="N9" s="255">
        <v>0</v>
      </c>
      <c r="O9" s="255">
        <v>0</v>
      </c>
      <c r="P9" s="255">
        <v>0</v>
      </c>
      <c r="Q9" s="255">
        <v>0</v>
      </c>
      <c r="R9" s="255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1</v>
      </c>
      <c r="AA9" s="3">
        <v>1</v>
      </c>
      <c r="AB9" s="3">
        <v>1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>
        <v>0</v>
      </c>
      <c r="BA9" s="3">
        <v>0</v>
      </c>
      <c r="BB9" s="3">
        <v>0</v>
      </c>
      <c r="BC9" s="3">
        <v>0</v>
      </c>
      <c r="BD9" s="3">
        <v>0</v>
      </c>
      <c r="BE9" s="3">
        <v>0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</v>
      </c>
      <c r="BN9" s="3">
        <v>0</v>
      </c>
      <c r="BO9" s="2">
        <v>0</v>
      </c>
      <c r="BP9" s="2">
        <v>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8">
        <v>0</v>
      </c>
      <c r="BY9" s="286">
        <v>7</v>
      </c>
    </row>
    <row r="10" spans="1:82" s="286" customFormat="1" x14ac:dyDescent="0.25">
      <c r="A10" s="286" t="str">
        <f>name!B11</f>
        <v>Construction</v>
      </c>
      <c r="B10" s="7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292">
        <v>0</v>
      </c>
      <c r="I10" s="292">
        <v>0</v>
      </c>
      <c r="J10" s="292">
        <v>0</v>
      </c>
      <c r="K10" s="292">
        <v>0</v>
      </c>
      <c r="L10" s="255">
        <v>0</v>
      </c>
      <c r="M10" s="255">
        <v>0</v>
      </c>
      <c r="N10" s="255">
        <v>0</v>
      </c>
      <c r="O10" s="332">
        <v>0</v>
      </c>
      <c r="P10" s="255">
        <v>0</v>
      </c>
      <c r="Q10" s="255">
        <v>0</v>
      </c>
      <c r="R10" s="255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1</v>
      </c>
      <c r="AD10" s="3">
        <v>1</v>
      </c>
      <c r="AE10" s="3">
        <v>1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>
        <v>0</v>
      </c>
      <c r="AZ10" s="3">
        <v>0</v>
      </c>
      <c r="BA10" s="3">
        <v>0</v>
      </c>
      <c r="BB10" s="3">
        <v>0</v>
      </c>
      <c r="BC10" s="3">
        <v>0</v>
      </c>
      <c r="BD10" s="3">
        <v>0</v>
      </c>
      <c r="BE10" s="3">
        <v>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</v>
      </c>
      <c r="BN10" s="3">
        <v>0</v>
      </c>
      <c r="BO10" s="2">
        <v>0</v>
      </c>
      <c r="BP10" s="2">
        <v>0</v>
      </c>
      <c r="BQ10" s="2">
        <v>0</v>
      </c>
      <c r="BR10" s="2">
        <v>0</v>
      </c>
      <c r="BS10" s="2">
        <v>0</v>
      </c>
      <c r="BT10" s="2">
        <v>0</v>
      </c>
      <c r="BU10" s="2">
        <v>0</v>
      </c>
      <c r="BV10" s="2">
        <v>0</v>
      </c>
      <c r="BW10" s="2">
        <v>0</v>
      </c>
      <c r="BX10" s="8">
        <v>0</v>
      </c>
      <c r="BY10" s="286">
        <v>8</v>
      </c>
    </row>
    <row r="11" spans="1:82" s="286" customFormat="1" x14ac:dyDescent="0.25">
      <c r="A11" s="286" t="str">
        <f>name!B12</f>
        <v>Wholesale and retail trade</v>
      </c>
      <c r="B11" s="7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292">
        <v>0</v>
      </c>
      <c r="I11" s="292">
        <v>0</v>
      </c>
      <c r="J11" s="292">
        <v>0</v>
      </c>
      <c r="K11" s="292">
        <v>0</v>
      </c>
      <c r="L11" s="255">
        <v>0</v>
      </c>
      <c r="M11" s="255">
        <v>0</v>
      </c>
      <c r="N11" s="255">
        <v>0</v>
      </c>
      <c r="O11" s="255">
        <v>0</v>
      </c>
      <c r="P11" s="332">
        <v>0</v>
      </c>
      <c r="Q11" s="332">
        <v>0</v>
      </c>
      <c r="R11" s="255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1</v>
      </c>
      <c r="AG11" s="3">
        <v>1</v>
      </c>
      <c r="AH11" s="3">
        <v>1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</v>
      </c>
      <c r="BE11" s="3">
        <v>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2">
        <v>0</v>
      </c>
      <c r="BP11" s="2">
        <v>0</v>
      </c>
      <c r="BQ11" s="2">
        <v>0</v>
      </c>
      <c r="BR11" s="2">
        <v>0</v>
      </c>
      <c r="BS11" s="2">
        <v>0</v>
      </c>
      <c r="BT11" s="2">
        <v>0</v>
      </c>
      <c r="BU11" s="2">
        <v>0</v>
      </c>
      <c r="BV11" s="2">
        <v>0</v>
      </c>
      <c r="BW11" s="2">
        <v>0</v>
      </c>
      <c r="BX11" s="8">
        <v>0</v>
      </c>
      <c r="BY11" s="286">
        <v>9</v>
      </c>
    </row>
    <row r="12" spans="1:82" s="286" customFormat="1" x14ac:dyDescent="0.25">
      <c r="A12" s="286" t="str">
        <f>name!B13</f>
        <v>Transport and storage</v>
      </c>
      <c r="B12" s="7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292">
        <v>0</v>
      </c>
      <c r="I12" s="292">
        <v>0</v>
      </c>
      <c r="J12" s="292">
        <v>0</v>
      </c>
      <c r="K12" s="292">
        <v>0</v>
      </c>
      <c r="L12" s="255">
        <v>0</v>
      </c>
      <c r="M12" s="255">
        <v>0</v>
      </c>
      <c r="N12" s="255">
        <v>0</v>
      </c>
      <c r="O12" s="332">
        <v>0</v>
      </c>
      <c r="P12" s="255">
        <v>0</v>
      </c>
      <c r="Q12" s="255">
        <v>0</v>
      </c>
      <c r="R12" s="255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1</v>
      </c>
      <c r="AJ12" s="3">
        <v>1</v>
      </c>
      <c r="AK12" s="3">
        <v>1</v>
      </c>
      <c r="AL12" s="3">
        <v>1</v>
      </c>
      <c r="AM12" s="3">
        <v>1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  <c r="AX12" s="3">
        <v>0</v>
      </c>
      <c r="AY12" s="3">
        <v>0</v>
      </c>
      <c r="AZ12" s="3">
        <v>0</v>
      </c>
      <c r="BA12" s="3">
        <v>0</v>
      </c>
      <c r="BB12" s="3">
        <v>0</v>
      </c>
      <c r="BC12" s="3">
        <v>0</v>
      </c>
      <c r="BD12" s="3">
        <v>0</v>
      </c>
      <c r="BE12" s="3">
        <v>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</v>
      </c>
      <c r="BV12" s="2">
        <v>0</v>
      </c>
      <c r="BW12" s="2">
        <v>0</v>
      </c>
      <c r="BX12" s="8">
        <v>0</v>
      </c>
      <c r="BY12" s="286">
        <v>10</v>
      </c>
    </row>
    <row r="13" spans="1:82" s="286" customFormat="1" x14ac:dyDescent="0.25">
      <c r="A13" s="286" t="str">
        <f>name!B14</f>
        <v>Accommodation and food</v>
      </c>
      <c r="B13" s="7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292">
        <v>0</v>
      </c>
      <c r="I13" s="292">
        <v>0</v>
      </c>
      <c r="J13" s="292">
        <v>0</v>
      </c>
      <c r="K13" s="292">
        <v>0</v>
      </c>
      <c r="L13" s="255">
        <v>0</v>
      </c>
      <c r="M13" s="255">
        <v>0</v>
      </c>
      <c r="N13" s="255">
        <v>0</v>
      </c>
      <c r="O13" s="255">
        <v>0</v>
      </c>
      <c r="P13" s="332">
        <v>0</v>
      </c>
      <c r="Q13" s="332">
        <v>0</v>
      </c>
      <c r="R13" s="255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1</v>
      </c>
      <c r="AO13" s="3">
        <v>1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</v>
      </c>
      <c r="BN13" s="3">
        <v>0</v>
      </c>
      <c r="BO13" s="2">
        <v>0</v>
      </c>
      <c r="BP13" s="2">
        <v>0</v>
      </c>
      <c r="BQ13" s="2">
        <v>0</v>
      </c>
      <c r="BR13" s="2">
        <v>0</v>
      </c>
      <c r="BS13" s="2">
        <v>0</v>
      </c>
      <c r="BT13" s="2">
        <v>0</v>
      </c>
      <c r="BU13" s="2">
        <v>0</v>
      </c>
      <c r="BV13" s="2">
        <v>0</v>
      </c>
      <c r="BW13" s="2">
        <v>0</v>
      </c>
      <c r="BX13" s="8">
        <v>0</v>
      </c>
      <c r="BY13" s="286">
        <v>11</v>
      </c>
    </row>
    <row r="14" spans="1:82" s="286" customFormat="1" x14ac:dyDescent="0.25">
      <c r="A14" s="286" t="str">
        <f>name!B15</f>
        <v>Media</v>
      </c>
      <c r="B14" s="7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292">
        <v>0</v>
      </c>
      <c r="I14" s="292">
        <v>0</v>
      </c>
      <c r="J14" s="292">
        <v>0</v>
      </c>
      <c r="K14" s="292">
        <v>0</v>
      </c>
      <c r="L14" s="255">
        <v>0</v>
      </c>
      <c r="M14" s="255">
        <v>0</v>
      </c>
      <c r="N14" s="255">
        <v>0</v>
      </c>
      <c r="O14" s="332">
        <v>0</v>
      </c>
      <c r="P14" s="255">
        <v>0</v>
      </c>
      <c r="Q14" s="255">
        <v>0</v>
      </c>
      <c r="R14" s="255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1</v>
      </c>
      <c r="AQ14" s="3">
        <v>1</v>
      </c>
      <c r="AR14" s="3">
        <v>1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</v>
      </c>
      <c r="BN14" s="3">
        <v>0</v>
      </c>
      <c r="BO14" s="2">
        <v>0</v>
      </c>
      <c r="BP14" s="2">
        <v>0</v>
      </c>
      <c r="BQ14" s="2">
        <v>0</v>
      </c>
      <c r="BR14" s="2">
        <v>0</v>
      </c>
      <c r="BS14" s="2">
        <v>0</v>
      </c>
      <c r="BT14" s="2">
        <v>0</v>
      </c>
      <c r="BU14" s="2">
        <v>0</v>
      </c>
      <c r="BV14" s="2">
        <v>0</v>
      </c>
      <c r="BW14" s="2">
        <v>0</v>
      </c>
      <c r="BX14" s="8">
        <v>0</v>
      </c>
      <c r="BY14" s="286">
        <v>12</v>
      </c>
    </row>
    <row r="15" spans="1:82" s="286" customFormat="1" x14ac:dyDescent="0.25">
      <c r="A15" s="286" t="str">
        <f>name!B16</f>
        <v>Information technology</v>
      </c>
      <c r="B15" s="7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292">
        <v>0</v>
      </c>
      <c r="I15" s="292">
        <v>0</v>
      </c>
      <c r="J15" s="292">
        <v>0</v>
      </c>
      <c r="K15" s="292">
        <v>0</v>
      </c>
      <c r="L15" s="255">
        <v>0</v>
      </c>
      <c r="M15" s="255">
        <v>0</v>
      </c>
      <c r="N15" s="255">
        <v>0</v>
      </c>
      <c r="O15" s="255">
        <v>0</v>
      </c>
      <c r="P15" s="332">
        <v>0</v>
      </c>
      <c r="Q15" s="332">
        <v>0</v>
      </c>
      <c r="R15" s="255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1</v>
      </c>
      <c r="AT15" s="3">
        <v>1</v>
      </c>
      <c r="AU15" s="3">
        <v>1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</v>
      </c>
      <c r="BN15" s="3">
        <v>0</v>
      </c>
      <c r="BO15" s="2">
        <v>0</v>
      </c>
      <c r="BP15" s="2">
        <v>0</v>
      </c>
      <c r="BQ15" s="2">
        <v>0</v>
      </c>
      <c r="BR15" s="2">
        <v>0</v>
      </c>
      <c r="BS15" s="2">
        <v>0</v>
      </c>
      <c r="BT15" s="2">
        <v>0</v>
      </c>
      <c r="BU15" s="2">
        <v>0</v>
      </c>
      <c r="BV15" s="2">
        <v>0</v>
      </c>
      <c r="BW15" s="2">
        <v>0</v>
      </c>
      <c r="BX15" s="8">
        <v>0</v>
      </c>
      <c r="BY15" s="286">
        <v>13</v>
      </c>
    </row>
    <row r="16" spans="1:82" s="286" customFormat="1" x14ac:dyDescent="0.25">
      <c r="A16" s="286" t="str">
        <f>name!B17</f>
        <v>Finance and insurance</v>
      </c>
      <c r="B16" s="7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292">
        <v>0</v>
      </c>
      <c r="I16" s="292">
        <v>0</v>
      </c>
      <c r="J16" s="292">
        <v>0</v>
      </c>
      <c r="K16" s="292">
        <v>0</v>
      </c>
      <c r="L16" s="255">
        <v>0</v>
      </c>
      <c r="M16" s="255">
        <v>0</v>
      </c>
      <c r="N16" s="255">
        <v>0</v>
      </c>
      <c r="O16" s="332">
        <v>0</v>
      </c>
      <c r="P16" s="255">
        <v>0</v>
      </c>
      <c r="Q16" s="255">
        <v>0</v>
      </c>
      <c r="R16" s="255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1</v>
      </c>
      <c r="AW16" s="3">
        <v>1</v>
      </c>
      <c r="AX16" s="3">
        <v>1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2">
        <v>0</v>
      </c>
      <c r="BP16" s="2">
        <v>0</v>
      </c>
      <c r="BQ16" s="2">
        <v>0</v>
      </c>
      <c r="BR16" s="2">
        <v>0</v>
      </c>
      <c r="BS16" s="2">
        <v>0</v>
      </c>
      <c r="BT16" s="2">
        <v>0</v>
      </c>
      <c r="BU16" s="2">
        <v>0</v>
      </c>
      <c r="BV16" s="2">
        <v>0</v>
      </c>
      <c r="BW16" s="2">
        <v>0</v>
      </c>
      <c r="BX16" s="8">
        <v>0</v>
      </c>
      <c r="BY16" s="286">
        <v>14</v>
      </c>
    </row>
    <row r="17" spans="1:77" s="286" customFormat="1" x14ac:dyDescent="0.25">
      <c r="A17" s="286" t="str">
        <f>name!B18</f>
        <v>Real estate</v>
      </c>
      <c r="B17" s="7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292">
        <v>0</v>
      </c>
      <c r="I17" s="292">
        <v>0</v>
      </c>
      <c r="J17" s="292">
        <v>0</v>
      </c>
      <c r="K17" s="292">
        <v>0</v>
      </c>
      <c r="L17" s="255">
        <v>0</v>
      </c>
      <c r="M17" s="255">
        <v>0</v>
      </c>
      <c r="N17" s="255">
        <v>0</v>
      </c>
      <c r="O17" s="255">
        <v>0</v>
      </c>
      <c r="P17" s="332">
        <v>0</v>
      </c>
      <c r="Q17" s="332">
        <v>0</v>
      </c>
      <c r="R17" s="255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1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</v>
      </c>
      <c r="BO17" s="2">
        <v>0</v>
      </c>
      <c r="BP17" s="2">
        <v>0</v>
      </c>
      <c r="BQ17" s="2">
        <v>0</v>
      </c>
      <c r="BR17" s="2">
        <v>0</v>
      </c>
      <c r="BS17" s="2">
        <v>0</v>
      </c>
      <c r="BT17" s="2">
        <v>0</v>
      </c>
      <c r="BU17" s="2">
        <v>0</v>
      </c>
      <c r="BV17" s="2">
        <v>0</v>
      </c>
      <c r="BW17" s="2">
        <v>0</v>
      </c>
      <c r="BX17" s="8">
        <v>0</v>
      </c>
      <c r="BY17" s="286">
        <v>15</v>
      </c>
    </row>
    <row r="18" spans="1:77" s="286" customFormat="1" x14ac:dyDescent="0.25">
      <c r="A18" s="286" t="str">
        <f>name!B19</f>
        <v>Professional services</v>
      </c>
      <c r="B18" s="7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292">
        <v>0</v>
      </c>
      <c r="I18" s="292">
        <v>0</v>
      </c>
      <c r="J18" s="292">
        <v>0</v>
      </c>
      <c r="K18" s="292">
        <v>0</v>
      </c>
      <c r="L18" s="255">
        <v>0</v>
      </c>
      <c r="M18" s="255">
        <v>0</v>
      </c>
      <c r="N18" s="255">
        <v>0</v>
      </c>
      <c r="O18" s="332">
        <v>0</v>
      </c>
      <c r="P18" s="255">
        <v>0</v>
      </c>
      <c r="Q18" s="255">
        <v>0</v>
      </c>
      <c r="R18" s="255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1</v>
      </c>
      <c r="BA18" s="3">
        <v>1</v>
      </c>
      <c r="BB18" s="3">
        <v>1</v>
      </c>
      <c r="BC18" s="3">
        <v>1</v>
      </c>
      <c r="BD18" s="3">
        <v>1</v>
      </c>
      <c r="BE18" s="3">
        <v>1</v>
      </c>
      <c r="BF18" s="3">
        <v>1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2">
        <v>0</v>
      </c>
      <c r="BP18" s="2">
        <v>0</v>
      </c>
      <c r="BQ18" s="2">
        <v>0</v>
      </c>
      <c r="BR18" s="2">
        <v>0</v>
      </c>
      <c r="BS18" s="2">
        <v>0</v>
      </c>
      <c r="BT18" s="2">
        <v>0</v>
      </c>
      <c r="BU18" s="2">
        <v>0</v>
      </c>
      <c r="BV18" s="2">
        <v>0</v>
      </c>
      <c r="BW18" s="2">
        <v>0</v>
      </c>
      <c r="BX18" s="8">
        <v>0</v>
      </c>
      <c r="BY18" s="286">
        <v>16</v>
      </c>
    </row>
    <row r="19" spans="1:77" s="286" customFormat="1" x14ac:dyDescent="0.25">
      <c r="A19" s="286" t="str">
        <f>name!B20</f>
        <v>Support services</v>
      </c>
      <c r="B19" s="7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292">
        <v>0</v>
      </c>
      <c r="I19" s="292">
        <v>0</v>
      </c>
      <c r="J19" s="292">
        <v>0</v>
      </c>
      <c r="K19" s="292">
        <v>0</v>
      </c>
      <c r="L19" s="255">
        <v>0</v>
      </c>
      <c r="M19" s="255">
        <v>0</v>
      </c>
      <c r="N19" s="255">
        <v>0</v>
      </c>
      <c r="O19" s="255">
        <v>0</v>
      </c>
      <c r="P19" s="332">
        <v>0</v>
      </c>
      <c r="Q19" s="332">
        <v>0</v>
      </c>
      <c r="R19" s="255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3">
        <v>0</v>
      </c>
      <c r="BC19" s="3">
        <v>0</v>
      </c>
      <c r="BD19" s="3">
        <v>0</v>
      </c>
      <c r="BE19" s="3">
        <v>0</v>
      </c>
      <c r="BF19" s="3">
        <v>0</v>
      </c>
      <c r="BG19" s="3">
        <v>1</v>
      </c>
      <c r="BH19" s="3">
        <v>1</v>
      </c>
      <c r="BI19" s="3">
        <v>1</v>
      </c>
      <c r="BJ19" s="3">
        <v>1</v>
      </c>
      <c r="BK19" s="3">
        <v>1</v>
      </c>
      <c r="BL19" s="3">
        <v>1</v>
      </c>
      <c r="BM19" s="3">
        <v>0</v>
      </c>
      <c r="BN19" s="3">
        <v>0</v>
      </c>
      <c r="BO19" s="2">
        <v>0</v>
      </c>
      <c r="BP19" s="2">
        <v>0</v>
      </c>
      <c r="BQ19" s="2">
        <v>0</v>
      </c>
      <c r="BR19" s="2">
        <v>0</v>
      </c>
      <c r="BS19" s="2">
        <v>0</v>
      </c>
      <c r="BT19" s="2">
        <v>0</v>
      </c>
      <c r="BU19" s="2">
        <v>0</v>
      </c>
      <c r="BV19" s="2">
        <v>0</v>
      </c>
      <c r="BW19" s="2">
        <v>0</v>
      </c>
      <c r="BX19" s="8">
        <v>0</v>
      </c>
      <c r="BY19" s="286">
        <v>17</v>
      </c>
    </row>
    <row r="20" spans="1:77" s="286" customFormat="1" x14ac:dyDescent="0.25">
      <c r="A20" s="286" t="str">
        <f>name!B21</f>
        <v>Public admin. and defence</v>
      </c>
      <c r="B20" s="7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292">
        <v>0</v>
      </c>
      <c r="I20" s="292">
        <v>0</v>
      </c>
      <c r="J20" s="292">
        <v>0</v>
      </c>
      <c r="K20" s="292">
        <v>0</v>
      </c>
      <c r="L20" s="255">
        <v>0</v>
      </c>
      <c r="M20" s="255">
        <v>0</v>
      </c>
      <c r="N20" s="255">
        <v>0</v>
      </c>
      <c r="O20" s="332">
        <v>0</v>
      </c>
      <c r="P20" s="255">
        <v>0</v>
      </c>
      <c r="Q20" s="255">
        <v>0</v>
      </c>
      <c r="R20" s="255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1</v>
      </c>
      <c r="BN20" s="3">
        <v>0</v>
      </c>
      <c r="BO20" s="2">
        <v>0</v>
      </c>
      <c r="BP20" s="2">
        <v>0</v>
      </c>
      <c r="BQ20" s="2">
        <v>0</v>
      </c>
      <c r="BR20" s="2">
        <v>0</v>
      </c>
      <c r="BS20" s="2">
        <v>0</v>
      </c>
      <c r="BT20" s="2">
        <v>0</v>
      </c>
      <c r="BU20" s="2">
        <v>0</v>
      </c>
      <c r="BV20" s="2">
        <v>0</v>
      </c>
      <c r="BW20" s="2">
        <v>0</v>
      </c>
      <c r="BX20" s="8">
        <v>0</v>
      </c>
      <c r="BY20" s="286">
        <v>18</v>
      </c>
    </row>
    <row r="21" spans="1:77" s="286" customFormat="1" x14ac:dyDescent="0.25">
      <c r="A21" s="286" t="str">
        <f>name!B22</f>
        <v>Education</v>
      </c>
      <c r="B21" s="7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292">
        <v>0</v>
      </c>
      <c r="I21" s="292">
        <v>0</v>
      </c>
      <c r="J21" s="292">
        <v>0</v>
      </c>
      <c r="K21" s="292">
        <v>0</v>
      </c>
      <c r="L21" s="255">
        <v>0</v>
      </c>
      <c r="M21" s="255">
        <v>0</v>
      </c>
      <c r="N21" s="255">
        <v>0</v>
      </c>
      <c r="O21" s="255">
        <v>0</v>
      </c>
      <c r="P21" s="332">
        <v>0</v>
      </c>
      <c r="Q21" s="332">
        <v>0</v>
      </c>
      <c r="R21" s="255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</v>
      </c>
      <c r="BB21" s="3">
        <v>0</v>
      </c>
      <c r="BC21" s="3">
        <v>0</v>
      </c>
      <c r="BD21" s="3">
        <v>0</v>
      </c>
      <c r="BE21" s="3">
        <v>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1</v>
      </c>
      <c r="BO21" s="2">
        <v>0</v>
      </c>
      <c r="BP21" s="2">
        <v>0</v>
      </c>
      <c r="BQ21" s="2">
        <v>0</v>
      </c>
      <c r="BR21" s="2">
        <v>0</v>
      </c>
      <c r="BS21" s="2">
        <v>0</v>
      </c>
      <c r="BT21" s="2">
        <v>0</v>
      </c>
      <c r="BU21" s="2">
        <v>0</v>
      </c>
      <c r="BV21" s="2">
        <v>0</v>
      </c>
      <c r="BW21" s="2">
        <v>0</v>
      </c>
      <c r="BX21" s="8">
        <v>0</v>
      </c>
      <c r="BY21" s="286">
        <v>19</v>
      </c>
    </row>
    <row r="22" spans="1:77" s="286" customFormat="1" x14ac:dyDescent="0.25">
      <c r="A22" s="286" t="str">
        <f>name!B23</f>
        <v>Health and social work</v>
      </c>
      <c r="B22" s="7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292">
        <v>0</v>
      </c>
      <c r="I22" s="292">
        <v>0</v>
      </c>
      <c r="J22" s="292">
        <v>0</v>
      </c>
      <c r="K22" s="292">
        <v>0</v>
      </c>
      <c r="L22" s="255">
        <v>0</v>
      </c>
      <c r="M22" s="255">
        <v>0</v>
      </c>
      <c r="N22" s="255">
        <v>0</v>
      </c>
      <c r="O22" s="332">
        <v>0</v>
      </c>
      <c r="P22" s="255">
        <v>0</v>
      </c>
      <c r="Q22" s="255">
        <v>0</v>
      </c>
      <c r="R22" s="255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>
        <v>0</v>
      </c>
      <c r="AZ22" s="3">
        <v>0</v>
      </c>
      <c r="BA22" s="3">
        <v>0</v>
      </c>
      <c r="BB22" s="3">
        <v>0</v>
      </c>
      <c r="BC22" s="3">
        <v>0</v>
      </c>
      <c r="BD22" s="3">
        <v>0</v>
      </c>
      <c r="BE22" s="3">
        <v>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2">
        <v>1</v>
      </c>
      <c r="BP22" s="2">
        <v>1</v>
      </c>
      <c r="BQ22" s="2">
        <v>1</v>
      </c>
      <c r="BR22" s="2">
        <v>0</v>
      </c>
      <c r="BS22" s="2">
        <v>0</v>
      </c>
      <c r="BT22" s="2">
        <v>0</v>
      </c>
      <c r="BU22" s="2">
        <v>0</v>
      </c>
      <c r="BV22" s="2">
        <v>0</v>
      </c>
      <c r="BW22" s="2">
        <v>0</v>
      </c>
      <c r="BX22" s="8">
        <v>0</v>
      </c>
      <c r="BY22" s="286">
        <v>20</v>
      </c>
    </row>
    <row r="23" spans="1:77" s="286" customFormat="1" x14ac:dyDescent="0.25">
      <c r="A23" s="286" t="str">
        <f>name!B24</f>
        <v>Arts and entertainment</v>
      </c>
      <c r="B23" s="7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292">
        <v>0</v>
      </c>
      <c r="I23" s="292">
        <v>0</v>
      </c>
      <c r="J23" s="292">
        <v>0</v>
      </c>
      <c r="K23" s="292">
        <v>0</v>
      </c>
      <c r="L23" s="255">
        <v>0</v>
      </c>
      <c r="M23" s="255">
        <v>0</v>
      </c>
      <c r="N23" s="255">
        <v>0</v>
      </c>
      <c r="O23" s="255">
        <v>0</v>
      </c>
      <c r="P23" s="332">
        <v>0</v>
      </c>
      <c r="Q23" s="332">
        <v>0</v>
      </c>
      <c r="R23" s="255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</v>
      </c>
      <c r="AY23" s="3">
        <v>0</v>
      </c>
      <c r="AZ23" s="3">
        <v>0</v>
      </c>
      <c r="BA23" s="3">
        <v>0</v>
      </c>
      <c r="BB23" s="3">
        <v>0</v>
      </c>
      <c r="BC23" s="3">
        <v>0</v>
      </c>
      <c r="BD23" s="3">
        <v>0</v>
      </c>
      <c r="BE23" s="3">
        <v>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</v>
      </c>
      <c r="BO23" s="2">
        <v>0</v>
      </c>
      <c r="BP23" s="2">
        <v>0</v>
      </c>
      <c r="BQ23" s="2">
        <v>0</v>
      </c>
      <c r="BR23" s="2">
        <v>1</v>
      </c>
      <c r="BS23" s="2">
        <v>1</v>
      </c>
      <c r="BT23" s="2">
        <v>1</v>
      </c>
      <c r="BU23" s="2">
        <v>1</v>
      </c>
      <c r="BV23" s="2">
        <v>0</v>
      </c>
      <c r="BW23" s="2">
        <v>0</v>
      </c>
      <c r="BX23" s="8">
        <v>0</v>
      </c>
      <c r="BY23" s="286">
        <v>21</v>
      </c>
    </row>
    <row r="24" spans="1:77" s="286" customFormat="1" ht="13.8" thickBot="1" x14ac:dyDescent="0.3">
      <c r="A24" s="286" t="str">
        <f>name!B25</f>
        <v>Other services</v>
      </c>
      <c r="B24" s="9">
        <v>0</v>
      </c>
      <c r="C24" s="216">
        <v>0</v>
      </c>
      <c r="D24" s="216">
        <v>0</v>
      </c>
      <c r="E24" s="216">
        <v>0</v>
      </c>
      <c r="F24" s="216">
        <v>0</v>
      </c>
      <c r="G24" s="216">
        <v>0</v>
      </c>
      <c r="H24" s="293">
        <v>0</v>
      </c>
      <c r="I24" s="293">
        <v>0</v>
      </c>
      <c r="J24" s="293">
        <v>0</v>
      </c>
      <c r="K24" s="293">
        <v>0</v>
      </c>
      <c r="L24" s="333">
        <v>0</v>
      </c>
      <c r="M24" s="333">
        <v>0</v>
      </c>
      <c r="N24" s="333">
        <v>0</v>
      </c>
      <c r="O24" s="334">
        <v>0</v>
      </c>
      <c r="P24" s="333">
        <v>0</v>
      </c>
      <c r="Q24" s="333">
        <v>0</v>
      </c>
      <c r="R24" s="333">
        <v>0</v>
      </c>
      <c r="S24" s="216">
        <v>0</v>
      </c>
      <c r="T24" s="216">
        <v>0</v>
      </c>
      <c r="U24" s="216">
        <v>0</v>
      </c>
      <c r="V24" s="216">
        <v>0</v>
      </c>
      <c r="W24" s="216">
        <v>0</v>
      </c>
      <c r="X24" s="216">
        <v>0</v>
      </c>
      <c r="Y24" s="216">
        <v>0</v>
      </c>
      <c r="Z24" s="216">
        <v>0</v>
      </c>
      <c r="AA24" s="216">
        <v>0</v>
      </c>
      <c r="AB24" s="216">
        <v>0</v>
      </c>
      <c r="AC24" s="216">
        <v>0</v>
      </c>
      <c r="AD24" s="216">
        <v>0</v>
      </c>
      <c r="AE24" s="216">
        <v>0</v>
      </c>
      <c r="AF24" s="216">
        <v>0</v>
      </c>
      <c r="AG24" s="216">
        <v>0</v>
      </c>
      <c r="AH24" s="216">
        <v>0</v>
      </c>
      <c r="AI24" s="216">
        <v>0</v>
      </c>
      <c r="AJ24" s="216">
        <v>0</v>
      </c>
      <c r="AK24" s="216">
        <v>0</v>
      </c>
      <c r="AL24" s="216">
        <v>0</v>
      </c>
      <c r="AM24" s="216">
        <v>0</v>
      </c>
      <c r="AN24" s="216">
        <v>0</v>
      </c>
      <c r="AO24" s="216">
        <v>0</v>
      </c>
      <c r="AP24" s="216">
        <v>0</v>
      </c>
      <c r="AQ24" s="216">
        <v>0</v>
      </c>
      <c r="AR24" s="216">
        <v>0</v>
      </c>
      <c r="AS24" s="216">
        <v>0</v>
      </c>
      <c r="AT24" s="216">
        <v>0</v>
      </c>
      <c r="AU24" s="216">
        <v>0</v>
      </c>
      <c r="AV24" s="216">
        <v>0</v>
      </c>
      <c r="AW24" s="216">
        <v>0</v>
      </c>
      <c r="AX24" s="216">
        <v>0</v>
      </c>
      <c r="AY24" s="216">
        <v>0</v>
      </c>
      <c r="AZ24" s="216">
        <v>0</v>
      </c>
      <c r="BA24" s="216">
        <v>0</v>
      </c>
      <c r="BB24" s="216">
        <v>0</v>
      </c>
      <c r="BC24" s="216">
        <v>0</v>
      </c>
      <c r="BD24" s="216">
        <v>0</v>
      </c>
      <c r="BE24" s="216">
        <v>0</v>
      </c>
      <c r="BF24" s="216">
        <v>0</v>
      </c>
      <c r="BG24" s="216">
        <v>0</v>
      </c>
      <c r="BH24" s="216">
        <v>0</v>
      </c>
      <c r="BI24" s="216">
        <v>0</v>
      </c>
      <c r="BJ24" s="216">
        <v>0</v>
      </c>
      <c r="BK24" s="216">
        <v>0</v>
      </c>
      <c r="BL24" s="216">
        <v>0</v>
      </c>
      <c r="BM24" s="216">
        <v>0</v>
      </c>
      <c r="BN24" s="216">
        <v>0</v>
      </c>
      <c r="BO24" s="10">
        <v>0</v>
      </c>
      <c r="BP24" s="10">
        <v>0</v>
      </c>
      <c r="BQ24" s="10">
        <v>0</v>
      </c>
      <c r="BR24" s="10">
        <v>0</v>
      </c>
      <c r="BS24" s="10">
        <v>0</v>
      </c>
      <c r="BT24" s="10">
        <v>0</v>
      </c>
      <c r="BU24" s="10">
        <v>0</v>
      </c>
      <c r="BV24" s="10">
        <v>1</v>
      </c>
      <c r="BW24" s="10">
        <v>1</v>
      </c>
      <c r="BX24" s="11">
        <v>1</v>
      </c>
      <c r="BY24" s="286">
        <v>22</v>
      </c>
    </row>
    <row r="25" spans="1:77" s="286" customFormat="1" x14ac:dyDescent="0.25">
      <c r="B25" s="286">
        <v>1</v>
      </c>
      <c r="C25" s="286">
        <v>2</v>
      </c>
      <c r="D25" s="286">
        <v>3</v>
      </c>
      <c r="E25" s="286">
        <v>4</v>
      </c>
      <c r="F25" s="286">
        <v>5</v>
      </c>
      <c r="G25" s="286">
        <v>6</v>
      </c>
      <c r="H25" s="286">
        <v>7</v>
      </c>
      <c r="I25" s="286">
        <v>8</v>
      </c>
      <c r="J25" s="286">
        <v>9</v>
      </c>
      <c r="K25" s="286">
        <v>10</v>
      </c>
      <c r="L25" s="286">
        <v>11</v>
      </c>
      <c r="M25" s="286">
        <v>12</v>
      </c>
      <c r="N25" s="286">
        <v>13</v>
      </c>
      <c r="O25" s="286">
        <v>14</v>
      </c>
      <c r="P25" s="286">
        <v>15</v>
      </c>
      <c r="Q25" s="286">
        <v>16</v>
      </c>
      <c r="R25" s="286">
        <v>17</v>
      </c>
      <c r="S25" s="286">
        <v>18</v>
      </c>
      <c r="T25" s="286">
        <v>19</v>
      </c>
      <c r="U25" s="286">
        <v>20</v>
      </c>
      <c r="V25" s="286">
        <v>21</v>
      </c>
      <c r="W25" s="286">
        <v>22</v>
      </c>
      <c r="X25" s="286">
        <v>23</v>
      </c>
      <c r="Y25" s="286">
        <v>24</v>
      </c>
      <c r="Z25" s="286">
        <v>25</v>
      </c>
      <c r="AA25" s="286">
        <v>26</v>
      </c>
      <c r="AB25" s="286">
        <v>27</v>
      </c>
      <c r="AC25" s="286">
        <v>28</v>
      </c>
      <c r="AD25" s="286">
        <v>29</v>
      </c>
      <c r="AE25" s="286">
        <v>30</v>
      </c>
      <c r="AF25" s="286">
        <v>31</v>
      </c>
      <c r="AG25" s="286">
        <v>32</v>
      </c>
      <c r="AH25" s="286">
        <v>33</v>
      </c>
      <c r="AI25" s="286">
        <v>34</v>
      </c>
      <c r="AJ25" s="286">
        <v>35</v>
      </c>
      <c r="AK25" s="286">
        <v>36</v>
      </c>
      <c r="AL25" s="286">
        <v>37</v>
      </c>
      <c r="AM25" s="286">
        <v>38</v>
      </c>
      <c r="AN25" s="286">
        <v>39</v>
      </c>
      <c r="AO25" s="286">
        <v>40</v>
      </c>
      <c r="AP25" s="286">
        <v>41</v>
      </c>
      <c r="AQ25" s="286">
        <v>42</v>
      </c>
      <c r="AR25" s="286">
        <v>43</v>
      </c>
      <c r="AS25" s="286">
        <v>44</v>
      </c>
      <c r="AT25" s="286">
        <v>45</v>
      </c>
      <c r="AU25" s="286">
        <v>46</v>
      </c>
      <c r="AV25" s="286">
        <v>47</v>
      </c>
      <c r="AW25" s="286">
        <v>48</v>
      </c>
      <c r="AX25" s="286">
        <v>49</v>
      </c>
      <c r="AY25" s="286">
        <v>50</v>
      </c>
      <c r="AZ25" s="286">
        <v>51</v>
      </c>
      <c r="BA25" s="286">
        <v>52</v>
      </c>
      <c r="BB25" s="286">
        <v>53</v>
      </c>
      <c r="BC25" s="286">
        <v>54</v>
      </c>
      <c r="BD25" s="286">
        <v>55</v>
      </c>
      <c r="BE25" s="286">
        <v>56</v>
      </c>
      <c r="BF25" s="286">
        <v>57</v>
      </c>
      <c r="BG25" s="286">
        <v>58</v>
      </c>
      <c r="BH25" s="286">
        <v>59</v>
      </c>
      <c r="BI25" s="286">
        <v>60</v>
      </c>
      <c r="BJ25" s="286">
        <v>61</v>
      </c>
      <c r="BK25" s="286">
        <v>62</v>
      </c>
      <c r="BL25" s="286">
        <v>63</v>
      </c>
      <c r="BM25" s="286">
        <v>64</v>
      </c>
      <c r="BN25" s="286">
        <v>65</v>
      </c>
      <c r="BO25" s="286">
        <v>66</v>
      </c>
      <c r="BP25" s="286">
        <v>67</v>
      </c>
      <c r="BQ25" s="286">
        <v>68</v>
      </c>
      <c r="BR25" s="286">
        <v>69</v>
      </c>
      <c r="BS25" s="286">
        <v>70</v>
      </c>
      <c r="BT25" s="286">
        <v>71</v>
      </c>
      <c r="BU25" s="286">
        <v>72</v>
      </c>
      <c r="BV25" s="286">
        <v>73</v>
      </c>
      <c r="BW25" s="286">
        <v>74</v>
      </c>
      <c r="BX25" s="286">
        <v>75</v>
      </c>
    </row>
    <row r="26" spans="1:77" s="286" customFormat="1" x14ac:dyDescent="0.25"/>
    <row r="27" spans="1:77" ht="13.8" thickBot="1" x14ac:dyDescent="0.3">
      <c r="A27" s="1" t="str">
        <f>CONCATENATE("Aggregation 75 industries to 6 ",name!C2)</f>
        <v>Aggregation 75 industries to 6 Industry sectors</v>
      </c>
    </row>
    <row r="28" spans="1:77" x14ac:dyDescent="0.25">
      <c r="A28" s="12" t="str">
        <f>name!C4</f>
        <v>Primary sector and utilities</v>
      </c>
      <c r="B28" s="4">
        <v>1</v>
      </c>
      <c r="C28" s="5">
        <v>1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1</v>
      </c>
      <c r="Z28" s="5">
        <v>1</v>
      </c>
      <c r="AA28" s="5">
        <v>1</v>
      </c>
      <c r="AB28" s="5">
        <v>1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6">
        <v>0</v>
      </c>
      <c r="BY28" s="3">
        <v>1</v>
      </c>
    </row>
    <row r="29" spans="1:77" x14ac:dyDescent="0.25">
      <c r="A29" s="12" t="str">
        <f>name!C5</f>
        <v>Manufacturing</v>
      </c>
      <c r="B29" s="7">
        <v>0</v>
      </c>
      <c r="C29" s="2">
        <v>0</v>
      </c>
      <c r="D29" s="2">
        <v>1</v>
      </c>
      <c r="E29" s="2">
        <v>1</v>
      </c>
      <c r="F29" s="2">
        <v>1</v>
      </c>
      <c r="G29" s="2">
        <v>1</v>
      </c>
      <c r="H29" s="2">
        <v>1</v>
      </c>
      <c r="I29" s="2">
        <v>1</v>
      </c>
      <c r="J29" s="2">
        <v>1</v>
      </c>
      <c r="K29" s="2">
        <v>1</v>
      </c>
      <c r="L29" s="2">
        <v>1</v>
      </c>
      <c r="M29" s="2">
        <v>1</v>
      </c>
      <c r="N29" s="2">
        <v>1</v>
      </c>
      <c r="O29" s="2">
        <v>1</v>
      </c>
      <c r="P29" s="2">
        <v>1</v>
      </c>
      <c r="Q29" s="2">
        <v>1</v>
      </c>
      <c r="R29" s="2">
        <v>1</v>
      </c>
      <c r="S29" s="2">
        <v>1</v>
      </c>
      <c r="T29" s="2">
        <v>1</v>
      </c>
      <c r="U29" s="2">
        <v>1</v>
      </c>
      <c r="V29" s="2">
        <v>1</v>
      </c>
      <c r="W29" s="2">
        <v>1</v>
      </c>
      <c r="X29" s="2">
        <v>1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2">
        <v>0</v>
      </c>
      <c r="BM29" s="2">
        <v>0</v>
      </c>
      <c r="BN29" s="2">
        <v>0</v>
      </c>
      <c r="BO29" s="2">
        <v>0</v>
      </c>
      <c r="BP29" s="2">
        <v>0</v>
      </c>
      <c r="BQ29" s="2">
        <v>0</v>
      </c>
      <c r="BR29" s="2">
        <v>0</v>
      </c>
      <c r="BS29" s="2">
        <v>0</v>
      </c>
      <c r="BT29" s="2">
        <v>0</v>
      </c>
      <c r="BU29" s="2">
        <v>0</v>
      </c>
      <c r="BV29" s="2">
        <v>0</v>
      </c>
      <c r="BW29" s="2">
        <v>0</v>
      </c>
      <c r="BX29" s="8">
        <v>0</v>
      </c>
      <c r="BY29" s="3">
        <v>2</v>
      </c>
    </row>
    <row r="30" spans="1:77" x14ac:dyDescent="0.25">
      <c r="A30" s="12" t="str">
        <f>name!C6</f>
        <v>Construction</v>
      </c>
      <c r="B30" s="7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1</v>
      </c>
      <c r="AD30" s="2">
        <v>1</v>
      </c>
      <c r="AE30" s="2">
        <v>1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2">
        <v>0</v>
      </c>
      <c r="BN30" s="2">
        <v>0</v>
      </c>
      <c r="BO30" s="2">
        <v>0</v>
      </c>
      <c r="BP30" s="2">
        <v>0</v>
      </c>
      <c r="BQ30" s="2">
        <v>0</v>
      </c>
      <c r="BR30" s="2">
        <v>0</v>
      </c>
      <c r="BS30" s="2">
        <v>0</v>
      </c>
      <c r="BT30" s="2">
        <v>0</v>
      </c>
      <c r="BU30" s="2">
        <v>0</v>
      </c>
      <c r="BV30" s="2">
        <v>0</v>
      </c>
      <c r="BW30" s="2">
        <v>0</v>
      </c>
      <c r="BX30" s="8">
        <v>0</v>
      </c>
      <c r="BY30" s="3">
        <v>3</v>
      </c>
    </row>
    <row r="31" spans="1:77" x14ac:dyDescent="0.25">
      <c r="A31" s="12" t="str">
        <f>name!C7</f>
        <v>Trade, accomod. and transport</v>
      </c>
      <c r="B31" s="7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1</v>
      </c>
      <c r="AG31" s="2">
        <v>1</v>
      </c>
      <c r="AH31" s="2">
        <v>1</v>
      </c>
      <c r="AI31" s="2">
        <v>1</v>
      </c>
      <c r="AJ31" s="2">
        <v>1</v>
      </c>
      <c r="AK31" s="2">
        <v>1</v>
      </c>
      <c r="AL31" s="2">
        <v>1</v>
      </c>
      <c r="AM31" s="2">
        <v>1</v>
      </c>
      <c r="AN31" s="2">
        <v>1</v>
      </c>
      <c r="AO31" s="2">
        <v>1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2">
        <v>0</v>
      </c>
      <c r="BN31" s="2">
        <v>0</v>
      </c>
      <c r="BO31" s="2">
        <v>0</v>
      </c>
      <c r="BP31" s="2">
        <v>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8">
        <v>0</v>
      </c>
      <c r="BY31" s="3">
        <v>4</v>
      </c>
    </row>
    <row r="32" spans="1:77" x14ac:dyDescent="0.25">
      <c r="A32" s="12" t="str">
        <f>name!C8</f>
        <v>Business and other services</v>
      </c>
      <c r="B32" s="7">
        <v>0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2">
        <v>1</v>
      </c>
      <c r="AQ32" s="2">
        <v>1</v>
      </c>
      <c r="AR32" s="2">
        <v>1</v>
      </c>
      <c r="AS32" s="2">
        <v>1</v>
      </c>
      <c r="AT32" s="2">
        <v>1</v>
      </c>
      <c r="AU32" s="2">
        <v>1</v>
      </c>
      <c r="AV32" s="2">
        <v>1</v>
      </c>
      <c r="AW32" s="2">
        <v>1</v>
      </c>
      <c r="AX32" s="2">
        <v>1</v>
      </c>
      <c r="AY32" s="2">
        <v>1</v>
      </c>
      <c r="AZ32" s="2">
        <v>1</v>
      </c>
      <c r="BA32" s="2">
        <v>1</v>
      </c>
      <c r="BB32" s="2">
        <v>1</v>
      </c>
      <c r="BC32" s="2">
        <v>1</v>
      </c>
      <c r="BD32" s="2">
        <v>1</v>
      </c>
      <c r="BE32" s="2">
        <v>1</v>
      </c>
      <c r="BF32" s="2">
        <v>1</v>
      </c>
      <c r="BG32" s="2">
        <v>1</v>
      </c>
      <c r="BH32" s="2">
        <v>1</v>
      </c>
      <c r="BI32" s="2">
        <v>1</v>
      </c>
      <c r="BJ32" s="2">
        <v>1</v>
      </c>
      <c r="BK32" s="2">
        <v>1</v>
      </c>
      <c r="BL32" s="2">
        <v>1</v>
      </c>
      <c r="BM32" s="2">
        <v>0</v>
      </c>
      <c r="BN32" s="2">
        <v>0</v>
      </c>
      <c r="BO32" s="2">
        <v>0</v>
      </c>
      <c r="BP32" s="2">
        <v>0</v>
      </c>
      <c r="BQ32" s="2">
        <v>0</v>
      </c>
      <c r="BR32" s="2">
        <v>1</v>
      </c>
      <c r="BS32" s="2">
        <v>1</v>
      </c>
      <c r="BT32" s="2">
        <v>1</v>
      </c>
      <c r="BU32" s="2">
        <v>1</v>
      </c>
      <c r="BV32" s="2">
        <v>1</v>
      </c>
      <c r="BW32" s="2">
        <v>1</v>
      </c>
      <c r="BX32" s="8">
        <v>1</v>
      </c>
      <c r="BY32" s="3">
        <v>5</v>
      </c>
    </row>
    <row r="33" spans="1:77" ht="13.8" thickBot="1" x14ac:dyDescent="0.3">
      <c r="A33" s="12" t="str">
        <f>name!C9</f>
        <v>Non-marketed services</v>
      </c>
      <c r="B33" s="9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>
        <v>0</v>
      </c>
      <c r="AE33" s="10">
        <v>0</v>
      </c>
      <c r="AF33" s="10">
        <v>0</v>
      </c>
      <c r="AG33" s="10">
        <v>0</v>
      </c>
      <c r="AH33" s="10">
        <v>0</v>
      </c>
      <c r="AI33" s="10">
        <v>0</v>
      </c>
      <c r="AJ33" s="10">
        <v>0</v>
      </c>
      <c r="AK33" s="10">
        <v>0</v>
      </c>
      <c r="AL33" s="10">
        <v>0</v>
      </c>
      <c r="AM33" s="10">
        <v>0</v>
      </c>
      <c r="AN33" s="10">
        <v>0</v>
      </c>
      <c r="AO33" s="10">
        <v>0</v>
      </c>
      <c r="AP33" s="10">
        <v>0</v>
      </c>
      <c r="AQ33" s="10">
        <v>0</v>
      </c>
      <c r="AR33" s="10">
        <v>0</v>
      </c>
      <c r="AS33" s="10">
        <v>0</v>
      </c>
      <c r="AT33" s="10">
        <v>0</v>
      </c>
      <c r="AU33" s="10">
        <v>0</v>
      </c>
      <c r="AV33" s="10">
        <v>0</v>
      </c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0</v>
      </c>
      <c r="BD33" s="10">
        <v>0</v>
      </c>
      <c r="BE33" s="10">
        <v>0</v>
      </c>
      <c r="BF33" s="10">
        <v>0</v>
      </c>
      <c r="BG33" s="10">
        <v>0</v>
      </c>
      <c r="BH33" s="10">
        <v>0</v>
      </c>
      <c r="BI33" s="10">
        <v>0</v>
      </c>
      <c r="BJ33" s="10">
        <v>0</v>
      </c>
      <c r="BK33" s="10">
        <v>0</v>
      </c>
      <c r="BL33" s="10">
        <v>0</v>
      </c>
      <c r="BM33" s="10">
        <v>1</v>
      </c>
      <c r="BN33" s="10">
        <v>1</v>
      </c>
      <c r="BO33" s="10">
        <v>1</v>
      </c>
      <c r="BP33" s="10">
        <v>1</v>
      </c>
      <c r="BQ33" s="10">
        <v>1</v>
      </c>
      <c r="BR33" s="10">
        <v>0</v>
      </c>
      <c r="BS33" s="10">
        <v>0</v>
      </c>
      <c r="BT33" s="10">
        <v>0</v>
      </c>
      <c r="BU33" s="10">
        <v>0</v>
      </c>
      <c r="BV33" s="10">
        <v>0</v>
      </c>
      <c r="BW33" s="10">
        <v>0</v>
      </c>
      <c r="BX33" s="11">
        <v>0</v>
      </c>
      <c r="BY33" s="3">
        <v>6</v>
      </c>
    </row>
    <row r="34" spans="1:77" x14ac:dyDescent="0.25">
      <c r="B34" s="3">
        <v>1</v>
      </c>
      <c r="C34" s="3">
        <v>2</v>
      </c>
      <c r="D34" s="3">
        <v>3</v>
      </c>
      <c r="E34" s="3">
        <v>4</v>
      </c>
      <c r="F34" s="3">
        <v>5</v>
      </c>
      <c r="G34" s="3">
        <v>6</v>
      </c>
      <c r="H34" s="3">
        <v>7</v>
      </c>
      <c r="I34" s="3">
        <v>8</v>
      </c>
      <c r="J34" s="3">
        <v>9</v>
      </c>
      <c r="K34" s="3">
        <v>10</v>
      </c>
      <c r="L34" s="3">
        <v>11</v>
      </c>
      <c r="M34" s="3">
        <v>12</v>
      </c>
      <c r="N34" s="3">
        <v>13</v>
      </c>
      <c r="O34" s="3">
        <v>14</v>
      </c>
      <c r="P34" s="3">
        <v>15</v>
      </c>
      <c r="Q34" s="3">
        <v>16</v>
      </c>
      <c r="R34" s="3">
        <v>17</v>
      </c>
      <c r="S34" s="3">
        <v>18</v>
      </c>
      <c r="T34" s="3">
        <v>19</v>
      </c>
      <c r="U34" s="3">
        <v>20</v>
      </c>
      <c r="V34" s="3">
        <v>21</v>
      </c>
      <c r="W34" s="3">
        <v>22</v>
      </c>
      <c r="X34" s="3">
        <v>23</v>
      </c>
      <c r="Y34" s="3">
        <v>24</v>
      </c>
      <c r="Z34" s="3">
        <v>25</v>
      </c>
      <c r="AA34" s="3">
        <v>26</v>
      </c>
      <c r="AB34" s="3">
        <v>27</v>
      </c>
      <c r="AC34" s="3">
        <v>28</v>
      </c>
      <c r="AD34" s="3">
        <v>29</v>
      </c>
      <c r="AE34" s="3">
        <v>30</v>
      </c>
      <c r="AF34" s="3">
        <v>31</v>
      </c>
      <c r="AG34" s="3">
        <v>32</v>
      </c>
      <c r="AH34" s="3">
        <v>33</v>
      </c>
      <c r="AI34" s="3">
        <v>34</v>
      </c>
      <c r="AJ34" s="3">
        <v>35</v>
      </c>
      <c r="AK34" s="3">
        <v>36</v>
      </c>
      <c r="AL34" s="3">
        <v>37</v>
      </c>
      <c r="AM34" s="3">
        <v>38</v>
      </c>
      <c r="AN34" s="3">
        <v>39</v>
      </c>
      <c r="AO34" s="3">
        <v>40</v>
      </c>
      <c r="AP34" s="3">
        <v>41</v>
      </c>
      <c r="AQ34" s="3">
        <v>42</v>
      </c>
      <c r="AR34" s="3">
        <v>43</v>
      </c>
      <c r="AS34" s="3">
        <v>44</v>
      </c>
      <c r="AT34" s="3">
        <v>45</v>
      </c>
      <c r="AU34" s="3">
        <v>46</v>
      </c>
      <c r="AV34" s="3">
        <v>47</v>
      </c>
      <c r="AW34" s="3">
        <v>48</v>
      </c>
      <c r="AX34" s="3">
        <v>49</v>
      </c>
      <c r="AY34" s="3">
        <v>50</v>
      </c>
      <c r="AZ34" s="3">
        <v>51</v>
      </c>
      <c r="BA34" s="3">
        <v>52</v>
      </c>
      <c r="BB34" s="3">
        <v>53</v>
      </c>
      <c r="BC34" s="3">
        <v>54</v>
      </c>
      <c r="BD34" s="3">
        <v>55</v>
      </c>
      <c r="BE34" s="3">
        <v>56</v>
      </c>
      <c r="BF34" s="3">
        <v>57</v>
      </c>
      <c r="BG34" s="3">
        <v>58</v>
      </c>
      <c r="BH34" s="3">
        <v>59</v>
      </c>
      <c r="BI34" s="3">
        <v>60</v>
      </c>
      <c r="BJ34" s="3">
        <v>61</v>
      </c>
      <c r="BK34" s="3">
        <v>62</v>
      </c>
      <c r="BL34" s="3">
        <v>63</v>
      </c>
      <c r="BM34" s="3">
        <v>64</v>
      </c>
      <c r="BN34" s="3">
        <v>65</v>
      </c>
      <c r="BO34" s="3">
        <v>66</v>
      </c>
      <c r="BP34" s="3">
        <v>67</v>
      </c>
      <c r="BQ34" s="3">
        <v>68</v>
      </c>
      <c r="BR34" s="3">
        <v>69</v>
      </c>
      <c r="BS34" s="3">
        <v>70</v>
      </c>
      <c r="BT34" s="3">
        <v>71</v>
      </c>
      <c r="BU34" s="3">
        <v>72</v>
      </c>
      <c r="BV34" s="3">
        <v>73</v>
      </c>
      <c r="BW34" s="3">
        <v>74</v>
      </c>
      <c r="BX34" s="3">
        <v>75</v>
      </c>
    </row>
    <row r="35" spans="1:77" x14ac:dyDescent="0.25"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</row>
    <row r="36" spans="1:77" x14ac:dyDescent="0.25">
      <c r="A36" s="1" t="str">
        <f>CONCATENATE("Aggregation 25 occupations to 9 ",name!$E$2)</f>
        <v>Aggregation 25 occupations to 9 Major group names:</v>
      </c>
    </row>
    <row r="37" spans="1:77" ht="120" customHeight="1" thickBot="1" x14ac:dyDescent="0.3">
      <c r="B37" s="14" t="str">
        <f t="array" ref="B37:Z37">TRANSPOSE(name!$D$4:$D$28)</f>
        <v xml:space="preserve"> 11 Corporate managers and directors</v>
      </c>
      <c r="C37" s="14" t="str">
        <v xml:space="preserve"> 12 Other managers and proprietors</v>
      </c>
      <c r="D37" s="14" t="str">
        <v xml:space="preserve"> 21 Science, research, engineering and technology professionals</v>
      </c>
      <c r="E37" s="14" t="str">
        <v xml:space="preserve"> 22 Health professionals</v>
      </c>
      <c r="F37" s="14" t="str">
        <v xml:space="preserve"> 23 Teaching and educational professionals</v>
      </c>
      <c r="G37" s="14" t="str">
        <v xml:space="preserve"> 24 Business, media and public service professionals</v>
      </c>
      <c r="H37" s="14" t="str">
        <v xml:space="preserve"> 31 Science, engineering and technology associate professionals</v>
      </c>
      <c r="I37" s="14" t="str">
        <v xml:space="preserve"> 32 Health and social care associate professionals</v>
      </c>
      <c r="J37" s="14" t="str">
        <v xml:space="preserve"> 33 Protective service occupations</v>
      </c>
      <c r="K37" s="14" t="str">
        <v xml:space="preserve"> 34 Culture, media and sports occupations</v>
      </c>
      <c r="L37" s="14" t="str">
        <v xml:space="preserve"> 35 Business and public service associate professionals</v>
      </c>
      <c r="M37" s="14" t="str">
        <v xml:space="preserve"> 41 Administrative occupations</v>
      </c>
      <c r="N37" s="14" t="str">
        <v xml:space="preserve"> 42 Secretarial and related occupations</v>
      </c>
      <c r="O37" s="14" t="str">
        <v xml:space="preserve"> 51 Skilled agricultural and related trades</v>
      </c>
      <c r="P37" s="14" t="str">
        <v xml:space="preserve"> 52 Skilled metal, electrical and electronic trades</v>
      </c>
      <c r="Q37" s="14" t="str">
        <v xml:space="preserve"> 53 Skilled construction and building trades</v>
      </c>
      <c r="R37" s="14" t="str">
        <v xml:space="preserve"> 54 Textiles, printing and other skilled trades</v>
      </c>
      <c r="S37" s="14" t="str">
        <v xml:space="preserve"> 61 Caring personal service occupations</v>
      </c>
      <c r="T37" s="14" t="str">
        <v xml:space="preserve"> 62 Leisure, travel and related personal service occupations</v>
      </c>
      <c r="U37" s="14" t="str">
        <v xml:space="preserve"> 71 Sales occupations</v>
      </c>
      <c r="V37" s="14" t="str">
        <v xml:space="preserve"> 72 Customer service occupations</v>
      </c>
      <c r="W37" s="14" t="str">
        <v xml:space="preserve"> 81 Process, plant and machine operatives</v>
      </c>
      <c r="X37" s="14" t="str">
        <v xml:space="preserve"> 82 Transport and mobile machine drivers and operatives</v>
      </c>
      <c r="Y37" s="14" t="str">
        <v xml:space="preserve"> 91 Elementary trades and related occupations</v>
      </c>
      <c r="Z37" s="14" t="str">
        <v xml:space="preserve"> 92 Elementary administration and service occupations</v>
      </c>
      <c r="AA37" s="14"/>
      <c r="AB37" s="14"/>
    </row>
    <row r="38" spans="1:77" x14ac:dyDescent="0.25">
      <c r="A38" t="str">
        <f>name!E4</f>
        <v>Managers, directors and senior officials</v>
      </c>
      <c r="B38" s="4">
        <v>1</v>
      </c>
      <c r="C38" s="5">
        <v>1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6">
        <v>0</v>
      </c>
      <c r="AA38" s="3">
        <v>1</v>
      </c>
      <c r="AB38" s="2"/>
    </row>
    <row r="39" spans="1:77" x14ac:dyDescent="0.25">
      <c r="A39" t="str">
        <f>name!E5</f>
        <v>Professional occupations</v>
      </c>
      <c r="B39" s="7">
        <v>0</v>
      </c>
      <c r="C39" s="2">
        <v>0</v>
      </c>
      <c r="D39" s="2">
        <v>1</v>
      </c>
      <c r="E39" s="2">
        <v>1</v>
      </c>
      <c r="F39" s="2">
        <v>1</v>
      </c>
      <c r="G39" s="2">
        <v>1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 s="8">
        <v>0</v>
      </c>
      <c r="AA39" s="3">
        <v>2</v>
      </c>
      <c r="AB39" s="2"/>
    </row>
    <row r="40" spans="1:77" x14ac:dyDescent="0.25">
      <c r="A40" t="str">
        <f>name!E6</f>
        <v>Associate professional and technical</v>
      </c>
      <c r="B40" s="7">
        <v>0</v>
      </c>
      <c r="C40" s="2">
        <v>0</v>
      </c>
      <c r="D40" s="2">
        <v>0</v>
      </c>
      <c r="E40" s="2">
        <v>0</v>
      </c>
      <c r="F40" s="3">
        <v>0</v>
      </c>
      <c r="G40" s="3">
        <v>0</v>
      </c>
      <c r="H40" s="2">
        <v>1</v>
      </c>
      <c r="I40" s="2">
        <v>1</v>
      </c>
      <c r="J40" s="2">
        <v>1</v>
      </c>
      <c r="K40" s="2">
        <v>1</v>
      </c>
      <c r="L40" s="2">
        <v>1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8">
        <v>0</v>
      </c>
      <c r="AA40" s="3">
        <v>3</v>
      </c>
      <c r="AB40" s="2"/>
    </row>
    <row r="41" spans="1:77" x14ac:dyDescent="0.25">
      <c r="A41" t="str">
        <f>name!E7</f>
        <v>Administrative and secretarial</v>
      </c>
      <c r="B41" s="7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 s="2">
        <v>1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8">
        <v>0</v>
      </c>
      <c r="AA41" s="3">
        <v>4</v>
      </c>
      <c r="AB41" s="2"/>
    </row>
    <row r="42" spans="1:77" x14ac:dyDescent="0.25">
      <c r="A42" t="str">
        <f>name!E8</f>
        <v>Skilled trades occupations</v>
      </c>
      <c r="B42" s="7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1</v>
      </c>
      <c r="P42" s="2">
        <v>1</v>
      </c>
      <c r="Q42" s="2">
        <v>1</v>
      </c>
      <c r="R42" s="2">
        <v>1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8">
        <v>0</v>
      </c>
      <c r="AA42" s="3">
        <v>5</v>
      </c>
      <c r="AB42" s="2"/>
    </row>
    <row r="43" spans="1:77" x14ac:dyDescent="0.25">
      <c r="A43" t="str">
        <f>name!E9</f>
        <v>Caring, leisure and other service</v>
      </c>
      <c r="B43" s="7">
        <v>0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1</v>
      </c>
      <c r="T43" s="2">
        <v>1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 s="8">
        <v>0</v>
      </c>
      <c r="AA43" s="3">
        <v>6</v>
      </c>
      <c r="AB43" s="2"/>
    </row>
    <row r="44" spans="1:77" x14ac:dyDescent="0.25">
      <c r="A44" t="str">
        <f>name!E10</f>
        <v>Sales and customer service</v>
      </c>
      <c r="B44" s="7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1</v>
      </c>
      <c r="V44" s="2">
        <v>1</v>
      </c>
      <c r="W44" s="2">
        <v>0</v>
      </c>
      <c r="X44" s="2">
        <v>0</v>
      </c>
      <c r="Y44" s="2">
        <v>0</v>
      </c>
      <c r="Z44" s="8">
        <v>0</v>
      </c>
      <c r="AA44" s="3">
        <v>7</v>
      </c>
      <c r="AB44" s="2"/>
    </row>
    <row r="45" spans="1:77" x14ac:dyDescent="0.25">
      <c r="A45" t="str">
        <f>name!E11</f>
        <v>Process, plant and machine operatives</v>
      </c>
      <c r="B45" s="7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</v>
      </c>
      <c r="X45" s="2">
        <v>1</v>
      </c>
      <c r="Y45" s="2">
        <v>0</v>
      </c>
      <c r="Z45" s="8">
        <v>0</v>
      </c>
      <c r="AA45" s="3">
        <v>8</v>
      </c>
      <c r="AB45" s="2"/>
    </row>
    <row r="46" spans="1:77" ht="13.8" thickBot="1" x14ac:dyDescent="0.3">
      <c r="A46" t="str">
        <f>name!E12</f>
        <v>Elementary occupations</v>
      </c>
      <c r="B46" s="9">
        <v>0</v>
      </c>
      <c r="C46" s="10">
        <v>0</v>
      </c>
      <c r="D46" s="10">
        <v>0</v>
      </c>
      <c r="E46" s="10">
        <v>0</v>
      </c>
      <c r="F46" s="10">
        <v>0</v>
      </c>
      <c r="G46" s="10">
        <v>0</v>
      </c>
      <c r="H46" s="10">
        <v>0</v>
      </c>
      <c r="I46" s="10">
        <v>0</v>
      </c>
      <c r="J46" s="10">
        <v>0</v>
      </c>
      <c r="K46" s="10">
        <v>0</v>
      </c>
      <c r="L46" s="10">
        <v>0</v>
      </c>
      <c r="M46" s="10">
        <v>0</v>
      </c>
      <c r="N46" s="10">
        <v>0</v>
      </c>
      <c r="O46" s="10">
        <v>0</v>
      </c>
      <c r="P46" s="10">
        <v>0</v>
      </c>
      <c r="Q46" s="10">
        <v>0</v>
      </c>
      <c r="R46" s="10">
        <v>0</v>
      </c>
      <c r="S46" s="10">
        <v>0</v>
      </c>
      <c r="T46" s="10">
        <v>0</v>
      </c>
      <c r="U46" s="10">
        <v>0</v>
      </c>
      <c r="V46" s="10">
        <v>0</v>
      </c>
      <c r="W46" s="10">
        <v>0</v>
      </c>
      <c r="X46" s="10">
        <v>0</v>
      </c>
      <c r="Y46" s="10">
        <v>1</v>
      </c>
      <c r="Z46" s="11">
        <v>1</v>
      </c>
      <c r="AA46" s="3">
        <v>9</v>
      </c>
      <c r="AB46" s="2"/>
    </row>
    <row r="47" spans="1:77" x14ac:dyDescent="0.25">
      <c r="B47" s="3">
        <v>1</v>
      </c>
      <c r="C47" s="3">
        <v>2</v>
      </c>
      <c r="D47" s="3">
        <v>3</v>
      </c>
      <c r="E47" s="3">
        <v>4</v>
      </c>
      <c r="F47" s="3">
        <v>5</v>
      </c>
      <c r="G47" s="3">
        <v>6</v>
      </c>
      <c r="H47" s="3">
        <v>7</v>
      </c>
      <c r="I47" s="3">
        <v>8</v>
      </c>
      <c r="J47" s="3">
        <v>9</v>
      </c>
      <c r="K47" s="3">
        <v>10</v>
      </c>
      <c r="L47" s="3">
        <v>11</v>
      </c>
      <c r="M47" s="3">
        <v>12</v>
      </c>
      <c r="N47" s="3">
        <v>13</v>
      </c>
      <c r="O47" s="3">
        <v>14</v>
      </c>
      <c r="P47" s="3">
        <v>15</v>
      </c>
      <c r="Q47" s="3">
        <v>16</v>
      </c>
      <c r="R47" s="3">
        <v>17</v>
      </c>
      <c r="S47" s="3">
        <v>18</v>
      </c>
      <c r="T47" s="3">
        <v>19</v>
      </c>
      <c r="U47" s="3">
        <v>20</v>
      </c>
      <c r="V47" s="3">
        <v>21</v>
      </c>
      <c r="W47" s="3">
        <v>22</v>
      </c>
      <c r="X47" s="3">
        <v>23</v>
      </c>
      <c r="Y47" s="3">
        <v>24</v>
      </c>
      <c r="Z47" s="3">
        <v>25</v>
      </c>
      <c r="AA47" s="3"/>
      <c r="AB47" s="3"/>
    </row>
    <row r="49" spans="1:11" x14ac:dyDescent="0.25">
      <c r="A49" s="1" t="str">
        <f>CONCATENATE("Aggregation 9 qualifications to 6 ",name!$G$2)</f>
        <v>Aggregation 9 qualifications to 6 Qualification groups</v>
      </c>
    </row>
    <row r="50" spans="1:11" ht="197.25" customHeight="1" thickBot="1" x14ac:dyDescent="0.3">
      <c r="B50" s="171" t="str">
        <f t="array" ref="B50:J50">TRANSPOSE(name!F4:F13)</f>
        <v>RQF8 Doctorate</v>
      </c>
      <c r="C50" s="171" t="str">
        <v>RQF7 Other higher degree</v>
      </c>
      <c r="D50" s="171" t="str">
        <v>RQF6 First degree</v>
      </c>
      <c r="E50" s="171" t="str">
        <v>RQF5 Foundation degree;Nursing;Teaching</v>
      </c>
      <c r="F50" s="171" t="str">
        <v>RQF4 HE below degree level</v>
      </c>
      <c r="G50" s="171" t="str">
        <v>RQF3 A level &amp; equivalent</v>
      </c>
      <c r="H50" s="171" t="str">
        <v>RQF2 GCSE(A-C) &amp; equivalent</v>
      </c>
      <c r="I50" s="171" t="str">
        <v>RQF1 GCSE(below grade C) &amp; equivalent</v>
      </c>
      <c r="J50" s="171" t="str">
        <v>No Qualification</v>
      </c>
    </row>
    <row r="51" spans="1:11" x14ac:dyDescent="0.25">
      <c r="A51" s="12" t="str">
        <f>name!G4</f>
        <v>RQF 7-8</v>
      </c>
      <c r="B51" s="4">
        <v>1</v>
      </c>
      <c r="C51" s="5">
        <v>1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>
        <v>1</v>
      </c>
    </row>
    <row r="52" spans="1:11" x14ac:dyDescent="0.25">
      <c r="A52" s="12" t="str">
        <f>name!G5</f>
        <v>RQF 4-6</v>
      </c>
      <c r="B52" s="7">
        <v>0</v>
      </c>
      <c r="C52" s="2">
        <v>0</v>
      </c>
      <c r="D52" s="2">
        <v>1</v>
      </c>
      <c r="E52" s="2">
        <v>1</v>
      </c>
      <c r="F52" s="2">
        <v>1</v>
      </c>
      <c r="G52" s="2">
        <v>0</v>
      </c>
      <c r="H52" s="2">
        <v>0</v>
      </c>
      <c r="I52" s="3">
        <v>0</v>
      </c>
      <c r="J52" s="215">
        <v>0</v>
      </c>
      <c r="K52">
        <v>2</v>
      </c>
    </row>
    <row r="53" spans="1:11" x14ac:dyDescent="0.25">
      <c r="A53" s="12" t="str">
        <f>name!G6</f>
        <v>RQF3 A level &amp; equivalent</v>
      </c>
      <c r="B53" s="7">
        <v>0</v>
      </c>
      <c r="C53" s="2">
        <v>0</v>
      </c>
      <c r="D53" s="2">
        <v>0</v>
      </c>
      <c r="E53" s="2">
        <v>0</v>
      </c>
      <c r="F53" s="2">
        <v>0</v>
      </c>
      <c r="G53" s="2">
        <v>1</v>
      </c>
      <c r="H53" s="2">
        <v>0</v>
      </c>
      <c r="I53" s="3">
        <v>0</v>
      </c>
      <c r="J53" s="215">
        <v>0</v>
      </c>
      <c r="K53">
        <v>3</v>
      </c>
    </row>
    <row r="54" spans="1:11" x14ac:dyDescent="0.25">
      <c r="A54" s="12" t="str">
        <f>name!G7</f>
        <v>RQF2 GCSE(A-C) &amp; equivalent</v>
      </c>
      <c r="B54" s="7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1</v>
      </c>
      <c r="I54" s="3">
        <v>0</v>
      </c>
      <c r="J54" s="215">
        <v>0</v>
      </c>
      <c r="K54" s="286">
        <v>4</v>
      </c>
    </row>
    <row r="55" spans="1:11" x14ac:dyDescent="0.25">
      <c r="A55" s="12" t="str">
        <f>name!G8</f>
        <v>RQF1 GCSE(below grade C) &amp; equivalent</v>
      </c>
      <c r="B55" s="7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1</v>
      </c>
      <c r="J55" s="215">
        <v>0</v>
      </c>
      <c r="K55" s="286">
        <v>5</v>
      </c>
    </row>
    <row r="56" spans="1:11" ht="13.8" thickBot="1" x14ac:dyDescent="0.3">
      <c r="A56" s="12" t="str">
        <f>name!G9</f>
        <v>No Qualification</v>
      </c>
      <c r="B56" s="9">
        <v>0</v>
      </c>
      <c r="C56" s="10">
        <v>0</v>
      </c>
      <c r="D56" s="10">
        <v>0</v>
      </c>
      <c r="E56" s="10">
        <v>0</v>
      </c>
      <c r="F56" s="10">
        <v>0</v>
      </c>
      <c r="G56" s="10">
        <v>0</v>
      </c>
      <c r="H56" s="10">
        <v>0</v>
      </c>
      <c r="I56" s="10">
        <v>0</v>
      </c>
      <c r="J56" s="11">
        <v>1</v>
      </c>
      <c r="K56" s="286">
        <v>6</v>
      </c>
    </row>
    <row r="57" spans="1:11" x14ac:dyDescent="0.25">
      <c r="A57" s="12"/>
      <c r="B57">
        <v>1</v>
      </c>
      <c r="C57">
        <v>2</v>
      </c>
      <c r="D57" s="172">
        <v>3</v>
      </c>
      <c r="E57" s="172">
        <v>4</v>
      </c>
      <c r="F57" s="172">
        <v>5</v>
      </c>
      <c r="G57" s="172">
        <v>6</v>
      </c>
      <c r="H57" s="172">
        <v>7</v>
      </c>
      <c r="I57" s="286">
        <v>8</v>
      </c>
      <c r="J57" s="286">
        <v>9</v>
      </c>
      <c r="K57" s="286"/>
    </row>
    <row r="58" spans="1:11" x14ac:dyDescent="0.25">
      <c r="A58" s="12"/>
      <c r="K58" s="286"/>
    </row>
    <row r="59" spans="1:11" x14ac:dyDescent="0.25">
      <c r="A59" s="12"/>
      <c r="K59" s="286"/>
    </row>
    <row r="60" spans="1:11" x14ac:dyDescent="0.25">
      <c r="A60" s="286"/>
    </row>
  </sheetData>
  <phoneticPr fontId="4" type="noConversion"/>
  <conditionalFormatting sqref="J52:J55">
    <cfRule type="cellIs" dxfId="3" priority="1" operator="equal">
      <formula>0</formula>
    </cfRule>
    <cfRule type="cellIs" dxfId="2" priority="2" stopIfTrue="1" operator="equal">
      <formula>1</formula>
    </cfRule>
  </conditionalFormatting>
  <conditionalFormatting sqref="B3:BX24 B28:BX33 B38:Z46 B51:J56">
    <cfRule type="cellIs" dxfId="1" priority="13" operator="equal">
      <formula>0</formula>
    </cfRule>
    <cfRule type="cellIs" dxfId="0" priority="15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colBreaks count="1" manualBreakCount="1">
    <brk id="69" max="1048575" man="1"/>
  </col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D243"/>
  <sheetViews>
    <sheetView zoomScale="85" zoomScaleNormal="85" workbookViewId="0"/>
  </sheetViews>
  <sheetFormatPr defaultColWidth="10.33203125" defaultRowHeight="13.2" x14ac:dyDescent="0.25"/>
  <cols>
    <col min="1" max="1" width="4.109375" style="16" customWidth="1"/>
    <col min="2" max="2" width="55.6640625" style="16" customWidth="1"/>
    <col min="3" max="3" width="5.88671875" style="16" customWidth="1"/>
    <col min="4" max="4" width="65.6640625" style="16" customWidth="1"/>
    <col min="5" max="16384" width="10.33203125" style="16"/>
  </cols>
  <sheetData>
    <row r="1" spans="1:4" x14ac:dyDescent="0.25">
      <c r="A1" s="17" t="s">
        <v>162</v>
      </c>
    </row>
    <row r="3" spans="1:4" x14ac:dyDescent="0.25">
      <c r="A3" s="173"/>
      <c r="B3" s="173" t="s">
        <v>380</v>
      </c>
      <c r="C3" s="173"/>
      <c r="D3" s="173" t="s">
        <v>381</v>
      </c>
    </row>
    <row r="4" spans="1:4" x14ac:dyDescent="0.25">
      <c r="A4" s="173"/>
      <c r="B4" s="173"/>
      <c r="C4" s="173"/>
      <c r="D4" s="173"/>
    </row>
    <row r="5" spans="1:4" x14ac:dyDescent="0.25">
      <c r="A5" s="173">
        <v>1</v>
      </c>
      <c r="B5" s="173" t="s">
        <v>163</v>
      </c>
      <c r="C5" s="173">
        <v>1</v>
      </c>
      <c r="D5" s="173" t="s">
        <v>164</v>
      </c>
    </row>
    <row r="6" spans="1:4" x14ac:dyDescent="0.25">
      <c r="A6" s="173"/>
      <c r="B6" s="173"/>
      <c r="C6" s="173"/>
      <c r="D6" s="173"/>
    </row>
    <row r="7" spans="1:4" x14ac:dyDescent="0.25">
      <c r="A7" s="173">
        <v>2</v>
      </c>
      <c r="B7" s="173" t="s">
        <v>88</v>
      </c>
      <c r="C7" s="173">
        <v>2</v>
      </c>
      <c r="D7" s="173" t="s">
        <v>165</v>
      </c>
    </row>
    <row r="8" spans="1:4" x14ac:dyDescent="0.25">
      <c r="A8" s="173"/>
      <c r="B8" s="173"/>
      <c r="C8" s="173"/>
      <c r="D8" s="173"/>
    </row>
    <row r="9" spans="1:4" x14ac:dyDescent="0.25">
      <c r="A9" s="173">
        <v>3</v>
      </c>
      <c r="B9" s="173" t="s">
        <v>166</v>
      </c>
      <c r="C9" s="173">
        <v>3</v>
      </c>
      <c r="D9" s="173" t="s">
        <v>167</v>
      </c>
    </row>
    <row r="10" spans="1:4" x14ac:dyDescent="0.25">
      <c r="A10" s="173"/>
      <c r="B10" s="173"/>
      <c r="C10" s="173">
        <v>4</v>
      </c>
      <c r="D10" s="173" t="s">
        <v>168</v>
      </c>
    </row>
    <row r="11" spans="1:4" x14ac:dyDescent="0.25">
      <c r="A11" s="173"/>
      <c r="B11" s="173"/>
      <c r="C11" s="173"/>
      <c r="D11" s="173"/>
    </row>
    <row r="12" spans="1:4" x14ac:dyDescent="0.25">
      <c r="A12" s="173">
        <v>4</v>
      </c>
      <c r="B12" s="173" t="s">
        <v>63</v>
      </c>
      <c r="C12" s="173">
        <v>16</v>
      </c>
      <c r="D12" s="173" t="s">
        <v>169</v>
      </c>
    </row>
    <row r="13" spans="1:4" x14ac:dyDescent="0.25">
      <c r="A13" s="173"/>
      <c r="B13" s="173"/>
      <c r="C13" s="173">
        <v>17</v>
      </c>
      <c r="D13" s="173" t="s">
        <v>89</v>
      </c>
    </row>
    <row r="14" spans="1:4" x14ac:dyDescent="0.25">
      <c r="A14" s="173"/>
      <c r="B14" s="173"/>
      <c r="C14" s="173">
        <v>18</v>
      </c>
      <c r="D14" s="173" t="s">
        <v>170</v>
      </c>
    </row>
    <row r="15" spans="1:4" x14ac:dyDescent="0.25">
      <c r="A15" s="173"/>
      <c r="B15" s="173"/>
      <c r="C15" s="173"/>
      <c r="D15" s="173"/>
    </row>
    <row r="16" spans="1:4" x14ac:dyDescent="0.25">
      <c r="A16" s="173">
        <v>5</v>
      </c>
      <c r="B16" s="173" t="s">
        <v>90</v>
      </c>
      <c r="C16" s="173">
        <v>5</v>
      </c>
      <c r="D16" s="173" t="s">
        <v>171</v>
      </c>
    </row>
    <row r="17" spans="1:4" x14ac:dyDescent="0.25">
      <c r="A17" s="173"/>
      <c r="B17" s="173"/>
      <c r="C17" s="173">
        <v>6</v>
      </c>
      <c r="D17" s="173" t="s">
        <v>172</v>
      </c>
    </row>
    <row r="18" spans="1:4" x14ac:dyDescent="0.25">
      <c r="A18" s="173"/>
      <c r="B18" s="173"/>
      <c r="C18" s="173">
        <v>7</v>
      </c>
      <c r="D18" s="173" t="s">
        <v>173</v>
      </c>
    </row>
    <row r="19" spans="1:4" x14ac:dyDescent="0.25">
      <c r="A19" s="173"/>
      <c r="B19" s="173"/>
      <c r="C19" s="173">
        <v>8</v>
      </c>
      <c r="D19" s="173" t="s">
        <v>174</v>
      </c>
    </row>
    <row r="20" spans="1:4" x14ac:dyDescent="0.25">
      <c r="A20" s="173"/>
      <c r="B20" s="173"/>
      <c r="C20" s="173">
        <v>9</v>
      </c>
      <c r="D20" s="173" t="s">
        <v>175</v>
      </c>
    </row>
    <row r="21" spans="1:4" x14ac:dyDescent="0.25">
      <c r="A21" s="173"/>
      <c r="B21" s="173"/>
      <c r="C21" s="173">
        <v>10</v>
      </c>
      <c r="D21" s="173" t="s">
        <v>176</v>
      </c>
    </row>
    <row r="22" spans="1:4" x14ac:dyDescent="0.25">
      <c r="A22" s="173"/>
      <c r="B22" s="173"/>
      <c r="C22" s="173">
        <v>11</v>
      </c>
      <c r="D22" s="173" t="s">
        <v>64</v>
      </c>
    </row>
    <row r="23" spans="1:4" x14ac:dyDescent="0.25">
      <c r="A23" s="173"/>
      <c r="B23" s="173"/>
      <c r="C23" s="173">
        <v>12</v>
      </c>
      <c r="D23" s="173" t="s">
        <v>177</v>
      </c>
    </row>
    <row r="24" spans="1:4" x14ac:dyDescent="0.25">
      <c r="A24" s="173"/>
      <c r="B24" s="173"/>
      <c r="C24" s="173">
        <v>13</v>
      </c>
      <c r="D24" s="173" t="s">
        <v>178</v>
      </c>
    </row>
    <row r="25" spans="1:4" x14ac:dyDescent="0.25">
      <c r="A25" s="173"/>
      <c r="B25" s="173"/>
      <c r="C25" s="173">
        <v>14</v>
      </c>
      <c r="D25" s="173" t="s">
        <v>122</v>
      </c>
    </row>
    <row r="26" spans="1:4" x14ac:dyDescent="0.25">
      <c r="A26" s="173"/>
      <c r="B26" s="173"/>
      <c r="C26" s="173">
        <v>15</v>
      </c>
      <c r="D26" s="173" t="s">
        <v>123</v>
      </c>
    </row>
    <row r="27" spans="1:4" x14ac:dyDescent="0.25">
      <c r="A27" s="173"/>
      <c r="B27" s="173"/>
      <c r="C27" s="173">
        <v>19</v>
      </c>
      <c r="D27" s="173" t="s">
        <v>179</v>
      </c>
    </row>
    <row r="28" spans="1:4" x14ac:dyDescent="0.25">
      <c r="A28" s="173"/>
      <c r="B28" s="173"/>
      <c r="C28" s="173">
        <v>20</v>
      </c>
      <c r="D28" s="173" t="s">
        <v>180</v>
      </c>
    </row>
    <row r="29" spans="1:4" x14ac:dyDescent="0.25">
      <c r="A29" s="173"/>
      <c r="B29" s="173"/>
      <c r="C29" s="173">
        <v>21</v>
      </c>
      <c r="D29" s="173" t="s">
        <v>181</v>
      </c>
    </row>
    <row r="30" spans="1:4" x14ac:dyDescent="0.25">
      <c r="A30" s="173"/>
      <c r="B30" s="173"/>
      <c r="C30" s="173">
        <v>22</v>
      </c>
      <c r="D30" s="173" t="s">
        <v>182</v>
      </c>
    </row>
    <row r="31" spans="1:4" x14ac:dyDescent="0.25">
      <c r="A31" s="173"/>
      <c r="B31" s="173"/>
      <c r="C31" s="173">
        <v>23</v>
      </c>
      <c r="D31" s="173" t="s">
        <v>183</v>
      </c>
    </row>
    <row r="32" spans="1:4" x14ac:dyDescent="0.25">
      <c r="A32" s="173"/>
      <c r="B32" s="173"/>
      <c r="C32" s="173"/>
      <c r="D32" s="173"/>
    </row>
    <row r="33" spans="1:4" x14ac:dyDescent="0.25">
      <c r="A33" s="173">
        <v>6</v>
      </c>
      <c r="B33" s="173" t="s">
        <v>184</v>
      </c>
      <c r="C33" s="173">
        <v>24</v>
      </c>
      <c r="D33" s="173" t="s">
        <v>185</v>
      </c>
    </row>
    <row r="34" spans="1:4" x14ac:dyDescent="0.25">
      <c r="A34" s="173"/>
      <c r="B34" s="173"/>
      <c r="C34" s="173"/>
      <c r="D34" s="173"/>
    </row>
    <row r="35" spans="1:4" x14ac:dyDescent="0.25">
      <c r="A35" s="173">
        <v>7</v>
      </c>
      <c r="B35" s="173" t="s">
        <v>186</v>
      </c>
      <c r="C35" s="173">
        <v>25</v>
      </c>
      <c r="D35" s="173" t="s">
        <v>187</v>
      </c>
    </row>
    <row r="36" spans="1:4" x14ac:dyDescent="0.25">
      <c r="A36" s="173"/>
      <c r="B36" s="173"/>
      <c r="C36" s="173">
        <v>26</v>
      </c>
      <c r="D36" s="173" t="s">
        <v>188</v>
      </c>
    </row>
    <row r="37" spans="1:4" x14ac:dyDescent="0.25">
      <c r="A37" s="173"/>
      <c r="B37" s="173"/>
      <c r="C37" s="173">
        <v>27</v>
      </c>
      <c r="D37" s="173" t="s">
        <v>189</v>
      </c>
    </row>
    <row r="38" spans="1:4" x14ac:dyDescent="0.25">
      <c r="A38" s="173"/>
      <c r="B38" s="173"/>
      <c r="C38" s="173"/>
      <c r="D38" s="173"/>
    </row>
    <row r="39" spans="1:4" x14ac:dyDescent="0.25">
      <c r="A39" s="173">
        <v>8</v>
      </c>
      <c r="B39" s="173" t="s">
        <v>65</v>
      </c>
      <c r="C39" s="173">
        <v>28</v>
      </c>
      <c r="D39" s="173" t="s">
        <v>190</v>
      </c>
    </row>
    <row r="40" spans="1:4" x14ac:dyDescent="0.25">
      <c r="A40" s="173"/>
      <c r="B40" s="173"/>
      <c r="C40" s="173">
        <v>29</v>
      </c>
      <c r="D40" s="173" t="s">
        <v>191</v>
      </c>
    </row>
    <row r="41" spans="1:4" x14ac:dyDescent="0.25">
      <c r="A41" s="173"/>
      <c r="B41" s="173"/>
      <c r="C41" s="173">
        <v>30</v>
      </c>
      <c r="D41" s="173" t="s">
        <v>192</v>
      </c>
    </row>
    <row r="42" spans="1:4" x14ac:dyDescent="0.25">
      <c r="A42" s="173"/>
      <c r="B42" s="173"/>
      <c r="C42" s="173"/>
      <c r="D42" s="173"/>
    </row>
    <row r="43" spans="1:4" x14ac:dyDescent="0.25">
      <c r="A43" s="173">
        <v>9</v>
      </c>
      <c r="B43" s="173" t="s">
        <v>91</v>
      </c>
      <c r="C43" s="173">
        <v>31</v>
      </c>
      <c r="D43" s="173" t="s">
        <v>193</v>
      </c>
    </row>
    <row r="44" spans="1:4" x14ac:dyDescent="0.25">
      <c r="A44" s="173"/>
      <c r="B44" s="173"/>
      <c r="C44" s="173">
        <v>32</v>
      </c>
      <c r="D44" s="173" t="s">
        <v>194</v>
      </c>
    </row>
    <row r="45" spans="1:4" x14ac:dyDescent="0.25">
      <c r="A45" s="173"/>
      <c r="B45" s="173"/>
      <c r="C45" s="173">
        <v>33</v>
      </c>
      <c r="D45" s="173" t="s">
        <v>195</v>
      </c>
    </row>
    <row r="46" spans="1:4" x14ac:dyDescent="0.25">
      <c r="A46" s="173"/>
      <c r="B46" s="173"/>
      <c r="C46" s="173"/>
      <c r="D46" s="173"/>
    </row>
    <row r="47" spans="1:4" x14ac:dyDescent="0.25">
      <c r="A47" s="173">
        <v>10</v>
      </c>
      <c r="B47" s="173" t="s">
        <v>196</v>
      </c>
      <c r="C47" s="173">
        <v>34</v>
      </c>
      <c r="D47" s="173" t="s">
        <v>197</v>
      </c>
    </row>
    <row r="48" spans="1:4" x14ac:dyDescent="0.25">
      <c r="A48" s="173"/>
      <c r="B48" s="173"/>
      <c r="C48" s="173">
        <v>35</v>
      </c>
      <c r="D48" s="173" t="s">
        <v>198</v>
      </c>
    </row>
    <row r="49" spans="1:4" x14ac:dyDescent="0.25">
      <c r="A49" s="173"/>
      <c r="B49" s="173"/>
      <c r="C49" s="173">
        <v>36</v>
      </c>
      <c r="D49" s="173" t="s">
        <v>199</v>
      </c>
    </row>
    <row r="50" spans="1:4" x14ac:dyDescent="0.25">
      <c r="A50" s="173"/>
      <c r="B50" s="173"/>
      <c r="C50" s="173">
        <v>37</v>
      </c>
      <c r="D50" s="173" t="s">
        <v>200</v>
      </c>
    </row>
    <row r="51" spans="1:4" x14ac:dyDescent="0.25">
      <c r="A51" s="173"/>
      <c r="B51" s="173"/>
      <c r="C51" s="173">
        <v>38</v>
      </c>
      <c r="D51" s="173" t="s">
        <v>201</v>
      </c>
    </row>
    <row r="52" spans="1:4" x14ac:dyDescent="0.25">
      <c r="A52" s="173"/>
      <c r="B52" s="173"/>
      <c r="C52" s="173"/>
      <c r="D52" s="173"/>
    </row>
    <row r="53" spans="1:4" x14ac:dyDescent="0.25">
      <c r="A53" s="173">
        <v>11</v>
      </c>
      <c r="B53" s="173" t="s">
        <v>202</v>
      </c>
      <c r="C53" s="173">
        <v>39</v>
      </c>
      <c r="D53" s="173" t="s">
        <v>203</v>
      </c>
    </row>
    <row r="54" spans="1:4" x14ac:dyDescent="0.25">
      <c r="A54" s="173"/>
      <c r="B54" s="173"/>
      <c r="C54" s="173">
        <v>40</v>
      </c>
      <c r="D54" s="173" t="s">
        <v>204</v>
      </c>
    </row>
    <row r="55" spans="1:4" x14ac:dyDescent="0.25">
      <c r="A55" s="173"/>
      <c r="B55" s="173"/>
      <c r="C55" s="173"/>
      <c r="D55" s="173"/>
    </row>
    <row r="56" spans="1:4" x14ac:dyDescent="0.25">
      <c r="A56" s="173">
        <v>12</v>
      </c>
      <c r="B56" s="173" t="s">
        <v>94</v>
      </c>
      <c r="C56" s="173">
        <v>41</v>
      </c>
      <c r="D56" s="173" t="s">
        <v>124</v>
      </c>
    </row>
    <row r="57" spans="1:4" x14ac:dyDescent="0.25">
      <c r="A57" s="173"/>
      <c r="B57" s="173"/>
      <c r="C57" s="173">
        <v>42</v>
      </c>
      <c r="D57" s="173" t="s">
        <v>205</v>
      </c>
    </row>
    <row r="58" spans="1:4" x14ac:dyDescent="0.25">
      <c r="A58" s="173"/>
      <c r="B58" s="173"/>
      <c r="C58" s="173">
        <v>43</v>
      </c>
      <c r="D58" s="173" t="s">
        <v>206</v>
      </c>
    </row>
    <row r="59" spans="1:4" x14ac:dyDescent="0.25">
      <c r="A59" s="173"/>
      <c r="B59" s="173"/>
      <c r="C59" s="173"/>
      <c r="D59" s="173"/>
    </row>
    <row r="60" spans="1:4" x14ac:dyDescent="0.25">
      <c r="A60" s="173">
        <v>13</v>
      </c>
      <c r="B60" s="173" t="s">
        <v>207</v>
      </c>
      <c r="C60" s="173">
        <v>44</v>
      </c>
      <c r="D60" s="173" t="s">
        <v>92</v>
      </c>
    </row>
    <row r="61" spans="1:4" x14ac:dyDescent="0.25">
      <c r="A61" s="173"/>
      <c r="B61" s="173"/>
      <c r="C61" s="173">
        <v>45</v>
      </c>
      <c r="D61" s="173" t="s">
        <v>208</v>
      </c>
    </row>
    <row r="62" spans="1:4" x14ac:dyDescent="0.25">
      <c r="A62" s="173"/>
      <c r="B62" s="173"/>
      <c r="C62" s="173">
        <v>46</v>
      </c>
      <c r="D62" s="173" t="s">
        <v>209</v>
      </c>
    </row>
    <row r="63" spans="1:4" x14ac:dyDescent="0.25">
      <c r="A63" s="173"/>
      <c r="B63" s="173"/>
      <c r="C63" s="173"/>
      <c r="D63" s="173"/>
    </row>
    <row r="64" spans="1:4" x14ac:dyDescent="0.25">
      <c r="A64" s="173">
        <v>14</v>
      </c>
      <c r="B64" s="173" t="s">
        <v>210</v>
      </c>
      <c r="C64" s="173">
        <v>47</v>
      </c>
      <c r="D64" s="173" t="s">
        <v>125</v>
      </c>
    </row>
    <row r="65" spans="1:4" x14ac:dyDescent="0.25">
      <c r="A65" s="173"/>
      <c r="B65" s="173"/>
      <c r="C65" s="173">
        <v>48</v>
      </c>
      <c r="D65" s="173" t="s">
        <v>211</v>
      </c>
    </row>
    <row r="66" spans="1:4" x14ac:dyDescent="0.25">
      <c r="A66" s="173"/>
      <c r="B66" s="173"/>
      <c r="C66" s="173">
        <v>49</v>
      </c>
      <c r="D66" s="173" t="s">
        <v>212</v>
      </c>
    </row>
    <row r="67" spans="1:4" x14ac:dyDescent="0.25">
      <c r="A67" s="173"/>
      <c r="B67" s="173"/>
      <c r="C67" s="173"/>
      <c r="D67" s="173"/>
    </row>
    <row r="68" spans="1:4" x14ac:dyDescent="0.25">
      <c r="A68" s="173">
        <v>15</v>
      </c>
      <c r="B68" s="173" t="s">
        <v>213</v>
      </c>
      <c r="C68" s="173">
        <v>50</v>
      </c>
      <c r="D68" s="173" t="s">
        <v>213</v>
      </c>
    </row>
    <row r="69" spans="1:4" x14ac:dyDescent="0.25">
      <c r="A69" s="173"/>
      <c r="B69" s="173"/>
      <c r="C69" s="173"/>
      <c r="D69" s="173"/>
    </row>
    <row r="70" spans="1:4" x14ac:dyDescent="0.25">
      <c r="A70" s="173">
        <v>16</v>
      </c>
      <c r="B70" s="173" t="s">
        <v>214</v>
      </c>
      <c r="C70" s="173">
        <v>51</v>
      </c>
      <c r="D70" s="173" t="s">
        <v>215</v>
      </c>
    </row>
    <row r="71" spans="1:4" x14ac:dyDescent="0.25">
      <c r="A71" s="173"/>
      <c r="B71" s="173"/>
      <c r="C71" s="173">
        <v>52</v>
      </c>
      <c r="D71" s="173" t="s">
        <v>216</v>
      </c>
    </row>
    <row r="72" spans="1:4" x14ac:dyDescent="0.25">
      <c r="A72" s="173"/>
      <c r="B72" s="173"/>
      <c r="C72" s="173">
        <v>53</v>
      </c>
      <c r="D72" s="173" t="s">
        <v>217</v>
      </c>
    </row>
    <row r="73" spans="1:4" x14ac:dyDescent="0.25">
      <c r="A73" s="173"/>
      <c r="B73" s="173"/>
      <c r="C73" s="173">
        <v>54</v>
      </c>
      <c r="D73" s="173" t="s">
        <v>218</v>
      </c>
    </row>
    <row r="74" spans="1:4" x14ac:dyDescent="0.25">
      <c r="A74" s="173"/>
      <c r="B74" s="173"/>
      <c r="C74" s="173">
        <v>55</v>
      </c>
      <c r="D74" s="173" t="s">
        <v>219</v>
      </c>
    </row>
    <row r="75" spans="1:4" x14ac:dyDescent="0.25">
      <c r="A75" s="173"/>
      <c r="B75" s="173"/>
      <c r="C75" s="173">
        <v>56</v>
      </c>
      <c r="D75" s="173" t="s">
        <v>220</v>
      </c>
    </row>
    <row r="76" spans="1:4" x14ac:dyDescent="0.25">
      <c r="A76" s="173"/>
      <c r="B76" s="173"/>
      <c r="C76" s="173">
        <v>57</v>
      </c>
      <c r="D76" s="173" t="s">
        <v>221</v>
      </c>
    </row>
    <row r="77" spans="1:4" x14ac:dyDescent="0.25">
      <c r="A77" s="173"/>
      <c r="B77" s="173"/>
      <c r="C77" s="173"/>
      <c r="D77" s="173"/>
    </row>
    <row r="78" spans="1:4" x14ac:dyDescent="0.25">
      <c r="A78" s="173">
        <v>17</v>
      </c>
      <c r="B78" s="173" t="s">
        <v>222</v>
      </c>
      <c r="C78" s="173">
        <v>58</v>
      </c>
      <c r="D78" s="173" t="s">
        <v>223</v>
      </c>
    </row>
    <row r="79" spans="1:4" x14ac:dyDescent="0.25">
      <c r="A79" s="173"/>
      <c r="B79" s="173"/>
      <c r="C79" s="173">
        <v>59</v>
      </c>
      <c r="D79" s="173" t="s">
        <v>126</v>
      </c>
    </row>
    <row r="80" spans="1:4" x14ac:dyDescent="0.25">
      <c r="A80" s="173"/>
      <c r="B80" s="173"/>
      <c r="C80" s="173">
        <v>60</v>
      </c>
      <c r="D80" s="173" t="s">
        <v>224</v>
      </c>
    </row>
    <row r="81" spans="1:4" x14ac:dyDescent="0.25">
      <c r="A81" s="173"/>
      <c r="B81" s="173"/>
      <c r="C81" s="173">
        <v>61</v>
      </c>
      <c r="D81" s="173" t="s">
        <v>225</v>
      </c>
    </row>
    <row r="82" spans="1:4" x14ac:dyDescent="0.25">
      <c r="A82" s="173"/>
      <c r="B82" s="173"/>
      <c r="C82" s="173">
        <v>62</v>
      </c>
      <c r="D82" s="173" t="s">
        <v>226</v>
      </c>
    </row>
    <row r="83" spans="1:4" x14ac:dyDescent="0.25">
      <c r="A83" s="173"/>
      <c r="B83" s="173"/>
      <c r="C83" s="173">
        <v>63</v>
      </c>
      <c r="D83" s="173" t="s">
        <v>227</v>
      </c>
    </row>
    <row r="84" spans="1:4" x14ac:dyDescent="0.25">
      <c r="A84" s="173"/>
      <c r="B84" s="173"/>
      <c r="C84" s="173"/>
      <c r="D84" s="173"/>
    </row>
    <row r="85" spans="1:4" x14ac:dyDescent="0.25">
      <c r="A85" s="173">
        <v>18</v>
      </c>
      <c r="B85" s="173" t="s">
        <v>228</v>
      </c>
      <c r="C85" s="173">
        <v>64</v>
      </c>
      <c r="D85" s="173" t="s">
        <v>229</v>
      </c>
    </row>
    <row r="86" spans="1:4" x14ac:dyDescent="0.25">
      <c r="A86" s="173"/>
      <c r="B86" s="173"/>
      <c r="C86" s="173"/>
      <c r="D86" s="173"/>
    </row>
    <row r="87" spans="1:4" x14ac:dyDescent="0.25">
      <c r="A87" s="173">
        <v>19</v>
      </c>
      <c r="B87" s="173" t="s">
        <v>66</v>
      </c>
      <c r="C87" s="173">
        <v>65</v>
      </c>
      <c r="D87" s="173" t="s">
        <v>66</v>
      </c>
    </row>
    <row r="88" spans="1:4" x14ac:dyDescent="0.25">
      <c r="A88" s="173"/>
      <c r="B88" s="173"/>
      <c r="C88" s="173"/>
      <c r="D88" s="173"/>
    </row>
    <row r="89" spans="1:4" x14ac:dyDescent="0.25">
      <c r="A89" s="173">
        <v>20</v>
      </c>
      <c r="B89" s="173" t="s">
        <v>67</v>
      </c>
      <c r="C89" s="173">
        <v>66</v>
      </c>
      <c r="D89" s="173" t="s">
        <v>230</v>
      </c>
    </row>
    <row r="90" spans="1:4" x14ac:dyDescent="0.25">
      <c r="A90" s="173"/>
      <c r="B90" s="173"/>
      <c r="C90" s="173">
        <v>67</v>
      </c>
      <c r="D90" s="173" t="s">
        <v>231</v>
      </c>
    </row>
    <row r="91" spans="1:4" x14ac:dyDescent="0.25">
      <c r="A91" s="173"/>
      <c r="B91" s="173"/>
      <c r="C91" s="173">
        <v>68</v>
      </c>
      <c r="D91" s="173" t="s">
        <v>232</v>
      </c>
    </row>
    <row r="92" spans="1:4" x14ac:dyDescent="0.25">
      <c r="A92" s="173"/>
      <c r="B92" s="173"/>
      <c r="C92" s="173"/>
      <c r="D92" s="173"/>
    </row>
    <row r="93" spans="1:4" x14ac:dyDescent="0.25">
      <c r="A93" s="173">
        <v>21</v>
      </c>
      <c r="B93" s="173" t="s">
        <v>93</v>
      </c>
      <c r="C93" s="173">
        <v>69</v>
      </c>
      <c r="D93" s="173" t="s">
        <v>233</v>
      </c>
    </row>
    <row r="94" spans="1:4" x14ac:dyDescent="0.25">
      <c r="A94" s="173"/>
      <c r="B94" s="173"/>
      <c r="C94" s="173">
        <v>70</v>
      </c>
      <c r="D94" s="173" t="s">
        <v>234</v>
      </c>
    </row>
    <row r="95" spans="1:4" x14ac:dyDescent="0.25">
      <c r="A95" s="173"/>
      <c r="B95" s="173"/>
      <c r="C95" s="173">
        <v>71</v>
      </c>
      <c r="D95" s="173" t="s">
        <v>235</v>
      </c>
    </row>
    <row r="96" spans="1:4" x14ac:dyDescent="0.25">
      <c r="A96" s="173"/>
      <c r="B96" s="173"/>
      <c r="C96" s="173">
        <v>72</v>
      </c>
      <c r="D96" s="173" t="s">
        <v>236</v>
      </c>
    </row>
    <row r="97" spans="1:4" x14ac:dyDescent="0.25">
      <c r="A97" s="173"/>
      <c r="B97" s="173"/>
      <c r="C97" s="173"/>
      <c r="D97" s="173"/>
    </row>
    <row r="98" spans="1:4" x14ac:dyDescent="0.25">
      <c r="A98" s="173">
        <v>22</v>
      </c>
      <c r="B98" s="173" t="s">
        <v>237</v>
      </c>
      <c r="C98" s="173">
        <v>73</v>
      </c>
      <c r="D98" s="173" t="s">
        <v>127</v>
      </c>
    </row>
    <row r="99" spans="1:4" x14ac:dyDescent="0.25">
      <c r="A99" s="173"/>
      <c r="B99" s="173"/>
      <c r="C99" s="173">
        <v>74</v>
      </c>
      <c r="D99" s="173" t="s">
        <v>238</v>
      </c>
    </row>
    <row r="100" spans="1:4" x14ac:dyDescent="0.25">
      <c r="A100" s="173"/>
      <c r="B100" s="173"/>
      <c r="C100" s="173">
        <v>75</v>
      </c>
      <c r="D100" s="173" t="s">
        <v>239</v>
      </c>
    </row>
    <row r="101" spans="1:4" x14ac:dyDescent="0.25">
      <c r="A101" s="286"/>
      <c r="B101" s="286"/>
      <c r="C101" s="119"/>
      <c r="D101" s="286"/>
    </row>
    <row r="102" spans="1:4" x14ac:dyDescent="0.25">
      <c r="A102" s="20" t="s">
        <v>240</v>
      </c>
      <c r="B102" s="119"/>
      <c r="C102" s="119"/>
      <c r="D102" s="286"/>
    </row>
    <row r="103" spans="1:4" x14ac:dyDescent="0.25">
      <c r="A103" s="119"/>
      <c r="B103" s="119"/>
      <c r="C103" s="119"/>
      <c r="D103" s="286"/>
    </row>
    <row r="104" spans="1:4" x14ac:dyDescent="0.25">
      <c r="A104" s="328"/>
      <c r="B104" s="173" t="s">
        <v>382</v>
      </c>
      <c r="C104" s="328"/>
      <c r="D104" s="173" t="s">
        <v>381</v>
      </c>
    </row>
    <row r="105" spans="1:4" x14ac:dyDescent="0.25">
      <c r="A105" s="328"/>
      <c r="B105" s="328"/>
      <c r="C105" s="328"/>
      <c r="D105" s="328"/>
    </row>
    <row r="106" spans="1:4" x14ac:dyDescent="0.25">
      <c r="A106" s="328">
        <v>1</v>
      </c>
      <c r="B106" s="328" t="s">
        <v>241</v>
      </c>
      <c r="C106" s="328">
        <v>1</v>
      </c>
      <c r="D106" s="328" t="s">
        <v>164</v>
      </c>
    </row>
    <row r="107" spans="1:4" x14ac:dyDescent="0.25">
      <c r="A107" s="328"/>
      <c r="B107" s="328"/>
      <c r="C107" s="328">
        <v>2</v>
      </c>
      <c r="D107" s="328" t="s">
        <v>165</v>
      </c>
    </row>
    <row r="108" spans="1:4" x14ac:dyDescent="0.25">
      <c r="A108" s="328"/>
      <c r="B108" s="328"/>
      <c r="C108" s="328">
        <v>24</v>
      </c>
      <c r="D108" s="328" t="s">
        <v>185</v>
      </c>
    </row>
    <row r="109" spans="1:4" x14ac:dyDescent="0.25">
      <c r="A109" s="328"/>
      <c r="B109" s="328"/>
      <c r="C109" s="328">
        <v>25</v>
      </c>
      <c r="D109" s="328" t="s">
        <v>187</v>
      </c>
    </row>
    <row r="110" spans="1:4" x14ac:dyDescent="0.25">
      <c r="A110" s="328"/>
      <c r="B110" s="328"/>
      <c r="C110" s="328">
        <v>26</v>
      </c>
      <c r="D110" s="328" t="s">
        <v>188</v>
      </c>
    </row>
    <row r="111" spans="1:4" x14ac:dyDescent="0.25">
      <c r="A111" s="328"/>
      <c r="B111" s="328"/>
      <c r="C111" s="328">
        <v>27</v>
      </c>
      <c r="D111" s="328" t="s">
        <v>189</v>
      </c>
    </row>
    <row r="112" spans="1:4" x14ac:dyDescent="0.25">
      <c r="A112" s="328"/>
      <c r="B112" s="328"/>
      <c r="C112" s="328"/>
      <c r="D112" s="328"/>
    </row>
    <row r="113" spans="1:4" x14ac:dyDescent="0.25">
      <c r="A113" s="328">
        <v>2</v>
      </c>
      <c r="B113" s="328" t="s">
        <v>95</v>
      </c>
      <c r="C113" s="328">
        <v>3</v>
      </c>
      <c r="D113" s="328" t="s">
        <v>167</v>
      </c>
    </row>
    <row r="114" spans="1:4" x14ac:dyDescent="0.25">
      <c r="A114" s="328"/>
      <c r="B114" s="328"/>
      <c r="C114" s="328">
        <v>4</v>
      </c>
      <c r="D114" s="328" t="s">
        <v>168</v>
      </c>
    </row>
    <row r="115" spans="1:4" x14ac:dyDescent="0.25">
      <c r="A115" s="328"/>
      <c r="B115" s="328"/>
      <c r="C115" s="328">
        <v>5</v>
      </c>
      <c r="D115" s="328" t="s">
        <v>171</v>
      </c>
    </row>
    <row r="116" spans="1:4" x14ac:dyDescent="0.25">
      <c r="A116" s="328"/>
      <c r="B116" s="328"/>
      <c r="C116" s="328">
        <v>6</v>
      </c>
      <c r="D116" s="328" t="s">
        <v>172</v>
      </c>
    </row>
    <row r="117" spans="1:4" x14ac:dyDescent="0.25">
      <c r="A117" s="328"/>
      <c r="B117" s="328"/>
      <c r="C117" s="328">
        <v>7</v>
      </c>
      <c r="D117" s="328" t="s">
        <v>173</v>
      </c>
    </row>
    <row r="118" spans="1:4" x14ac:dyDescent="0.25">
      <c r="A118" s="328"/>
      <c r="B118" s="328"/>
      <c r="C118" s="328">
        <v>8</v>
      </c>
      <c r="D118" s="328" t="s">
        <v>174</v>
      </c>
    </row>
    <row r="119" spans="1:4" x14ac:dyDescent="0.25">
      <c r="A119" s="328"/>
      <c r="B119" s="328"/>
      <c r="C119" s="328">
        <v>9</v>
      </c>
      <c r="D119" s="328" t="s">
        <v>175</v>
      </c>
    </row>
    <row r="120" spans="1:4" x14ac:dyDescent="0.25">
      <c r="A120" s="328"/>
      <c r="B120" s="328"/>
      <c r="C120" s="328">
        <v>10</v>
      </c>
      <c r="D120" s="328" t="s">
        <v>176</v>
      </c>
    </row>
    <row r="121" spans="1:4" x14ac:dyDescent="0.25">
      <c r="A121" s="328"/>
      <c r="B121" s="328"/>
      <c r="C121" s="328">
        <v>11</v>
      </c>
      <c r="D121" s="328" t="s">
        <v>64</v>
      </c>
    </row>
    <row r="122" spans="1:4" x14ac:dyDescent="0.25">
      <c r="A122" s="328"/>
      <c r="B122" s="328"/>
      <c r="C122" s="328">
        <v>12</v>
      </c>
      <c r="D122" s="328" t="s">
        <v>177</v>
      </c>
    </row>
    <row r="123" spans="1:4" x14ac:dyDescent="0.25">
      <c r="A123" s="328"/>
      <c r="B123" s="328"/>
      <c r="C123" s="328">
        <v>13</v>
      </c>
      <c r="D123" s="328" t="s">
        <v>178</v>
      </c>
    </row>
    <row r="124" spans="1:4" x14ac:dyDescent="0.25">
      <c r="A124" s="328"/>
      <c r="B124" s="328"/>
      <c r="C124" s="328">
        <v>14</v>
      </c>
      <c r="D124" s="328" t="s">
        <v>122</v>
      </c>
    </row>
    <row r="125" spans="1:4" x14ac:dyDescent="0.25">
      <c r="A125" s="328"/>
      <c r="B125" s="328"/>
      <c r="C125" s="328">
        <v>15</v>
      </c>
      <c r="D125" s="328" t="s">
        <v>123</v>
      </c>
    </row>
    <row r="126" spans="1:4" x14ac:dyDescent="0.25">
      <c r="A126" s="328"/>
      <c r="B126" s="328"/>
      <c r="C126" s="328">
        <v>16</v>
      </c>
      <c r="D126" s="328" t="s">
        <v>169</v>
      </c>
    </row>
    <row r="127" spans="1:4" x14ac:dyDescent="0.25">
      <c r="A127" s="328"/>
      <c r="B127" s="328"/>
      <c r="C127" s="328">
        <v>17</v>
      </c>
      <c r="D127" s="328" t="s">
        <v>89</v>
      </c>
    </row>
    <row r="128" spans="1:4" x14ac:dyDescent="0.25">
      <c r="A128" s="328"/>
      <c r="B128" s="328"/>
      <c r="C128" s="328">
        <v>18</v>
      </c>
      <c r="D128" s="328" t="s">
        <v>170</v>
      </c>
    </row>
    <row r="129" spans="1:4" x14ac:dyDescent="0.25">
      <c r="A129" s="328"/>
      <c r="B129" s="328"/>
      <c r="C129" s="328">
        <v>19</v>
      </c>
      <c r="D129" s="328" t="s">
        <v>179</v>
      </c>
    </row>
    <row r="130" spans="1:4" x14ac:dyDescent="0.25">
      <c r="A130" s="328"/>
      <c r="B130" s="328"/>
      <c r="C130" s="328">
        <v>20</v>
      </c>
      <c r="D130" s="328" t="s">
        <v>180</v>
      </c>
    </row>
    <row r="131" spans="1:4" x14ac:dyDescent="0.25">
      <c r="A131" s="328"/>
      <c r="B131" s="328"/>
      <c r="C131" s="328">
        <v>21</v>
      </c>
      <c r="D131" s="328" t="s">
        <v>181</v>
      </c>
    </row>
    <row r="132" spans="1:4" x14ac:dyDescent="0.25">
      <c r="A132" s="328"/>
      <c r="B132" s="328"/>
      <c r="C132" s="328">
        <v>22</v>
      </c>
      <c r="D132" s="328" t="s">
        <v>182</v>
      </c>
    </row>
    <row r="133" spans="1:4" x14ac:dyDescent="0.25">
      <c r="A133" s="328"/>
      <c r="B133" s="328"/>
      <c r="C133" s="328">
        <v>23</v>
      </c>
      <c r="D133" s="328" t="s">
        <v>183</v>
      </c>
    </row>
    <row r="134" spans="1:4" x14ac:dyDescent="0.25">
      <c r="A134" s="328"/>
      <c r="B134" s="328"/>
      <c r="C134" s="328"/>
      <c r="D134" s="328"/>
    </row>
    <row r="135" spans="1:4" x14ac:dyDescent="0.25">
      <c r="A135" s="328">
        <v>3</v>
      </c>
      <c r="B135" s="328" t="s">
        <v>65</v>
      </c>
      <c r="C135" s="328">
        <v>28</v>
      </c>
      <c r="D135" s="328" t="s">
        <v>190</v>
      </c>
    </row>
    <row r="136" spans="1:4" x14ac:dyDescent="0.25">
      <c r="A136" s="328"/>
      <c r="B136" s="328"/>
      <c r="C136" s="328">
        <v>29</v>
      </c>
      <c r="D136" s="328" t="s">
        <v>191</v>
      </c>
    </row>
    <row r="137" spans="1:4" x14ac:dyDescent="0.25">
      <c r="A137" s="328"/>
      <c r="B137" s="328"/>
      <c r="C137" s="328">
        <v>30</v>
      </c>
      <c r="D137" s="328" t="s">
        <v>192</v>
      </c>
    </row>
    <row r="138" spans="1:4" x14ac:dyDescent="0.25">
      <c r="A138" s="328"/>
      <c r="B138" s="328"/>
      <c r="C138" s="328"/>
      <c r="D138" s="328"/>
    </row>
    <row r="139" spans="1:4" x14ac:dyDescent="0.25">
      <c r="A139" s="328">
        <v>4</v>
      </c>
      <c r="B139" s="328" t="s">
        <v>242</v>
      </c>
      <c r="C139" s="328">
        <v>31</v>
      </c>
      <c r="D139" s="328" t="s">
        <v>193</v>
      </c>
    </row>
    <row r="140" spans="1:4" x14ac:dyDescent="0.25">
      <c r="A140" s="328"/>
      <c r="B140" s="328"/>
      <c r="C140" s="328">
        <v>32</v>
      </c>
      <c r="D140" s="328" t="s">
        <v>194</v>
      </c>
    </row>
    <row r="141" spans="1:4" x14ac:dyDescent="0.25">
      <c r="A141" s="328"/>
      <c r="B141" s="328"/>
      <c r="C141" s="328">
        <v>33</v>
      </c>
      <c r="D141" s="328" t="s">
        <v>195</v>
      </c>
    </row>
    <row r="142" spans="1:4" x14ac:dyDescent="0.25">
      <c r="A142" s="328"/>
      <c r="B142" s="328"/>
      <c r="C142" s="328">
        <v>34</v>
      </c>
      <c r="D142" s="328" t="s">
        <v>197</v>
      </c>
    </row>
    <row r="143" spans="1:4" x14ac:dyDescent="0.25">
      <c r="A143" s="328"/>
      <c r="B143" s="328"/>
      <c r="C143" s="328">
        <v>35</v>
      </c>
      <c r="D143" s="328" t="s">
        <v>198</v>
      </c>
    </row>
    <row r="144" spans="1:4" x14ac:dyDescent="0.25">
      <c r="A144" s="328"/>
      <c r="B144" s="328"/>
      <c r="C144" s="328">
        <v>36</v>
      </c>
      <c r="D144" s="328" t="s">
        <v>199</v>
      </c>
    </row>
    <row r="145" spans="1:4" x14ac:dyDescent="0.25">
      <c r="A145" s="328"/>
      <c r="B145" s="328"/>
      <c r="C145" s="328">
        <v>37</v>
      </c>
      <c r="D145" s="328" t="s">
        <v>200</v>
      </c>
    </row>
    <row r="146" spans="1:4" x14ac:dyDescent="0.25">
      <c r="A146" s="328"/>
      <c r="B146" s="328"/>
      <c r="C146" s="328">
        <v>38</v>
      </c>
      <c r="D146" s="328" t="s">
        <v>201</v>
      </c>
    </row>
    <row r="147" spans="1:4" x14ac:dyDescent="0.25">
      <c r="A147" s="328"/>
      <c r="B147" s="328"/>
      <c r="C147" s="328">
        <v>39</v>
      </c>
      <c r="D147" s="328" t="s">
        <v>203</v>
      </c>
    </row>
    <row r="148" spans="1:4" x14ac:dyDescent="0.25">
      <c r="A148" s="328"/>
      <c r="B148" s="328"/>
      <c r="C148" s="328">
        <v>40</v>
      </c>
      <c r="D148" s="328" t="s">
        <v>204</v>
      </c>
    </row>
    <row r="149" spans="1:4" x14ac:dyDescent="0.25">
      <c r="A149" s="328"/>
      <c r="B149" s="328"/>
      <c r="C149" s="328"/>
      <c r="D149" s="328"/>
    </row>
    <row r="150" spans="1:4" x14ac:dyDescent="0.25">
      <c r="A150" s="328">
        <v>5</v>
      </c>
      <c r="B150" s="328" t="s">
        <v>243</v>
      </c>
      <c r="C150" s="328">
        <v>41</v>
      </c>
      <c r="D150" s="328" t="s">
        <v>124</v>
      </c>
    </row>
    <row r="151" spans="1:4" x14ac:dyDescent="0.25">
      <c r="A151" s="328"/>
      <c r="B151" s="328"/>
      <c r="C151" s="328">
        <v>42</v>
      </c>
      <c r="D151" s="328" t="s">
        <v>205</v>
      </c>
    </row>
    <row r="152" spans="1:4" x14ac:dyDescent="0.25">
      <c r="A152" s="328"/>
      <c r="B152" s="328"/>
      <c r="C152" s="328">
        <v>43</v>
      </c>
      <c r="D152" s="328" t="s">
        <v>206</v>
      </c>
    </row>
    <row r="153" spans="1:4" x14ac:dyDescent="0.25">
      <c r="A153" s="328"/>
      <c r="B153" s="328"/>
      <c r="C153" s="328">
        <v>44</v>
      </c>
      <c r="D153" s="328" t="s">
        <v>92</v>
      </c>
    </row>
    <row r="154" spans="1:4" x14ac:dyDescent="0.25">
      <c r="A154" s="328"/>
      <c r="B154" s="328"/>
      <c r="C154" s="328">
        <v>45</v>
      </c>
      <c r="D154" s="328" t="s">
        <v>208</v>
      </c>
    </row>
    <row r="155" spans="1:4" x14ac:dyDescent="0.25">
      <c r="A155" s="328"/>
      <c r="B155" s="328"/>
      <c r="C155" s="328">
        <v>46</v>
      </c>
      <c r="D155" s="328" t="s">
        <v>209</v>
      </c>
    </row>
    <row r="156" spans="1:4" x14ac:dyDescent="0.25">
      <c r="A156" s="328"/>
      <c r="B156" s="328"/>
      <c r="C156" s="328">
        <v>47</v>
      </c>
      <c r="D156" s="328" t="s">
        <v>125</v>
      </c>
    </row>
    <row r="157" spans="1:4" x14ac:dyDescent="0.25">
      <c r="A157" s="328"/>
      <c r="B157" s="328"/>
      <c r="C157" s="328">
        <v>48</v>
      </c>
      <c r="D157" s="328" t="s">
        <v>211</v>
      </c>
    </row>
    <row r="158" spans="1:4" x14ac:dyDescent="0.25">
      <c r="A158" s="328"/>
      <c r="B158" s="328"/>
      <c r="C158" s="328">
        <v>49</v>
      </c>
      <c r="D158" s="328" t="s">
        <v>212</v>
      </c>
    </row>
    <row r="159" spans="1:4" x14ac:dyDescent="0.25">
      <c r="A159" s="328"/>
      <c r="B159" s="328"/>
      <c r="C159" s="328">
        <v>50</v>
      </c>
      <c r="D159" s="328" t="s">
        <v>213</v>
      </c>
    </row>
    <row r="160" spans="1:4" x14ac:dyDescent="0.25">
      <c r="A160" s="328"/>
      <c r="B160" s="328"/>
      <c r="C160" s="328">
        <v>51</v>
      </c>
      <c r="D160" s="328" t="s">
        <v>215</v>
      </c>
    </row>
    <row r="161" spans="1:4" x14ac:dyDescent="0.25">
      <c r="A161" s="328"/>
      <c r="B161" s="328"/>
      <c r="C161" s="328">
        <v>52</v>
      </c>
      <c r="D161" s="328" t="s">
        <v>216</v>
      </c>
    </row>
    <row r="162" spans="1:4" x14ac:dyDescent="0.25">
      <c r="A162" s="328"/>
      <c r="B162" s="328"/>
      <c r="C162" s="328">
        <v>53</v>
      </c>
      <c r="D162" s="328" t="s">
        <v>217</v>
      </c>
    </row>
    <row r="163" spans="1:4" x14ac:dyDescent="0.25">
      <c r="A163" s="328"/>
      <c r="B163" s="328"/>
      <c r="C163" s="328">
        <v>54</v>
      </c>
      <c r="D163" s="328" t="s">
        <v>218</v>
      </c>
    </row>
    <row r="164" spans="1:4" x14ac:dyDescent="0.25">
      <c r="A164" s="328"/>
      <c r="B164" s="328"/>
      <c r="C164" s="328">
        <v>55</v>
      </c>
      <c r="D164" s="328" t="s">
        <v>219</v>
      </c>
    </row>
    <row r="165" spans="1:4" x14ac:dyDescent="0.25">
      <c r="A165" s="328"/>
      <c r="B165" s="328"/>
      <c r="C165" s="328">
        <v>56</v>
      </c>
      <c r="D165" s="328" t="s">
        <v>220</v>
      </c>
    </row>
    <row r="166" spans="1:4" x14ac:dyDescent="0.25">
      <c r="A166" s="328"/>
      <c r="B166" s="328"/>
      <c r="C166" s="328">
        <v>57</v>
      </c>
      <c r="D166" s="328" t="s">
        <v>221</v>
      </c>
    </row>
    <row r="167" spans="1:4" x14ac:dyDescent="0.25">
      <c r="A167" s="328"/>
      <c r="B167" s="328"/>
      <c r="C167" s="328">
        <v>58</v>
      </c>
      <c r="D167" s="328" t="s">
        <v>223</v>
      </c>
    </row>
    <row r="168" spans="1:4" x14ac:dyDescent="0.25">
      <c r="A168" s="328"/>
      <c r="B168" s="328"/>
      <c r="C168" s="328">
        <v>59</v>
      </c>
      <c r="D168" s="328" t="s">
        <v>126</v>
      </c>
    </row>
    <row r="169" spans="1:4" x14ac:dyDescent="0.25">
      <c r="A169" s="328"/>
      <c r="B169" s="328"/>
      <c r="C169" s="328">
        <v>60</v>
      </c>
      <c r="D169" s="328" t="s">
        <v>224</v>
      </c>
    </row>
    <row r="170" spans="1:4" x14ac:dyDescent="0.25">
      <c r="A170" s="328"/>
      <c r="B170" s="328"/>
      <c r="C170" s="328">
        <v>61</v>
      </c>
      <c r="D170" s="328" t="s">
        <v>225</v>
      </c>
    </row>
    <row r="171" spans="1:4" x14ac:dyDescent="0.25">
      <c r="A171" s="328"/>
      <c r="B171" s="328"/>
      <c r="C171" s="328">
        <v>62</v>
      </c>
      <c r="D171" s="328" t="s">
        <v>226</v>
      </c>
    </row>
    <row r="172" spans="1:4" x14ac:dyDescent="0.25">
      <c r="A172" s="328"/>
      <c r="B172" s="328"/>
      <c r="C172" s="328">
        <v>63</v>
      </c>
      <c r="D172" s="328" t="s">
        <v>227</v>
      </c>
    </row>
    <row r="173" spans="1:4" x14ac:dyDescent="0.25">
      <c r="A173" s="328"/>
      <c r="B173" s="328"/>
      <c r="C173" s="328">
        <v>69</v>
      </c>
      <c r="D173" s="328" t="s">
        <v>233</v>
      </c>
    </row>
    <row r="174" spans="1:4" x14ac:dyDescent="0.25">
      <c r="A174" s="328"/>
      <c r="B174" s="328"/>
      <c r="C174" s="328">
        <v>70</v>
      </c>
      <c r="D174" s="328" t="s">
        <v>234</v>
      </c>
    </row>
    <row r="175" spans="1:4" x14ac:dyDescent="0.25">
      <c r="A175" s="328"/>
      <c r="B175" s="328"/>
      <c r="C175" s="328">
        <v>71</v>
      </c>
      <c r="D175" s="328" t="s">
        <v>235</v>
      </c>
    </row>
    <row r="176" spans="1:4" x14ac:dyDescent="0.25">
      <c r="A176" s="328"/>
      <c r="B176" s="328"/>
      <c r="C176" s="328">
        <v>72</v>
      </c>
      <c r="D176" s="328" t="s">
        <v>236</v>
      </c>
    </row>
    <row r="177" spans="1:4" x14ac:dyDescent="0.25">
      <c r="A177" s="328"/>
      <c r="B177" s="328"/>
      <c r="C177" s="328">
        <v>73</v>
      </c>
      <c r="D177" s="328" t="s">
        <v>127</v>
      </c>
    </row>
    <row r="178" spans="1:4" x14ac:dyDescent="0.25">
      <c r="A178" s="328"/>
      <c r="B178" s="328"/>
      <c r="C178" s="328">
        <v>74</v>
      </c>
      <c r="D178" s="328" t="s">
        <v>238</v>
      </c>
    </row>
    <row r="179" spans="1:4" x14ac:dyDescent="0.25">
      <c r="A179" s="328"/>
      <c r="B179" s="328"/>
      <c r="C179" s="328">
        <v>75</v>
      </c>
      <c r="D179" s="328" t="s">
        <v>239</v>
      </c>
    </row>
    <row r="180" spans="1:4" x14ac:dyDescent="0.25">
      <c r="A180" s="328"/>
      <c r="B180" s="328"/>
      <c r="C180" s="328"/>
      <c r="D180" s="328"/>
    </row>
    <row r="181" spans="1:4" x14ac:dyDescent="0.25">
      <c r="A181" s="328">
        <v>6</v>
      </c>
      <c r="B181" s="328" t="s">
        <v>244</v>
      </c>
      <c r="C181" s="328">
        <v>64</v>
      </c>
      <c r="D181" s="328" t="s">
        <v>229</v>
      </c>
    </row>
    <row r="182" spans="1:4" x14ac:dyDescent="0.25">
      <c r="A182" s="328"/>
      <c r="B182" s="328"/>
      <c r="C182" s="328">
        <v>65</v>
      </c>
      <c r="D182" s="328" t="s">
        <v>66</v>
      </c>
    </row>
    <row r="183" spans="1:4" x14ac:dyDescent="0.25">
      <c r="A183" s="328"/>
      <c r="B183" s="328"/>
      <c r="C183" s="328">
        <v>66</v>
      </c>
      <c r="D183" s="328" t="s">
        <v>230</v>
      </c>
    </row>
    <row r="184" spans="1:4" x14ac:dyDescent="0.25">
      <c r="A184" s="328"/>
      <c r="B184" s="328"/>
      <c r="C184" s="328">
        <v>67</v>
      </c>
      <c r="D184" s="328" t="s">
        <v>231</v>
      </c>
    </row>
    <row r="185" spans="1:4" x14ac:dyDescent="0.25">
      <c r="A185" s="328"/>
      <c r="B185" s="328"/>
      <c r="C185" s="328">
        <v>68</v>
      </c>
      <c r="D185" s="328" t="s">
        <v>232</v>
      </c>
    </row>
    <row r="186" spans="1:4" x14ac:dyDescent="0.25">
      <c r="A186" s="286"/>
      <c r="B186" s="286"/>
      <c r="C186" s="119"/>
      <c r="D186" s="286"/>
    </row>
    <row r="187" spans="1:4" x14ac:dyDescent="0.25">
      <c r="A187" s="17" t="s">
        <v>383</v>
      </c>
      <c r="B187" s="119"/>
      <c r="C187" s="173"/>
      <c r="D187" s="173"/>
    </row>
    <row r="188" spans="1:4" x14ac:dyDescent="0.25">
      <c r="A188" s="119" t="s">
        <v>11</v>
      </c>
      <c r="B188" s="119"/>
      <c r="C188" s="173"/>
      <c r="D188" s="173"/>
    </row>
    <row r="189" spans="1:4" x14ac:dyDescent="0.25">
      <c r="A189" s="119" t="s">
        <v>11</v>
      </c>
      <c r="B189" s="119"/>
      <c r="C189" s="173"/>
      <c r="D189" s="173"/>
    </row>
    <row r="190" spans="1:4" x14ac:dyDescent="0.25">
      <c r="A190" s="119"/>
      <c r="B190" s="119" t="s">
        <v>384</v>
      </c>
      <c r="C190" s="119"/>
      <c r="D190" s="119" t="s">
        <v>385</v>
      </c>
    </row>
    <row r="191" spans="1:4" x14ac:dyDescent="0.25">
      <c r="A191" s="119" t="s">
        <v>11</v>
      </c>
      <c r="B191" s="119"/>
      <c r="C191" s="119"/>
      <c r="D191" s="119"/>
    </row>
    <row r="192" spans="1:4" x14ac:dyDescent="0.25">
      <c r="A192" s="119">
        <v>1</v>
      </c>
      <c r="B192" s="173" t="s">
        <v>350</v>
      </c>
      <c r="C192" s="119">
        <v>1</v>
      </c>
      <c r="D192" s="173" t="s">
        <v>323</v>
      </c>
    </row>
    <row r="193" spans="1:4" x14ac:dyDescent="0.25">
      <c r="A193" s="119"/>
      <c r="C193" s="119">
        <v>2</v>
      </c>
      <c r="D193" s="173" t="s">
        <v>324</v>
      </c>
    </row>
    <row r="194" spans="1:4" x14ac:dyDescent="0.25">
      <c r="A194" s="119"/>
      <c r="C194" s="119"/>
      <c r="D194" s="173"/>
    </row>
    <row r="195" spans="1:4" x14ac:dyDescent="0.25">
      <c r="A195" s="119">
        <v>2</v>
      </c>
      <c r="B195" s="173" t="s">
        <v>351</v>
      </c>
      <c r="C195" s="119">
        <v>3</v>
      </c>
      <c r="D195" s="173" t="s">
        <v>325</v>
      </c>
    </row>
    <row r="196" spans="1:4" x14ac:dyDescent="0.25">
      <c r="A196" s="119"/>
      <c r="C196" s="119">
        <v>4</v>
      </c>
      <c r="D196" s="173" t="s">
        <v>326</v>
      </c>
    </row>
    <row r="197" spans="1:4" x14ac:dyDescent="0.25">
      <c r="A197" s="119"/>
      <c r="C197" s="119">
        <v>5</v>
      </c>
      <c r="D197" s="173" t="s">
        <v>327</v>
      </c>
    </row>
    <row r="198" spans="1:4" x14ac:dyDescent="0.25">
      <c r="A198" s="119"/>
      <c r="C198" s="119">
        <v>6</v>
      </c>
      <c r="D198" s="173" t="s">
        <v>328</v>
      </c>
    </row>
    <row r="199" spans="1:4" x14ac:dyDescent="0.25">
      <c r="A199" s="119"/>
      <c r="C199" s="119"/>
      <c r="D199" s="173"/>
    </row>
    <row r="200" spans="1:4" x14ac:dyDescent="0.25">
      <c r="A200" s="119">
        <v>3</v>
      </c>
      <c r="B200" s="173" t="s">
        <v>352</v>
      </c>
      <c r="C200" s="119">
        <v>7</v>
      </c>
      <c r="D200" s="173" t="s">
        <v>329</v>
      </c>
    </row>
    <row r="201" spans="1:4" x14ac:dyDescent="0.25">
      <c r="A201" s="119"/>
      <c r="C201" s="119">
        <v>8</v>
      </c>
      <c r="D201" s="173" t="s">
        <v>330</v>
      </c>
    </row>
    <row r="202" spans="1:4" x14ac:dyDescent="0.25">
      <c r="A202" s="119"/>
      <c r="C202" s="119">
        <v>9</v>
      </c>
      <c r="D202" s="173" t="s">
        <v>331</v>
      </c>
    </row>
    <row r="203" spans="1:4" x14ac:dyDescent="0.25">
      <c r="A203" s="119"/>
      <c r="B203" s="119"/>
      <c r="C203" s="119">
        <v>10</v>
      </c>
      <c r="D203" s="173" t="s">
        <v>332</v>
      </c>
    </row>
    <row r="204" spans="1:4" x14ac:dyDescent="0.25">
      <c r="A204" s="119"/>
      <c r="B204" s="119"/>
      <c r="C204" s="119">
        <v>11</v>
      </c>
      <c r="D204" s="173" t="s">
        <v>333</v>
      </c>
    </row>
    <row r="205" spans="1:4" x14ac:dyDescent="0.25">
      <c r="A205" s="119"/>
      <c r="B205" s="119"/>
      <c r="C205" s="119"/>
      <c r="D205" s="173"/>
    </row>
    <row r="206" spans="1:4" x14ac:dyDescent="0.25">
      <c r="A206" s="119">
        <v>4</v>
      </c>
      <c r="B206" s="173" t="s">
        <v>353</v>
      </c>
      <c r="C206" s="119">
        <v>12</v>
      </c>
      <c r="D206" s="173" t="s">
        <v>334</v>
      </c>
    </row>
    <row r="207" spans="1:4" x14ac:dyDescent="0.25">
      <c r="A207" s="119"/>
      <c r="B207" s="119"/>
      <c r="C207" s="119">
        <v>13</v>
      </c>
      <c r="D207" s="173" t="s">
        <v>335</v>
      </c>
    </row>
    <row r="208" spans="1:4" x14ac:dyDescent="0.25">
      <c r="A208" s="119"/>
      <c r="B208" s="119"/>
      <c r="C208" s="119"/>
      <c r="D208" s="286"/>
    </row>
    <row r="209" spans="1:4" x14ac:dyDescent="0.25">
      <c r="A209" s="119">
        <v>5</v>
      </c>
      <c r="B209" s="173" t="s">
        <v>354</v>
      </c>
      <c r="C209" s="119">
        <v>14</v>
      </c>
      <c r="D209" s="173" t="s">
        <v>336</v>
      </c>
    </row>
    <row r="210" spans="1:4" x14ac:dyDescent="0.25">
      <c r="A210" s="119"/>
      <c r="B210" s="119"/>
      <c r="C210" s="119">
        <v>15</v>
      </c>
      <c r="D210" s="173" t="s">
        <v>337</v>
      </c>
    </row>
    <row r="211" spans="1:4" x14ac:dyDescent="0.25">
      <c r="A211" s="119"/>
      <c r="B211" s="119"/>
      <c r="C211" s="119">
        <v>16</v>
      </c>
      <c r="D211" s="173" t="s">
        <v>338</v>
      </c>
    </row>
    <row r="212" spans="1:4" x14ac:dyDescent="0.25">
      <c r="C212" s="119">
        <v>17</v>
      </c>
      <c r="D212" s="173" t="s">
        <v>339</v>
      </c>
    </row>
    <row r="213" spans="1:4" x14ac:dyDescent="0.25">
      <c r="C213" s="119"/>
      <c r="D213" s="286"/>
    </row>
    <row r="214" spans="1:4" x14ac:dyDescent="0.25">
      <c r="A214" s="119">
        <v>6</v>
      </c>
      <c r="B214" s="173" t="s">
        <v>355</v>
      </c>
      <c r="C214" s="119">
        <v>18</v>
      </c>
      <c r="D214" s="173" t="s">
        <v>340</v>
      </c>
    </row>
    <row r="215" spans="1:4" x14ac:dyDescent="0.25">
      <c r="A215" s="119"/>
      <c r="B215" s="119"/>
      <c r="C215" s="119">
        <v>19</v>
      </c>
      <c r="D215" s="173" t="s">
        <v>341</v>
      </c>
    </row>
    <row r="216" spans="1:4" x14ac:dyDescent="0.25">
      <c r="A216" s="119"/>
      <c r="B216" s="119"/>
      <c r="C216" s="119"/>
      <c r="D216" s="119"/>
    </row>
    <row r="217" spans="1:4" x14ac:dyDescent="0.25">
      <c r="A217" s="119">
        <v>7</v>
      </c>
      <c r="B217" s="173" t="s">
        <v>356</v>
      </c>
      <c r="C217" s="119">
        <v>20</v>
      </c>
      <c r="D217" s="173" t="s">
        <v>342</v>
      </c>
    </row>
    <row r="218" spans="1:4" x14ac:dyDescent="0.25">
      <c r="A218" s="119"/>
      <c r="B218" s="119"/>
      <c r="C218" s="119">
        <v>21</v>
      </c>
      <c r="D218" s="173" t="s">
        <v>343</v>
      </c>
    </row>
    <row r="219" spans="1:4" x14ac:dyDescent="0.25">
      <c r="A219" s="119"/>
      <c r="B219" s="119"/>
      <c r="C219" s="119"/>
      <c r="D219" s="173"/>
    </row>
    <row r="220" spans="1:4" x14ac:dyDescent="0.25">
      <c r="A220" s="119">
        <v>8</v>
      </c>
      <c r="B220" s="173" t="s">
        <v>357</v>
      </c>
      <c r="C220" s="119">
        <v>22</v>
      </c>
      <c r="D220" s="173" t="s">
        <v>344</v>
      </c>
    </row>
    <row r="221" spans="1:4" x14ac:dyDescent="0.25">
      <c r="A221" s="119"/>
      <c r="B221" s="119"/>
      <c r="C221" s="119">
        <v>23</v>
      </c>
      <c r="D221" s="173" t="s">
        <v>345</v>
      </c>
    </row>
    <row r="222" spans="1:4" ht="12" customHeight="1" x14ac:dyDescent="0.25">
      <c r="A222" s="119"/>
      <c r="B222" s="119"/>
      <c r="C222" s="119"/>
      <c r="D222" s="119"/>
    </row>
    <row r="223" spans="1:4" x14ac:dyDescent="0.25">
      <c r="A223" s="119">
        <v>9</v>
      </c>
      <c r="B223" s="173" t="s">
        <v>9</v>
      </c>
      <c r="C223" s="119">
        <v>24</v>
      </c>
      <c r="D223" s="173" t="s">
        <v>346</v>
      </c>
    </row>
    <row r="224" spans="1:4" x14ac:dyDescent="0.25">
      <c r="A224" s="119"/>
      <c r="B224" s="119"/>
      <c r="C224" s="119">
        <v>25</v>
      </c>
      <c r="D224" s="173" t="s">
        <v>347</v>
      </c>
    </row>
    <row r="225" spans="1:4" x14ac:dyDescent="0.25">
      <c r="A225" s="119"/>
      <c r="B225" s="286"/>
      <c r="C225" s="119"/>
      <c r="D225" s="286"/>
    </row>
    <row r="226" spans="1:4" x14ac:dyDescent="0.25">
      <c r="A226" s="17" t="s">
        <v>386</v>
      </c>
      <c r="B226" s="119"/>
      <c r="C226" s="119"/>
      <c r="D226" s="286"/>
    </row>
    <row r="227" spans="1:4" x14ac:dyDescent="0.25">
      <c r="A227" s="119"/>
      <c r="B227" s="119"/>
      <c r="C227" s="119"/>
      <c r="D227" s="286"/>
    </row>
    <row r="228" spans="1:4" x14ac:dyDescent="0.25">
      <c r="B228" s="119" t="s">
        <v>512</v>
      </c>
      <c r="D228" s="119" t="s">
        <v>513</v>
      </c>
    </row>
    <row r="230" spans="1:4" x14ac:dyDescent="0.25">
      <c r="A230" s="16">
        <v>1</v>
      </c>
      <c r="B230" s="173" t="s">
        <v>510</v>
      </c>
      <c r="C230" s="16">
        <v>1</v>
      </c>
      <c r="D230" s="173" t="s">
        <v>502</v>
      </c>
    </row>
    <row r="231" spans="1:4" x14ac:dyDescent="0.25">
      <c r="C231" s="16">
        <v>2</v>
      </c>
      <c r="D231" s="173" t="s">
        <v>503</v>
      </c>
    </row>
    <row r="233" spans="1:4" x14ac:dyDescent="0.25">
      <c r="A233" s="16">
        <v>2</v>
      </c>
      <c r="B233" s="173" t="s">
        <v>511</v>
      </c>
      <c r="C233" s="16">
        <v>3</v>
      </c>
      <c r="D233" s="173" t="s">
        <v>504</v>
      </c>
    </row>
    <row r="234" spans="1:4" x14ac:dyDescent="0.25">
      <c r="C234" s="16">
        <v>4</v>
      </c>
      <c r="D234" s="173" t="s">
        <v>505</v>
      </c>
    </row>
    <row r="235" spans="1:4" x14ac:dyDescent="0.25">
      <c r="C235" s="16">
        <v>5</v>
      </c>
      <c r="D235" s="173" t="s">
        <v>506</v>
      </c>
    </row>
    <row r="237" spans="1:4" x14ac:dyDescent="0.25">
      <c r="A237" s="16">
        <v>3</v>
      </c>
      <c r="B237" s="173" t="s">
        <v>507</v>
      </c>
      <c r="C237" s="16">
        <v>6</v>
      </c>
      <c r="D237" s="173" t="s">
        <v>507</v>
      </c>
    </row>
    <row r="239" spans="1:4" x14ac:dyDescent="0.25">
      <c r="A239" s="16">
        <v>4</v>
      </c>
      <c r="B239" s="173" t="s">
        <v>508</v>
      </c>
      <c r="C239" s="16">
        <v>7</v>
      </c>
      <c r="D239" s="173" t="s">
        <v>508</v>
      </c>
    </row>
    <row r="241" spans="1:4" x14ac:dyDescent="0.25">
      <c r="A241" s="16">
        <v>5</v>
      </c>
      <c r="B241" s="173" t="s">
        <v>509</v>
      </c>
      <c r="C241" s="16">
        <v>8</v>
      </c>
      <c r="D241" s="173" t="s">
        <v>509</v>
      </c>
    </row>
    <row r="243" spans="1:4" x14ac:dyDescent="0.25">
      <c r="A243" s="16">
        <v>6</v>
      </c>
      <c r="B243" s="173" t="s">
        <v>359</v>
      </c>
      <c r="C243" s="16">
        <v>9</v>
      </c>
      <c r="D243" s="173" t="s">
        <v>359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5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32</vt:i4>
      </vt:variant>
    </vt:vector>
  </HeadingPairs>
  <TitlesOfParts>
    <vt:vector size="68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T3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T3'!Print_Area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2019-03-05T13:17:01Z</cp:lastPrinted>
  <dcterms:created xsi:type="dcterms:W3CDTF">2006-08-30T09:48:05Z</dcterms:created>
  <dcterms:modified xsi:type="dcterms:W3CDTF">2020-04-06T10:48:19Z</dcterms:modified>
</cp:coreProperties>
</file>